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6.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tables/table7.xml" ContentType="application/vnd.openxmlformats-officedocument.spreadsheetml.table+xml"/>
  <Override PartName="/xl/pivotTables/pivotTable1.xml" ContentType="application/vnd.openxmlformats-officedocument.spreadsheetml.pivotTable+xml"/>
  <Override PartName="/xl/tables/table8.xml" ContentType="application/vnd.openxmlformats-officedocument.spreadsheetml.table+xml"/>
  <Override PartName="/xl/drawings/drawing11.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13.xml" ContentType="application/vnd.openxmlformats-officedocument.drawing+xml"/>
  <Override PartName="/xl/ctrlProps/ctrlProp13.xml" ContentType="application/vnd.ms-excel.controlproperti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4.xml" ContentType="application/vnd.openxmlformats-officedocument.drawing+xml"/>
  <Override PartName="/xl/tables/table9.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5.xml" ContentType="application/vnd.openxmlformats-officedocument.drawing+xml"/>
  <Override PartName="/xl/activeX/activeX1.xml" ContentType="application/vnd.ms-office.activeX+xml"/>
  <Override PartName="/xl/activeX/activeX1.bin" ContentType="application/vnd.ms-office.activeX"/>
  <Override PartName="/xl/tables/table10.xml" ContentType="application/vnd.openxmlformats-officedocument.spreadsheetml.table+xml"/>
  <Override PartName="/xl/drawings/drawing1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7.xml" ContentType="application/vnd.openxmlformats-officedocument.drawing+xml"/>
  <Override PartName="/xl/webextensions/webextension1.xml" ContentType="application/vnd.ms-office.webextension+xml"/>
  <Override PartName="/xl/tables/table11.xml" ContentType="application/vnd.openxmlformats-officedocument.spreadsheetml.table+xml"/>
  <Override PartName="/xl/tables/table1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szja3002\Desktop\Pliki do nauki\Excel gotowe pliki\"/>
    </mc:Choice>
  </mc:AlternateContent>
  <xr:revisionPtr revIDLastSave="0" documentId="13_ncr:1_{35105C6E-18B4-40A0-B4F7-B1E88C85F34E}" xr6:coauthVersionLast="47" xr6:coauthVersionMax="47" xr10:uidLastSave="{00000000-0000-0000-0000-000000000000}"/>
  <bookViews>
    <workbookView xWindow="-80" yWindow="-80" windowWidth="19360" windowHeight="10360" firstSheet="41" activeTab="41" xr2:uid="{4C7A1807-32D5-4520-A8BA-B5F287E17906}"/>
  </bookViews>
  <sheets>
    <sheet name="SEQUENCE" sheetId="11" r:id="rId1"/>
    <sheet name="different date change chart" sheetId="52" r:id="rId2"/>
    <sheet name="LARGE" sheetId="10" r:id="rId3"/>
    <sheet name="lista obecnosci" sheetId="53" r:id="rId4"/>
    <sheet name="auto expand drop down list" sheetId="54" r:id="rId5"/>
    <sheet name="Forecasting Model" sheetId="58" r:id="rId6"/>
    <sheet name="clean" sheetId="31" r:id="rId7"/>
    <sheet name="duplikaty" sheetId="57" r:id="rId8"/>
    <sheet name="do dokonczenia, szukanie liczb " sheetId="65" r:id="rId9"/>
    <sheet name="Aggregate" sheetId="74" r:id="rId10"/>
    <sheet name="Stock History" sheetId="71" r:id="rId11"/>
    <sheet name="Goal Seek" sheetId="73" r:id="rId12"/>
    <sheet name="FV &amp; PV" sheetId="72" r:id="rId13"/>
    <sheet name="finansowe statystki" sheetId="40" r:id="rId14"/>
    <sheet name="Level 2 a" sheetId="32" r:id="rId15"/>
    <sheet name="Edate (2)" sheetId="66" r:id="rId16"/>
    <sheet name="choose" sheetId="67" r:id="rId17"/>
    <sheet name="iferror (2)" sheetId="68" r:id="rId18"/>
    <sheet name="Data Type" sheetId="69" r:id="rId19"/>
    <sheet name="xirr &amp; xnpv" sheetId="70" r:id="rId20"/>
    <sheet name="sumifs z nazwiskami" sheetId="39" r:id="rId21"/>
    <sheet name="define name - formulas^" sheetId="38" r:id="rId22"/>
    <sheet name="maile" sheetId="37" r:id="rId23"/>
    <sheet name="data - stocks company" sheetId="34" r:id="rId24"/>
    <sheet name="conditional format" sheetId="27" r:id="rId25"/>
    <sheet name="textsplit" sheetId="35" r:id="rId26"/>
    <sheet name="uniqeblabla" sheetId="90" r:id="rId27"/>
    <sheet name="Level 5 b" sheetId="36" r:id="rId28"/>
    <sheet name="Sparklines" sheetId="33" r:id="rId29"/>
    <sheet name="offset&amp;match" sheetId="59" r:id="rId30"/>
    <sheet name="subsitute, value" sheetId="60" r:id="rId31"/>
    <sheet name="switch_sum" sheetId="98" r:id="rId32"/>
    <sheet name="switch_true" sheetId="99" r:id="rId33"/>
    <sheet name="date functions" sheetId="61" r:id="rId34"/>
    <sheet name="let_advanced" sheetId="83" r:id="rId35"/>
    <sheet name="LET" sheetId="81" r:id="rId36"/>
    <sheet name="xlookup&amp;wildcard" sheetId="62" r:id="rId37"/>
    <sheet name="form,addingnewdatatotable" sheetId="75" r:id="rId38"/>
    <sheet name="byrow,byrowdynamic" sheetId="76" r:id="rId39"/>
    <sheet name="bycol dynamic" sheetId="77" r:id="rId40"/>
    <sheet name="tocol_torow" sheetId="78" r:id="rId41"/>
    <sheet name="textafter_text before" sheetId="79" r:id="rId42"/>
    <sheet name="ifs" sheetId="28" r:id="rId43"/>
    <sheet name="filter multi criteria" sheetId="91" r:id="rId44"/>
    <sheet name="Filter and choose" sheetId="93" r:id="rId45"/>
    <sheet name="what if. ile trzeba by" sheetId="29" r:id="rId46"/>
    <sheet name="combin,combina" sheetId="87" r:id="rId47"/>
    <sheet name="countifs" sheetId="89" r:id="rId48"/>
    <sheet name="maxif_minif_mulitcriteria" sheetId="88" r:id="rId49"/>
    <sheet name="index,match,match" sheetId="92" r:id="rId50"/>
    <sheet name="probabbility, fact,permut,produ" sheetId="86" r:id="rId51"/>
    <sheet name="xlookup_widerange" sheetId="84" r:id="rId52"/>
    <sheet name="xllokup_first to last" sheetId="85" r:id="rId53"/>
    <sheet name="xlookup kilka warunkow" sheetId="30" r:id="rId54"/>
    <sheet name="IFERROR" sheetId="9" r:id="rId55"/>
    <sheet name="Findings" sheetId="26" r:id="rId56"/>
    <sheet name="Analyze" sheetId="16" r:id="rId57"/>
    <sheet name="uniqe+count values" sheetId="42" r:id="rId58"/>
    <sheet name="Filter multiplay criteria" sheetId="43" r:id="rId59"/>
    <sheet name="vlookup" sheetId="17" r:id="rId60"/>
    <sheet name="highlight lowest cells" sheetId="21" r:id="rId61"/>
    <sheet name="horizontal bar chart" sheetId="44" r:id="rId62"/>
    <sheet name="highlight chart" sheetId="45" r:id="rId63"/>
    <sheet name="to do list" sheetId="46" r:id="rId64"/>
    <sheet name="if &amp; and" sheetId="20" r:id="rId65"/>
    <sheet name="vertical values, dynamic chart" sheetId="47" r:id="rId66"/>
    <sheet name="top3lowest3" sheetId="41" r:id="rId67"/>
    <sheet name="dynamicchangechart" sheetId="48" r:id="rId68"/>
    <sheet name="Analysis" sheetId="25" r:id="rId69"/>
    <sheet name="Q1" sheetId="22" r:id="rId70"/>
    <sheet name="Q2" sheetId="23" r:id="rId71"/>
    <sheet name="Q3" sheetId="24" r:id="rId72"/>
    <sheet name="what if" sheetId="19" r:id="rId73"/>
    <sheet name="Xlookup &amp; sumifs" sheetId="18" r:id="rId74"/>
    <sheet name="Search bar" sheetId="64" r:id="rId75"/>
    <sheet name="v_xlookup_index_Match" sheetId="12" r:id="rId76"/>
    <sheet name="Visualize" sheetId="15" r:id="rId77"/>
    <sheet name="sort&amp;filter" sheetId="63" r:id="rId78"/>
    <sheet name="Calculate" sheetId="14" r:id="rId79"/>
    <sheet name="Cleanup" sheetId="13" r:id="rId80"/>
    <sheet name="LEFT MID RIGHT" sheetId="8" r:id="rId81"/>
    <sheet name="Filter" sheetId="3" r:id="rId82"/>
    <sheet name="Loan Schedule" sheetId="95" r:id="rId83"/>
    <sheet name="NPV &amp; IRR" sheetId="96" r:id="rId84"/>
    <sheet name="PV &amp; FV" sheetId="97" r:id="rId85"/>
    <sheet name="sort_filter_small_large" sheetId="94" r:id="rId86"/>
    <sheet name="Concatenate" sheetId="2" r:id="rId87"/>
    <sheet name="XLOOKUP" sheetId="4" r:id="rId88"/>
    <sheet name="Edate" sheetId="6" r:id="rId89"/>
    <sheet name="SUMIFS" sheetId="5" r:id="rId90"/>
    <sheet name="IndexMatch" sheetId="7" r:id="rId91"/>
  </sheets>
  <externalReferences>
    <externalReference r:id="rId92"/>
  </externalReferences>
  <definedNames>
    <definedName name="_xlnm._FilterDatabase" localSheetId="48" hidden="1">maxif_minif_mulitcriteria!$B$1:$C$38</definedName>
    <definedName name="April">countifs!$C$6:$D$6</definedName>
    <definedName name="August">countifs!$C$10:$D$10</definedName>
    <definedName name="Cost">'define name - formulas^'!$J$3:$J$12</definedName>
    <definedName name="December">countifs!$C$14:$D$14</definedName>
    <definedName name="Donations">countifs!$C$3:$D$14</definedName>
    <definedName name="February">countifs!$C$4:$D$4</definedName>
    <definedName name="January">countifs!$C$3:$D$3</definedName>
    <definedName name="July">countifs!$C$9:$D$9</definedName>
    <definedName name="June">countifs!$C$8:$D$8</definedName>
    <definedName name="March">countifs!$C$5:$D$5</definedName>
    <definedName name="May">countifs!$C$7:$D$7</definedName>
    <definedName name="Not_Online">countifs!$D$3:$D$14</definedName>
    <definedName name="November">countifs!$C$13:$D$13</definedName>
    <definedName name="October">countifs!$C$12:$D$12</definedName>
    <definedName name="Online">countifs!$C$3:$C$14</definedName>
    <definedName name="Revenue">'define name - formulas^'!$I$3:$I$12</definedName>
    <definedName name="September">countifs!$C$11:$D$11</definedName>
    <definedName name="unit">'define name - formulas^'!$H$3:$H$12</definedName>
    <definedName name="Units">'define name - formulas^'!$H$3</definedName>
  </definedNames>
  <calcPr calcId="191029"/>
  <pivotCaches>
    <pivotCache cacheId="0" r:id="rId93"/>
    <pivotCache cacheId="1" r:id="rId9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79" l="1"/>
  <c r="D3" i="79"/>
  <c r="F4" i="79"/>
  <c r="G22" i="8"/>
  <c r="F12" i="17"/>
  <c r="G7" i="98" l="1" a="1"/>
  <c r="G7" i="98" s="1"/>
  <c r="E6" i="99" a="1"/>
  <c r="E6" i="99" s="1"/>
  <c r="E5" i="99" a="1"/>
  <c r="E5" i="99" s="1"/>
  <c r="G4" i="98" a="1"/>
  <c r="G4" i="98" s="1"/>
  <c r="G5" i="98" a="1"/>
  <c r="G5" i="98" s="1"/>
  <c r="J3" i="5" l="1"/>
  <c r="D16" i="7" l="1"/>
  <c r="D15" i="7"/>
  <c r="D15" i="7" a="1"/>
  <c r="D14" i="7"/>
  <c r="G14" i="5"/>
  <c r="E14" i="5"/>
  <c r="C14" i="5"/>
  <c r="G13" i="5"/>
  <c r="E13" i="5"/>
  <c r="C13" i="5"/>
  <c r="G12" i="5"/>
  <c r="E12" i="5"/>
  <c r="C12" i="5"/>
  <c r="G11" i="5"/>
  <c r="E11" i="5"/>
  <c r="C11" i="5"/>
  <c r="G10" i="5"/>
  <c r="E10" i="5"/>
  <c r="C10" i="5"/>
  <c r="G9" i="5"/>
  <c r="E9" i="5"/>
  <c r="C9" i="5"/>
  <c r="G8" i="5"/>
  <c r="E8" i="5"/>
  <c r="C8" i="5"/>
  <c r="G7" i="5"/>
  <c r="E7" i="5"/>
  <c r="C7" i="5"/>
  <c r="J6" i="5"/>
  <c r="G6" i="5"/>
  <c r="E6" i="5"/>
  <c r="C6" i="5"/>
  <c r="G5" i="5"/>
  <c r="E5" i="5"/>
  <c r="C5" i="5"/>
  <c r="G4" i="5"/>
  <c r="E4" i="5"/>
  <c r="C4" i="5"/>
  <c r="G3" i="5"/>
  <c r="E3" i="5"/>
  <c r="J3" i="6"/>
  <c r="I3" i="6"/>
  <c r="H3" i="6"/>
  <c r="G3" i="6"/>
  <c r="F3" i="6"/>
  <c r="E3" i="6"/>
  <c r="D3" i="6"/>
  <c r="E24" i="4"/>
  <c r="B24" i="4"/>
  <c r="E23" i="4"/>
  <c r="B23" i="4"/>
  <c r="E22" i="4"/>
  <c r="B22" i="4"/>
  <c r="E21" i="4"/>
  <c r="B21" i="4"/>
  <c r="E20" i="4"/>
  <c r="B20" i="4"/>
  <c r="E19" i="4"/>
  <c r="B19" i="4"/>
  <c r="E18" i="4"/>
  <c r="B18" i="4"/>
  <c r="E17" i="4"/>
  <c r="B17" i="4"/>
  <c r="E16" i="4"/>
  <c r="B16" i="4"/>
  <c r="E15" i="4"/>
  <c r="B15" i="4"/>
  <c r="E14" i="4"/>
  <c r="B14" i="4"/>
  <c r="E13" i="4"/>
  <c r="B13" i="4"/>
  <c r="E12" i="4"/>
  <c r="B12" i="4"/>
  <c r="E11" i="4"/>
  <c r="B11" i="4"/>
  <c r="E10" i="4"/>
  <c r="B10" i="4"/>
  <c r="E9" i="4"/>
  <c r="B9" i="4"/>
  <c r="E8" i="4"/>
  <c r="B8" i="4"/>
  <c r="E7" i="4"/>
  <c r="B7" i="4"/>
  <c r="I6" i="4"/>
  <c r="E6" i="4"/>
  <c r="B6" i="4"/>
  <c r="E5" i="4"/>
  <c r="B5" i="4"/>
  <c r="I4" i="4"/>
  <c r="E4" i="4"/>
  <c r="B4" i="4"/>
  <c r="E3" i="4"/>
  <c r="J22" i="2"/>
  <c r="B22" i="2"/>
  <c r="J21" i="2"/>
  <c r="B21" i="2"/>
  <c r="J20" i="2"/>
  <c r="B20" i="2"/>
  <c r="J19" i="2"/>
  <c r="B19" i="2"/>
  <c r="J18" i="2"/>
  <c r="B18" i="2"/>
  <c r="J17" i="2"/>
  <c r="B17" i="2"/>
  <c r="J16" i="2"/>
  <c r="B16" i="2"/>
  <c r="J15" i="2"/>
  <c r="B15" i="2"/>
  <c r="J14" i="2"/>
  <c r="B14" i="2"/>
  <c r="J13" i="2"/>
  <c r="B13" i="2"/>
  <c r="J12" i="2"/>
  <c r="B12" i="2"/>
  <c r="J11" i="2"/>
  <c r="B11" i="2"/>
  <c r="J10" i="2"/>
  <c r="B10" i="2"/>
  <c r="J9" i="2"/>
  <c r="B9" i="2"/>
  <c r="J8" i="2"/>
  <c r="B8" i="2"/>
  <c r="J7" i="2"/>
  <c r="B7" i="2"/>
  <c r="J6" i="2"/>
  <c r="B6" i="2"/>
  <c r="J5" i="2"/>
  <c r="B5" i="2"/>
  <c r="J4" i="2"/>
  <c r="B4" i="2"/>
  <c r="J3" i="2"/>
  <c r="B13" i="94"/>
  <c r="B13" i="94" a="1"/>
  <c r="B4" i="94"/>
  <c r="B4" i="94" a="1"/>
  <c r="I10" i="97"/>
  <c r="F9" i="97"/>
  <c r="C9" i="97"/>
  <c r="I5" i="97"/>
  <c r="F5" i="97"/>
  <c r="C16" i="96"/>
  <c r="C14" i="96"/>
  <c r="C12" i="96"/>
  <c r="C10" i="96"/>
  <c r="I6" i="96"/>
  <c r="H4" i="96"/>
  <c r="G4" i="96"/>
  <c r="F4" i="96"/>
  <c r="E4" i="96"/>
  <c r="D4" i="96"/>
  <c r="I64" i="95"/>
  <c r="H64" i="95"/>
  <c r="G64" i="95"/>
  <c r="F64" i="95"/>
  <c r="I63" i="95"/>
  <c r="H63" i="95"/>
  <c r="G63" i="95"/>
  <c r="F63" i="95"/>
  <c r="I62" i="95"/>
  <c r="H62" i="95"/>
  <c r="G62" i="95"/>
  <c r="F62" i="95"/>
  <c r="I61" i="95"/>
  <c r="H61" i="95"/>
  <c r="G61" i="95"/>
  <c r="F61" i="95"/>
  <c r="I60" i="95"/>
  <c r="H60" i="95"/>
  <c r="G60" i="95"/>
  <c r="F60" i="95"/>
  <c r="I59" i="95"/>
  <c r="H59" i="95"/>
  <c r="G59" i="95"/>
  <c r="F59" i="95"/>
  <c r="I58" i="95"/>
  <c r="H58" i="95"/>
  <c r="G58" i="95"/>
  <c r="F58" i="95"/>
  <c r="I57" i="95"/>
  <c r="H57" i="95"/>
  <c r="G57" i="95"/>
  <c r="F57" i="95"/>
  <c r="I56" i="95"/>
  <c r="H56" i="95"/>
  <c r="G56" i="95"/>
  <c r="F56" i="95"/>
  <c r="I55" i="95"/>
  <c r="H55" i="95"/>
  <c r="G55" i="95"/>
  <c r="F55" i="95"/>
  <c r="I54" i="95"/>
  <c r="H54" i="95"/>
  <c r="G54" i="95"/>
  <c r="F54" i="95"/>
  <c r="I53" i="95"/>
  <c r="H53" i="95"/>
  <c r="G53" i="95"/>
  <c r="F53" i="95"/>
  <c r="I52" i="95"/>
  <c r="H52" i="95"/>
  <c r="G52" i="95"/>
  <c r="F52" i="95"/>
  <c r="I51" i="95"/>
  <c r="H51" i="95"/>
  <c r="G51" i="95"/>
  <c r="F51" i="95"/>
  <c r="I50" i="95"/>
  <c r="H50" i="95"/>
  <c r="G50" i="95"/>
  <c r="F50" i="95"/>
  <c r="I49" i="95"/>
  <c r="H49" i="95"/>
  <c r="G49" i="95"/>
  <c r="F49" i="95"/>
  <c r="I48" i="95"/>
  <c r="H48" i="95"/>
  <c r="G48" i="95"/>
  <c r="F48" i="95"/>
  <c r="I47" i="95"/>
  <c r="H47" i="95"/>
  <c r="G47" i="95"/>
  <c r="F47" i="95"/>
  <c r="I46" i="95"/>
  <c r="H46" i="95"/>
  <c r="G46" i="95"/>
  <c r="F46" i="95"/>
  <c r="I45" i="95"/>
  <c r="H45" i="95"/>
  <c r="G45" i="95"/>
  <c r="F45" i="95"/>
  <c r="I44" i="95"/>
  <c r="H44" i="95"/>
  <c r="G44" i="95"/>
  <c r="F44" i="95"/>
  <c r="I43" i="95"/>
  <c r="H43" i="95"/>
  <c r="G43" i="95"/>
  <c r="F43" i="95"/>
  <c r="I42" i="95"/>
  <c r="H42" i="95"/>
  <c r="G42" i="95"/>
  <c r="F42" i="95"/>
  <c r="I41" i="95"/>
  <c r="H41" i="95"/>
  <c r="G41" i="95"/>
  <c r="F41" i="95"/>
  <c r="I40" i="95"/>
  <c r="H40" i="95"/>
  <c r="G40" i="95"/>
  <c r="F40" i="95"/>
  <c r="I39" i="95"/>
  <c r="H39" i="95"/>
  <c r="G39" i="95"/>
  <c r="F39" i="95"/>
  <c r="I38" i="95"/>
  <c r="H38" i="95"/>
  <c r="G38" i="95"/>
  <c r="F38" i="95"/>
  <c r="I37" i="95"/>
  <c r="H37" i="95"/>
  <c r="G37" i="95"/>
  <c r="F37" i="95"/>
  <c r="I36" i="95"/>
  <c r="H36" i="95"/>
  <c r="G36" i="95"/>
  <c r="F36" i="95"/>
  <c r="I35" i="95"/>
  <c r="H35" i="95"/>
  <c r="G35" i="95"/>
  <c r="F35" i="95"/>
  <c r="I34" i="95"/>
  <c r="H34" i="95"/>
  <c r="G34" i="95"/>
  <c r="F34" i="95"/>
  <c r="I33" i="95"/>
  <c r="H33" i="95"/>
  <c r="G33" i="95"/>
  <c r="F33" i="95"/>
  <c r="I32" i="95"/>
  <c r="H32" i="95"/>
  <c r="G32" i="95"/>
  <c r="F32" i="95"/>
  <c r="I31" i="95"/>
  <c r="H31" i="95"/>
  <c r="G31" i="95"/>
  <c r="F31" i="95"/>
  <c r="I30" i="95"/>
  <c r="H30" i="95"/>
  <c r="G30" i="95"/>
  <c r="F30" i="95"/>
  <c r="I29" i="95"/>
  <c r="H29" i="95"/>
  <c r="G29" i="95"/>
  <c r="F29" i="95"/>
  <c r="I28" i="95"/>
  <c r="H28" i="95"/>
  <c r="G28" i="95"/>
  <c r="F28" i="95"/>
  <c r="I27" i="95"/>
  <c r="H27" i="95"/>
  <c r="G27" i="95"/>
  <c r="F27" i="95"/>
  <c r="I26" i="95"/>
  <c r="H26" i="95"/>
  <c r="G26" i="95"/>
  <c r="F26" i="95"/>
  <c r="I25" i="95"/>
  <c r="H25" i="95"/>
  <c r="G25" i="95"/>
  <c r="F25" i="95"/>
  <c r="I24" i="95"/>
  <c r="H24" i="95"/>
  <c r="G24" i="95"/>
  <c r="F24" i="95"/>
  <c r="I23" i="95"/>
  <c r="H23" i="95"/>
  <c r="G23" i="95"/>
  <c r="F23" i="95"/>
  <c r="I22" i="95"/>
  <c r="H22" i="95"/>
  <c r="G22" i="95"/>
  <c r="F22" i="95"/>
  <c r="I21" i="95"/>
  <c r="H21" i="95"/>
  <c r="G21" i="95"/>
  <c r="F21" i="95"/>
  <c r="I20" i="95"/>
  <c r="H20" i="95"/>
  <c r="G20" i="95"/>
  <c r="F20" i="95"/>
  <c r="I19" i="95"/>
  <c r="H19" i="95"/>
  <c r="G19" i="95"/>
  <c r="F19" i="95"/>
  <c r="I18" i="95"/>
  <c r="H18" i="95"/>
  <c r="G18" i="95"/>
  <c r="F18" i="95"/>
  <c r="I17" i="95"/>
  <c r="H17" i="95"/>
  <c r="G17" i="95"/>
  <c r="F17" i="95"/>
  <c r="C17" i="95"/>
  <c r="I16" i="95"/>
  <c r="H16" i="95"/>
  <c r="G16" i="95"/>
  <c r="F16" i="95"/>
  <c r="C16" i="95"/>
  <c r="I15" i="95"/>
  <c r="H15" i="95"/>
  <c r="G15" i="95"/>
  <c r="F15" i="95"/>
  <c r="I14" i="95"/>
  <c r="H14" i="95"/>
  <c r="G14" i="95"/>
  <c r="F14" i="95"/>
  <c r="C14" i="95"/>
  <c r="I13" i="95"/>
  <c r="H13" i="95"/>
  <c r="G13" i="95"/>
  <c r="F13" i="95"/>
  <c r="C13" i="95"/>
  <c r="I12" i="95"/>
  <c r="H12" i="95"/>
  <c r="G12" i="95"/>
  <c r="F12" i="95"/>
  <c r="C12" i="95"/>
  <c r="I11" i="95"/>
  <c r="H11" i="95"/>
  <c r="G11" i="95"/>
  <c r="F11" i="95"/>
  <c r="I10" i="95"/>
  <c r="H10" i="95"/>
  <c r="G10" i="95"/>
  <c r="F10" i="95"/>
  <c r="I9" i="95"/>
  <c r="H9" i="95"/>
  <c r="G9" i="95"/>
  <c r="F9" i="95"/>
  <c r="C9" i="95"/>
  <c r="I8" i="95"/>
  <c r="H8" i="95"/>
  <c r="G8" i="95"/>
  <c r="F8" i="95"/>
  <c r="C8" i="95"/>
  <c r="I7" i="95"/>
  <c r="H7" i="95"/>
  <c r="G7" i="95"/>
  <c r="F7" i="95"/>
  <c r="I6" i="95"/>
  <c r="H6" i="95"/>
  <c r="G6" i="95"/>
  <c r="F6" i="95"/>
  <c r="I5" i="95"/>
  <c r="H5" i="95"/>
  <c r="G5" i="95"/>
  <c r="F5" i="95"/>
  <c r="E5" i="95"/>
  <c r="E5" i="95" a="1"/>
  <c r="E5" i="3"/>
  <c r="E5" i="3" a="1"/>
  <c r="G19" i="8"/>
  <c r="B19" i="8"/>
  <c r="G18" i="8"/>
  <c r="B18" i="8"/>
  <c r="G17" i="8"/>
  <c r="B17" i="8"/>
  <c r="G16" i="8"/>
  <c r="B16" i="8"/>
  <c r="G15" i="8"/>
  <c r="B15" i="8"/>
  <c r="G14" i="8"/>
  <c r="B14" i="8"/>
  <c r="G13" i="8"/>
  <c r="B13" i="8"/>
  <c r="G12" i="8"/>
  <c r="B12" i="8"/>
  <c r="G11" i="8"/>
  <c r="B11" i="8"/>
  <c r="G10" i="8"/>
  <c r="B10" i="8"/>
  <c r="G9" i="8"/>
  <c r="B9" i="8"/>
  <c r="G8" i="8"/>
  <c r="B8" i="8"/>
  <c r="G7" i="8"/>
  <c r="B7" i="8"/>
  <c r="G6" i="8"/>
  <c r="B6" i="8"/>
  <c r="G5" i="8"/>
  <c r="B5" i="8"/>
  <c r="G4" i="8"/>
  <c r="B4" i="8"/>
  <c r="G3" i="8"/>
  <c r="C15" i="14"/>
  <c r="C14" i="14"/>
  <c r="C13" i="14"/>
  <c r="C12" i="14"/>
  <c r="C11" i="14"/>
  <c r="G3" i="63"/>
  <c r="G3" i="63" a="1"/>
  <c r="I17" i="15"/>
  <c r="H17" i="15"/>
  <c r="G17" i="15"/>
  <c r="F17" i="15"/>
  <c r="E17" i="15"/>
  <c r="D17" i="15"/>
  <c r="C17" i="15"/>
  <c r="I15" i="15"/>
  <c r="H15" i="15"/>
  <c r="G15" i="15"/>
  <c r="F15" i="15"/>
  <c r="E15" i="15"/>
  <c r="D15" i="15"/>
  <c r="C15" i="15"/>
  <c r="I14" i="15"/>
  <c r="H14" i="15"/>
  <c r="G14" i="15"/>
  <c r="F14" i="15"/>
  <c r="E14" i="15"/>
  <c r="D14" i="15"/>
  <c r="C14" i="15"/>
  <c r="I10" i="15"/>
  <c r="H10" i="15"/>
  <c r="G10" i="15"/>
  <c r="F10" i="15"/>
  <c r="E10" i="15"/>
  <c r="D10" i="15"/>
  <c r="C10" i="15"/>
  <c r="F17" i="12"/>
  <c r="H11" i="12"/>
  <c r="G11" i="12"/>
  <c r="F11" i="12"/>
  <c r="F7" i="12"/>
  <c r="H5" i="64"/>
  <c r="H5" i="64" a="1"/>
  <c r="D22" i="18"/>
  <c r="D21" i="18"/>
  <c r="D20" i="18"/>
  <c r="D19" i="18"/>
  <c r="D18" i="18"/>
  <c r="D17" i="18"/>
  <c r="D16" i="18"/>
  <c r="D15" i="18"/>
  <c r="D14" i="18"/>
  <c r="D13" i="18"/>
  <c r="D12" i="18"/>
  <c r="D11" i="18"/>
  <c r="J8" i="18"/>
  <c r="E7" i="18"/>
  <c r="E7" i="18" a="1"/>
  <c r="D7" i="18"/>
  <c r="D7" i="18" a="1"/>
  <c r="C7" i="18"/>
  <c r="C7" i="18" a="1"/>
  <c r="E6" i="18"/>
  <c r="D6" i="18"/>
  <c r="C6" i="18"/>
  <c r="E5" i="18"/>
  <c r="D5" i="18"/>
  <c r="C15" i="19"/>
  <c r="C14" i="19"/>
  <c r="C13" i="19"/>
  <c r="C12" i="19"/>
  <c r="C11" i="19"/>
  <c r="Q10" i="24"/>
  <c r="P10" i="24"/>
  <c r="O10" i="24"/>
  <c r="N10" i="24"/>
  <c r="M10" i="24"/>
  <c r="L10" i="24"/>
  <c r="K10" i="24"/>
  <c r="J10" i="24"/>
  <c r="I10" i="24"/>
  <c r="H10" i="24"/>
  <c r="G10" i="24"/>
  <c r="F10" i="24"/>
  <c r="Q9" i="24"/>
  <c r="P9" i="24"/>
  <c r="O9" i="24"/>
  <c r="N9" i="24"/>
  <c r="M9" i="24"/>
  <c r="L9" i="24"/>
  <c r="K9" i="24"/>
  <c r="J9" i="24"/>
  <c r="I9" i="24"/>
  <c r="H9" i="24"/>
  <c r="G9" i="24"/>
  <c r="F9" i="24"/>
  <c r="Q8" i="24"/>
  <c r="P8" i="24"/>
  <c r="O8" i="24"/>
  <c r="N8" i="24"/>
  <c r="M8" i="24"/>
  <c r="L8" i="24"/>
  <c r="K8" i="24"/>
  <c r="J8" i="24"/>
  <c r="I8" i="24"/>
  <c r="H8" i="24"/>
  <c r="G8" i="24"/>
  <c r="F8" i="24"/>
  <c r="Q7" i="24"/>
  <c r="P7" i="24"/>
  <c r="O7" i="24"/>
  <c r="N7" i="24"/>
  <c r="M7" i="24"/>
  <c r="L7" i="24"/>
  <c r="K7" i="24"/>
  <c r="J7" i="24"/>
  <c r="I7" i="24"/>
  <c r="H7" i="24"/>
  <c r="G7" i="24"/>
  <c r="F7" i="24"/>
  <c r="Q6" i="24"/>
  <c r="P6" i="24"/>
  <c r="O6" i="24"/>
  <c r="N6" i="24"/>
  <c r="M6" i="24"/>
  <c r="L6" i="24"/>
  <c r="K6" i="24"/>
  <c r="J6" i="24"/>
  <c r="I6" i="24"/>
  <c r="H6" i="24"/>
  <c r="G6" i="24"/>
  <c r="F6" i="24"/>
  <c r="Q5" i="24"/>
  <c r="P5" i="24"/>
  <c r="O5" i="24"/>
  <c r="N5" i="24"/>
  <c r="M5" i="24"/>
  <c r="L5" i="24"/>
  <c r="K5" i="24"/>
  <c r="J5" i="24"/>
  <c r="I5" i="24"/>
  <c r="H5" i="24"/>
  <c r="G5" i="24"/>
  <c r="J19" i="23"/>
  <c r="I19" i="23"/>
  <c r="J18" i="23"/>
  <c r="I18" i="23"/>
  <c r="J17" i="23"/>
  <c r="I17" i="23"/>
  <c r="F17" i="23"/>
  <c r="E17" i="23"/>
  <c r="J16" i="23"/>
  <c r="I16" i="23"/>
  <c r="F16" i="23"/>
  <c r="E16" i="23"/>
  <c r="K15" i="23"/>
  <c r="K15" i="23" a="1"/>
  <c r="J15" i="23"/>
  <c r="I15" i="23"/>
  <c r="H15" i="23"/>
  <c r="H15" i="23" a="1"/>
  <c r="F15" i="23"/>
  <c r="E15" i="23"/>
  <c r="F14" i="23"/>
  <c r="E14" i="23"/>
  <c r="F13" i="23"/>
  <c r="E13" i="23"/>
  <c r="F12" i="23"/>
  <c r="E12" i="23"/>
  <c r="J11" i="23"/>
  <c r="I11" i="23"/>
  <c r="F11" i="23"/>
  <c r="E11" i="23"/>
  <c r="J10" i="23"/>
  <c r="I10" i="23"/>
  <c r="F10" i="23"/>
  <c r="E10" i="23"/>
  <c r="J9" i="23"/>
  <c r="I9" i="23"/>
  <c r="F9" i="23"/>
  <c r="E9" i="23"/>
  <c r="J8" i="23"/>
  <c r="I8" i="23"/>
  <c r="F8" i="23"/>
  <c r="E8" i="23"/>
  <c r="J7" i="23"/>
  <c r="I7" i="23"/>
  <c r="H7" i="23"/>
  <c r="H7" i="23" a="1"/>
  <c r="F7" i="23"/>
  <c r="E7" i="23"/>
  <c r="F6" i="23"/>
  <c r="E6" i="23"/>
  <c r="M23" i="22"/>
  <c r="L23" i="22"/>
  <c r="K23" i="22"/>
  <c r="J23" i="22"/>
  <c r="I23" i="22"/>
  <c r="H23" i="22"/>
  <c r="G23" i="22"/>
  <c r="F23" i="22"/>
  <c r="E23" i="22"/>
  <c r="D23" i="22"/>
  <c r="M22" i="22"/>
  <c r="L22" i="22"/>
  <c r="K22" i="22"/>
  <c r="J22" i="22"/>
  <c r="I22" i="22"/>
  <c r="H22" i="22"/>
  <c r="G22" i="22"/>
  <c r="F22" i="22"/>
  <c r="E22" i="22"/>
  <c r="D22" i="22"/>
  <c r="M21" i="22"/>
  <c r="L21" i="22"/>
  <c r="K21" i="22"/>
  <c r="J21" i="22"/>
  <c r="I21" i="22"/>
  <c r="H21" i="22"/>
  <c r="G21" i="22"/>
  <c r="F21" i="22"/>
  <c r="E21" i="22"/>
  <c r="D21" i="22"/>
  <c r="M20" i="22"/>
  <c r="L20" i="22"/>
  <c r="K20" i="22"/>
  <c r="J20" i="22"/>
  <c r="I20" i="22"/>
  <c r="H20" i="22"/>
  <c r="G20" i="22"/>
  <c r="F20" i="22"/>
  <c r="E20" i="22"/>
  <c r="D20" i="22"/>
  <c r="M19" i="22"/>
  <c r="L19" i="22"/>
  <c r="K19" i="22"/>
  <c r="J19" i="22"/>
  <c r="I19" i="22"/>
  <c r="H19" i="22"/>
  <c r="G19" i="22"/>
  <c r="F19" i="22"/>
  <c r="E19" i="22"/>
  <c r="D19" i="22"/>
  <c r="M17" i="22"/>
  <c r="L17" i="22"/>
  <c r="K17" i="22"/>
  <c r="J17" i="22"/>
  <c r="I17" i="22"/>
  <c r="H17" i="22"/>
  <c r="G17" i="22"/>
  <c r="F17" i="22"/>
  <c r="E17" i="22"/>
  <c r="D17" i="22"/>
  <c r="M16" i="22"/>
  <c r="L16" i="22"/>
  <c r="K16" i="22"/>
  <c r="J16" i="22"/>
  <c r="I16" i="22"/>
  <c r="H16" i="22"/>
  <c r="G16" i="22"/>
  <c r="F16" i="22"/>
  <c r="E16" i="22"/>
  <c r="M14" i="22"/>
  <c r="L14" i="22"/>
  <c r="K14" i="22"/>
  <c r="J14" i="22"/>
  <c r="I14" i="22"/>
  <c r="H14" i="22"/>
  <c r="G14" i="22"/>
  <c r="F14" i="22"/>
  <c r="E14" i="22"/>
  <c r="D14" i="22"/>
  <c r="G5" i="48"/>
  <c r="G5" i="48" a="1"/>
  <c r="G17" i="41"/>
  <c r="G17" i="41" a="1"/>
  <c r="D17" i="41"/>
  <c r="D17" i="41" a="1"/>
  <c r="D13" i="47"/>
  <c r="D12" i="47"/>
  <c r="D11" i="47"/>
  <c r="D10" i="47"/>
  <c r="D9" i="47"/>
  <c r="D8" i="47"/>
  <c r="D7" i="47"/>
  <c r="D6" i="47"/>
  <c r="D5" i="47"/>
  <c r="D4" i="47"/>
  <c r="D3" i="47"/>
  <c r="D2" i="47"/>
  <c r="A2" i="47"/>
  <c r="A2" i="47" a="1"/>
  <c r="F10" i="20"/>
  <c r="E10" i="20"/>
  <c r="F9" i="20"/>
  <c r="E9" i="20"/>
  <c r="F8" i="20"/>
  <c r="E8" i="20"/>
  <c r="F7" i="20"/>
  <c r="E7" i="20"/>
  <c r="F6" i="20"/>
  <c r="E6" i="20"/>
  <c r="D9" i="45"/>
  <c r="D8" i="45"/>
  <c r="D7" i="45"/>
  <c r="D6" i="45"/>
  <c r="D5" i="45"/>
  <c r="D4" i="45"/>
  <c r="D3" i="45"/>
  <c r="F6" i="44"/>
  <c r="E6" i="44"/>
  <c r="F5" i="44"/>
  <c r="E5" i="44"/>
  <c r="F4" i="44"/>
  <c r="E4" i="44"/>
  <c r="F3" i="44"/>
  <c r="E3" i="44"/>
  <c r="B37" i="21"/>
  <c r="B36" i="21"/>
  <c r="B35" i="21"/>
  <c r="B34" i="21"/>
  <c r="B33" i="21"/>
  <c r="B32" i="21"/>
  <c r="B31" i="21"/>
  <c r="B30" i="21"/>
  <c r="B29" i="21"/>
  <c r="B28" i="21"/>
  <c r="B27" i="21"/>
  <c r="B26" i="21"/>
  <c r="B25" i="21"/>
  <c r="B24" i="21"/>
  <c r="B23" i="21"/>
  <c r="B22" i="21"/>
  <c r="B21" i="21"/>
  <c r="B20" i="21"/>
  <c r="B19" i="21"/>
  <c r="B18" i="21"/>
  <c r="B17" i="21"/>
  <c r="B16" i="21"/>
  <c r="B15" i="21"/>
  <c r="B14" i="21"/>
  <c r="B13" i="21"/>
  <c r="B12" i="21"/>
  <c r="B11" i="21"/>
  <c r="B10" i="21"/>
  <c r="B9" i="21"/>
  <c r="B8" i="21"/>
  <c r="B7" i="21"/>
  <c r="G24" i="17"/>
  <c r="F24" i="17"/>
  <c r="G23" i="17"/>
  <c r="F23" i="17"/>
  <c r="G22" i="17"/>
  <c r="F22" i="17"/>
  <c r="G21" i="17"/>
  <c r="F21" i="17"/>
  <c r="G20" i="17"/>
  <c r="F20" i="17"/>
  <c r="G19" i="17"/>
  <c r="F19" i="17"/>
  <c r="E12" i="17"/>
  <c r="F3" i="43"/>
  <c r="F3" i="43" a="1"/>
  <c r="F8" i="42"/>
  <c r="F7" i="42"/>
  <c r="F6" i="42"/>
  <c r="F5" i="42"/>
  <c r="F4" i="42"/>
  <c r="F3" i="42"/>
  <c r="E3" i="42"/>
  <c r="E3" i="42" a="1"/>
  <c r="C14" i="26"/>
  <c r="C13" i="26"/>
  <c r="C12" i="26"/>
  <c r="C11" i="26"/>
  <c r="C10" i="26"/>
  <c r="C9" i="26"/>
  <c r="C6" i="26"/>
  <c r="C5" i="26"/>
  <c r="J15" i="9"/>
  <c r="I15" i="9"/>
  <c r="H15" i="9"/>
  <c r="G15" i="9"/>
  <c r="F15" i="9"/>
  <c r="E15" i="9"/>
  <c r="D15" i="9"/>
  <c r="C15" i="9"/>
  <c r="J13" i="9"/>
  <c r="I13" i="9"/>
  <c r="H13" i="9"/>
  <c r="G13" i="9"/>
  <c r="F13" i="9"/>
  <c r="E13" i="9"/>
  <c r="D13" i="9"/>
  <c r="C13" i="9"/>
  <c r="J7" i="9"/>
  <c r="I7" i="9"/>
  <c r="H7" i="9"/>
  <c r="G7" i="9"/>
  <c r="F7" i="9"/>
  <c r="E7" i="9"/>
  <c r="D7" i="9"/>
  <c r="C7" i="9"/>
  <c r="J3" i="9"/>
  <c r="I3" i="9"/>
  <c r="H3" i="9"/>
  <c r="G3" i="9"/>
  <c r="F3" i="9"/>
  <c r="E3" i="9"/>
  <c r="D3" i="9"/>
  <c r="D22" i="30"/>
  <c r="D21" i="30"/>
  <c r="D20" i="30"/>
  <c r="D19" i="30"/>
  <c r="D18" i="30"/>
  <c r="D17" i="30"/>
  <c r="D16" i="30"/>
  <c r="D15" i="30"/>
  <c r="D14" i="30"/>
  <c r="D13" i="30"/>
  <c r="D12" i="30"/>
  <c r="D11" i="30"/>
  <c r="E7" i="30"/>
  <c r="E7" i="30" a="1"/>
  <c r="D7" i="30"/>
  <c r="D7" i="30" a="1"/>
  <c r="C7" i="30"/>
  <c r="C7" i="30" a="1"/>
  <c r="E6" i="30"/>
  <c r="D6" i="30"/>
  <c r="C6" i="30"/>
  <c r="E5" i="30"/>
  <c r="D5" i="30"/>
  <c r="I7" i="85"/>
  <c r="I6" i="85"/>
  <c r="I5" i="85"/>
  <c r="I4" i="85"/>
  <c r="E3" i="84"/>
  <c r="E3" i="84" a="1"/>
  <c r="E2" i="84"/>
  <c r="E2" i="84" a="1"/>
  <c r="G9" i="86"/>
  <c r="I7" i="86"/>
  <c r="G7" i="86"/>
  <c r="E13" i="92"/>
  <c r="B12" i="92"/>
  <c r="F2" i="88"/>
  <c r="F2" i="88" a="1"/>
  <c r="E2" i="88"/>
  <c r="F1" i="88"/>
  <c r="F1" i="88" a="1"/>
  <c r="E1" i="88"/>
  <c r="H14" i="89"/>
  <c r="H13" i="89"/>
  <c r="H9" i="89"/>
  <c r="H8" i="89"/>
  <c r="H4" i="89"/>
  <c r="H3" i="89"/>
  <c r="H3" i="89" a="1"/>
  <c r="D10" i="87"/>
  <c r="D7" i="87"/>
  <c r="C15" i="29"/>
  <c r="C14" i="29"/>
  <c r="C13" i="29"/>
  <c r="C12" i="29"/>
  <c r="F3" i="93"/>
  <c r="F3" i="93" a="1"/>
  <c r="H16" i="91"/>
  <c r="G16" i="91"/>
  <c r="F16" i="91"/>
  <c r="H15" i="91"/>
  <c r="G15" i="91"/>
  <c r="F15" i="91"/>
  <c r="H14" i="91"/>
  <c r="G14" i="91"/>
  <c r="F14" i="91"/>
  <c r="H13" i="91"/>
  <c r="G13" i="91"/>
  <c r="F13" i="91"/>
  <c r="H12" i="91"/>
  <c r="G12" i="91"/>
  <c r="F12" i="91"/>
  <c r="H11" i="91"/>
  <c r="G11" i="91"/>
  <c r="F11" i="91"/>
  <c r="H10" i="91"/>
  <c r="G10" i="91"/>
  <c r="F10" i="91"/>
  <c r="H9" i="91"/>
  <c r="G9" i="91"/>
  <c r="F9" i="91"/>
  <c r="H8" i="91"/>
  <c r="G8" i="91"/>
  <c r="F8" i="91"/>
  <c r="H7" i="91"/>
  <c r="G7" i="91"/>
  <c r="F7" i="91"/>
  <c r="H6" i="91"/>
  <c r="G6" i="91"/>
  <c r="F6" i="91"/>
  <c r="H5" i="91"/>
  <c r="G5" i="91"/>
  <c r="F5" i="91"/>
  <c r="H4" i="91"/>
  <c r="G4" i="91"/>
  <c r="F4" i="91"/>
  <c r="H3" i="91"/>
  <c r="G3" i="91"/>
  <c r="F3" i="91"/>
  <c r="J2" i="91"/>
  <c r="J2" i="91" a="1"/>
  <c r="H2" i="91"/>
  <c r="G2" i="91"/>
  <c r="F2" i="91"/>
  <c r="F10" i="28"/>
  <c r="E10" i="28"/>
  <c r="F9" i="28"/>
  <c r="E9" i="28"/>
  <c r="F8" i="28"/>
  <c r="E8" i="28"/>
  <c r="F7" i="28"/>
  <c r="E7" i="28"/>
  <c r="F6" i="28"/>
  <c r="E6" i="28"/>
  <c r="G4" i="79"/>
  <c r="F3" i="79"/>
  <c r="E3" i="79"/>
  <c r="F4" i="78"/>
  <c r="F4" i="78" a="1"/>
  <c r="E4" i="78"/>
  <c r="E4" i="78" a="1"/>
  <c r="E2" i="78"/>
  <c r="E2" i="78" a="1"/>
  <c r="E1" i="78"/>
  <c r="E1" i="78" a="1"/>
  <c r="C18" i="77"/>
  <c r="C18" i="77" a="1"/>
  <c r="C17" i="77"/>
  <c r="C17" i="77" a="1"/>
  <c r="C16" i="77"/>
  <c r="C16" i="77" a="1"/>
  <c r="H11" i="77"/>
  <c r="E13" i="76"/>
  <c r="E12" i="76"/>
  <c r="E11" i="76"/>
  <c r="E10" i="76"/>
  <c r="E9" i="76"/>
  <c r="E8" i="76"/>
  <c r="E7" i="76"/>
  <c r="E6" i="76"/>
  <c r="E5" i="76"/>
  <c r="E4" i="76"/>
  <c r="G3" i="76"/>
  <c r="G3" i="76" a="1"/>
  <c r="F3" i="76"/>
  <c r="F3" i="76" a="1"/>
  <c r="E3" i="76"/>
  <c r="F14" i="62"/>
  <c r="C14" i="62"/>
  <c r="F13" i="62"/>
  <c r="C13" i="62"/>
  <c r="F12" i="62"/>
  <c r="C12" i="62"/>
  <c r="F11" i="62"/>
  <c r="C11" i="62"/>
  <c r="F10" i="62"/>
  <c r="C10" i="62"/>
  <c r="F9" i="62"/>
  <c r="C9" i="62"/>
  <c r="F8" i="62"/>
  <c r="C8" i="62"/>
  <c r="F7" i="62"/>
  <c r="C7" i="62"/>
  <c r="F6" i="62"/>
  <c r="C6" i="62"/>
  <c r="F5" i="62"/>
  <c r="C5" i="62"/>
  <c r="F4" i="62"/>
  <c r="C4" i="62"/>
  <c r="I3" i="62"/>
  <c r="F3" i="62"/>
  <c r="C7" i="81"/>
  <c r="C13" i="83"/>
  <c r="L3" i="61"/>
  <c r="K3" i="61"/>
  <c r="J3" i="61"/>
  <c r="I3" i="61"/>
  <c r="H3" i="61"/>
  <c r="L2" i="61"/>
  <c r="K2" i="61"/>
  <c r="J2" i="61"/>
  <c r="I2" i="61"/>
  <c r="H2" i="61"/>
  <c r="G2" i="61"/>
  <c r="F2" i="61"/>
  <c r="E2" i="61"/>
  <c r="D2" i="61"/>
  <c r="C2" i="61"/>
  <c r="D12" i="60"/>
  <c r="D11" i="60"/>
  <c r="D10" i="60"/>
  <c r="D9" i="60"/>
  <c r="D8" i="60"/>
  <c r="D7" i="60"/>
  <c r="D6" i="60"/>
  <c r="D5" i="60"/>
  <c r="D4" i="60"/>
  <c r="D3" i="60"/>
  <c r="I12" i="59"/>
  <c r="H12" i="59"/>
  <c r="G12" i="59"/>
  <c r="F12" i="59"/>
  <c r="E12" i="59"/>
  <c r="D12" i="59"/>
  <c r="D5" i="59" s="1"/>
  <c r="C9" i="59"/>
  <c r="I4" i="59"/>
  <c r="H4" i="59"/>
  <c r="G4" i="59"/>
  <c r="F4" i="59"/>
  <c r="E4" i="59"/>
  <c r="D4" i="59"/>
  <c r="N12" i="33"/>
  <c r="M12" i="33"/>
  <c r="L12" i="33"/>
  <c r="K12" i="33"/>
  <c r="J12" i="33"/>
  <c r="I12" i="33"/>
  <c r="H12" i="33"/>
  <c r="G12" i="33"/>
  <c r="F12" i="33"/>
  <c r="E12" i="33"/>
  <c r="D12" i="33"/>
  <c r="C12" i="33"/>
  <c r="N11" i="33"/>
  <c r="M11" i="33"/>
  <c r="L11" i="33"/>
  <c r="K11" i="33"/>
  <c r="J11" i="33"/>
  <c r="I11" i="33"/>
  <c r="H11" i="33"/>
  <c r="G11" i="33"/>
  <c r="F11" i="33"/>
  <c r="E11" i="33"/>
  <c r="D11" i="33"/>
  <c r="N10" i="33"/>
  <c r="M10" i="33"/>
  <c r="L10" i="33"/>
  <c r="K10" i="33"/>
  <c r="J10" i="33"/>
  <c r="I10" i="33"/>
  <c r="H10" i="33"/>
  <c r="G10" i="33"/>
  <c r="F10" i="33"/>
  <c r="E10" i="33"/>
  <c r="D10" i="33"/>
  <c r="N9" i="33"/>
  <c r="M9" i="33"/>
  <c r="L9" i="33"/>
  <c r="K9" i="33"/>
  <c r="J9" i="33"/>
  <c r="I9" i="33"/>
  <c r="H9" i="33"/>
  <c r="G9" i="33"/>
  <c r="F9" i="33"/>
  <c r="E9" i="33"/>
  <c r="D9" i="33"/>
  <c r="N8" i="33"/>
  <c r="M8" i="33"/>
  <c r="L8" i="33"/>
  <c r="K8" i="33"/>
  <c r="J8" i="33"/>
  <c r="I8" i="33"/>
  <c r="H8" i="33"/>
  <c r="G8" i="33"/>
  <c r="F8" i="33"/>
  <c r="E8" i="33"/>
  <c r="D8" i="33"/>
  <c r="N7" i="33"/>
  <c r="M7" i="33"/>
  <c r="L7" i="33"/>
  <c r="K7" i="33"/>
  <c r="J7" i="33"/>
  <c r="I7" i="33"/>
  <c r="H7" i="33"/>
  <c r="G7" i="33"/>
  <c r="F7" i="33"/>
  <c r="E7" i="33"/>
  <c r="D7" i="33"/>
  <c r="N6" i="33"/>
  <c r="M6" i="33"/>
  <c r="L6" i="33"/>
  <c r="K6" i="33"/>
  <c r="J6" i="33"/>
  <c r="I6" i="33"/>
  <c r="H6" i="33"/>
  <c r="G6" i="33"/>
  <c r="F6" i="33"/>
  <c r="E6" i="33"/>
  <c r="D6" i="33"/>
  <c r="N5" i="33"/>
  <c r="M5" i="33"/>
  <c r="L5" i="33"/>
  <c r="K5" i="33"/>
  <c r="J5" i="33"/>
  <c r="I5" i="33"/>
  <c r="H5" i="33"/>
  <c r="G5" i="33"/>
  <c r="F5" i="33"/>
  <c r="E5" i="33"/>
  <c r="D5" i="33"/>
  <c r="N4" i="33"/>
  <c r="M4" i="33"/>
  <c r="L4" i="33"/>
  <c r="K4" i="33"/>
  <c r="J4" i="33"/>
  <c r="I4" i="33"/>
  <c r="H4" i="33"/>
  <c r="G4" i="33"/>
  <c r="F4" i="33"/>
  <c r="E4" i="33"/>
  <c r="D4" i="33"/>
  <c r="N3" i="33"/>
  <c r="M3" i="33"/>
  <c r="L3" i="33"/>
  <c r="K3" i="33"/>
  <c r="J3" i="33"/>
  <c r="I3" i="33"/>
  <c r="H3" i="33"/>
  <c r="G3" i="33"/>
  <c r="F3" i="33"/>
  <c r="E3" i="33"/>
  <c r="D3" i="33"/>
  <c r="F15" i="90"/>
  <c r="F15" i="90" a="1"/>
  <c r="C15" i="90"/>
  <c r="C15" i="90" a="1"/>
  <c r="I12" i="35"/>
  <c r="I12" i="35" a="1"/>
  <c r="I11" i="35"/>
  <c r="I11" i="35" a="1"/>
  <c r="I10" i="35"/>
  <c r="I10" i="35" a="1"/>
  <c r="I9" i="35"/>
  <c r="I9" i="35" a="1"/>
  <c r="I8" i="35"/>
  <c r="I8" i="35" a="1"/>
  <c r="I7" i="35"/>
  <c r="I7" i="35" a="1"/>
  <c r="I6" i="35"/>
  <c r="I6" i="35" a="1"/>
  <c r="I5" i="35"/>
  <c r="I5" i="35" a="1"/>
  <c r="I4" i="35"/>
  <c r="I4" i="35" a="1"/>
  <c r="I3" i="35"/>
  <c r="I3" i="35" a="1"/>
  <c r="B37" i="27"/>
  <c r="B36" i="27"/>
  <c r="B35"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F7" i="34" a="1"/>
  <c r="F7" i="34" s="1"/>
  <c r="E7" i="34" a="1"/>
  <c r="E7" i="34" s="1"/>
  <c r="D7" i="34" a="1"/>
  <c r="D7" i="34" s="1"/>
  <c r="C7" i="34" a="1"/>
  <c r="C7" i="34" s="1"/>
  <c r="F6" i="34" a="1"/>
  <c r="F6" i="34" s="1"/>
  <c r="E6" i="34" a="1"/>
  <c r="E6" i="34" s="1"/>
  <c r="D6" i="34" a="1"/>
  <c r="D6" i="34" s="1"/>
  <c r="C6" i="34" a="1"/>
  <c r="C6" i="34" s="1"/>
  <c r="F5" i="34" a="1"/>
  <c r="F5" i="34" s="1"/>
  <c r="E5" i="34" a="1"/>
  <c r="E5" i="34" s="1"/>
  <c r="D5" i="34" a="1"/>
  <c r="D5" i="34" s="1"/>
  <c r="C5" i="34" a="1"/>
  <c r="C5" i="34" s="1"/>
  <c r="F4" i="34" a="1"/>
  <c r="F4" i="34" s="1"/>
  <c r="E4" i="34" a="1"/>
  <c r="E4" i="34" s="1"/>
  <c r="D4" i="34" a="1"/>
  <c r="D4" i="34" s="1"/>
  <c r="C4" i="34" a="1"/>
  <c r="C4" i="34" s="1"/>
  <c r="F3" i="34" a="1"/>
  <c r="F3" i="34" s="1"/>
  <c r="E3" i="34" a="1"/>
  <c r="E3" i="34" s="1"/>
  <c r="D3" i="34" a="1"/>
  <c r="D3" i="34" s="1"/>
  <c r="C3" i="34" a="1"/>
  <c r="C3" i="34" s="1"/>
  <c r="I12" i="38"/>
  <c r="I11" i="38"/>
  <c r="I10" i="38"/>
  <c r="I9" i="38"/>
  <c r="I8" i="38"/>
  <c r="I7" i="38"/>
  <c r="I6" i="38"/>
  <c r="I5" i="38"/>
  <c r="I4" i="38"/>
  <c r="L3" i="38"/>
  <c r="K3" i="38"/>
  <c r="K3" i="38" a="1"/>
  <c r="I3" i="38"/>
  <c r="F21" i="39"/>
  <c r="F20" i="39"/>
  <c r="F19" i="39"/>
  <c r="F18" i="39"/>
  <c r="F17" i="39"/>
  <c r="F16" i="39"/>
  <c r="F15" i="39"/>
  <c r="F14" i="39"/>
  <c r="F13" i="39"/>
  <c r="F12" i="39"/>
  <c r="F11" i="39"/>
  <c r="F10" i="39"/>
  <c r="F9" i="39"/>
  <c r="F8" i="39"/>
  <c r="J7" i="39"/>
  <c r="F7" i="39"/>
  <c r="J6" i="39"/>
  <c r="F6" i="39"/>
  <c r="J5" i="39"/>
  <c r="F5" i="39"/>
  <c r="J4" i="39"/>
  <c r="F4" i="39"/>
  <c r="C15" i="70"/>
  <c r="C13" i="70"/>
  <c r="I9" i="70"/>
  <c r="H9" i="70"/>
  <c r="G9" i="70"/>
  <c r="F9" i="70"/>
  <c r="E9" i="70"/>
  <c r="D9" i="70"/>
  <c r="C9" i="70"/>
  <c r="I6" i="70"/>
  <c r="H6" i="70"/>
  <c r="G6" i="70"/>
  <c r="F6" i="70"/>
  <c r="E6" i="70"/>
  <c r="D6" i="70"/>
  <c r="D7" i="69" a="1"/>
  <c r="D7" i="69" s="1"/>
  <c r="E7" i="69" s="1"/>
  <c r="D6" i="69" a="1"/>
  <c r="D6" i="69" s="1"/>
  <c r="E6" i="69" s="1"/>
  <c r="D5" i="69" a="1"/>
  <c r="D5" i="69" s="1"/>
  <c r="E5" i="69" s="1"/>
  <c r="D4" i="69" a="1"/>
  <c r="D4" i="69" s="1"/>
  <c r="E4" i="69" s="1"/>
  <c r="D3" i="69" a="1"/>
  <c r="D3" i="69" s="1"/>
  <c r="E3" i="69" s="1"/>
  <c r="H8" i="68"/>
  <c r="G8" i="68"/>
  <c r="F8" i="68"/>
  <c r="E8" i="68"/>
  <c r="D8" i="68"/>
  <c r="C8" i="68"/>
  <c r="H6" i="68"/>
  <c r="G6" i="68"/>
  <c r="F6" i="68"/>
  <c r="E6" i="68"/>
  <c r="D6" i="68"/>
  <c r="C6" i="68"/>
  <c r="H3" i="68"/>
  <c r="G3" i="68"/>
  <c r="F3" i="68"/>
  <c r="E3" i="68"/>
  <c r="D3" i="68"/>
  <c r="E8" i="67"/>
  <c r="D8" i="67"/>
  <c r="C8" i="67"/>
  <c r="E6" i="67"/>
  <c r="D6" i="67"/>
  <c r="C6" i="67"/>
  <c r="E5" i="67"/>
  <c r="D5" i="67"/>
  <c r="I12" i="66"/>
  <c r="H12" i="66"/>
  <c r="G12" i="66"/>
  <c r="F12" i="66"/>
  <c r="E12" i="66"/>
  <c r="D12" i="66"/>
  <c r="C12" i="66"/>
  <c r="I11" i="66"/>
  <c r="H11" i="66"/>
  <c r="G11" i="66"/>
  <c r="F11" i="66"/>
  <c r="E11" i="66"/>
  <c r="D11" i="66"/>
  <c r="C11" i="66"/>
  <c r="I10" i="66"/>
  <c r="H10" i="66"/>
  <c r="G10" i="66"/>
  <c r="F10" i="66"/>
  <c r="E10" i="66"/>
  <c r="D10" i="66"/>
  <c r="C10" i="66"/>
  <c r="I9" i="66"/>
  <c r="H9" i="66"/>
  <c r="G9" i="66"/>
  <c r="F9" i="66"/>
  <c r="I8" i="66"/>
  <c r="H8" i="66"/>
  <c r="G8" i="66"/>
  <c r="F8" i="66"/>
  <c r="E8" i="66"/>
  <c r="D8" i="66"/>
  <c r="C8" i="66"/>
  <c r="I7" i="66"/>
  <c r="H7" i="66"/>
  <c r="G7" i="66"/>
  <c r="F7" i="66"/>
  <c r="I6" i="66"/>
  <c r="H6" i="66"/>
  <c r="G6" i="66"/>
  <c r="F6" i="66"/>
  <c r="I5" i="66"/>
  <c r="H5" i="66"/>
  <c r="G5" i="66"/>
  <c r="F5" i="66"/>
  <c r="E5" i="66"/>
  <c r="D5" i="66"/>
  <c r="C5" i="66"/>
  <c r="I4" i="66"/>
  <c r="H4" i="66"/>
  <c r="G4" i="66"/>
  <c r="F4" i="66"/>
  <c r="I3" i="66"/>
  <c r="H3" i="66"/>
  <c r="G3" i="66"/>
  <c r="F3" i="66"/>
  <c r="I2" i="66"/>
  <c r="H2" i="66"/>
  <c r="G2" i="66"/>
  <c r="F2" i="66"/>
  <c r="E2" i="66"/>
  <c r="D2" i="66"/>
  <c r="B43" i="32"/>
  <c r="B42" i="32"/>
  <c r="B41" i="32"/>
  <c r="B38" i="32"/>
  <c r="B37" i="32"/>
  <c r="B36" i="32"/>
  <c r="B33" i="32"/>
  <c r="G26" i="32"/>
  <c r="F26" i="32"/>
  <c r="E26" i="32"/>
  <c r="D26" i="32"/>
  <c r="C26" i="32"/>
  <c r="G25" i="32"/>
  <c r="F25" i="32"/>
  <c r="E25" i="32"/>
  <c r="D25" i="32"/>
  <c r="C25" i="32"/>
  <c r="G24" i="32"/>
  <c r="F24" i="32"/>
  <c r="E24" i="32"/>
  <c r="D24" i="32"/>
  <c r="C24" i="32"/>
  <c r="G22" i="32"/>
  <c r="F22" i="32"/>
  <c r="E22" i="32"/>
  <c r="D22" i="32"/>
  <c r="C22" i="32"/>
  <c r="G20" i="32"/>
  <c r="F20" i="32"/>
  <c r="E20" i="32"/>
  <c r="D20" i="32"/>
  <c r="C20" i="32"/>
  <c r="G19" i="32"/>
  <c r="F19" i="32"/>
  <c r="E19" i="32"/>
  <c r="D19" i="32"/>
  <c r="C19" i="32"/>
  <c r="G18" i="32"/>
  <c r="F18" i="32"/>
  <c r="E18" i="32"/>
  <c r="D18" i="32"/>
  <c r="C18" i="32"/>
  <c r="G17" i="32"/>
  <c r="F17" i="32"/>
  <c r="E17" i="32"/>
  <c r="D17" i="32"/>
  <c r="C17" i="32"/>
  <c r="G16" i="32"/>
  <c r="F16" i="32"/>
  <c r="E16" i="32"/>
  <c r="D16" i="32"/>
  <c r="C16" i="32"/>
  <c r="G14" i="32"/>
  <c r="F14" i="32"/>
  <c r="E14" i="32"/>
  <c r="D14" i="32"/>
  <c r="C14" i="32"/>
  <c r="G13" i="32"/>
  <c r="F13" i="32"/>
  <c r="E13" i="32"/>
  <c r="D13" i="32"/>
  <c r="C13" i="32"/>
  <c r="G12" i="32"/>
  <c r="F12" i="32"/>
  <c r="E12" i="32"/>
  <c r="D12" i="32"/>
  <c r="C12" i="32"/>
  <c r="G11" i="32"/>
  <c r="F11" i="32"/>
  <c r="E11" i="32"/>
  <c r="D11" i="32"/>
  <c r="C11" i="32"/>
  <c r="G10" i="32"/>
  <c r="F10" i="32"/>
  <c r="E10" i="32"/>
  <c r="D10" i="32"/>
  <c r="C10" i="32"/>
  <c r="G9" i="32"/>
  <c r="F9" i="32"/>
  <c r="E9" i="32"/>
  <c r="D9" i="32"/>
  <c r="C9" i="32"/>
  <c r="G7" i="32"/>
  <c r="F7" i="32"/>
  <c r="E7" i="32"/>
  <c r="D7" i="32"/>
  <c r="C7" i="32"/>
  <c r="G6" i="32"/>
  <c r="F6" i="32"/>
  <c r="E6" i="32"/>
  <c r="D6" i="32"/>
  <c r="C6" i="32"/>
  <c r="G5" i="32"/>
  <c r="F5" i="32"/>
  <c r="E5" i="32"/>
  <c r="D5" i="32"/>
  <c r="C5" i="32"/>
  <c r="G3" i="32"/>
  <c r="F3" i="32"/>
  <c r="E3" i="32"/>
  <c r="D3" i="32"/>
  <c r="B43" i="40"/>
  <c r="B42" i="40"/>
  <c r="B41" i="40"/>
  <c r="B38" i="40"/>
  <c r="B37" i="40"/>
  <c r="B36" i="40"/>
  <c r="B33" i="40"/>
  <c r="G26" i="40"/>
  <c r="F26" i="40"/>
  <c r="E26" i="40"/>
  <c r="D26" i="40"/>
  <c r="C26" i="40"/>
  <c r="G25" i="40"/>
  <c r="F25" i="40"/>
  <c r="E25" i="40"/>
  <c r="D25" i="40"/>
  <c r="C25" i="40"/>
  <c r="G24" i="40"/>
  <c r="F24" i="40"/>
  <c r="E24" i="40"/>
  <c r="D24" i="40"/>
  <c r="C24" i="40"/>
  <c r="G22" i="40"/>
  <c r="F22" i="40"/>
  <c r="E22" i="40"/>
  <c r="D22" i="40"/>
  <c r="C22" i="40"/>
  <c r="G20" i="40"/>
  <c r="F20" i="40"/>
  <c r="E20" i="40"/>
  <c r="D20" i="40"/>
  <c r="C20" i="40"/>
  <c r="G19" i="40"/>
  <c r="F19" i="40"/>
  <c r="E19" i="40"/>
  <c r="D19" i="40"/>
  <c r="C19" i="40"/>
  <c r="G18" i="40"/>
  <c r="F18" i="40"/>
  <c r="E18" i="40"/>
  <c r="D18" i="40"/>
  <c r="C18" i="40"/>
  <c r="G17" i="40"/>
  <c r="F17" i="40"/>
  <c r="E17" i="40"/>
  <c r="D17" i="40"/>
  <c r="C17" i="40"/>
  <c r="G16" i="40"/>
  <c r="F16" i="40"/>
  <c r="E16" i="40"/>
  <c r="D16" i="40"/>
  <c r="C16" i="40"/>
  <c r="G14" i="40"/>
  <c r="F14" i="40"/>
  <c r="E14" i="40"/>
  <c r="D14" i="40"/>
  <c r="C14" i="40"/>
  <c r="G13" i="40"/>
  <c r="F13" i="40"/>
  <c r="E13" i="40"/>
  <c r="D13" i="40"/>
  <c r="C13" i="40"/>
  <c r="G12" i="40"/>
  <c r="F12" i="40"/>
  <c r="E12" i="40"/>
  <c r="D12" i="40"/>
  <c r="C12" i="40"/>
  <c r="G11" i="40"/>
  <c r="F11" i="40"/>
  <c r="E11" i="40"/>
  <c r="D11" i="40"/>
  <c r="C11" i="40"/>
  <c r="G10" i="40"/>
  <c r="F10" i="40"/>
  <c r="E10" i="40"/>
  <c r="D10" i="40"/>
  <c r="C10" i="40"/>
  <c r="G9" i="40"/>
  <c r="F9" i="40"/>
  <c r="E9" i="40"/>
  <c r="D9" i="40"/>
  <c r="C9" i="40"/>
  <c r="G7" i="40"/>
  <c r="F7" i="40"/>
  <c r="E7" i="40"/>
  <c r="D7" i="40"/>
  <c r="C7" i="40"/>
  <c r="G6" i="40"/>
  <c r="F6" i="40"/>
  <c r="E6" i="40"/>
  <c r="D6" i="40"/>
  <c r="C6" i="40"/>
  <c r="G5" i="40"/>
  <c r="F5" i="40"/>
  <c r="E5" i="40"/>
  <c r="D5" i="40"/>
  <c r="C5" i="40"/>
  <c r="G3" i="40"/>
  <c r="F3" i="40"/>
  <c r="E3" i="40"/>
  <c r="D3" i="40"/>
  <c r="F8" i="72"/>
  <c r="C8" i="72"/>
  <c r="F3" i="72"/>
  <c r="C12" i="73"/>
  <c r="C11" i="73"/>
  <c r="C10" i="73"/>
  <c r="C9" i="73"/>
  <c r="C3" i="73"/>
  <c r="C19" i="74"/>
  <c r="C14" i="74"/>
  <c r="C9" i="74"/>
  <c r="C2" i="74"/>
  <c r="J4" i="65"/>
  <c r="I4" i="65"/>
  <c r="H4" i="65"/>
  <c r="G4" i="65"/>
  <c r="F4" i="65"/>
  <c r="E4" i="65"/>
  <c r="D4" i="65"/>
  <c r="D3" i="65"/>
  <c r="D3" i="65" a="1"/>
  <c r="L11" i="57"/>
  <c r="L11" i="57" a="1"/>
  <c r="D11" i="57"/>
  <c r="D10" i="57"/>
  <c r="D9" i="57"/>
  <c r="D8" i="57"/>
  <c r="D7" i="57"/>
  <c r="D6" i="57"/>
  <c r="D5" i="57"/>
  <c r="D4" i="57"/>
  <c r="D3" i="57"/>
  <c r="L2" i="57"/>
  <c r="L2" i="57" a="1"/>
  <c r="K2" i="57"/>
  <c r="K2" i="57" a="1"/>
  <c r="I251" i="31"/>
  <c r="I250" i="31"/>
  <c r="I249" i="31"/>
  <c r="I248" i="31"/>
  <c r="I247" i="31"/>
  <c r="I246" i="31"/>
  <c r="I245" i="31"/>
  <c r="I244" i="31"/>
  <c r="I243" i="31"/>
  <c r="I242" i="31"/>
  <c r="I241" i="31"/>
  <c r="I240" i="31"/>
  <c r="I239" i="31"/>
  <c r="I238" i="31"/>
  <c r="I237" i="31"/>
  <c r="I236" i="31"/>
  <c r="I235" i="31"/>
  <c r="I234" i="31"/>
  <c r="I233" i="31"/>
  <c r="I232" i="31"/>
  <c r="I231" i="31"/>
  <c r="I230" i="31"/>
  <c r="I229" i="31"/>
  <c r="I228" i="31"/>
  <c r="I227" i="31"/>
  <c r="I226" i="31"/>
  <c r="I225" i="31"/>
  <c r="I224" i="31"/>
  <c r="I223" i="31"/>
  <c r="I222" i="31"/>
  <c r="I221" i="31"/>
  <c r="I220" i="31"/>
  <c r="I219" i="31"/>
  <c r="I218" i="31"/>
  <c r="I217" i="31"/>
  <c r="I216" i="31"/>
  <c r="I215" i="31"/>
  <c r="I214" i="31"/>
  <c r="I213" i="31"/>
  <c r="I212" i="31"/>
  <c r="I211" i="31"/>
  <c r="I210" i="31"/>
  <c r="I209" i="31"/>
  <c r="I208" i="31"/>
  <c r="I207" i="31"/>
  <c r="I206" i="31"/>
  <c r="I205" i="31"/>
  <c r="I204" i="31"/>
  <c r="I203" i="31"/>
  <c r="I202" i="31"/>
  <c r="I201" i="31"/>
  <c r="I200" i="31"/>
  <c r="I199" i="31"/>
  <c r="I198" i="31"/>
  <c r="I197" i="31"/>
  <c r="I196" i="31"/>
  <c r="I195" i="31"/>
  <c r="I194" i="31"/>
  <c r="I193" i="31"/>
  <c r="I192" i="31"/>
  <c r="I191" i="31"/>
  <c r="I190" i="31"/>
  <c r="I189" i="31"/>
  <c r="I188" i="31"/>
  <c r="I187" i="31"/>
  <c r="I186" i="31"/>
  <c r="I185" i="31"/>
  <c r="I184" i="31"/>
  <c r="I183" i="31"/>
  <c r="I182" i="31"/>
  <c r="I181" i="31"/>
  <c r="I180" i="31"/>
  <c r="I179" i="31"/>
  <c r="I178" i="31"/>
  <c r="I177" i="31"/>
  <c r="I176" i="31"/>
  <c r="I175" i="31"/>
  <c r="I174" i="31"/>
  <c r="I173" i="31"/>
  <c r="I172" i="31"/>
  <c r="I171" i="31"/>
  <c r="I170" i="31"/>
  <c r="I169" i="31"/>
  <c r="I168" i="31"/>
  <c r="I167" i="31"/>
  <c r="I166" i="31"/>
  <c r="I165" i="31"/>
  <c r="I164" i="31"/>
  <c r="I163" i="31"/>
  <c r="I162" i="31"/>
  <c r="I161" i="31"/>
  <c r="I160" i="31"/>
  <c r="I159" i="31"/>
  <c r="I158" i="31"/>
  <c r="I157" i="31"/>
  <c r="I156" i="31"/>
  <c r="I155" i="31"/>
  <c r="I154" i="31"/>
  <c r="I153" i="31"/>
  <c r="I152" i="31"/>
  <c r="I151" i="31"/>
  <c r="I150" i="31"/>
  <c r="I149" i="31"/>
  <c r="I148" i="31"/>
  <c r="I147" i="31"/>
  <c r="I146" i="31"/>
  <c r="I145" i="31"/>
  <c r="I144" i="31"/>
  <c r="I143" i="31"/>
  <c r="I142" i="31"/>
  <c r="I141" i="31"/>
  <c r="I140" i="31"/>
  <c r="I139" i="31"/>
  <c r="I138" i="31"/>
  <c r="I137" i="31"/>
  <c r="I136" i="31"/>
  <c r="I135" i="31"/>
  <c r="I134" i="31"/>
  <c r="I133" i="31"/>
  <c r="I132" i="31"/>
  <c r="I131" i="31"/>
  <c r="I130" i="31"/>
  <c r="I129" i="31"/>
  <c r="I128" i="31"/>
  <c r="I127" i="31"/>
  <c r="I126" i="31"/>
  <c r="I125" i="31"/>
  <c r="I124" i="31"/>
  <c r="I123" i="31"/>
  <c r="I122" i="31"/>
  <c r="I121" i="31"/>
  <c r="I120" i="31"/>
  <c r="I119" i="31"/>
  <c r="I118" i="31"/>
  <c r="I117" i="31"/>
  <c r="I116" i="31"/>
  <c r="I115" i="31"/>
  <c r="I114" i="31"/>
  <c r="I113" i="31"/>
  <c r="I112" i="31"/>
  <c r="I111" i="31"/>
  <c r="I110" i="31"/>
  <c r="I109" i="31"/>
  <c r="I108" i="31"/>
  <c r="I107" i="31"/>
  <c r="I106" i="31"/>
  <c r="I105" i="31"/>
  <c r="I104" i="31"/>
  <c r="I103" i="31"/>
  <c r="I102" i="31"/>
  <c r="I101" i="31"/>
  <c r="I100" i="31"/>
  <c r="I99" i="31"/>
  <c r="I98" i="31"/>
  <c r="I97" i="31"/>
  <c r="I96" i="31"/>
  <c r="I95" i="31"/>
  <c r="I94" i="31"/>
  <c r="I93" i="31"/>
  <c r="I92" i="31"/>
  <c r="I91" i="31"/>
  <c r="I90" i="31"/>
  <c r="I89" i="31"/>
  <c r="I88" i="31"/>
  <c r="I87" i="31"/>
  <c r="I86" i="31"/>
  <c r="I85" i="31"/>
  <c r="I84" i="31"/>
  <c r="I83" i="31"/>
  <c r="I82" i="31"/>
  <c r="I81" i="31"/>
  <c r="I80" i="31"/>
  <c r="I79" i="31"/>
  <c r="I78" i="31"/>
  <c r="I77" i="31"/>
  <c r="I76" i="31"/>
  <c r="I75" i="31"/>
  <c r="I74" i="31"/>
  <c r="I73" i="31"/>
  <c r="I72" i="31"/>
  <c r="I71" i="31"/>
  <c r="I70" i="31"/>
  <c r="I69" i="31"/>
  <c r="I68" i="31"/>
  <c r="I67" i="31"/>
  <c r="I66" i="31"/>
  <c r="I65" i="31"/>
  <c r="I64" i="31"/>
  <c r="I63" i="31"/>
  <c r="I62" i="31"/>
  <c r="I61" i="31"/>
  <c r="I60" i="31"/>
  <c r="I59" i="31"/>
  <c r="I58" i="31"/>
  <c r="I57" i="31"/>
  <c r="I56" i="31"/>
  <c r="I55" i="31"/>
  <c r="I54" i="31"/>
  <c r="I53" i="31"/>
  <c r="I52" i="31"/>
  <c r="I51" i="31"/>
  <c r="I50" i="31"/>
  <c r="I49" i="31"/>
  <c r="I48" i="31"/>
  <c r="I47" i="31"/>
  <c r="I46" i="31"/>
  <c r="I45" i="31"/>
  <c r="I44" i="31"/>
  <c r="I43" i="31"/>
  <c r="I42" i="31"/>
  <c r="I41" i="31"/>
  <c r="I40" i="31"/>
  <c r="I39" i="31"/>
  <c r="I38" i="31"/>
  <c r="I37" i="31"/>
  <c r="I36" i="31"/>
  <c r="I35" i="31"/>
  <c r="I34" i="31"/>
  <c r="I33" i="31"/>
  <c r="I32" i="31"/>
  <c r="I31" i="31"/>
  <c r="I30" i="31"/>
  <c r="I29" i="31"/>
  <c r="I28" i="31"/>
  <c r="I27" i="31"/>
  <c r="I26" i="31"/>
  <c r="I25" i="31"/>
  <c r="I24" i="31"/>
  <c r="I23" i="31"/>
  <c r="I22" i="31"/>
  <c r="I21" i="31"/>
  <c r="I20" i="31"/>
  <c r="I19" i="31"/>
  <c r="I18" i="31"/>
  <c r="I17" i="31"/>
  <c r="I16" i="31"/>
  <c r="I15" i="31"/>
  <c r="I14" i="31"/>
  <c r="I13" i="31"/>
  <c r="I12" i="31"/>
  <c r="I11" i="31"/>
  <c r="I10" i="31"/>
  <c r="I9" i="31"/>
  <c r="I8" i="31"/>
  <c r="I7" i="31"/>
  <c r="I6" i="31"/>
  <c r="I5" i="31"/>
  <c r="I4" i="31"/>
  <c r="I3" i="31"/>
  <c r="H66" i="58"/>
  <c r="G66" i="58"/>
  <c r="F66" i="58"/>
  <c r="E66" i="58"/>
  <c r="H48" i="58"/>
  <c r="G48" i="58"/>
  <c r="F48" i="58"/>
  <c r="E48" i="58"/>
  <c r="H44" i="58"/>
  <c r="G44" i="58"/>
  <c r="F44" i="58"/>
  <c r="E44" i="58"/>
  <c r="D44" i="58"/>
  <c r="H43" i="58"/>
  <c r="G43" i="58"/>
  <c r="F43" i="58"/>
  <c r="E43" i="58"/>
  <c r="D43" i="58"/>
  <c r="H42" i="58"/>
  <c r="G42" i="58"/>
  <c r="F42" i="58"/>
  <c r="E42" i="58"/>
  <c r="D42" i="58"/>
  <c r="H41" i="58"/>
  <c r="G41" i="58"/>
  <c r="F41" i="58"/>
  <c r="E41" i="58"/>
  <c r="D41" i="58"/>
  <c r="H40" i="58"/>
  <c r="G40" i="58"/>
  <c r="F40" i="58"/>
  <c r="E40" i="58"/>
  <c r="D40" i="58"/>
  <c r="H39" i="58"/>
  <c r="G39" i="58"/>
  <c r="F39" i="58"/>
  <c r="E39" i="58"/>
  <c r="D39" i="58"/>
  <c r="H38" i="58"/>
  <c r="G38" i="58"/>
  <c r="F38" i="58"/>
  <c r="E38" i="58"/>
  <c r="D38" i="58"/>
  <c r="H37" i="58"/>
  <c r="G37" i="58"/>
  <c r="F37" i="58"/>
  <c r="E37" i="58"/>
  <c r="D37" i="58"/>
  <c r="H36" i="58"/>
  <c r="G36" i="58"/>
  <c r="F36" i="58"/>
  <c r="E36" i="58"/>
  <c r="D36" i="58"/>
  <c r="H35" i="58"/>
  <c r="G35" i="58"/>
  <c r="F35" i="58"/>
  <c r="E35" i="58"/>
  <c r="D35" i="58"/>
  <c r="H34" i="58"/>
  <c r="G34" i="58"/>
  <c r="F34" i="58"/>
  <c r="E34" i="58"/>
  <c r="D34" i="58"/>
  <c r="H33" i="58"/>
  <c r="G33" i="58"/>
  <c r="F33" i="58"/>
  <c r="E33" i="58"/>
  <c r="D33" i="58"/>
  <c r="H32" i="58"/>
  <c r="G32" i="58"/>
  <c r="F32" i="58"/>
  <c r="E32" i="58"/>
  <c r="D32" i="58"/>
  <c r="H31" i="58"/>
  <c r="G31" i="58"/>
  <c r="F31" i="58"/>
  <c r="E31" i="58"/>
  <c r="D31" i="58"/>
  <c r="H30" i="58"/>
  <c r="G30" i="58"/>
  <c r="F30" i="58"/>
  <c r="E30" i="58"/>
  <c r="D30" i="58"/>
  <c r="H25" i="58"/>
  <c r="G25" i="58"/>
  <c r="F25" i="58"/>
  <c r="E25" i="58"/>
  <c r="D25" i="58"/>
  <c r="H24" i="58"/>
  <c r="G24" i="58"/>
  <c r="F24" i="58"/>
  <c r="E24" i="58"/>
  <c r="D24" i="58"/>
  <c r="H22" i="58"/>
  <c r="G22" i="58"/>
  <c r="F22" i="58"/>
  <c r="E22" i="58"/>
  <c r="D22" i="58"/>
  <c r="H21" i="58"/>
  <c r="G21" i="58"/>
  <c r="F21" i="58"/>
  <c r="E21" i="58"/>
  <c r="D21" i="58"/>
  <c r="H19" i="58"/>
  <c r="G19" i="58"/>
  <c r="F19" i="58"/>
  <c r="E19" i="58"/>
  <c r="D19" i="58"/>
  <c r="H18" i="58"/>
  <c r="G18" i="58"/>
  <c r="F18" i="58"/>
  <c r="E18" i="58"/>
  <c r="D18" i="58"/>
  <c r="H17" i="58"/>
  <c r="G17" i="58"/>
  <c r="F17" i="58"/>
  <c r="E17" i="58"/>
  <c r="D17" i="58"/>
  <c r="H16" i="58"/>
  <c r="G16" i="58"/>
  <c r="F16" i="58"/>
  <c r="E16" i="58"/>
  <c r="D16" i="58"/>
  <c r="H15" i="58"/>
  <c r="G15" i="58"/>
  <c r="F15" i="58"/>
  <c r="E15" i="58"/>
  <c r="D15" i="58"/>
  <c r="H12" i="58"/>
  <c r="G12" i="58"/>
  <c r="F12" i="58"/>
  <c r="E12" i="58"/>
  <c r="D12" i="58"/>
  <c r="H11" i="58"/>
  <c r="G11" i="58"/>
  <c r="F11" i="58"/>
  <c r="E11" i="58"/>
  <c r="D11" i="58"/>
  <c r="H9" i="58"/>
  <c r="G9" i="58"/>
  <c r="F9" i="58"/>
  <c r="E9" i="58"/>
  <c r="D9" i="58"/>
  <c r="H8" i="58"/>
  <c r="G8" i="58"/>
  <c r="F8" i="58"/>
  <c r="E8" i="58"/>
  <c r="D8" i="58"/>
  <c r="H7" i="58"/>
  <c r="G7" i="58"/>
  <c r="F7" i="58"/>
  <c r="E7" i="58"/>
  <c r="D7" i="58"/>
  <c r="H5" i="58"/>
  <c r="G5" i="58"/>
  <c r="F5" i="58"/>
  <c r="E5" i="58"/>
  <c r="D5" i="58"/>
  <c r="H2" i="58"/>
  <c r="G2" i="58"/>
  <c r="F2" i="58"/>
  <c r="E2" i="58"/>
  <c r="G4" i="54"/>
  <c r="G4" i="54" a="1"/>
  <c r="E4" i="53"/>
  <c r="E4" i="53" a="1"/>
  <c r="F3" i="10"/>
  <c r="F3" i="10" a="1"/>
  <c r="C34" i="52"/>
  <c r="C33" i="52"/>
  <c r="C32" i="52"/>
  <c r="C31" i="52"/>
  <c r="C30" i="52"/>
  <c r="C29" i="52"/>
  <c r="C28" i="52"/>
  <c r="C27" i="52"/>
  <c r="C26" i="52"/>
  <c r="C25" i="52"/>
  <c r="C24" i="52"/>
  <c r="C23" i="52"/>
  <c r="C22" i="52"/>
  <c r="C21" i="52"/>
  <c r="C20" i="52"/>
  <c r="C19" i="52"/>
  <c r="C18" i="52"/>
  <c r="C17" i="52"/>
  <c r="C16" i="52"/>
  <c r="C15" i="52"/>
  <c r="C14" i="52"/>
  <c r="C13" i="52"/>
  <c r="C12" i="52"/>
  <c r="C11" i="52"/>
  <c r="C10" i="52"/>
  <c r="C9" i="52"/>
  <c r="C8" i="52"/>
  <c r="C7" i="52"/>
  <c r="C6" i="52"/>
  <c r="C5" i="52"/>
  <c r="C4" i="52"/>
  <c r="C3" i="11"/>
  <c r="C3" i="11" a="1"/>
  <c r="B3" i="11"/>
  <c r="B3" i="11" a="1"/>
  <c r="B6" i="71" a="1"/>
  <c r="G9" i="52" l="1" a="1"/>
  <c r="G9" i="52" s="1"/>
  <c r="E5" i="59"/>
  <c r="E9" i="59" s="1"/>
  <c r="D9" i="59"/>
  <c r="B6" i="71"/>
  <c r="F5" i="59" l="1"/>
  <c r="F9" i="59" s="1"/>
  <c r="G5" i="59" l="1"/>
  <c r="G9" i="59" s="1"/>
  <c r="H5" i="59" l="1"/>
  <c r="H9" i="59" s="1"/>
  <c r="I5" i="59" l="1"/>
  <c r="I9" i="5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tc={9B5FC8CF-4876-42B9-97A8-A253FF568884}</author>
    <author>tc={A8DA2C49-FDC8-4C21-BAFC-E71BC64283A8}</author>
  </authors>
  <commentList>
    <comment ref="C13" authorId="0" shapeId="0" xr:uid="{9B5FC8CF-4876-42B9-97A8-A253FF568884}">
      <text>
        <t>[Threaded comment]
Your version of Excel allows you to read this threaded comment; however, any edits to it will get removed if the file is opened in a newer version of Excel. Learn more: https://go.microsoft.com/fwlink/?linkid=870924
Comment:
    Zwrot pieniedzy</t>
      </text>
    </comment>
    <comment ref="C14" authorId="1" shapeId="0" xr:uid="{A8DA2C49-FDC8-4C21-BAFC-E71BC64283A8}">
      <text>
        <t>[Threaded comment]
Your version of Excel allows you to read this threaded comment; however, any edits to it will get removed if the file is opened in a newer version of Excel. Learn more: https://go.microsoft.com/fwlink/?linkid=870924
Comment:
    Zwrot odsetek</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1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405"/>
        </ext>
      </extLst>
    </bk>
    <bk>
      <extLst>
        <ext uri="{3e2802c4-a4d2-4d8b-9148-e3be6c30e623}">
          <xlrd:rvb i="408"/>
        </ext>
      </extLst>
    </bk>
    <bk>
      <extLst>
        <ext uri="{3e2802c4-a4d2-4d8b-9148-e3be6c30e623}">
          <xlrd:rvb i="411"/>
        </ext>
      </extLst>
    </bk>
    <bk>
      <extLst>
        <ext uri="{3e2802c4-a4d2-4d8b-9148-e3be6c30e623}">
          <xlrd:rvb i="414"/>
        </ext>
      </extLst>
    </bk>
    <bk>
      <extLst>
        <ext uri="{3e2802c4-a4d2-4d8b-9148-e3be6c30e623}">
          <xlrd:rvb i="417"/>
        </ext>
      </extLst>
    </bk>
    <bk>
      <extLst>
        <ext uri="{3e2802c4-a4d2-4d8b-9148-e3be6c30e623}">
          <xlrd:rvb i="419"/>
        </ext>
      </extLst>
    </bk>
    <bk>
      <extLst>
        <ext uri="{3e2802c4-a4d2-4d8b-9148-e3be6c30e623}">
          <xlrd:rvb i="422"/>
        </ext>
      </extLst>
    </bk>
    <bk>
      <extLst>
        <ext uri="{3e2802c4-a4d2-4d8b-9148-e3be6c30e623}">
          <xlrd:rvb i="428"/>
        </ext>
      </extLst>
    </bk>
    <bk>
      <extLst>
        <ext uri="{3e2802c4-a4d2-4d8b-9148-e3be6c30e623}">
          <xlrd:rvb i="430"/>
        </ext>
      </extLst>
    </bk>
    <bk>
      <extLst>
        <ext uri="{3e2802c4-a4d2-4d8b-9148-e3be6c30e623}">
          <xlrd:rvb i="433"/>
        </ext>
      </extLst>
    </bk>
    <bk>
      <extLst>
        <ext uri="{3e2802c4-a4d2-4d8b-9148-e3be6c30e623}">
          <xlrd:rvb i="434"/>
        </ext>
      </extLst>
    </bk>
    <bk>
      <extLst>
        <ext uri="{3e2802c4-a4d2-4d8b-9148-e3be6c30e623}">
          <xlrd:rvb i="440"/>
        </ext>
      </extLst>
    </bk>
  </futureMetadata>
  <cellMetadata count="1">
    <bk>
      <rc t="1" v="0"/>
    </bk>
  </cellMetadata>
  <valueMetadata count="41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valueMetadata>
</metadata>
</file>

<file path=xl/sharedStrings.xml><?xml version="1.0" encoding="utf-8"?>
<sst xmlns="http://schemas.openxmlformats.org/spreadsheetml/2006/main" count="2975" uniqueCount="1123">
  <si>
    <t>Spain</t>
  </si>
  <si>
    <t>Madrid</t>
  </si>
  <si>
    <t>Lululemon</t>
  </si>
  <si>
    <t>Andersen</t>
  </si>
  <si>
    <t>Jaidyn</t>
  </si>
  <si>
    <t>Japan</t>
  </si>
  <si>
    <t>Tokyo</t>
  </si>
  <si>
    <t>Carpenter</t>
  </si>
  <si>
    <t>Bryce</t>
  </si>
  <si>
    <t>UK</t>
  </si>
  <si>
    <t>London</t>
  </si>
  <si>
    <t>Nike</t>
  </si>
  <si>
    <t>Rich</t>
  </si>
  <si>
    <t>Bruce</t>
  </si>
  <si>
    <t>Asics</t>
  </si>
  <si>
    <t>Knapp</t>
  </si>
  <si>
    <t>Jaylynn</t>
  </si>
  <si>
    <t>France</t>
  </si>
  <si>
    <t>Paris</t>
  </si>
  <si>
    <t>Uniqlo</t>
  </si>
  <si>
    <t>Cordova</t>
  </si>
  <si>
    <t>Bruno</t>
  </si>
  <si>
    <t>Under Armour</t>
  </si>
  <si>
    <t>Flores</t>
  </si>
  <si>
    <t>Denzel</t>
  </si>
  <si>
    <t>Puma</t>
  </si>
  <si>
    <t>Wright</t>
  </si>
  <si>
    <t>Franklin</t>
  </si>
  <si>
    <t>Roach</t>
  </si>
  <si>
    <t>Josue</t>
  </si>
  <si>
    <t>Mckay</t>
  </si>
  <si>
    <t>Lucia</t>
  </si>
  <si>
    <t>Germany</t>
  </si>
  <si>
    <t>Berlin</t>
  </si>
  <si>
    <t>New Balance</t>
  </si>
  <si>
    <t>Michael</t>
  </si>
  <si>
    <t>Steven</t>
  </si>
  <si>
    <t>Walls</t>
  </si>
  <si>
    <t>Brendan</t>
  </si>
  <si>
    <t>Rollins</t>
  </si>
  <si>
    <t>Nora</t>
  </si>
  <si>
    <t>Townsend</t>
  </si>
  <si>
    <t>Kylee</t>
  </si>
  <si>
    <t>Boone</t>
  </si>
  <si>
    <t>Jordan</t>
  </si>
  <si>
    <t>Higgins</t>
  </si>
  <si>
    <t>Jonah</t>
  </si>
  <si>
    <t>Hines</t>
  </si>
  <si>
    <t>Ivan</t>
  </si>
  <si>
    <t>Novak</t>
  </si>
  <si>
    <t>Nyla</t>
  </si>
  <si>
    <t>USA</t>
  </si>
  <si>
    <t>Tampa</t>
  </si>
  <si>
    <t>Fritz</t>
  </si>
  <si>
    <t>Harley</t>
  </si>
  <si>
    <t>Armani</t>
  </si>
  <si>
    <t>Singh</t>
  </si>
  <si>
    <t>Kennedi</t>
  </si>
  <si>
    <t>Smith</t>
  </si>
  <si>
    <t>Bill</t>
  </si>
  <si>
    <t>City &amp; Country</t>
  </si>
  <si>
    <t>Price</t>
  </si>
  <si>
    <t>Country</t>
  </si>
  <si>
    <t>City</t>
  </si>
  <si>
    <t>Brand</t>
  </si>
  <si>
    <t>Last</t>
  </si>
  <si>
    <t>First</t>
  </si>
  <si>
    <t>ID</t>
  </si>
  <si>
    <t>Slovenia</t>
  </si>
  <si>
    <t>Austria</t>
  </si>
  <si>
    <t>Switzerland</t>
  </si>
  <si>
    <t>Holland</t>
  </si>
  <si>
    <t>Belgium</t>
  </si>
  <si>
    <t>Portugal</t>
  </si>
  <si>
    <t>Italy</t>
  </si>
  <si>
    <t>Amount</t>
  </si>
  <si>
    <t>Sales</t>
  </si>
  <si>
    <t>Figures in USD</t>
  </si>
  <si>
    <t>Country Targets</t>
  </si>
  <si>
    <t>Bill Smith</t>
  </si>
  <si>
    <t>Jaidyn Andersen</t>
  </si>
  <si>
    <t>Bryce Carpenter</t>
  </si>
  <si>
    <t>Arturo Moore</t>
  </si>
  <si>
    <t>Bruce Rich</t>
  </si>
  <si>
    <t>Jaylynn Knapp</t>
  </si>
  <si>
    <t>Bruno Cordova</t>
  </si>
  <si>
    <t>Denzel Flores</t>
  </si>
  <si>
    <t>Alia Thornton</t>
  </si>
  <si>
    <t>Mike Jaggy</t>
  </si>
  <si>
    <t>Josue Roach</t>
  </si>
  <si>
    <t>Lucia Mckay</t>
  </si>
  <si>
    <t>Steven Michael</t>
  </si>
  <si>
    <t>Nora Rollins</t>
  </si>
  <si>
    <t>Kylee Townsend</t>
  </si>
  <si>
    <t>Jordan Boone</t>
  </si>
  <si>
    <t>McDonald Smith</t>
  </si>
  <si>
    <t>Ivan Hines</t>
  </si>
  <si>
    <t>David Rasmussen</t>
  </si>
  <si>
    <t>Sara Falsin</t>
  </si>
  <si>
    <t>Harley Fritz</t>
  </si>
  <si>
    <t>Commission</t>
  </si>
  <si>
    <t>Salesperson</t>
  </si>
  <si>
    <t>Manuel Lee</t>
  </si>
  <si>
    <t>Xlookup</t>
  </si>
  <si>
    <t>Sale Amount</t>
  </si>
  <si>
    <t>Date</t>
  </si>
  <si>
    <t>ID Number</t>
  </si>
  <si>
    <t>P&amp;G Global</t>
  </si>
  <si>
    <t>Adidas Co.</t>
  </si>
  <si>
    <t>Ralph Lauren Int.</t>
  </si>
  <si>
    <t>H&amp;M International</t>
  </si>
  <si>
    <t>Zara Fashion</t>
  </si>
  <si>
    <t>Amazon</t>
  </si>
  <si>
    <t>Amazon Co.</t>
  </si>
  <si>
    <t>XYZ Limited</t>
  </si>
  <si>
    <t>Amazon EU</t>
  </si>
  <si>
    <t>Name</t>
  </si>
  <si>
    <t>Amazon UK</t>
  </si>
  <si>
    <t>Nike Inc.</t>
  </si>
  <si>
    <t>Amazon Inc.</t>
  </si>
  <si>
    <t>Month</t>
  </si>
  <si>
    <t>Company</t>
  </si>
  <si>
    <t>$ in actual figures</t>
  </si>
  <si>
    <t>Income Statement</t>
  </si>
  <si>
    <t>April</t>
  </si>
  <si>
    <t>August</t>
  </si>
  <si>
    <t>July</t>
  </si>
  <si>
    <t>June</t>
  </si>
  <si>
    <t>May</t>
  </si>
  <si>
    <t>March</t>
  </si>
  <si>
    <t>February</t>
  </si>
  <si>
    <t>January</t>
  </si>
  <si>
    <t>Regional Sales</t>
  </si>
  <si>
    <t>NY 00501</t>
  </si>
  <si>
    <t>NJ 07001</t>
  </si>
  <si>
    <t>MY 59001</t>
  </si>
  <si>
    <t>MI 48001</t>
  </si>
  <si>
    <t>ME 03901</t>
  </si>
  <si>
    <t>KS 66002</t>
  </si>
  <si>
    <t>IN 46059</t>
  </si>
  <si>
    <t>IL 60002</t>
  </si>
  <si>
    <t>ID 83201</t>
  </si>
  <si>
    <t>HI 96704</t>
  </si>
  <si>
    <t>GA 39900</t>
  </si>
  <si>
    <t>FL 32007</t>
  </si>
  <si>
    <t>DE 19704</t>
  </si>
  <si>
    <t>CT 06004</t>
  </si>
  <si>
    <t>CA 96160</t>
  </si>
  <si>
    <t>AK 99502</t>
  </si>
  <si>
    <t>AL 35004</t>
  </si>
  <si>
    <t>State</t>
  </si>
  <si>
    <t>Location</t>
  </si>
  <si>
    <t>Profit Margin %</t>
  </si>
  <si>
    <t>Gross Profit</t>
  </si>
  <si>
    <t>Total COGS</t>
  </si>
  <si>
    <t>Transaction Fees</t>
  </si>
  <si>
    <t>Fulfillment</t>
  </si>
  <si>
    <t>Raw Materials</t>
  </si>
  <si>
    <t>Cost of Goods Sold (COGS)</t>
  </si>
  <si>
    <t>Net Revenue</t>
  </si>
  <si>
    <t>Discounts</t>
  </si>
  <si>
    <t>Gross Revenue</t>
  </si>
  <si>
    <t>Revenue</t>
  </si>
  <si>
    <t>Aston Martin</t>
  </si>
  <si>
    <t>Ferrari</t>
  </si>
  <si>
    <t>Mercedes</t>
  </si>
  <si>
    <t>Renault</t>
  </si>
  <si>
    <t>Tesla</t>
  </si>
  <si>
    <t>Ford</t>
  </si>
  <si>
    <t>Hyundai</t>
  </si>
  <si>
    <t>Audi</t>
  </si>
  <si>
    <t>Honda</t>
  </si>
  <si>
    <t>Toyota</t>
  </si>
  <si>
    <t>Deal Size</t>
  </si>
  <si>
    <t>Rank</t>
  </si>
  <si>
    <t>Test #</t>
  </si>
  <si>
    <t>Buenos Aires</t>
  </si>
  <si>
    <t>Location:</t>
  </si>
  <si>
    <t>Brendan Walls</t>
  </si>
  <si>
    <t>Connor West</t>
  </si>
  <si>
    <t>Employee:</t>
  </si>
  <si>
    <t>Chicago</t>
  </si>
  <si>
    <t>Formula #3</t>
  </si>
  <si>
    <t>Prague</t>
  </si>
  <si>
    <t>Jonah Higgins</t>
  </si>
  <si>
    <t>indeks</t>
  </si>
  <si>
    <t>match</t>
  </si>
  <si>
    <t>Formula #2</t>
  </si>
  <si>
    <t>Austin</t>
  </si>
  <si>
    <t>Nyla Novak</t>
  </si>
  <si>
    <t>Kennedi Singh</t>
  </si>
  <si>
    <t>Formula #1</t>
  </si>
  <si>
    <t>Office Location</t>
  </si>
  <si>
    <t>Employee</t>
  </si>
  <si>
    <t>Use 2 different formulas to find the location of Connor West</t>
  </si>
  <si>
    <t>Q1) Instructions</t>
  </si>
  <si>
    <t>Washington</t>
  </si>
  <si>
    <t>Seattle</t>
  </si>
  <si>
    <t>Federer</t>
  </si>
  <si>
    <t>Rafael</t>
  </si>
  <si>
    <t>Rafael Federer 1015 Seattle Washington 252</t>
  </si>
  <si>
    <t>Nadal</t>
  </si>
  <si>
    <t>Roger</t>
  </si>
  <si>
    <t>Roger Nadal 1014 Seattle Washington 308</t>
  </si>
  <si>
    <t>Ronaldo</t>
  </si>
  <si>
    <t>Messi</t>
  </si>
  <si>
    <t>Messi Ronaldo 1013 Seattle Washington 339</t>
  </si>
  <si>
    <t>346.5</t>
  </si>
  <si>
    <t>Builder</t>
  </si>
  <si>
    <t>Bob</t>
  </si>
  <si>
    <t>Bob Builder 1012 Seattle Washington 346.5</t>
  </si>
  <si>
    <t>Ohio</t>
  </si>
  <si>
    <t>Cleveland</t>
  </si>
  <si>
    <t>Brady</t>
  </si>
  <si>
    <t>Peyton</t>
  </si>
  <si>
    <t>Peyton Brady 1011 Cleveland Ohio 252</t>
  </si>
  <si>
    <t>Manning</t>
  </si>
  <si>
    <t>Tom</t>
  </si>
  <si>
    <t>Tom Manning 1010 Cleveland Ohio 273</t>
  </si>
  <si>
    <t>318.5</t>
  </si>
  <si>
    <t>Bryant</t>
  </si>
  <si>
    <t>Jordan Bryant 1009 Cleveland Ohio 318.5</t>
  </si>
  <si>
    <t>332.5</t>
  </si>
  <si>
    <t>Illinois</t>
  </si>
  <si>
    <t>James</t>
  </si>
  <si>
    <t>Kobe</t>
  </si>
  <si>
    <t>Kobe James 1008 Chicago Illinois 332.5</t>
  </si>
  <si>
    <t>339.5</t>
  </si>
  <si>
    <t>Buffett</t>
  </si>
  <si>
    <t>Charlie</t>
  </si>
  <si>
    <t>Charlie Buffett 1007 Chicago Illinois 339.5</t>
  </si>
  <si>
    <t>Munger</t>
  </si>
  <si>
    <t>Warren</t>
  </si>
  <si>
    <t>Warren Munger 1006 Chicago Illinois 308</t>
  </si>
  <si>
    <t>Texas</t>
  </si>
  <si>
    <t>Musk</t>
  </si>
  <si>
    <t>Steve</t>
  </si>
  <si>
    <t>Steve Musk 1005 Austin Texas 294</t>
  </si>
  <si>
    <t>Jobs</t>
  </si>
  <si>
    <t>Elon</t>
  </si>
  <si>
    <t>Elon Jobs 1004 Austin Texas 238</t>
  </si>
  <si>
    <t>Simp</t>
  </si>
  <si>
    <t>Homer</t>
  </si>
  <si>
    <t>Homer Simp 1003 Austin Texas 294</t>
  </si>
  <si>
    <t>Hawaii</t>
  </si>
  <si>
    <t>Honolulu</t>
  </si>
  <si>
    <t>Sponge</t>
  </si>
  <si>
    <t xml:space="preserve">Sponge Bob 1002 Honolulu Hawaii 238 </t>
  </si>
  <si>
    <t>Ward</t>
  </si>
  <si>
    <t>Squid</t>
  </si>
  <si>
    <t>Squid Ward 1001 Honolulu Hawaii 301</t>
  </si>
  <si>
    <t>Sales Amount</t>
  </si>
  <si>
    <t xml:space="preserve">State </t>
  </si>
  <si>
    <t xml:space="preserve">City </t>
  </si>
  <si>
    <t>Data Import</t>
  </si>
  <si>
    <t>Clean the raw data import and identify sales less than $300</t>
  </si>
  <si>
    <t>Q3) Instructions</t>
  </si>
  <si>
    <t>Profit</t>
  </si>
  <si>
    <t>Cost per bottle</t>
  </si>
  <si>
    <t>Sales Tax</t>
  </si>
  <si>
    <t>Bottles Sold</t>
  </si>
  <si>
    <t>Profitability</t>
  </si>
  <si>
    <t>Sales Price per Bottle</t>
  </si>
  <si>
    <t>Assumptions</t>
  </si>
  <si>
    <t>Find the number of bottles we need to sell to reach $10,000 in profit</t>
  </si>
  <si>
    <t>Q2) Instructions</t>
  </si>
  <si>
    <t>Gross Margin %</t>
  </si>
  <si>
    <t>Gross Margin</t>
  </si>
  <si>
    <t>Services</t>
  </si>
  <si>
    <t>Products</t>
  </si>
  <si>
    <t>COGS:</t>
  </si>
  <si>
    <t>Total Revenue</t>
  </si>
  <si>
    <t>Revenue:</t>
  </si>
  <si>
    <t>2028E</t>
  </si>
  <si>
    <t>2027E</t>
  </si>
  <si>
    <t>2026E</t>
  </si>
  <si>
    <t>2025E</t>
  </si>
  <si>
    <t>2024E</t>
  </si>
  <si>
    <t>2023E</t>
  </si>
  <si>
    <t>2022E</t>
  </si>
  <si>
    <t>Create a chart showing product and service revenue and gross margin percentage</t>
  </si>
  <si>
    <t>Q4) Instructions</t>
  </si>
  <si>
    <t>Rogan</t>
  </si>
  <si>
    <t>Bo</t>
  </si>
  <si>
    <t>Ohtani</t>
  </si>
  <si>
    <t>Juan</t>
  </si>
  <si>
    <t>Soto</t>
  </si>
  <si>
    <t>Shohei</t>
  </si>
  <si>
    <t>Disney</t>
  </si>
  <si>
    <t>Henry</t>
  </si>
  <si>
    <t>Walt</t>
  </si>
  <si>
    <t>Obama</t>
  </si>
  <si>
    <t>Oprah</t>
  </si>
  <si>
    <t>Presley</t>
  </si>
  <si>
    <t>Albert</t>
  </si>
  <si>
    <t>Einstein</t>
  </si>
  <si>
    <t>Elvis</t>
  </si>
  <si>
    <t>Sheeran</t>
  </si>
  <si>
    <t>Mars</t>
  </si>
  <si>
    <t>Ed</t>
  </si>
  <si>
    <t>Sam</t>
  </si>
  <si>
    <t>Grand Total</t>
  </si>
  <si>
    <t>Qtr4</t>
  </si>
  <si>
    <t>Qtr3</t>
  </si>
  <si>
    <t>Qtr2</t>
  </si>
  <si>
    <t>Qtr1</t>
  </si>
  <si>
    <t>2021</t>
  </si>
  <si>
    <t>2020</t>
  </si>
  <si>
    <t>Avg sale price</t>
  </si>
  <si>
    <t>Total Sales</t>
  </si>
  <si>
    <t>Quantity sold</t>
  </si>
  <si>
    <t>Row Labels</t>
  </si>
  <si>
    <t>Purchase</t>
  </si>
  <si>
    <t>Order ID</t>
  </si>
  <si>
    <t>Show by quarter - the quantity sold, total sales, and avg sale price</t>
  </si>
  <si>
    <t>Q5) Instructions</t>
  </si>
  <si>
    <t>qwe</t>
  </si>
  <si>
    <t>words</t>
  </si>
  <si>
    <t>ewq</t>
  </si>
  <si>
    <t>six</t>
  </si>
  <si>
    <t>rwq</t>
  </si>
  <si>
    <t>five</t>
  </si>
  <si>
    <t>wq</t>
  </si>
  <si>
    <t>four</t>
  </si>
  <si>
    <t>r</t>
  </si>
  <si>
    <t>three</t>
  </si>
  <si>
    <t>two</t>
  </si>
  <si>
    <t>qw</t>
  </si>
  <si>
    <t>one</t>
  </si>
  <si>
    <t>Canada</t>
  </si>
  <si>
    <t>United States</t>
  </si>
  <si>
    <t>Mexico</t>
  </si>
  <si>
    <t>Quantity</t>
  </si>
  <si>
    <t>Całościowa suma</t>
  </si>
  <si>
    <t>&lt;- Insert second formula</t>
  </si>
  <si>
    <t>&lt;- Insert first formula</t>
  </si>
  <si>
    <t>Use 2 different formulas to find the revenue for France in each month</t>
  </si>
  <si>
    <t>Fixed Cost</t>
  </si>
  <si>
    <t>Variable Cost</t>
  </si>
  <si>
    <t>&lt;- Change units to reach 5k in profit</t>
  </si>
  <si>
    <t>Units Sold</t>
  </si>
  <si>
    <t>Cost per Unit</t>
  </si>
  <si>
    <t>Price per shirt</t>
  </si>
  <si>
    <t>Find the number of shirts we need to sell to reach $5,000 in profit</t>
  </si>
  <si>
    <t>Project E</t>
  </si>
  <si>
    <t>Project D</t>
  </si>
  <si>
    <t>Project C</t>
  </si>
  <si>
    <t>Project B</t>
  </si>
  <si>
    <t>Project A</t>
  </si>
  <si>
    <t>Minimum Requirements</t>
  </si>
  <si>
    <t>Decision</t>
  </si>
  <si>
    <t>Profit Est.</t>
  </si>
  <si>
    <t>Revenue Est.</t>
  </si>
  <si>
    <t>Projects</t>
  </si>
  <si>
    <t>Fill orange area using a formula that can be copied down to accept or reject a project based on the mimimum requirements</t>
  </si>
  <si>
    <t>Ed Mars</t>
  </si>
  <si>
    <t>Sam Smith</t>
  </si>
  <si>
    <t>Rafael Federer</t>
  </si>
  <si>
    <t>Roger Nadal</t>
  </si>
  <si>
    <t>Messi Ronaldo</t>
  </si>
  <si>
    <t>Bob Builder</t>
  </si>
  <si>
    <t>Peyton Brady</t>
  </si>
  <si>
    <t>Tom Manning</t>
  </si>
  <si>
    <t>Jordan Bryant</t>
  </si>
  <si>
    <t>Kobe James</t>
  </si>
  <si>
    <t>Charlie Buffett</t>
  </si>
  <si>
    <t>Warren Munger</t>
  </si>
  <si>
    <t>Franklin Wright</t>
  </si>
  <si>
    <t>Units</t>
  </si>
  <si>
    <t>Step 1: Highlight in red the 10 lowest orders</t>
  </si>
  <si>
    <t>Net Operating Income</t>
  </si>
  <si>
    <t>Total Operating Expenses</t>
  </si>
  <si>
    <t>Management fees</t>
  </si>
  <si>
    <t>Utilities</t>
  </si>
  <si>
    <t>Repairs &amp; Maintenance</t>
  </si>
  <si>
    <t>Operating Expenses:</t>
  </si>
  <si>
    <t>Rental Income</t>
  </si>
  <si>
    <t>Holding Period</t>
  </si>
  <si>
    <t>Holding Period -&gt;</t>
  </si>
  <si>
    <t>Mgmt. Fees as a % of Rev.</t>
  </si>
  <si>
    <t>Utilities as a % of Rev.</t>
  </si>
  <si>
    <t>R&amp;M as a % of Rev.</t>
  </si>
  <si>
    <t>Rental Income Growth Rate</t>
  </si>
  <si>
    <t>Calculate Net Operating Income and create a dynamic model that updates based on the holding period of 2-10y. Assume no sale proceeds at the end of the holding period.</t>
  </si>
  <si>
    <t>Aquarius</t>
  </si>
  <si>
    <t>Georgia Coffee</t>
  </si>
  <si>
    <t>Peace Tea</t>
  </si>
  <si>
    <t>Margin %</t>
  </si>
  <si>
    <t>Minute Maid</t>
  </si>
  <si>
    <t>Bottom 5 Gross Margin %</t>
  </si>
  <si>
    <t>Costa Coffee</t>
  </si>
  <si>
    <t>Powerade</t>
  </si>
  <si>
    <t>Honest Tea</t>
  </si>
  <si>
    <t>Vitamin Water</t>
  </si>
  <si>
    <t>Fanta</t>
  </si>
  <si>
    <t>Sprite</t>
  </si>
  <si>
    <t>Diet Coke</t>
  </si>
  <si>
    <t>Coca-Cola</t>
  </si>
  <si>
    <t>Top 5 Gross Margin %</t>
  </si>
  <si>
    <t>COGS</t>
  </si>
  <si>
    <t>Fill the tables to show the top 5 and bottom 5 brands by gross margin percentage</t>
  </si>
  <si>
    <t>Copywriter</t>
  </si>
  <si>
    <t>HR Recruiter</t>
  </si>
  <si>
    <t>Jr. Financial Analyst</t>
  </si>
  <si>
    <t>Sr. Financial Analyst</t>
  </si>
  <si>
    <t>Research Analyst</t>
  </si>
  <si>
    <t>Resignation date</t>
  </si>
  <si>
    <t>Salary per month</t>
  </si>
  <si>
    <t>Resignations</t>
  </si>
  <si>
    <t>Create a monthly salary expense table in the light blue area. Please consider prorated expense amounts given a specific resignation date</t>
  </si>
  <si>
    <t xml:space="preserve"> Gift Card</t>
  </si>
  <si>
    <t xml:space="preserve"> Credit Card</t>
  </si>
  <si>
    <t xml:space="preserve"> Cash</t>
  </si>
  <si>
    <t>Sum of Revenue</t>
  </si>
  <si>
    <t>Sides &amp; Other</t>
  </si>
  <si>
    <t>3) What is the revenue breakdown by payment method?</t>
  </si>
  <si>
    <t>Chicken Sandwiches</t>
  </si>
  <si>
    <t>Burgers</t>
  </si>
  <si>
    <t>2) What is our total revenue?</t>
  </si>
  <si>
    <t>Fries</t>
  </si>
  <si>
    <t>Beverages</t>
  </si>
  <si>
    <t>1) What is our best selling product?</t>
  </si>
  <si>
    <t>Sum of Quantity2</t>
  </si>
  <si>
    <t>Data Analysis Questions</t>
  </si>
  <si>
    <t>Total</t>
  </si>
  <si>
    <t>Remy Monet</t>
  </si>
  <si>
    <t>Walter Muller</t>
  </si>
  <si>
    <t>Joao Silva</t>
  </si>
  <si>
    <t>Geography</t>
  </si>
  <si>
    <t>Pablo Perez</t>
  </si>
  <si>
    <t>Tom Jackson</t>
  </si>
  <si>
    <t>Select Manager -&gt;</t>
  </si>
  <si>
    <t>Los Angeles</t>
  </si>
  <si>
    <t>California</t>
  </si>
  <si>
    <t>Dasani Water</t>
  </si>
  <si>
    <t>San Francisco</t>
  </si>
  <si>
    <t>Houston</t>
  </si>
  <si>
    <t>New York</t>
  </si>
  <si>
    <t>Price per Unit</t>
  </si>
  <si>
    <t>Beverage Brand</t>
  </si>
  <si>
    <t>Invoice Date</t>
  </si>
  <si>
    <t>Retailer ID</t>
  </si>
  <si>
    <t>Corporate Tax Rate</t>
  </si>
  <si>
    <t>Operating Expenses</t>
  </si>
  <si>
    <t>Average Price per Cup</t>
  </si>
  <si>
    <t>Cups Sold</t>
  </si>
  <si>
    <t>Assumptions:</t>
  </si>
  <si>
    <t>Net Income</t>
  </si>
  <si>
    <t>Taxes</t>
  </si>
  <si>
    <t>EBT</t>
  </si>
  <si>
    <t>Interest Expense</t>
  </si>
  <si>
    <t>EBIT</t>
  </si>
  <si>
    <t>Depreciation &amp; Amortization</t>
  </si>
  <si>
    <t>EBITDA</t>
  </si>
  <si>
    <t>Total OpEx</t>
  </si>
  <si>
    <t>SGA &amp; Other</t>
  </si>
  <si>
    <t>Marketing</t>
  </si>
  <si>
    <t>Labor</t>
  </si>
  <si>
    <t>Gross Profit Margin %</t>
  </si>
  <si>
    <t>52 Week Low</t>
  </si>
  <si>
    <t>52 Week High</t>
  </si>
  <si>
    <t>Ticker Symbol</t>
  </si>
  <si>
    <t>Stock</t>
  </si>
  <si>
    <t>1110.95</t>
  </si>
  <si>
    <t>iphone</t>
  </si>
  <si>
    <t>Johnson</t>
  </si>
  <si>
    <t>Adam</t>
  </si>
  <si>
    <t>00132546_Adam_Johnson_iphone_1110.95</t>
  </si>
  <si>
    <t>99.95</t>
  </si>
  <si>
    <t>airpods</t>
  </si>
  <si>
    <t>00323358_Sam_Smith_airpods_99.95</t>
  </si>
  <si>
    <t>Adams</t>
  </si>
  <si>
    <t>Irina</t>
  </si>
  <si>
    <t>00143928_Irina_Adams_airpods_99.95</t>
  </si>
  <si>
    <t>1499.95</t>
  </si>
  <si>
    <t>macbook</t>
  </si>
  <si>
    <t>Hoover</t>
  </si>
  <si>
    <t>Hanna</t>
  </si>
  <si>
    <t>00340294_Hanna_Hoover_macbook_1499.95</t>
  </si>
  <si>
    <t>Von</t>
  </si>
  <si>
    <t>Sarah</t>
  </si>
  <si>
    <t>00137784_Sarah_Von_iphone_1110.95</t>
  </si>
  <si>
    <t>295.95</t>
  </si>
  <si>
    <t>iwatch</t>
  </si>
  <si>
    <t>Mark</t>
  </si>
  <si>
    <t>00149986_Mark_Andersen_iwatch_295.95</t>
  </si>
  <si>
    <t>Lee</t>
  </si>
  <si>
    <t>John</t>
  </si>
  <si>
    <t>00132679_John_Lee_iwatch_295.95</t>
  </si>
  <si>
    <t>Sammy</t>
  </si>
  <si>
    <t>00135566_Sammy_Lee_macbook_1499.95</t>
  </si>
  <si>
    <t>Jack</t>
  </si>
  <si>
    <t>Josh</t>
  </si>
  <si>
    <t>00132670_Josh_Jack_iphone_1110.95</t>
  </si>
  <si>
    <t>995.95</t>
  </si>
  <si>
    <t>ipad</t>
  </si>
  <si>
    <t>Mayer</t>
  </si>
  <si>
    <t>Theresa</t>
  </si>
  <si>
    <t>00126493_Theresa_Mayer_ipad_995.95</t>
  </si>
  <si>
    <t>Product</t>
  </si>
  <si>
    <t>Raw Data</t>
  </si>
  <si>
    <t>Sunday</t>
  </si>
  <si>
    <t>Saturday</t>
  </si>
  <si>
    <t>Friday</t>
  </si>
  <si>
    <t>Thursday</t>
  </si>
  <si>
    <t>Wednesday</t>
  </si>
  <si>
    <t>Tuesday</t>
  </si>
  <si>
    <t>Monday</t>
  </si>
  <si>
    <t xml:space="preserve">Week 21 Regional Sales </t>
  </si>
  <si>
    <t>jaidyn.andersen@apple.com</t>
  </si>
  <si>
    <t>JA</t>
  </si>
  <si>
    <t>bryce.carpenter@apple.com</t>
  </si>
  <si>
    <t>BC</t>
  </si>
  <si>
    <t>arturo.moore@apple.com</t>
  </si>
  <si>
    <t>AM</t>
  </si>
  <si>
    <t>Moore</t>
  </si>
  <si>
    <t>Arturo</t>
  </si>
  <si>
    <t>bruce.rich@apple.com</t>
  </si>
  <si>
    <t>BR</t>
  </si>
  <si>
    <t>jaylynn.knapp@apple.com</t>
  </si>
  <si>
    <t>JK</t>
  </si>
  <si>
    <t>bruno.cordova@apple.com</t>
  </si>
  <si>
    <t>denzel.flores@apple.com</t>
  </si>
  <si>
    <t>DF</t>
  </si>
  <si>
    <t>alia.thornton@apple.com</t>
  </si>
  <si>
    <t>AT</t>
  </si>
  <si>
    <t>Thornton</t>
  </si>
  <si>
    <t>Alia</t>
  </si>
  <si>
    <t>franklin.wright@apple.com</t>
  </si>
  <si>
    <t>FW</t>
  </si>
  <si>
    <t>josue.roach@apple.com</t>
  </si>
  <si>
    <t>JR</t>
  </si>
  <si>
    <t>lucia.mckay@apple.com</t>
  </si>
  <si>
    <t>LM</t>
  </si>
  <si>
    <t>steven.michael@apple.com</t>
  </si>
  <si>
    <t>SM</t>
  </si>
  <si>
    <t>conor.wise@apple.com</t>
  </si>
  <si>
    <t>CW</t>
  </si>
  <si>
    <t>Wise</t>
  </si>
  <si>
    <t>Conor</t>
  </si>
  <si>
    <t>Conor Wise</t>
  </si>
  <si>
    <t>brendan.walls@apple.com</t>
  </si>
  <si>
    <t>BW</t>
  </si>
  <si>
    <t>nora.rollins@apple.com</t>
  </si>
  <si>
    <t>NR</t>
  </si>
  <si>
    <t>kylee.townsend@apple.com</t>
  </si>
  <si>
    <t>KT</t>
  </si>
  <si>
    <t>jordan.boone@apple.com</t>
  </si>
  <si>
    <t>JB</t>
  </si>
  <si>
    <t>jonah.higgins@apple.com</t>
  </si>
  <si>
    <t>JH</t>
  </si>
  <si>
    <t>ivan.hines@apple.com</t>
  </si>
  <si>
    <t>IH</t>
  </si>
  <si>
    <t>david.rasmussen@apple.com</t>
  </si>
  <si>
    <t>DR</t>
  </si>
  <si>
    <t>Rasmussen</t>
  </si>
  <si>
    <t>David</t>
  </si>
  <si>
    <t>nyla.novak@apple.com</t>
  </si>
  <si>
    <t>NN</t>
  </si>
  <si>
    <t>harley.fritz@apple.com</t>
  </si>
  <si>
    <t>HF</t>
  </si>
  <si>
    <t>kennedi.singh@apple.com</t>
  </si>
  <si>
    <t>KS</t>
  </si>
  <si>
    <t>bill.smith@apple.com</t>
  </si>
  <si>
    <t>BS</t>
  </si>
  <si>
    <t>Email</t>
  </si>
  <si>
    <t>Initials</t>
  </si>
  <si>
    <t>Cost</t>
  </si>
  <si>
    <t xml:space="preserve"> Revenue</t>
  </si>
  <si>
    <t>Lexus</t>
  </si>
  <si>
    <t>002214582</t>
  </si>
  <si>
    <t>00445938</t>
  </si>
  <si>
    <t>001238174</t>
  </si>
  <si>
    <t>00103824</t>
  </si>
  <si>
    <t>Suzuki</t>
  </si>
  <si>
    <t>004923872</t>
  </si>
  <si>
    <t>00492542</t>
  </si>
  <si>
    <t>Mitsubishi</t>
  </si>
  <si>
    <t>00329582</t>
  </si>
  <si>
    <t>00135743</t>
  </si>
  <si>
    <t>00132546</t>
  </si>
  <si>
    <t>Joe Warton</t>
  </si>
  <si>
    <t>00323358</t>
  </si>
  <si>
    <t>00143928</t>
  </si>
  <si>
    <t>00340294</t>
  </si>
  <si>
    <t>Ana Marquez</t>
  </si>
  <si>
    <t>00137784</t>
  </si>
  <si>
    <t>00149986</t>
  </si>
  <si>
    <t>Jane Luik</t>
  </si>
  <si>
    <t>00132679</t>
  </si>
  <si>
    <t>00135566</t>
  </si>
  <si>
    <t>00132670</t>
  </si>
  <si>
    <t>00126493</t>
  </si>
  <si>
    <t>Total Commission</t>
  </si>
  <si>
    <t>Commission Amount</t>
  </si>
  <si>
    <t>Commission %</t>
  </si>
  <si>
    <t>Item</t>
  </si>
  <si>
    <t>Sale ID</t>
  </si>
  <si>
    <t>Payouts</t>
  </si>
  <si>
    <t>Car Sales 2022</t>
  </si>
  <si>
    <t>Points</t>
  </si>
  <si>
    <t>South Korea</t>
  </si>
  <si>
    <t>Jaoan</t>
  </si>
  <si>
    <t>China</t>
  </si>
  <si>
    <t>GB</t>
  </si>
  <si>
    <t>Russia</t>
  </si>
  <si>
    <t>Top 3</t>
  </si>
  <si>
    <t>Lowest 3</t>
  </si>
  <si>
    <t>Dink</t>
  </si>
  <si>
    <t>water</t>
  </si>
  <si>
    <t>coke</t>
  </si>
  <si>
    <t>lemonade</t>
  </si>
  <si>
    <t>tea</t>
  </si>
  <si>
    <t>pepsi</t>
  </si>
  <si>
    <t>coffe</t>
  </si>
  <si>
    <t>drink</t>
  </si>
  <si>
    <t>count</t>
  </si>
  <si>
    <t>Student</t>
  </si>
  <si>
    <t>chemistry</t>
  </si>
  <si>
    <t>math</t>
  </si>
  <si>
    <t>dominika</t>
  </si>
  <si>
    <t>kuba</t>
  </si>
  <si>
    <t>andrzej</t>
  </si>
  <si>
    <t>cecylia</t>
  </si>
  <si>
    <t>marzena</t>
  </si>
  <si>
    <t>C</t>
  </si>
  <si>
    <t>C-</t>
  </si>
  <si>
    <t>B-</t>
  </si>
  <si>
    <t>A</t>
  </si>
  <si>
    <t>C+</t>
  </si>
  <si>
    <t>Male</t>
  </si>
  <si>
    <t>Female</t>
  </si>
  <si>
    <t>Population</t>
  </si>
  <si>
    <t>china</t>
  </si>
  <si>
    <t>india</t>
  </si>
  <si>
    <t>united states</t>
  </si>
  <si>
    <t>indonesia</t>
  </si>
  <si>
    <t>pakistan</t>
  </si>
  <si>
    <t xml:space="preserve">brazil </t>
  </si>
  <si>
    <t>nigeria</t>
  </si>
  <si>
    <t>country</t>
  </si>
  <si>
    <t>to-do</t>
  </si>
  <si>
    <t>status</t>
  </si>
  <si>
    <t>landury</t>
  </si>
  <si>
    <t>buy rv</t>
  </si>
  <si>
    <t>cook meth</t>
  </si>
  <si>
    <t>groceries</t>
  </si>
  <si>
    <t>lie</t>
  </si>
  <si>
    <t>take out trash</t>
  </si>
  <si>
    <t>get gas</t>
  </si>
  <si>
    <t>#</t>
  </si>
  <si>
    <t>motnh</t>
  </si>
  <si>
    <t>sales</t>
  </si>
  <si>
    <t>Jan</t>
  </si>
  <si>
    <t>Feb</t>
  </si>
  <si>
    <t>Mar</t>
  </si>
  <si>
    <t>Apr</t>
  </si>
  <si>
    <t>Jun</t>
  </si>
  <si>
    <t>Jul</t>
  </si>
  <si>
    <t>Aug</t>
  </si>
  <si>
    <t>Sep</t>
  </si>
  <si>
    <t>Oct</t>
  </si>
  <si>
    <t>Nov</t>
  </si>
  <si>
    <t>Dec</t>
  </si>
  <si>
    <t>Yearly Salary</t>
  </si>
  <si>
    <t>Departament</t>
  </si>
  <si>
    <t>Finance</t>
  </si>
  <si>
    <t>Procurement</t>
  </si>
  <si>
    <t>Kuba</t>
  </si>
  <si>
    <t>Dominika</t>
  </si>
  <si>
    <t>Andrzej</t>
  </si>
  <si>
    <t>Damian</t>
  </si>
  <si>
    <t>Marzena</t>
  </si>
  <si>
    <t>Cecylia</t>
  </si>
  <si>
    <t>Salary</t>
  </si>
  <si>
    <t>From</t>
  </si>
  <si>
    <t>To</t>
  </si>
  <si>
    <t>wszscy</t>
  </si>
  <si>
    <t>obecni</t>
  </si>
  <si>
    <t>nieobecni</t>
  </si>
  <si>
    <t>a</t>
  </si>
  <si>
    <t>b</t>
  </si>
  <si>
    <t>ew</t>
  </si>
  <si>
    <t>asd</t>
  </si>
  <si>
    <t>aadsv</t>
  </si>
  <si>
    <t>fsdaf</t>
  </si>
  <si>
    <t>ewwq</t>
  </si>
  <si>
    <t>rewq</t>
  </si>
  <si>
    <t>vbe</t>
  </si>
  <si>
    <t>qwer</t>
  </si>
  <si>
    <t>asdf</t>
  </si>
  <si>
    <t>vxz</t>
  </si>
  <si>
    <t>hyb</t>
  </si>
  <si>
    <t>my fruits</t>
  </si>
  <si>
    <t>fruits</t>
  </si>
  <si>
    <t>prep</t>
  </si>
  <si>
    <t>plum</t>
  </si>
  <si>
    <t>kiwi</t>
  </si>
  <si>
    <t>lime</t>
  </si>
  <si>
    <t>pome</t>
  </si>
  <si>
    <t>pear</t>
  </si>
  <si>
    <t>fig</t>
  </si>
  <si>
    <t>date</t>
  </si>
  <si>
    <t>apple</t>
  </si>
  <si>
    <t>adam</t>
  </si>
  <si>
    <t>ewa</t>
  </si>
  <si>
    <t>Lolek</t>
  </si>
  <si>
    <t>maciej</t>
  </si>
  <si>
    <t>damian</t>
  </si>
  <si>
    <t>%</t>
  </si>
  <si>
    <t>$</t>
  </si>
  <si>
    <t>Other</t>
  </si>
  <si>
    <t>Salaries &amp; Payroll</t>
  </si>
  <si>
    <t>Warehouse Rent</t>
  </si>
  <si>
    <t>Order Fulfillment</t>
  </si>
  <si>
    <t>Manufacturing</t>
  </si>
  <si>
    <t>Cost of Goods Sold (per order)</t>
  </si>
  <si>
    <t>Average Order Value</t>
  </si>
  <si>
    <t>Order Growth Rate</t>
  </si>
  <si>
    <t>Number of Orders</t>
  </si>
  <si>
    <t>Lower Case (scenario 2)</t>
  </si>
  <si>
    <t>Upper case (scenario 1)</t>
  </si>
  <si>
    <t>Profit / (Loss)</t>
  </si>
  <si>
    <t>Tax</t>
  </si>
  <si>
    <t>Operating Profit Margin</t>
  </si>
  <si>
    <t>Operating Profit</t>
  </si>
  <si>
    <t>Gross Profit Margin</t>
  </si>
  <si>
    <t>Cost of Goods Sold</t>
  </si>
  <si>
    <t xml:space="preserve">Scenario </t>
  </si>
  <si>
    <t>Year 5</t>
  </si>
  <si>
    <t>Year 4</t>
  </si>
  <si>
    <t>Year 3</t>
  </si>
  <si>
    <t>Year 2</t>
  </si>
  <si>
    <t>Year 1</t>
  </si>
  <si>
    <t>Unit</t>
  </si>
  <si>
    <t>Best Case</t>
  </si>
  <si>
    <t>Base Case</t>
  </si>
  <si>
    <t>Worst Case</t>
  </si>
  <si>
    <t>Selected Growth Rate</t>
  </si>
  <si>
    <t>Revenue Assumptions</t>
  </si>
  <si>
    <t>Wages</t>
  </si>
  <si>
    <t>Office Rent</t>
  </si>
  <si>
    <t>Revenues</t>
  </si>
  <si>
    <t>Case Scenario:</t>
  </si>
  <si>
    <t>207,14</t>
  </si>
  <si>
    <t>Prada Raincoat</t>
  </si>
  <si>
    <t>206,97</t>
  </si>
  <si>
    <t>Prada Shirt</t>
  </si>
  <si>
    <t>123,96</t>
  </si>
  <si>
    <t>Adidas Shoes</t>
  </si>
  <si>
    <t>122,77</t>
  </si>
  <si>
    <t>Diesel Shirt</t>
  </si>
  <si>
    <t>203,79</t>
  </si>
  <si>
    <t>Armani Jeans</t>
  </si>
  <si>
    <t>54,67</t>
  </si>
  <si>
    <t>5x Adidas Socks</t>
  </si>
  <si>
    <t>81,60</t>
  </si>
  <si>
    <t>Nike Shirt</t>
  </si>
  <si>
    <t>122,76</t>
  </si>
  <si>
    <t>Nike Shoes</t>
  </si>
  <si>
    <t>204,62</t>
  </si>
  <si>
    <t>Armani Suit</t>
  </si>
  <si>
    <t>122,79</t>
  </si>
  <si>
    <t>Polo Jacket</t>
  </si>
  <si>
    <t>Increase Price 10%</t>
  </si>
  <si>
    <t>Zhou Guanyu</t>
  </si>
  <si>
    <t>Mick Schumacher</t>
  </si>
  <si>
    <t>Sebastian Vettel</t>
  </si>
  <si>
    <t>Kevin Magnussen</t>
  </si>
  <si>
    <t>Pierre Gasly</t>
  </si>
  <si>
    <t>Valtteri Bottas</t>
  </si>
  <si>
    <t>Fernando Alonso</t>
  </si>
  <si>
    <t>Esteban Ocon</t>
  </si>
  <si>
    <t>Lando Norris</t>
  </si>
  <si>
    <t>Lewis Hamilton</t>
  </si>
  <si>
    <t>Carlos Sainz</t>
  </si>
  <si>
    <t>George Russell</t>
  </si>
  <si>
    <t>Sergio Perez</t>
  </si>
  <si>
    <t>Charles Leclerc</t>
  </si>
  <si>
    <t>Max Verstappen</t>
  </si>
  <si>
    <t>Sale Commissions</t>
  </si>
  <si>
    <t>Adobe Inc</t>
  </si>
  <si>
    <t>Pepsi Co</t>
  </si>
  <si>
    <t>Pimms Limited</t>
  </si>
  <si>
    <t>Apple EMEA</t>
  </si>
  <si>
    <t>Coca-Cola Inc.</t>
  </si>
  <si>
    <t>Alexander Albon</t>
  </si>
  <si>
    <t>Daniel Ricciardo</t>
  </si>
  <si>
    <t>New York City</t>
  </si>
  <si>
    <t>Accounting</t>
  </si>
  <si>
    <t>Department</t>
  </si>
  <si>
    <t>)</t>
  </si>
  <si>
    <t>Jarris</t>
  </si>
  <si>
    <t>Teresa</t>
  </si>
  <si>
    <t>Muir</t>
  </si>
  <si>
    <t>Carolyn</t>
  </si>
  <si>
    <t>Allen</t>
  </si>
  <si>
    <t>Marilyn</t>
  </si>
  <si>
    <t>Garcia</t>
  </si>
  <si>
    <t>Hannah</t>
  </si>
  <si>
    <t>Lopez</t>
  </si>
  <si>
    <t>Judith</t>
  </si>
  <si>
    <t>Gerrard</t>
  </si>
  <si>
    <t>Nicholas</t>
  </si>
  <si>
    <t>Anderson</t>
  </si>
  <si>
    <t>Kenneth</t>
  </si>
  <si>
    <t>Simpson</t>
  </si>
  <si>
    <t>Mitchell</t>
  </si>
  <si>
    <t>Joseph</t>
  </si>
  <si>
    <t>Jones</t>
  </si>
  <si>
    <t>Kelly</t>
  </si>
  <si>
    <t>Roberts</t>
  </si>
  <si>
    <t>Keith</t>
  </si>
  <si>
    <t>Nguyen</t>
  </si>
  <si>
    <t>Doris</t>
  </si>
  <si>
    <t>Robinson</t>
  </si>
  <si>
    <t>Natalie</t>
  </si>
  <si>
    <t>Walker</t>
  </si>
  <si>
    <t>Charlotte</t>
  </si>
  <si>
    <t>Clark</t>
  </si>
  <si>
    <t>Janice</t>
  </si>
  <si>
    <t>Murphy</t>
  </si>
  <si>
    <t>Janet</t>
  </si>
  <si>
    <t>Age</t>
  </si>
  <si>
    <t/>
  </si>
  <si>
    <t>Net income</t>
  </si>
  <si>
    <t>Pretax income</t>
  </si>
  <si>
    <t>Interest expense</t>
  </si>
  <si>
    <t>SG&amp;A</t>
  </si>
  <si>
    <t>Gross profit</t>
  </si>
  <si>
    <t>Cost of goods sold</t>
  </si>
  <si>
    <t>Total revenues</t>
  </si>
  <si>
    <t>Figures in millions</t>
  </si>
  <si>
    <t>3. Worst Case</t>
  </si>
  <si>
    <t>2. Base Case</t>
  </si>
  <si>
    <t>1. Best Case</t>
  </si>
  <si>
    <t>Revenue Scenarios</t>
  </si>
  <si>
    <t>Expenses</t>
  </si>
  <si>
    <t>Scenario Analysis</t>
  </si>
  <si>
    <t>Choose Scenario -&gt;</t>
  </si>
  <si>
    <t>Profit Margin</t>
  </si>
  <si>
    <t>IFERROR Example</t>
  </si>
  <si>
    <t>Gain / Loss</t>
  </si>
  <si>
    <t>Live Price</t>
  </si>
  <si>
    <t>Purchase Price</t>
  </si>
  <si>
    <t>IRR -&gt;</t>
  </si>
  <si>
    <t>NPV -&gt;</t>
  </si>
  <si>
    <t>Discount Rate -&gt;</t>
  </si>
  <si>
    <t>Net Cash Flow</t>
  </si>
  <si>
    <t>Cash Outflow</t>
  </si>
  <si>
    <t>Cash Inflow</t>
  </si>
  <si>
    <t>Period</t>
  </si>
  <si>
    <t>Uniqlo Store Project 1</t>
  </si>
  <si>
    <t>AAPL</t>
  </si>
  <si>
    <t>Ticker -&gt;</t>
  </si>
  <si>
    <t>Share History</t>
  </si>
  <si>
    <t>Present Value -&gt;</t>
  </si>
  <si>
    <t>Future Value -&gt;</t>
  </si>
  <si>
    <t>Interest Rate</t>
  </si>
  <si>
    <t>Years</t>
  </si>
  <si>
    <t>Annual Payment</t>
  </si>
  <si>
    <t>Future Value</t>
  </si>
  <si>
    <t>Present Value</t>
  </si>
  <si>
    <t>Fixed Costs</t>
  </si>
  <si>
    <t>Variable Costs</t>
  </si>
  <si>
    <t>Variable Cost per Unit</t>
  </si>
  <si>
    <t>Albania</t>
  </si>
  <si>
    <t>Finland</t>
  </si>
  <si>
    <t>Iceland</t>
  </si>
  <si>
    <t>Romania</t>
  </si>
  <si>
    <t>Sweden</t>
  </si>
  <si>
    <t>Norway</t>
  </si>
  <si>
    <t>Poland</t>
  </si>
  <si>
    <t>Greece</t>
  </si>
  <si>
    <t>Bulgaria</t>
  </si>
  <si>
    <t>title</t>
  </si>
  <si>
    <t>publisher</t>
  </si>
  <si>
    <t>unit price</t>
  </si>
  <si>
    <t>asdsd</t>
  </si>
  <si>
    <t>fec</t>
  </si>
  <si>
    <t>qweq</t>
  </si>
  <si>
    <t>tax</t>
  </si>
  <si>
    <t>aaa</t>
  </si>
  <si>
    <t>bbbb</t>
  </si>
  <si>
    <t>aaaa</t>
  </si>
  <si>
    <t>bbbbbbfd</t>
  </si>
  <si>
    <t>Physics</t>
  </si>
  <si>
    <t>Art</t>
  </si>
  <si>
    <t>Chemistry</t>
  </si>
  <si>
    <t>Average</t>
  </si>
  <si>
    <t>Formula in Column F</t>
  </si>
  <si>
    <t>Alice</t>
  </si>
  <si>
    <t>Eva</t>
  </si>
  <si>
    <t>Fiona</t>
  </si>
  <si>
    <t>George</t>
  </si>
  <si>
    <t>Ian</t>
  </si>
  <si>
    <t>Jasmine</t>
  </si>
  <si>
    <t>Student Name</t>
  </si>
  <si>
    <t>Top Score</t>
  </si>
  <si>
    <t>Top Scorer</t>
  </si>
  <si>
    <t>c</t>
  </si>
  <si>
    <t>sd</t>
  </si>
  <si>
    <t>dsa</t>
  </si>
  <si>
    <t>as</t>
  </si>
  <si>
    <t>da</t>
  </si>
  <si>
    <t>jakub piotr szwajkos</t>
  </si>
  <si>
    <t>jakub Szwajkos</t>
  </si>
  <si>
    <t>Gas Cost</t>
  </si>
  <si>
    <t>Distance (miles)</t>
  </si>
  <si>
    <t>Miles per Gallon</t>
  </si>
  <si>
    <t>Gas Price (Est.)</t>
  </si>
  <si>
    <t>Total Cost</t>
  </si>
  <si>
    <t>Angela</t>
  </si>
  <si>
    <t>Stork</t>
  </si>
  <si>
    <t>Graciella</t>
  </si>
  <si>
    <t>Pablo</t>
  </si>
  <si>
    <t>Latika</t>
  </si>
  <si>
    <t>Cynthia</t>
  </si>
  <si>
    <t>Fancy Dinner</t>
  </si>
  <si>
    <t>Count</t>
  </si>
  <si>
    <t>Le Roy</t>
  </si>
  <si>
    <t>Felix</t>
  </si>
  <si>
    <t>Daniel</t>
  </si>
  <si>
    <t>Shuttle</t>
  </si>
  <si>
    <t>Tobias</t>
  </si>
  <si>
    <t>Andi</t>
  </si>
  <si>
    <t>Rooms (Each)</t>
  </si>
  <si>
    <t>Shift3</t>
  </si>
  <si>
    <t>Shift2</t>
  </si>
  <si>
    <t>Shift1</t>
  </si>
  <si>
    <t>DAY</t>
  </si>
  <si>
    <t>Mars - Bill</t>
  </si>
  <si>
    <t>Lolade - Todd</t>
  </si>
  <si>
    <t>Mars - Nooni</t>
  </si>
  <si>
    <t>Day7</t>
  </si>
  <si>
    <t>Bill - Taylor</t>
  </si>
  <si>
    <t>Levi - Lolade</t>
  </si>
  <si>
    <t>Daniel - Cheryl</t>
  </si>
  <si>
    <t>Day6</t>
  </si>
  <si>
    <t>Nooni - Bill</t>
  </si>
  <si>
    <t>Doris - Martin</t>
  </si>
  <si>
    <t>Sanford - Daisey</t>
  </si>
  <si>
    <t>Day5</t>
  </si>
  <si>
    <t>Mars - Ariel</t>
  </si>
  <si>
    <t>Erika - Cheryl</t>
  </si>
  <si>
    <t>Day4</t>
  </si>
  <si>
    <t>Ariel - Bill</t>
  </si>
  <si>
    <t>Levi - Martin</t>
  </si>
  <si>
    <t>Daisey - Daniel</t>
  </si>
  <si>
    <t>Day3</t>
  </si>
  <si>
    <t>Alfonse - Taylor</t>
  </si>
  <si>
    <t>Cheryl - Martin</t>
  </si>
  <si>
    <t>Erika - Nooni</t>
  </si>
  <si>
    <t>Day2</t>
  </si>
  <si>
    <t>Ariel - Taylor</t>
  </si>
  <si>
    <t>Nooni - Daisey</t>
  </si>
  <si>
    <t>Todd - Doris</t>
  </si>
  <si>
    <t>Day1</t>
  </si>
  <si>
    <t>Evening</t>
  </si>
  <si>
    <t>Afternoon</t>
  </si>
  <si>
    <t>Morning</t>
  </si>
  <si>
    <t>FIND</t>
  </si>
  <si>
    <t>Purchased</t>
  </si>
  <si>
    <t>S</t>
  </si>
  <si>
    <t>Sold</t>
  </si>
  <si>
    <t>J</t>
  </si>
  <si>
    <t>M</t>
  </si>
  <si>
    <t>R</t>
  </si>
  <si>
    <t>Q</t>
  </si>
  <si>
    <t>G</t>
  </si>
  <si>
    <t>F</t>
  </si>
  <si>
    <t>B</t>
  </si>
  <si>
    <t>D</t>
  </si>
  <si>
    <t>L</t>
  </si>
  <si>
    <t>Guitar</t>
  </si>
  <si>
    <t>Action</t>
  </si>
  <si>
    <t>Activity</t>
  </si>
  <si>
    <t>Brand Members</t>
  </si>
  <si>
    <t>intruments</t>
  </si>
  <si>
    <t>fact</t>
  </si>
  <si>
    <t>product(sequence)</t>
  </si>
  <si>
    <t>permut</t>
  </si>
  <si>
    <t>How many boxes of 8?</t>
  </si>
  <si>
    <t>Marshmallow Tangerine</t>
  </si>
  <si>
    <t>How many samplers?</t>
  </si>
  <si>
    <t>Mango Cumin</t>
  </si>
  <si>
    <t>Cotton Candy Habanero</t>
  </si>
  <si>
    <t>2.  Box of Any 8</t>
  </si>
  <si>
    <t>Cinnamon Maple</t>
  </si>
  <si>
    <t>1.  Sampler Box of 3 - all must be different</t>
  </si>
  <si>
    <t>Banana Ginger</t>
  </si>
  <si>
    <t>OPTIONS</t>
  </si>
  <si>
    <t>5 FLAVORS</t>
  </si>
  <si>
    <t>03-4214</t>
  </si>
  <si>
    <t>03-4210</t>
  </si>
  <si>
    <t>03-4209</t>
  </si>
  <si>
    <t>03-4208</t>
  </si>
  <si>
    <t>03-4006</t>
  </si>
  <si>
    <t>03-3509</t>
  </si>
  <si>
    <t>03-3508</t>
  </si>
  <si>
    <t>03-3006</t>
  </si>
  <si>
    <t>03-2006</t>
  </si>
  <si>
    <t>03-1109</t>
  </si>
  <si>
    <t>03-1102</t>
  </si>
  <si>
    <t>03-0910</t>
  </si>
  <si>
    <t>03-0809</t>
  </si>
  <si>
    <t>03-0606</t>
  </si>
  <si>
    <t>02-4008</t>
  </si>
  <si>
    <t>02-3909</t>
  </si>
  <si>
    <t>02-3508</t>
  </si>
  <si>
    <t>02-3310</t>
  </si>
  <si>
    <t>02-3210</t>
  </si>
  <si>
    <t>02-3010</t>
  </si>
  <si>
    <t>02-2910</t>
  </si>
  <si>
    <t>02-2410</t>
  </si>
  <si>
    <t>02-2409</t>
  </si>
  <si>
    <t>02-2206</t>
  </si>
  <si>
    <t>02-1908</t>
  </si>
  <si>
    <t>02-1906</t>
  </si>
  <si>
    <t>02-1806</t>
  </si>
  <si>
    <t>02-1706</t>
  </si>
  <si>
    <t>02-1510</t>
  </si>
  <si>
    <t>02-0306</t>
  </si>
  <si>
    <t>01-4002</t>
  </si>
  <si>
    <t>01-3906</t>
  </si>
  <si>
    <t>01-3710</t>
  </si>
  <si>
    <t>01-2806</t>
  </si>
  <si>
    <t>01-1909</t>
  </si>
  <si>
    <t>01-1010</t>
  </si>
  <si>
    <t>01-1001</t>
  </si>
  <si>
    <t>01-0702</t>
  </si>
  <si>
    <t>01-0402</t>
  </si>
  <si>
    <t>Rent</t>
  </si>
  <si>
    <t>UNIT CODE</t>
  </si>
  <si>
    <t>COUNT</t>
  </si>
  <si>
    <t>December</t>
  </si>
  <si>
    <t>TOTAL</t>
  </si>
  <si>
    <t>November</t>
  </si>
  <si>
    <r>
      <rPr>
        <b/>
        <u/>
        <sz val="16"/>
        <color theme="1"/>
        <rFont val="Calibri"/>
        <family val="2"/>
      </rPr>
      <t>≥</t>
    </r>
    <r>
      <rPr>
        <b/>
        <u/>
        <sz val="16"/>
        <color theme="1"/>
        <rFont val="Century Gothic"/>
        <family val="2"/>
      </rPr>
      <t xml:space="preserve"> $5000</t>
    </r>
  </si>
  <si>
    <t>October</t>
  </si>
  <si>
    <t>September</t>
  </si>
  <si>
    <t>Median</t>
  </si>
  <si>
    <t>Online</t>
  </si>
  <si>
    <t>Overall</t>
  </si>
  <si>
    <t>Not Online</t>
  </si>
  <si>
    <t>Donations</t>
  </si>
  <si>
    <t>Todd</t>
  </si>
  <si>
    <t>Lolade</t>
  </si>
  <si>
    <t>Nooni</t>
  </si>
  <si>
    <t>Taylor</t>
  </si>
  <si>
    <t>Levi</t>
  </si>
  <si>
    <t>Cheryl</t>
  </si>
  <si>
    <t>Martin</t>
  </si>
  <si>
    <t>Daisey</t>
  </si>
  <si>
    <t>Sanford</t>
  </si>
  <si>
    <t>Ariel</t>
  </si>
  <si>
    <t>Erika</t>
  </si>
  <si>
    <t>Alfonse</t>
  </si>
  <si>
    <t>Sydney</t>
  </si>
  <si>
    <t>Zeb</t>
  </si>
  <si>
    <t>Julio</t>
  </si>
  <si>
    <t>Brandon</t>
  </si>
  <si>
    <t>Choppa</t>
  </si>
  <si>
    <t>Abraham</t>
  </si>
  <si>
    <t>Kristoff</t>
  </si>
  <si>
    <t>Martina</t>
  </si>
  <si>
    <t>Curt</t>
  </si>
  <si>
    <t>Renaldo</t>
  </si>
  <si>
    <t>Pip</t>
  </si>
  <si>
    <t>Bobby</t>
  </si>
  <si>
    <t>Omah</t>
  </si>
  <si>
    <t>Louis</t>
  </si>
  <si>
    <t>Seth</t>
  </si>
  <si>
    <t>Course3</t>
  </si>
  <si>
    <t>Course2</t>
  </si>
  <si>
    <t>Course1</t>
  </si>
  <si>
    <t>Rep</t>
  </si>
  <si>
    <t>products</t>
  </si>
  <si>
    <t>small</t>
  </si>
  <si>
    <t>medium</t>
  </si>
  <si>
    <t>large</t>
  </si>
  <si>
    <t>sweater</t>
  </si>
  <si>
    <t>jacket</t>
  </si>
  <si>
    <t>product</t>
  </si>
  <si>
    <t>size</t>
  </si>
  <si>
    <t xml:space="preserve">price </t>
  </si>
  <si>
    <t>pants</t>
  </si>
  <si>
    <t>d</t>
  </si>
  <si>
    <t>x</t>
  </si>
  <si>
    <t>e</t>
  </si>
  <si>
    <t>f</t>
  </si>
  <si>
    <t>g</t>
  </si>
  <si>
    <t>h</t>
  </si>
  <si>
    <t>i</t>
  </si>
  <si>
    <t>j</t>
  </si>
  <si>
    <t>k</t>
  </si>
  <si>
    <t>top 5</t>
  </si>
  <si>
    <t xml:space="preserve">bottom 5 </t>
  </si>
  <si>
    <t>Interest Paid Month 1</t>
  </si>
  <si>
    <t>Principal Paid Month 1</t>
  </si>
  <si>
    <t>Monthly Payment</t>
  </si>
  <si>
    <t>Outputs Summary</t>
  </si>
  <si>
    <t>Number of Payments</t>
  </si>
  <si>
    <t>Monthly Interest Rate</t>
  </si>
  <si>
    <t>Annual Interest Rate</t>
  </si>
  <si>
    <t>Loan Amount</t>
  </si>
  <si>
    <t>Remaining Balance</t>
  </si>
  <si>
    <t>Principal</t>
  </si>
  <si>
    <t>Interest</t>
  </si>
  <si>
    <t>Payment</t>
  </si>
  <si>
    <t>Payment #</t>
  </si>
  <si>
    <t>Inputs Summary</t>
  </si>
  <si>
    <t>Loan Amortization Schedule</t>
  </si>
  <si>
    <t>XIRR</t>
  </si>
  <si>
    <t>Internal Rate of Return (IRR)</t>
  </si>
  <si>
    <t>XNPV</t>
  </si>
  <si>
    <t>Net Present Value (NPV)</t>
  </si>
  <si>
    <t>Discount Rate</t>
  </si>
  <si>
    <t>Cash Flow</t>
  </si>
  <si>
    <t>Capital Budgetting</t>
  </si>
  <si>
    <t>FV with Recurring Payments</t>
  </si>
  <si>
    <t>Present Value &amp; Future Value</t>
  </si>
  <si>
    <t>ronald mc'donald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</si>
</sst>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_-* #,##0.00_-;\-* #,##0.00_-;_-* &quot;-&quot;??_-;_-@_-"/>
    <numFmt numFmtId="165" formatCode="_-* #,##0_-;\-* #,##0_-;_-* &quot;-&quot;??_-;_-@_-"/>
    <numFmt numFmtId="166" formatCode="_(* #,##0_);_(* \(#,##0\);_(* &quot;-&quot;??_);_(@_)"/>
    <numFmt numFmtId="167" formatCode="[$$-409]#,##0"/>
    <numFmt numFmtId="168" formatCode="mmm"/>
    <numFmt numFmtId="169" formatCode="00000"/>
    <numFmt numFmtId="170" formatCode="&quot;$&quot;#,##0"/>
    <numFmt numFmtId="171" formatCode="[$$-409]#,##0.00"/>
    <numFmt numFmtId="172" formatCode="0.0%"/>
    <numFmt numFmtId="173" formatCode="yyyy"/>
    <numFmt numFmtId="174" formatCode="_-[$$-409]* #,##0_ ;_-[$$-409]* \-#,##0\ ;_-[$$-409]* &quot;-&quot;??_ ;_-@_ "/>
    <numFmt numFmtId="175" formatCode="_-[$$-409]* #,##0.00_ ;_-[$$-409]* \-#,##0.00\ ;_-[$$-409]* &quot;-&quot;??_ ;_-@_ "/>
    <numFmt numFmtId="176" formatCode="_(* #,##0.0_);_(* \(#,##0.0\);_(* &quot;-&quot;??_);_(@_)"/>
    <numFmt numFmtId="177" formatCode="yyyy\E"/>
    <numFmt numFmtId="178" formatCode="_([$$-409]* #,##0.00_);_([$$-409]* \(#,##0.00\);_([$$-409]* &quot;-&quot;??_);_(@_)"/>
    <numFmt numFmtId="179" formatCode="_ * #,##0_)\ &quot;PLN&quot;_ ;_ * \(#,##0\)\ &quot;PLN&quot;_ ;_ * &quot;-&quot;_)\ &quot;PLN&quot;_ ;_ @_ "/>
    <numFmt numFmtId="180" formatCode="_-* #,##0_-;\-* #,##0_-;_-* &quot;-&quot;??_-;_-@"/>
    <numFmt numFmtId="181" formatCode=";;;"/>
    <numFmt numFmtId="182" formatCode="&quot;£&quot;#,##0.00"/>
    <numFmt numFmtId="183" formatCode="#,##0_ ;\-#,##0\ "/>
    <numFmt numFmtId="184" formatCode="_(&quot;$&quot;* #,##0_);_(&quot;$&quot;* \(#,##0\);_(&quot;$&quot;* &quot;-&quot;??_);_(@_)"/>
    <numFmt numFmtId="185" formatCode="_-[$$-2C09]* #,##0_-;\-[$$-2C09]* #,##0_-;_-[$$-2C09]* &quot;-&quot;??_-;_-@_-"/>
    <numFmt numFmtId="186" formatCode="_-* #,##0\ _€_-;\-* #,##0\ _€_-;_-* &quot;-&quot;??\ _€_-;_-@_-"/>
    <numFmt numFmtId="187" formatCode="#,##0_);\(#,##0\);\-\-_)"/>
    <numFmt numFmtId="188" formatCode="#,##0.00_);\(#,##0.00\);\-\-_)"/>
    <numFmt numFmtId="189" formatCode="&quot;$&quot;#,##0.00"/>
    <numFmt numFmtId="190" formatCode="0000000000000"/>
    <numFmt numFmtId="191" formatCode="0.0"/>
    <numFmt numFmtId="192" formatCode="#,##0.00\ &quot;€&quot;;[Red]\-#,##0.00\ &quot;€&quot;"/>
  </numFmts>
  <fonts count="72">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b/>
      <i/>
      <sz val="12"/>
      <color theme="0"/>
      <name val="Calibri"/>
      <family val="2"/>
      <scheme val="minor"/>
    </font>
    <font>
      <sz val="12"/>
      <color rgb="FF000000"/>
      <name val="Calibri"/>
      <family val="2"/>
      <scheme val="minor"/>
    </font>
    <font>
      <b/>
      <sz val="11"/>
      <color rgb="FFFFFFFF"/>
      <name val="Calibri"/>
      <family val="2"/>
    </font>
    <font>
      <i/>
      <sz val="11"/>
      <color rgb="FFFFFFFF"/>
      <name val="Calibri"/>
      <family val="2"/>
    </font>
    <font>
      <sz val="11"/>
      <color theme="1"/>
      <name val="Calibri (Body)"/>
    </font>
    <font>
      <b/>
      <sz val="11"/>
      <color theme="0"/>
      <name val="Calibri (Body)"/>
    </font>
    <font>
      <i/>
      <sz val="11"/>
      <color rgb="FF000000"/>
      <name val="Calibri"/>
      <family val="2"/>
    </font>
    <font>
      <b/>
      <sz val="11"/>
      <color rgb="FF000000"/>
      <name val="Calibri"/>
      <family val="2"/>
    </font>
    <font>
      <sz val="11"/>
      <color rgb="FF000000"/>
      <name val="Calibri"/>
      <family val="2"/>
    </font>
    <font>
      <b/>
      <i/>
      <sz val="11"/>
      <color theme="1"/>
      <name val="Calibri"/>
      <family val="2"/>
      <scheme val="minor"/>
    </font>
    <font>
      <sz val="12"/>
      <color rgb="FF0432FF"/>
      <name val="Calibri"/>
      <family val="2"/>
      <scheme val="minor"/>
    </font>
    <font>
      <sz val="11"/>
      <color theme="1"/>
      <name val="Calibri"/>
      <family val="2"/>
      <charset val="238"/>
      <scheme val="minor"/>
    </font>
    <font>
      <sz val="11"/>
      <color theme="1"/>
      <name val="Calibri"/>
      <family val="2"/>
    </font>
    <font>
      <b/>
      <sz val="11"/>
      <color theme="1"/>
      <name val="Calibri"/>
      <family val="2"/>
    </font>
    <font>
      <sz val="11"/>
      <color rgb="FF0432FF"/>
      <name val="Calibri"/>
      <family val="2"/>
    </font>
    <font>
      <sz val="11"/>
      <color theme="0"/>
      <name val="Calibri"/>
      <family val="2"/>
    </font>
    <font>
      <sz val="11"/>
      <name val="Calibri"/>
      <family val="2"/>
    </font>
    <font>
      <sz val="12"/>
      <color theme="1"/>
      <name val="Calibri"/>
      <family val="2"/>
    </font>
    <font>
      <b/>
      <sz val="12"/>
      <color theme="1"/>
      <name val="Calibri"/>
      <family val="2"/>
    </font>
    <font>
      <i/>
      <sz val="11"/>
      <color theme="0"/>
      <name val="Calibri"/>
      <family val="2"/>
    </font>
    <font>
      <b/>
      <sz val="11"/>
      <color theme="0"/>
      <name val="Calibri"/>
      <family val="2"/>
    </font>
    <font>
      <sz val="12"/>
      <color theme="0"/>
      <name val="Calibri"/>
      <family val="2"/>
      <scheme val="minor"/>
    </font>
    <font>
      <i/>
      <sz val="12"/>
      <color theme="1"/>
      <name val="Calibri"/>
      <family val="2"/>
      <scheme val="minor"/>
    </font>
    <font>
      <sz val="12"/>
      <color theme="1"/>
      <name val="Calibri"/>
      <family val="2"/>
      <charset val="238"/>
      <scheme val="minor"/>
    </font>
    <font>
      <sz val="11"/>
      <color rgb="FF2741EE"/>
      <name val="Calibri"/>
      <family val="2"/>
    </font>
    <font>
      <b/>
      <sz val="12"/>
      <color theme="0"/>
      <name val="Calibri"/>
      <family val="2"/>
    </font>
    <font>
      <i/>
      <sz val="12"/>
      <color theme="1"/>
      <name val="Calibri"/>
      <family val="2"/>
    </font>
    <font>
      <u/>
      <sz val="12"/>
      <color theme="10"/>
      <name val="Calibri"/>
      <family val="2"/>
      <scheme val="minor"/>
    </font>
    <font>
      <sz val="12"/>
      <name val="Calibri"/>
      <family val="2"/>
    </font>
    <font>
      <b/>
      <sz val="11"/>
      <color theme="1"/>
      <name val="Calibri"/>
      <family val="2"/>
      <charset val="238"/>
      <scheme val="minor"/>
    </font>
    <font>
      <sz val="11"/>
      <color rgb="FFFF0000"/>
      <name val="Playbill"/>
      <family val="5"/>
    </font>
    <font>
      <sz val="11"/>
      <color theme="4" tint="0.59999389629810485"/>
      <name val="Playbill"/>
      <family val="5"/>
    </font>
    <font>
      <sz val="8"/>
      <name val="Calibri"/>
      <family val="2"/>
      <scheme val="minor"/>
    </font>
    <font>
      <sz val="11"/>
      <color rgb="FF0000FF"/>
      <name val="Calibri"/>
      <family val="2"/>
      <scheme val="minor"/>
    </font>
    <font>
      <sz val="11"/>
      <color rgb="FF0432FF"/>
      <name val="Calibri"/>
      <family val="2"/>
      <scheme val="minor"/>
    </font>
    <font>
      <b/>
      <i/>
      <u/>
      <sz val="11"/>
      <color theme="1"/>
      <name val="Calibri"/>
      <family val="2"/>
      <charset val="238"/>
      <scheme val="minor"/>
    </font>
    <font>
      <i/>
      <sz val="11"/>
      <color theme="1"/>
      <name val="Calibri"/>
      <family val="2"/>
      <scheme val="minor"/>
    </font>
    <font>
      <sz val="11"/>
      <color rgb="FF000000"/>
      <name val="Calibri"/>
      <family val="2"/>
      <scheme val="minor"/>
    </font>
    <font>
      <sz val="11"/>
      <color rgb="FFFFFFFF"/>
      <name val="Calibri"/>
      <family val="2"/>
      <scheme val="minor"/>
    </font>
    <font>
      <b/>
      <sz val="11"/>
      <color rgb="FFFFFFFF"/>
      <name val="Calibri"/>
      <family val="2"/>
      <scheme val="minor"/>
    </font>
    <font>
      <b/>
      <sz val="11"/>
      <name val="Calibri"/>
      <family val="2"/>
      <scheme val="minor"/>
    </font>
    <font>
      <sz val="11"/>
      <name val="Calibri"/>
      <family val="2"/>
      <scheme val="minor"/>
    </font>
    <font>
      <sz val="8"/>
      <color rgb="FF000000"/>
      <name val="Segoe UI"/>
      <family val="2"/>
    </font>
    <font>
      <sz val="7"/>
      <color rgb="FF0F0F0F"/>
      <name val="Arial"/>
      <family val="2"/>
    </font>
    <font>
      <b/>
      <sz val="12"/>
      <color rgb="FF406CF9"/>
      <name val="Calibri"/>
      <family val="2"/>
      <scheme val="minor"/>
    </font>
    <font>
      <b/>
      <i/>
      <sz val="12"/>
      <color theme="1"/>
      <name val="Calibri"/>
      <family val="2"/>
      <scheme val="minor"/>
    </font>
    <font>
      <b/>
      <sz val="12"/>
      <color rgb="FF0432FF"/>
      <name val="Calibri"/>
      <family val="2"/>
      <scheme val="minor"/>
    </font>
    <font>
      <sz val="11"/>
      <color theme="1"/>
      <name val="Segoe UI"/>
      <family val="2"/>
    </font>
    <font>
      <sz val="11"/>
      <color theme="5" tint="-0.249977111117893"/>
      <name val="Segoe UI"/>
      <family val="2"/>
    </font>
    <font>
      <sz val="11"/>
      <color theme="8"/>
      <name val="Segoe UI"/>
      <family val="2"/>
    </font>
    <font>
      <sz val="16"/>
      <color theme="1"/>
      <name val="Calibri"/>
      <family val="2"/>
      <scheme val="minor"/>
    </font>
    <font>
      <sz val="18"/>
      <color theme="1"/>
      <name val="Calibri"/>
      <family val="2"/>
      <scheme val="minor"/>
    </font>
    <font>
      <b/>
      <sz val="18"/>
      <color theme="1"/>
      <name val="Calibri"/>
      <family val="2"/>
      <scheme val="minor"/>
    </font>
    <font>
      <b/>
      <sz val="16"/>
      <color theme="1"/>
      <name val="Calibri"/>
      <family val="2"/>
      <scheme val="minor"/>
    </font>
    <font>
      <b/>
      <u/>
      <sz val="18"/>
      <color theme="1"/>
      <name val="Calibri"/>
      <family val="2"/>
      <scheme val="minor"/>
    </font>
    <font>
      <sz val="22"/>
      <color theme="1"/>
      <name val="Monotype Corsiva"/>
      <family val="4"/>
    </font>
    <font>
      <b/>
      <u/>
      <sz val="22"/>
      <color theme="1"/>
      <name val="Monotype Corsiva"/>
      <family val="4"/>
    </font>
    <font>
      <b/>
      <sz val="16"/>
      <color theme="1"/>
      <name val="Calibri"/>
      <family val="1"/>
      <scheme val="minor"/>
    </font>
    <font>
      <sz val="7"/>
      <color rgb="FFFFFFFF"/>
      <name val="Courier New"/>
      <family val="3"/>
    </font>
    <font>
      <b/>
      <u/>
      <sz val="16"/>
      <color theme="1"/>
      <name val="Century Gothic"/>
      <family val="2"/>
    </font>
    <font>
      <b/>
      <u/>
      <sz val="16"/>
      <color theme="1"/>
      <name val="Calibri"/>
      <family val="2"/>
    </font>
    <font>
      <b/>
      <u/>
      <sz val="16"/>
      <color theme="1"/>
      <name val="Calibri"/>
      <family val="2"/>
      <scheme val="minor"/>
    </font>
    <font>
      <u/>
      <sz val="12"/>
      <color theme="1"/>
      <name val="Calibri"/>
      <family val="2"/>
      <scheme val="minor"/>
    </font>
    <font>
      <i/>
      <sz val="12"/>
      <color theme="0"/>
      <name val="Calibri"/>
      <family val="2"/>
      <scheme val="minor"/>
    </font>
  </fonts>
  <fills count="35">
    <fill>
      <patternFill patternType="none"/>
    </fill>
    <fill>
      <patternFill patternType="gray125"/>
    </fill>
    <fill>
      <patternFill patternType="solid">
        <fgColor rgb="FF2A3E68"/>
        <bgColor indexed="64"/>
      </patternFill>
    </fill>
    <fill>
      <patternFill patternType="solid">
        <fgColor rgb="FFFFFF99"/>
        <bgColor indexed="64"/>
      </patternFill>
    </fill>
    <fill>
      <patternFill patternType="solid">
        <fgColor theme="4" tint="0.79998168889431442"/>
        <bgColor indexed="64"/>
      </patternFill>
    </fill>
    <fill>
      <patternFill patternType="solid">
        <fgColor rgb="FF293D68"/>
        <bgColor indexed="64"/>
      </patternFill>
    </fill>
    <fill>
      <patternFill patternType="solid">
        <fgColor rgb="FF2A3E68"/>
        <bgColor rgb="FF000000"/>
      </patternFill>
    </fill>
    <fill>
      <patternFill patternType="solid">
        <fgColor rgb="FF2A3C68"/>
        <bgColor indexed="64"/>
      </patternFill>
    </fill>
    <fill>
      <patternFill patternType="solid">
        <fgColor theme="0"/>
        <bgColor indexed="64"/>
      </patternFill>
    </fill>
    <fill>
      <patternFill patternType="solid">
        <fgColor theme="7" tint="0.79998168889431442"/>
        <bgColor indexed="64"/>
      </patternFill>
    </fill>
    <fill>
      <patternFill patternType="solid">
        <fgColor theme="2"/>
        <bgColor indexed="64"/>
      </patternFill>
    </fill>
    <fill>
      <patternFill patternType="solid">
        <fgColor rgb="FFFFFF00"/>
        <bgColor indexed="64"/>
      </patternFill>
    </fill>
    <fill>
      <patternFill patternType="solid">
        <fgColor rgb="FF002060"/>
        <bgColor indexed="64"/>
      </patternFill>
    </fill>
    <fill>
      <patternFill patternType="solid">
        <fgColor theme="5" tint="0.79998168889431442"/>
        <bgColor indexed="64"/>
      </patternFill>
    </fill>
    <fill>
      <patternFill patternType="solid">
        <fgColor rgb="FFFFFF99"/>
        <bgColor rgb="FFFFFF99"/>
      </patternFill>
    </fill>
    <fill>
      <patternFill patternType="solid">
        <fgColor rgb="FF2A3E68"/>
        <bgColor rgb="FF2A3E68"/>
      </patternFill>
    </fill>
    <fill>
      <patternFill patternType="solid">
        <fgColor rgb="FFE7E6E6"/>
        <bgColor rgb="FFE7E6E6"/>
      </patternFill>
    </fill>
    <fill>
      <patternFill patternType="solid">
        <fgColor rgb="FFD9E2F3"/>
        <bgColor rgb="FFD9E2F3"/>
      </patternFill>
    </fill>
    <fill>
      <patternFill patternType="solid">
        <fgColor theme="9" tint="0.39997558519241921"/>
        <bgColor indexed="64"/>
      </patternFill>
    </fill>
    <fill>
      <patternFill patternType="solid">
        <fgColor theme="0" tint="-4.9989318521683403E-2"/>
        <bgColor indexed="64"/>
      </patternFill>
    </fill>
    <fill>
      <patternFill patternType="solid">
        <fgColor rgb="FF073673"/>
        <bgColor indexed="64"/>
      </patternFill>
    </fill>
    <fill>
      <patternFill patternType="solid">
        <fgColor rgb="FF293D68"/>
        <bgColor rgb="FF293D68"/>
      </patternFill>
    </fill>
    <fill>
      <patternFill patternType="solid">
        <fgColor theme="4"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rgb="FFFFC000"/>
        <bgColor indexed="64"/>
      </patternFill>
    </fill>
    <fill>
      <patternFill patternType="solid">
        <fgColor theme="4" tint="0.59999389629810485"/>
        <bgColor indexed="64"/>
      </patternFill>
    </fill>
    <fill>
      <patternFill patternType="solid">
        <fgColor theme="4" tint="0.79998168889431442"/>
        <bgColor rgb="FF000000"/>
      </patternFill>
    </fill>
    <fill>
      <patternFill patternType="solid">
        <fgColor theme="4" tint="-0.249977111117893"/>
        <bgColor rgb="FF000000"/>
      </patternFill>
    </fill>
    <fill>
      <patternFill patternType="solid">
        <fgColor rgb="FF305496"/>
        <bgColor rgb="FF000000"/>
      </patternFill>
    </fill>
    <fill>
      <patternFill patternType="solid">
        <fgColor rgb="FF293D68"/>
        <bgColor rgb="FF000000"/>
      </patternFill>
    </fill>
    <fill>
      <patternFill patternType="solid">
        <fgColor theme="5" tint="0.59999389629810485"/>
        <bgColor indexed="64"/>
      </patternFill>
    </fill>
    <fill>
      <patternFill patternType="solid">
        <fgColor rgb="FFFFC000"/>
        <bgColor rgb="FF000000"/>
      </patternFill>
    </fill>
    <fill>
      <patternFill patternType="solid">
        <fgColor rgb="FFFFF2CC"/>
        <bgColor rgb="FF000000"/>
      </patternFill>
    </fill>
  </fills>
  <borders count="27">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top/>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style="medium">
        <color rgb="FF000000"/>
      </bottom>
      <diagonal/>
    </border>
    <border>
      <left/>
      <right/>
      <top/>
      <bottom style="thin">
        <color rgb="FF000000"/>
      </bottom>
      <diagonal/>
    </border>
    <border>
      <left/>
      <right/>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1"/>
      </top>
      <bottom style="thin">
        <color theme="1"/>
      </bottom>
      <diagonal/>
    </border>
    <border>
      <left style="thin">
        <color theme="1"/>
      </left>
      <right style="thin">
        <color theme="1"/>
      </right>
      <top style="thin">
        <color theme="1"/>
      </top>
      <bottom style="thin">
        <color theme="1"/>
      </bottom>
      <diagonal/>
    </border>
  </borders>
  <cellStyleXfs count="14">
    <xf numFmtId="0" fontId="0" fillId="0" borderId="0"/>
    <xf numFmtId="0" fontId="5" fillId="0" borderId="0"/>
    <xf numFmtId="164" fontId="5"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19" fillId="0" borderId="0"/>
    <xf numFmtId="0" fontId="31" fillId="0" borderId="0"/>
    <xf numFmtId="0" fontId="35" fillId="0" borderId="0" applyNumberFormat="0" applyFill="0" applyBorder="0" applyAlignment="0" applyProtection="0"/>
    <xf numFmtId="9" fontId="5"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0" fontId="58" fillId="0" borderId="0"/>
    <xf numFmtId="44" fontId="58" fillId="0" borderId="0" applyFont="0" applyFill="0" applyBorder="0" applyAlignment="0" applyProtection="0"/>
  </cellStyleXfs>
  <cellXfs count="439">
    <xf numFmtId="0" fontId="0" fillId="0" borderId="0" xfId="0"/>
    <xf numFmtId="0" fontId="5" fillId="0" borderId="0" xfId="1"/>
    <xf numFmtId="0" fontId="5" fillId="0" borderId="0" xfId="1" applyAlignment="1">
      <alignment horizontal="center" vertical="center"/>
    </xf>
    <xf numFmtId="0" fontId="5" fillId="0" borderId="0" xfId="1" applyAlignment="1">
      <alignment horizontal="center"/>
    </xf>
    <xf numFmtId="0" fontId="6" fillId="2" borderId="0" xfId="1" applyFont="1" applyFill="1" applyAlignment="1">
      <alignment horizontal="center"/>
    </xf>
    <xf numFmtId="0" fontId="7" fillId="0" borderId="0" xfId="1" applyFont="1" applyAlignment="1">
      <alignment horizontal="right"/>
    </xf>
    <xf numFmtId="165" fontId="0" fillId="0" borderId="0" xfId="2" applyNumberFormat="1" applyFont="1"/>
    <xf numFmtId="166" fontId="5" fillId="0" borderId="0" xfId="1" applyNumberFormat="1"/>
    <xf numFmtId="17" fontId="6" fillId="2" borderId="0" xfId="1" applyNumberFormat="1" applyFont="1" applyFill="1" applyAlignment="1">
      <alignment horizontal="center"/>
    </xf>
    <xf numFmtId="0" fontId="8" fillId="2" borderId="0" xfId="1" applyFont="1" applyFill="1" applyAlignment="1">
      <alignment horizontal="left"/>
    </xf>
    <xf numFmtId="166" fontId="7" fillId="3" borderId="1" xfId="1" applyNumberFormat="1" applyFont="1" applyFill="1" applyBorder="1" applyAlignment="1">
      <alignment horizontal="center" vertical="center"/>
    </xf>
    <xf numFmtId="167" fontId="5" fillId="0" borderId="0" xfId="1" applyNumberFormat="1" applyAlignment="1">
      <alignment horizontal="center"/>
    </xf>
    <xf numFmtId="14" fontId="5" fillId="0" borderId="0" xfId="1" applyNumberFormat="1" applyAlignment="1">
      <alignment horizontal="center"/>
    </xf>
    <xf numFmtId="1" fontId="5" fillId="0" borderId="0" xfId="1" applyNumberFormat="1" applyAlignment="1">
      <alignment horizontal="left"/>
    </xf>
    <xf numFmtId="14" fontId="5" fillId="0" borderId="0" xfId="1" applyNumberFormat="1"/>
    <xf numFmtId="167" fontId="5" fillId="0" borderId="0" xfId="1" applyNumberFormat="1"/>
    <xf numFmtId="0" fontId="7" fillId="4" borderId="0" xfId="1" applyFont="1" applyFill="1"/>
    <xf numFmtId="0" fontId="6" fillId="5" borderId="0" xfId="1" applyFont="1" applyFill="1" applyAlignment="1">
      <alignment horizontal="center"/>
    </xf>
    <xf numFmtId="0" fontId="9" fillId="0" borderId="0" xfId="1" applyFont="1"/>
    <xf numFmtId="1" fontId="0" fillId="0" borderId="0" xfId="2" applyNumberFormat="1" applyFont="1" applyAlignment="1">
      <alignment horizontal="center"/>
    </xf>
    <xf numFmtId="0" fontId="5" fillId="0" borderId="0" xfId="1" quotePrefix="1"/>
    <xf numFmtId="17" fontId="5" fillId="0" borderId="0" xfId="1" applyNumberFormat="1"/>
    <xf numFmtId="17" fontId="10" fillId="6" borderId="2" xfId="1" applyNumberFormat="1" applyFont="1" applyFill="1" applyBorder="1"/>
    <xf numFmtId="0" fontId="11" fillId="6" borderId="2" xfId="1" applyFont="1" applyFill="1" applyBorder="1"/>
    <xf numFmtId="0" fontId="10" fillId="6" borderId="0" xfId="1" applyFont="1" applyFill="1"/>
    <xf numFmtId="166" fontId="12" fillId="0" borderId="0" xfId="1" applyNumberFormat="1" applyFont="1" applyAlignment="1">
      <alignment horizontal="center" vertical="center"/>
    </xf>
    <xf numFmtId="0" fontId="12" fillId="0" borderId="0" xfId="1" applyFont="1" applyAlignment="1">
      <alignment horizontal="center" vertical="center"/>
    </xf>
    <xf numFmtId="168" fontId="13" fillId="2" borderId="0" xfId="1" applyNumberFormat="1" applyFont="1" applyFill="1" applyAlignment="1">
      <alignment horizontal="center" vertical="center"/>
    </xf>
    <xf numFmtId="0" fontId="13" fillId="2" borderId="0" xfId="1" applyFont="1" applyFill="1" applyAlignment="1">
      <alignment horizontal="center" vertical="center"/>
    </xf>
    <xf numFmtId="166" fontId="12" fillId="0" borderId="0" xfId="1" applyNumberFormat="1" applyFont="1" applyAlignment="1">
      <alignment vertical="center"/>
    </xf>
    <xf numFmtId="0" fontId="12" fillId="0" borderId="0" xfId="1" applyFont="1" applyAlignment="1">
      <alignment vertical="center"/>
    </xf>
    <xf numFmtId="0" fontId="13" fillId="2" borderId="0" xfId="1" applyFont="1" applyFill="1" applyAlignment="1">
      <alignment vertical="center"/>
    </xf>
    <xf numFmtId="9" fontId="14" fillId="3" borderId="3" xfId="1" applyNumberFormat="1" applyFont="1" applyFill="1" applyBorder="1"/>
    <xf numFmtId="0" fontId="14" fillId="3" borderId="3" xfId="1" applyFont="1" applyFill="1" applyBorder="1" applyAlignment="1">
      <alignment horizontal="left"/>
    </xf>
    <xf numFmtId="166" fontId="15" fillId="0" borderId="0" xfId="1" applyNumberFormat="1" applyFont="1"/>
    <xf numFmtId="0" fontId="15" fillId="0" borderId="0" xfId="1" applyFont="1"/>
    <xf numFmtId="166" fontId="16" fillId="0" borderId="4" xfId="1" applyNumberFormat="1" applyFont="1" applyBorder="1"/>
    <xf numFmtId="0" fontId="16" fillId="0" borderId="4" xfId="1" applyFont="1" applyBorder="1"/>
    <xf numFmtId="166" fontId="16" fillId="0" borderId="0" xfId="2" applyNumberFormat="1" applyFont="1" applyFill="1" applyBorder="1"/>
    <xf numFmtId="0" fontId="16" fillId="0" borderId="0" xfId="1" applyFont="1" applyAlignment="1">
      <alignment horizontal="left" indent="1"/>
    </xf>
    <xf numFmtId="0" fontId="16" fillId="0" borderId="0" xfId="1" applyFont="1"/>
    <xf numFmtId="166" fontId="16" fillId="0" borderId="4" xfId="2" applyNumberFormat="1" applyFont="1" applyFill="1" applyBorder="1"/>
    <xf numFmtId="0" fontId="16" fillId="0" borderId="4" xfId="1" applyFont="1" applyBorder="1" applyAlignment="1">
      <alignment horizontal="left" indent="1"/>
    </xf>
    <xf numFmtId="165" fontId="0" fillId="0" borderId="0" xfId="2" applyNumberFormat="1" applyFont="1" applyAlignment="1">
      <alignment horizontal="center"/>
    </xf>
    <xf numFmtId="0" fontId="6" fillId="7" borderId="0" xfId="1" applyFont="1" applyFill="1" applyAlignment="1">
      <alignment horizontal="center"/>
    </xf>
    <xf numFmtId="0" fontId="6" fillId="7" borderId="0" xfId="1" applyFont="1" applyFill="1"/>
    <xf numFmtId="0" fontId="0" fillId="0" borderId="0" xfId="0" applyAlignment="1">
      <alignment horizontal="right"/>
    </xf>
    <xf numFmtId="0" fontId="0" fillId="0" borderId="0" xfId="0" applyAlignment="1">
      <alignment horizontal="left"/>
    </xf>
    <xf numFmtId="0" fontId="0" fillId="9" borderId="0" xfId="0" applyFill="1"/>
    <xf numFmtId="0" fontId="4" fillId="2" borderId="0" xfId="0" applyFont="1" applyFill="1" applyAlignment="1">
      <alignment horizontal="left"/>
    </xf>
    <xf numFmtId="0" fontId="7" fillId="10" borderId="0" xfId="0" applyFont="1" applyFill="1"/>
    <xf numFmtId="0" fontId="0" fillId="11" borderId="0" xfId="0" applyFill="1" applyAlignment="1">
      <alignment horizontal="right"/>
    </xf>
    <xf numFmtId="0" fontId="0" fillId="11" borderId="0" xfId="0" applyFill="1"/>
    <xf numFmtId="49" fontId="0" fillId="0" borderId="0" xfId="0" applyNumberFormat="1"/>
    <xf numFmtId="0" fontId="2" fillId="12" borderId="0" xfId="0" applyFont="1" applyFill="1"/>
    <xf numFmtId="0" fontId="4" fillId="0" borderId="0" xfId="0" applyFont="1"/>
    <xf numFmtId="7" fontId="3" fillId="3" borderId="3" xfId="0" applyNumberFormat="1" applyFont="1" applyFill="1" applyBorder="1"/>
    <xf numFmtId="0" fontId="3" fillId="3" borderId="3" xfId="0" applyFont="1" applyFill="1" applyBorder="1"/>
    <xf numFmtId="7" fontId="0" fillId="0" borderId="0" xfId="3" applyNumberFormat="1" applyFont="1" applyBorder="1"/>
    <xf numFmtId="166" fontId="1" fillId="9" borderId="0" xfId="4" applyNumberFormat="1" applyFont="1" applyFill="1" applyBorder="1"/>
    <xf numFmtId="2" fontId="0" fillId="0" borderId="0" xfId="0" applyNumberFormat="1"/>
    <xf numFmtId="9" fontId="0" fillId="0" borderId="0" xfId="0" applyNumberFormat="1"/>
    <xf numFmtId="9" fontId="17" fillId="0" borderId="0" xfId="0" applyNumberFormat="1" applyFont="1"/>
    <xf numFmtId="0" fontId="17" fillId="0" borderId="0" xfId="0" applyFont="1"/>
    <xf numFmtId="37" fontId="3" fillId="3" borderId="3" xfId="0" applyNumberFormat="1" applyFont="1" applyFill="1" applyBorder="1"/>
    <xf numFmtId="37" fontId="3" fillId="0" borderId="3" xfId="0" applyNumberFormat="1" applyFont="1" applyBorder="1"/>
    <xf numFmtId="0" fontId="3" fillId="0" borderId="3" xfId="0" applyFont="1" applyBorder="1"/>
    <xf numFmtId="37" fontId="0" fillId="0" borderId="0" xfId="0" applyNumberFormat="1"/>
    <xf numFmtId="0" fontId="0" fillId="0" borderId="0" xfId="0" applyAlignment="1">
      <alignment horizontal="left" indent="1"/>
    </xf>
    <xf numFmtId="37" fontId="3" fillId="0" borderId="5" xfId="0" applyNumberFormat="1" applyFont="1" applyBorder="1"/>
    <xf numFmtId="0" fontId="3" fillId="0" borderId="5" xfId="0" applyFont="1" applyBorder="1"/>
    <xf numFmtId="0" fontId="4" fillId="2" borderId="0" xfId="0" applyFont="1" applyFill="1"/>
    <xf numFmtId="0" fontId="5" fillId="10" borderId="0" xfId="0" applyFont="1" applyFill="1"/>
    <xf numFmtId="170" fontId="0" fillId="0" borderId="0" xfId="0" applyNumberFormat="1" applyAlignment="1">
      <alignment horizontal="center"/>
    </xf>
    <xf numFmtId="169" fontId="0" fillId="0" borderId="0" xfId="0" applyNumberFormat="1" applyAlignment="1">
      <alignment horizontal="left"/>
    </xf>
    <xf numFmtId="14" fontId="0" fillId="0" borderId="0" xfId="0" applyNumberFormat="1" applyAlignment="1">
      <alignment horizontal="left"/>
    </xf>
    <xf numFmtId="0" fontId="0" fillId="0" borderId="0" xfId="0" pivotButton="1"/>
    <xf numFmtId="0" fontId="2" fillId="2" borderId="0" xfId="0" applyFont="1" applyFill="1"/>
    <xf numFmtId="0" fontId="4" fillId="12" borderId="0" xfId="0" applyFont="1" applyFill="1"/>
    <xf numFmtId="6" fontId="5" fillId="0" borderId="0" xfId="1" applyNumberFormat="1" applyAlignment="1">
      <alignment horizontal="center"/>
    </xf>
    <xf numFmtId="171" fontId="5" fillId="0" borderId="0" xfId="1" applyNumberFormat="1" applyAlignment="1">
      <alignment horizontal="center"/>
    </xf>
    <xf numFmtId="1" fontId="5" fillId="0" borderId="0" xfId="1" applyNumberFormat="1"/>
    <xf numFmtId="0" fontId="5" fillId="0" borderId="0" xfId="1" applyAlignment="1">
      <alignment horizontal="left"/>
    </xf>
    <xf numFmtId="6" fontId="5" fillId="13" borderId="0" xfId="1" applyNumberFormat="1" applyFill="1" applyAlignment="1">
      <alignment horizontal="center"/>
    </xf>
    <xf numFmtId="17" fontId="6" fillId="5" borderId="0" xfId="1" applyNumberFormat="1" applyFont="1" applyFill="1" applyAlignment="1">
      <alignment horizontal="center"/>
    </xf>
    <xf numFmtId="0" fontId="6" fillId="5" borderId="0" xfId="1" applyFont="1" applyFill="1"/>
    <xf numFmtId="0" fontId="5" fillId="10" borderId="0" xfId="1" applyFill="1"/>
    <xf numFmtId="0" fontId="7" fillId="10" borderId="0" xfId="1" applyFont="1" applyFill="1"/>
    <xf numFmtId="166" fontId="7" fillId="3" borderId="3" xfId="1" applyNumberFormat="1" applyFont="1" applyFill="1" applyBorder="1"/>
    <xf numFmtId="0" fontId="7" fillId="3" borderId="3" xfId="1" applyFont="1" applyFill="1" applyBorder="1" applyAlignment="1">
      <alignment horizontal="left"/>
    </xf>
    <xf numFmtId="166" fontId="5" fillId="0" borderId="0" xfId="2" applyNumberFormat="1" applyFont="1" applyAlignment="1">
      <alignment horizontal="center"/>
    </xf>
    <xf numFmtId="0" fontId="5" fillId="13" borderId="0" xfId="2" applyNumberFormat="1" applyFont="1" applyFill="1" applyAlignment="1">
      <alignment horizontal="center"/>
    </xf>
    <xf numFmtId="43" fontId="18" fillId="0" borderId="0" xfId="2" applyNumberFormat="1" applyFont="1"/>
    <xf numFmtId="0" fontId="5" fillId="0" borderId="0" xfId="1" applyAlignment="1">
      <alignment horizontal="left" indent="1"/>
    </xf>
    <xf numFmtId="166" fontId="18" fillId="0" borderId="0" xfId="2" applyNumberFormat="1" applyFont="1"/>
    <xf numFmtId="167" fontId="5" fillId="0" borderId="0" xfId="1" applyNumberFormat="1" applyAlignment="1">
      <alignment horizontal="right"/>
    </xf>
    <xf numFmtId="171" fontId="5" fillId="0" borderId="0" xfId="1" applyNumberFormat="1" applyAlignment="1">
      <alignment horizontal="right"/>
    </xf>
    <xf numFmtId="0" fontId="5" fillId="13" borderId="0" xfId="1" applyFill="1" applyAlignment="1">
      <alignment horizontal="center"/>
    </xf>
    <xf numFmtId="3" fontId="0" fillId="0" borderId="0" xfId="2" applyNumberFormat="1" applyFont="1" applyAlignment="1">
      <alignment horizontal="center" vertical="center"/>
    </xf>
    <xf numFmtId="0" fontId="6" fillId="2" borderId="0" xfId="1" applyFont="1" applyFill="1" applyAlignment="1">
      <alignment horizontal="center" wrapText="1"/>
    </xf>
    <xf numFmtId="0" fontId="19" fillId="0" borderId="0" xfId="5"/>
    <xf numFmtId="0" fontId="20" fillId="0" borderId="0" xfId="5" applyFont="1"/>
    <xf numFmtId="166" fontId="21" fillId="14" borderId="6" xfId="5" applyNumberFormat="1" applyFont="1" applyFill="1" applyBorder="1"/>
    <xf numFmtId="0" fontId="21" fillId="14" borderId="6" xfId="5" applyFont="1" applyFill="1" applyBorder="1"/>
    <xf numFmtId="166" fontId="21" fillId="0" borderId="7" xfId="5" applyNumberFormat="1" applyFont="1" applyBorder="1"/>
    <xf numFmtId="0" fontId="21" fillId="0" borderId="7" xfId="5" applyFont="1" applyBorder="1"/>
    <xf numFmtId="166" fontId="20" fillId="0" borderId="0" xfId="5" applyNumberFormat="1" applyFont="1" applyAlignment="1">
      <alignment horizontal="center"/>
    </xf>
    <xf numFmtId="0" fontId="20" fillId="0" borderId="0" xfId="5" applyFont="1" applyAlignment="1">
      <alignment horizontal="left"/>
    </xf>
    <xf numFmtId="166" fontId="21" fillId="0" borderId="0" xfId="5" applyNumberFormat="1" applyFont="1"/>
    <xf numFmtId="0" fontId="21" fillId="0" borderId="0" xfId="5" applyFont="1"/>
    <xf numFmtId="166" fontId="20" fillId="0" borderId="0" xfId="5" applyNumberFormat="1" applyFont="1"/>
    <xf numFmtId="166" fontId="22" fillId="0" borderId="0" xfId="5" applyNumberFormat="1" applyFont="1"/>
    <xf numFmtId="0" fontId="23" fillId="15" borderId="0" xfId="5" applyFont="1" applyFill="1"/>
    <xf numFmtId="0" fontId="23" fillId="15" borderId="0" xfId="5" applyFont="1" applyFill="1" applyAlignment="1">
      <alignment horizontal="center"/>
    </xf>
    <xf numFmtId="0" fontId="21" fillId="14" borderId="8" xfId="5" applyFont="1" applyFill="1" applyBorder="1" applyAlignment="1">
      <alignment horizontal="center"/>
    </xf>
    <xf numFmtId="0" fontId="21" fillId="0" borderId="0" xfId="5" applyFont="1" applyAlignment="1">
      <alignment horizontal="right"/>
    </xf>
    <xf numFmtId="10" fontId="22" fillId="0" borderId="0" xfId="5" applyNumberFormat="1" applyFont="1"/>
    <xf numFmtId="172" fontId="22" fillId="0" borderId="9" xfId="5" applyNumberFormat="1" applyFont="1" applyBorder="1"/>
    <xf numFmtId="0" fontId="20" fillId="0" borderId="10" xfId="5" applyFont="1" applyBorder="1"/>
    <xf numFmtId="172" fontId="22" fillId="0" borderId="11" xfId="5" applyNumberFormat="1" applyFont="1" applyBorder="1"/>
    <xf numFmtId="0" fontId="20" fillId="0" borderId="12" xfId="5" applyFont="1" applyBorder="1"/>
    <xf numFmtId="172" fontId="22" fillId="0" borderId="13" xfId="5" applyNumberFormat="1" applyFont="1" applyBorder="1"/>
    <xf numFmtId="0" fontId="20" fillId="0" borderId="14" xfId="5" applyFont="1" applyBorder="1"/>
    <xf numFmtId="0" fontId="25" fillId="16" borderId="0" xfId="5" applyFont="1" applyFill="1"/>
    <xf numFmtId="0" fontId="26" fillId="16" borderId="0" xfId="5" applyFont="1" applyFill="1"/>
    <xf numFmtId="0" fontId="20" fillId="17" borderId="0" xfId="5" applyFont="1" applyFill="1" applyAlignment="1">
      <alignment horizontal="center"/>
    </xf>
    <xf numFmtId="172" fontId="20" fillId="17" borderId="0" xfId="5" applyNumberFormat="1" applyFont="1" applyFill="1"/>
    <xf numFmtId="172" fontId="20" fillId="0" borderId="0" xfId="5" applyNumberFormat="1" applyFont="1"/>
    <xf numFmtId="0" fontId="1" fillId="0" borderId="0" xfId="5" applyFont="1"/>
    <xf numFmtId="173" fontId="27" fillId="15" borderId="0" xfId="5" applyNumberFormat="1" applyFont="1" applyFill="1" applyAlignment="1">
      <alignment horizontal="center"/>
    </xf>
    <xf numFmtId="0" fontId="20" fillId="17" borderId="0" xfId="5" applyFont="1" applyFill="1"/>
    <xf numFmtId="173" fontId="27" fillId="15" borderId="0" xfId="5" applyNumberFormat="1" applyFont="1" applyFill="1" applyAlignment="1">
      <alignment horizontal="center" vertical="center"/>
    </xf>
    <xf numFmtId="173" fontId="23" fillId="15" borderId="0" xfId="5" applyNumberFormat="1" applyFont="1" applyFill="1"/>
    <xf numFmtId="0" fontId="25" fillId="0" borderId="0" xfId="5" applyFont="1"/>
    <xf numFmtId="0" fontId="20" fillId="16" borderId="0" xfId="5" applyFont="1" applyFill="1"/>
    <xf numFmtId="166" fontId="20" fillId="17" borderId="0" xfId="5" applyNumberFormat="1" applyFont="1" applyFill="1"/>
    <xf numFmtId="14" fontId="20" fillId="0" borderId="0" xfId="5" applyNumberFormat="1" applyFont="1" applyAlignment="1">
      <alignment horizontal="center"/>
    </xf>
    <xf numFmtId="6" fontId="20" fillId="0" borderId="0" xfId="5" applyNumberFormat="1" applyFont="1" applyAlignment="1">
      <alignment horizontal="center"/>
    </xf>
    <xf numFmtId="17" fontId="23" fillId="15" borderId="0" xfId="5" applyNumberFormat="1" applyFont="1" applyFill="1"/>
    <xf numFmtId="14" fontId="20" fillId="0" borderId="0" xfId="5" applyNumberFormat="1" applyFont="1"/>
    <xf numFmtId="10" fontId="5" fillId="0" borderId="0" xfId="1" applyNumberFormat="1"/>
    <xf numFmtId="0" fontId="5" fillId="0" borderId="0" xfId="1" pivotButton="1"/>
    <xf numFmtId="0" fontId="5" fillId="18" borderId="0" xfId="1" applyFill="1"/>
    <xf numFmtId="0" fontId="7" fillId="19" borderId="0" xfId="1" applyFont="1" applyFill="1"/>
    <xf numFmtId="0" fontId="7" fillId="19" borderId="0" xfId="1" applyFont="1" applyFill="1" applyAlignment="1">
      <alignment horizontal="left" indent="1"/>
    </xf>
    <xf numFmtId="0" fontId="7" fillId="0" borderId="0" xfId="1" applyFont="1"/>
    <xf numFmtId="0" fontId="6" fillId="20" borderId="0" xfId="1" applyFont="1" applyFill="1" applyAlignment="1">
      <alignment horizontal="left" indent="1"/>
    </xf>
    <xf numFmtId="174" fontId="7" fillId="0" borderId="5" xfId="1" applyNumberFormat="1" applyFont="1" applyBorder="1"/>
    <xf numFmtId="0" fontId="7" fillId="0" borderId="5" xfId="1" applyFont="1" applyBorder="1" applyAlignment="1">
      <alignment horizontal="left"/>
    </xf>
    <xf numFmtId="174" fontId="5" fillId="0" borderId="0" xfId="1" applyNumberFormat="1"/>
    <xf numFmtId="175" fontId="0" fillId="0" borderId="0" xfId="2" applyNumberFormat="1" applyFont="1" applyAlignment="1">
      <alignment horizontal="center"/>
    </xf>
    <xf numFmtId="0" fontId="29" fillId="0" borderId="0" xfId="1" applyFont="1"/>
    <xf numFmtId="0" fontId="7" fillId="19" borderId="1" xfId="1" applyFont="1" applyFill="1" applyBorder="1" applyAlignment="1">
      <alignment horizontal="center"/>
    </xf>
    <xf numFmtId="0" fontId="30" fillId="0" borderId="0" xfId="1" applyFont="1"/>
    <xf numFmtId="176" fontId="5" fillId="13" borderId="0" xfId="2" applyNumberFormat="1" applyFont="1" applyFill="1" applyAlignment="1">
      <alignment horizontal="center"/>
    </xf>
    <xf numFmtId="0" fontId="31" fillId="0" borderId="0" xfId="6"/>
    <xf numFmtId="6" fontId="25" fillId="0" borderId="0" xfId="6" applyNumberFormat="1" applyFont="1" applyAlignment="1">
      <alignment horizontal="center"/>
    </xf>
    <xf numFmtId="3" fontId="25" fillId="0" borderId="0" xfId="6" applyNumberFormat="1" applyFont="1" applyAlignment="1">
      <alignment horizontal="center"/>
    </xf>
    <xf numFmtId="8" fontId="25" fillId="0" borderId="0" xfId="6" applyNumberFormat="1" applyFont="1" applyAlignment="1">
      <alignment horizontal="center"/>
    </xf>
    <xf numFmtId="0" fontId="25" fillId="0" borderId="0" xfId="6" applyFont="1" applyAlignment="1">
      <alignment horizontal="left"/>
    </xf>
    <xf numFmtId="0" fontId="25" fillId="0" borderId="0" xfId="6" applyFont="1" applyAlignment="1">
      <alignment horizontal="center"/>
    </xf>
    <xf numFmtId="14" fontId="25" fillId="0" borderId="0" xfId="6" applyNumberFormat="1" applyFont="1" applyAlignment="1">
      <alignment horizontal="center"/>
    </xf>
    <xf numFmtId="0" fontId="23" fillId="15" borderId="0" xfId="6" applyFont="1" applyFill="1" applyAlignment="1">
      <alignment horizontal="center"/>
    </xf>
    <xf numFmtId="9" fontId="32" fillId="16" borderId="0" xfId="6" applyNumberFormat="1" applyFont="1" applyFill="1"/>
    <xf numFmtId="0" fontId="20" fillId="16" borderId="0" xfId="6" applyFont="1" applyFill="1"/>
    <xf numFmtId="0" fontId="20" fillId="16" borderId="0" xfId="6" applyFont="1" applyFill="1" applyAlignment="1">
      <alignment horizontal="left"/>
    </xf>
    <xf numFmtId="0" fontId="32" fillId="16" borderId="0" xfId="6" applyFont="1" applyFill="1"/>
    <xf numFmtId="6" fontId="32" fillId="16" borderId="0" xfId="6" applyNumberFormat="1" applyFont="1" applyFill="1"/>
    <xf numFmtId="166" fontId="32" fillId="16" borderId="0" xfId="6" applyNumberFormat="1" applyFont="1" applyFill="1"/>
    <xf numFmtId="0" fontId="15" fillId="16" borderId="0" xfId="6" applyFont="1" applyFill="1"/>
    <xf numFmtId="0" fontId="20" fillId="0" borderId="0" xfId="6" applyFont="1"/>
    <xf numFmtId="166" fontId="20" fillId="0" borderId="0" xfId="6" applyNumberFormat="1" applyFont="1"/>
    <xf numFmtId="0" fontId="20" fillId="0" borderId="0" xfId="6" applyFont="1" applyAlignment="1">
      <alignment horizontal="left"/>
    </xf>
    <xf numFmtId="166" fontId="15" fillId="0" borderId="15" xfId="6" applyNumberFormat="1" applyFont="1" applyBorder="1"/>
    <xf numFmtId="0" fontId="15" fillId="0" borderId="15" xfId="6" applyFont="1" applyBorder="1" applyAlignment="1">
      <alignment horizontal="left"/>
    </xf>
    <xf numFmtId="166" fontId="15" fillId="0" borderId="0" xfId="6" applyNumberFormat="1" applyFont="1"/>
    <xf numFmtId="0" fontId="15" fillId="0" borderId="0" xfId="6" applyFont="1" applyAlignment="1">
      <alignment horizontal="left"/>
    </xf>
    <xf numFmtId="166" fontId="20" fillId="0" borderId="16" xfId="6" applyNumberFormat="1" applyFont="1" applyBorder="1"/>
    <xf numFmtId="0" fontId="20" fillId="0" borderId="16" xfId="6" applyFont="1" applyBorder="1" applyAlignment="1">
      <alignment horizontal="left"/>
    </xf>
    <xf numFmtId="166" fontId="16" fillId="0" borderId="0" xfId="6" applyNumberFormat="1" applyFont="1"/>
    <xf numFmtId="9" fontId="14" fillId="0" borderId="0" xfId="6" applyNumberFormat="1" applyFont="1"/>
    <xf numFmtId="0" fontId="14" fillId="0" borderId="0" xfId="6" applyFont="1" applyAlignment="1">
      <alignment horizontal="left"/>
    </xf>
    <xf numFmtId="0" fontId="15" fillId="0" borderId="0" xfId="6" applyFont="1"/>
    <xf numFmtId="0" fontId="20" fillId="0" borderId="16" xfId="6" applyFont="1" applyBorder="1"/>
    <xf numFmtId="177" fontId="28" fillId="15" borderId="17" xfId="6" applyNumberFormat="1" applyFont="1" applyFill="1" applyBorder="1"/>
    <xf numFmtId="0" fontId="27" fillId="15" borderId="17" xfId="6" applyFont="1" applyFill="1" applyBorder="1"/>
    <xf numFmtId="0" fontId="28" fillId="15" borderId="0" xfId="6" applyFont="1" applyFill="1"/>
    <xf numFmtId="166" fontId="21" fillId="0" borderId="15" xfId="6" applyNumberFormat="1" applyFont="1" applyBorder="1" applyAlignment="1">
      <alignment vertical="center"/>
    </xf>
    <xf numFmtId="0" fontId="21" fillId="0" borderId="15" xfId="6" applyFont="1" applyBorder="1" applyAlignment="1">
      <alignment vertical="center"/>
    </xf>
    <xf numFmtId="166" fontId="20" fillId="0" borderId="0" xfId="6" applyNumberFormat="1" applyFont="1" applyAlignment="1">
      <alignment vertical="center"/>
    </xf>
    <xf numFmtId="0" fontId="20" fillId="0" borderId="0" xfId="6" applyFont="1" applyAlignment="1">
      <alignment vertical="center"/>
    </xf>
    <xf numFmtId="17" fontId="28" fillId="15" borderId="0" xfId="6" applyNumberFormat="1" applyFont="1" applyFill="1" applyAlignment="1">
      <alignment vertical="center"/>
    </xf>
    <xf numFmtId="0" fontId="28" fillId="15" borderId="0" xfId="6" applyFont="1" applyFill="1" applyAlignment="1">
      <alignment vertical="center"/>
    </xf>
    <xf numFmtId="178" fontId="31" fillId="0" borderId="0" xfId="6" applyNumberFormat="1"/>
    <xf numFmtId="0" fontId="5" fillId="0" borderId="0" xfId="6" applyFont="1"/>
    <xf numFmtId="0" fontId="33" fillId="15" borderId="0" xfId="6" applyFont="1" applyFill="1" applyAlignment="1">
      <alignment horizontal="center"/>
    </xf>
    <xf numFmtId="0" fontId="33" fillId="15" borderId="0" xfId="6" applyFont="1" applyFill="1"/>
    <xf numFmtId="0" fontId="31" fillId="0" borderId="0" xfId="6" applyAlignment="1">
      <alignment horizontal="left"/>
    </xf>
    <xf numFmtId="0" fontId="33" fillId="21" borderId="0" xfId="6" applyFont="1" applyFill="1"/>
    <xf numFmtId="166" fontId="26" fillId="0" borderId="0" xfId="6" applyNumberFormat="1" applyFont="1"/>
    <xf numFmtId="166" fontId="21" fillId="0" borderId="3" xfId="6" applyNumberFormat="1" applyFont="1" applyBorder="1"/>
    <xf numFmtId="0" fontId="26" fillId="0" borderId="3" xfId="6" applyFont="1" applyBorder="1"/>
    <xf numFmtId="0" fontId="25" fillId="0" borderId="0" xfId="6" applyFont="1"/>
    <xf numFmtId="17" fontId="25" fillId="0" borderId="0" xfId="6" applyNumberFormat="1" applyFont="1" applyAlignment="1">
      <alignment horizontal="center"/>
    </xf>
    <xf numFmtId="0" fontId="34" fillId="0" borderId="0" xfId="6" applyFont="1" applyAlignment="1">
      <alignment horizontal="left"/>
    </xf>
    <xf numFmtId="0" fontId="35" fillId="0" borderId="0" xfId="7"/>
    <xf numFmtId="179" fontId="31" fillId="0" borderId="0" xfId="6" applyNumberFormat="1"/>
    <xf numFmtId="179" fontId="25" fillId="0" borderId="0" xfId="6" applyNumberFormat="1" applyFont="1"/>
    <xf numFmtId="180" fontId="25" fillId="0" borderId="0" xfId="6" applyNumberFormat="1" applyFont="1"/>
    <xf numFmtId="9" fontId="25" fillId="0" borderId="0" xfId="6" applyNumberFormat="1" applyFont="1"/>
    <xf numFmtId="1" fontId="25" fillId="0" borderId="0" xfId="6" quotePrefix="1" applyNumberFormat="1" applyFont="1"/>
    <xf numFmtId="0" fontId="37" fillId="22" borderId="0" xfId="0" applyFont="1" applyFill="1"/>
    <xf numFmtId="0" fontId="37" fillId="22" borderId="0" xfId="0" applyFont="1" applyFill="1" applyAlignment="1">
      <alignment horizontal="center" vertical="center"/>
    </xf>
    <xf numFmtId="0" fontId="0" fillId="0" borderId="0" xfId="0" applyAlignment="1">
      <alignment horizontal="center" vertical="center"/>
    </xf>
    <xf numFmtId="0" fontId="0" fillId="23" borderId="0" xfId="0" applyFill="1" applyAlignment="1">
      <alignment horizontal="center" vertical="center"/>
    </xf>
    <xf numFmtId="0" fontId="37" fillId="22" borderId="19" xfId="0" applyFont="1" applyFill="1" applyBorder="1"/>
    <xf numFmtId="0" fontId="37" fillId="22" borderId="20" xfId="0" applyFont="1" applyFill="1" applyBorder="1"/>
    <xf numFmtId="0" fontId="37" fillId="22" borderId="21" xfId="0" applyFont="1" applyFill="1" applyBorder="1"/>
    <xf numFmtId="0" fontId="37" fillId="22" borderId="18" xfId="0" applyFont="1" applyFill="1" applyBorder="1"/>
    <xf numFmtId="0" fontId="0" fillId="24" borderId="0" xfId="0" applyFill="1"/>
    <xf numFmtId="0" fontId="0" fillId="25" borderId="0" xfId="0" applyFill="1"/>
    <xf numFmtId="0" fontId="38" fillId="0" borderId="0" xfId="0" applyFont="1" applyAlignment="1">
      <alignment horizontal="right"/>
    </xf>
    <xf numFmtId="0" fontId="39" fillId="0" borderId="0" xfId="0" applyFont="1"/>
    <xf numFmtId="0" fontId="0" fillId="26" borderId="0" xfId="0" applyFill="1"/>
    <xf numFmtId="181" fontId="0" fillId="0" borderId="0" xfId="0" applyNumberFormat="1"/>
    <xf numFmtId="182" fontId="0" fillId="0" borderId="0" xfId="0" applyNumberFormat="1"/>
    <xf numFmtId="3" fontId="0" fillId="0" borderId="0" xfId="0" applyNumberFormat="1"/>
    <xf numFmtId="0" fontId="0" fillId="0" borderId="2" xfId="0" applyBorder="1"/>
    <xf numFmtId="14" fontId="0" fillId="0" borderId="0" xfId="0" applyNumberFormat="1"/>
    <xf numFmtId="183" fontId="0" fillId="0" borderId="0" xfId="0" applyNumberFormat="1"/>
    <xf numFmtId="0" fontId="37" fillId="0" borderId="0" xfId="0" applyFont="1"/>
    <xf numFmtId="0" fontId="37" fillId="0" borderId="2" xfId="0" applyFont="1" applyBorder="1"/>
    <xf numFmtId="0" fontId="0" fillId="27" borderId="0" xfId="0" applyFill="1"/>
    <xf numFmtId="0" fontId="0" fillId="18" borderId="0" xfId="0" applyFill="1"/>
    <xf numFmtId="0" fontId="1" fillId="0" borderId="0" xfId="1" applyFont="1"/>
    <xf numFmtId="0" fontId="1" fillId="0" borderId="0" xfId="1" applyFont="1" applyAlignment="1">
      <alignment horizontal="center"/>
    </xf>
    <xf numFmtId="9" fontId="41" fillId="0" borderId="0" xfId="1" applyNumberFormat="1" applyFont="1"/>
    <xf numFmtId="0" fontId="1" fillId="0" borderId="0" xfId="1" applyFont="1" applyAlignment="1">
      <alignment horizontal="left"/>
    </xf>
    <xf numFmtId="166" fontId="42" fillId="0" borderId="0" xfId="1" applyNumberFormat="1" applyFont="1"/>
    <xf numFmtId="0" fontId="1" fillId="0" borderId="0" xfId="1" applyFont="1" applyAlignment="1">
      <alignment horizontal="left" indent="1"/>
    </xf>
    <xf numFmtId="43" fontId="42" fillId="0" borderId="0" xfId="1" applyNumberFormat="1" applyFont="1"/>
    <xf numFmtId="9" fontId="42" fillId="0" borderId="0" xfId="8" applyFont="1"/>
    <xf numFmtId="166" fontId="1" fillId="0" borderId="0" xfId="1" applyNumberFormat="1" applyFont="1"/>
    <xf numFmtId="0" fontId="3" fillId="4" borderId="0" xfId="1" applyFont="1" applyFill="1"/>
    <xf numFmtId="0" fontId="3" fillId="4" borderId="0" xfId="1" applyFont="1" applyFill="1" applyAlignment="1">
      <alignment horizontal="center"/>
    </xf>
    <xf numFmtId="0" fontId="43" fillId="4" borderId="0" xfId="1" applyFont="1" applyFill="1"/>
    <xf numFmtId="166" fontId="3" fillId="3" borderId="3" xfId="1" applyNumberFormat="1" applyFont="1" applyFill="1" applyBorder="1"/>
    <xf numFmtId="0" fontId="3" fillId="3" borderId="3" xfId="1" applyFont="1" applyFill="1" applyBorder="1" applyAlignment="1">
      <alignment horizontal="center"/>
    </xf>
    <xf numFmtId="0" fontId="3" fillId="3" borderId="3" xfId="1" applyFont="1" applyFill="1" applyBorder="1"/>
    <xf numFmtId="166" fontId="1" fillId="0" borderId="0" xfId="1" applyNumberFormat="1" applyFont="1" applyAlignment="1">
      <alignment horizontal="right"/>
    </xf>
    <xf numFmtId="9" fontId="44" fillId="0" borderId="0" xfId="8" applyFont="1"/>
    <xf numFmtId="0" fontId="44" fillId="0" borderId="0" xfId="1" applyFont="1"/>
    <xf numFmtId="166" fontId="3" fillId="0" borderId="3" xfId="1" applyNumberFormat="1" applyFont="1" applyBorder="1"/>
    <xf numFmtId="0" fontId="3" fillId="0" borderId="3" xfId="1" applyFont="1" applyBorder="1" applyAlignment="1">
      <alignment horizontal="center"/>
    </xf>
    <xf numFmtId="0" fontId="3" fillId="0" borderId="3" xfId="1" applyFont="1" applyBorder="1"/>
    <xf numFmtId="166" fontId="3" fillId="0" borderId="0" xfId="1" applyNumberFormat="1" applyFont="1"/>
    <xf numFmtId="0" fontId="3" fillId="0" borderId="0" xfId="1" applyFont="1" applyAlignment="1">
      <alignment horizontal="center"/>
    </xf>
    <xf numFmtId="0" fontId="3" fillId="0" borderId="0" xfId="1" applyFont="1"/>
    <xf numFmtId="166" fontId="3" fillId="0" borderId="5" xfId="1" applyNumberFormat="1" applyFont="1" applyBorder="1"/>
    <xf numFmtId="0" fontId="3" fillId="0" borderId="5" xfId="1" applyFont="1" applyBorder="1" applyAlignment="1">
      <alignment horizontal="center"/>
    </xf>
    <xf numFmtId="0" fontId="3" fillId="0" borderId="5" xfId="1" applyFont="1" applyBorder="1"/>
    <xf numFmtId="0" fontId="45" fillId="0" borderId="0" xfId="1" applyFont="1" applyAlignment="1">
      <alignment horizontal="center"/>
    </xf>
    <xf numFmtId="3" fontId="1" fillId="0" borderId="0" xfId="1" applyNumberFormat="1" applyFont="1"/>
    <xf numFmtId="0" fontId="1" fillId="11" borderId="0" xfId="1" applyFont="1" applyFill="1" applyAlignment="1">
      <alignment horizontal="center" vertical="center"/>
    </xf>
    <xf numFmtId="0" fontId="3" fillId="28" borderId="0" xfId="1" applyFont="1" applyFill="1"/>
    <xf numFmtId="0" fontId="3" fillId="28" borderId="0" xfId="1" applyFont="1" applyFill="1" applyAlignment="1">
      <alignment horizontal="center"/>
    </xf>
    <xf numFmtId="17" fontId="46" fillId="29" borderId="0" xfId="1" applyNumberFormat="1" applyFont="1" applyFill="1" applyAlignment="1">
      <alignment horizontal="center"/>
    </xf>
    <xf numFmtId="17" fontId="46" fillId="30" borderId="0" xfId="1" applyNumberFormat="1" applyFont="1" applyFill="1" applyAlignment="1">
      <alignment horizontal="center"/>
    </xf>
    <xf numFmtId="0" fontId="46" fillId="29" borderId="0" xfId="1" applyFont="1" applyFill="1" applyAlignment="1">
      <alignment horizontal="center"/>
    </xf>
    <xf numFmtId="0" fontId="46" fillId="29" borderId="0" xfId="1" applyFont="1" applyFill="1"/>
    <xf numFmtId="1" fontId="47" fillId="31" borderId="0" xfId="2" applyNumberFormat="1" applyFont="1" applyFill="1" applyAlignment="1">
      <alignment horizontal="center"/>
    </xf>
    <xf numFmtId="0" fontId="47" fillId="31" borderId="0" xfId="1" applyFont="1" applyFill="1" applyAlignment="1">
      <alignment horizontal="center"/>
    </xf>
    <xf numFmtId="0" fontId="47" fillId="31" borderId="0" xfId="1" applyFont="1" applyFill="1"/>
    <xf numFmtId="184" fontId="0" fillId="0" borderId="0" xfId="3" applyNumberFormat="1" applyFont="1" applyFill="1"/>
    <xf numFmtId="9" fontId="3" fillId="0" borderId="3" xfId="10" applyFont="1" applyFill="1" applyBorder="1"/>
    <xf numFmtId="0" fontId="48" fillId="0" borderId="3" xfId="0" applyFont="1" applyBorder="1"/>
    <xf numFmtId="0" fontId="0" fillId="4" borderId="0" xfId="0" applyFill="1"/>
    <xf numFmtId="184" fontId="0" fillId="4" borderId="0" xfId="3" applyNumberFormat="1" applyFont="1" applyFill="1"/>
    <xf numFmtId="0" fontId="3" fillId="4" borderId="0" xfId="0" applyFont="1" applyFill="1"/>
    <xf numFmtId="184" fontId="0" fillId="0" borderId="0" xfId="3" applyNumberFormat="1" applyFont="1"/>
    <xf numFmtId="184" fontId="0" fillId="0" borderId="0" xfId="0" applyNumberFormat="1" applyAlignment="1">
      <alignment horizontal="right"/>
    </xf>
    <xf numFmtId="184" fontId="41" fillId="0" borderId="0" xfId="3" applyNumberFormat="1" applyFont="1" applyAlignment="1">
      <alignment horizontal="right"/>
    </xf>
    <xf numFmtId="37" fontId="3" fillId="3" borderId="3" xfId="9" applyNumberFormat="1" applyFont="1" applyFill="1" applyBorder="1" applyAlignment="1">
      <alignment horizontal="right"/>
    </xf>
    <xf numFmtId="37" fontId="1" fillId="0" borderId="0" xfId="9" applyNumberFormat="1" applyFont="1" applyAlignment="1">
      <alignment horizontal="right"/>
    </xf>
    <xf numFmtId="0" fontId="49" fillId="0" borderId="0" xfId="0" applyFont="1"/>
    <xf numFmtId="17" fontId="2" fillId="5" borderId="0" xfId="0" applyNumberFormat="1" applyFont="1" applyFill="1" applyAlignment="1">
      <alignment horizontal="center"/>
    </xf>
    <xf numFmtId="0" fontId="2" fillId="5" borderId="0" xfId="0" applyFont="1" applyFill="1"/>
    <xf numFmtId="0" fontId="48" fillId="3" borderId="1" xfId="0" applyFont="1" applyFill="1" applyBorder="1" applyAlignment="1">
      <alignment horizontal="center"/>
    </xf>
    <xf numFmtId="0" fontId="49" fillId="0" borderId="0" xfId="0" applyFont="1" applyAlignment="1">
      <alignment horizontal="right"/>
    </xf>
    <xf numFmtId="170" fontId="0" fillId="0" borderId="0" xfId="0" applyNumberFormat="1"/>
    <xf numFmtId="165" fontId="0" fillId="0" borderId="0" xfId="9" applyNumberFormat="1" applyFont="1" applyAlignment="1">
      <alignment horizontal="center"/>
    </xf>
    <xf numFmtId="17" fontId="0" fillId="4" borderId="0" xfId="0" applyNumberFormat="1" applyFill="1" applyAlignment="1">
      <alignment horizontal="right"/>
    </xf>
    <xf numFmtId="14" fontId="0" fillId="4" borderId="0" xfId="0" applyNumberFormat="1" applyFill="1" applyAlignment="1">
      <alignment horizontal="left"/>
    </xf>
    <xf numFmtId="164" fontId="2" fillId="5" borderId="0" xfId="9" applyFont="1" applyFill="1" applyAlignment="1">
      <alignment horizontal="center"/>
    </xf>
    <xf numFmtId="0" fontId="2" fillId="5" borderId="0" xfId="0" applyFont="1" applyFill="1" applyAlignment="1">
      <alignment horizontal="center"/>
    </xf>
    <xf numFmtId="167" fontId="0" fillId="0" borderId="0" xfId="0" applyNumberFormat="1" applyAlignment="1">
      <alignment horizontal="center"/>
    </xf>
    <xf numFmtId="14" fontId="0" fillId="0" borderId="0" xfId="0" applyNumberFormat="1" applyAlignment="1">
      <alignment horizontal="center"/>
    </xf>
    <xf numFmtId="1" fontId="0" fillId="0" borderId="0" xfId="0" applyNumberFormat="1" applyAlignment="1">
      <alignment horizontal="left"/>
    </xf>
    <xf numFmtId="0" fontId="9" fillId="0" borderId="0" xfId="0" applyFont="1"/>
    <xf numFmtId="167" fontId="3" fillId="3" borderId="1" xfId="0" applyNumberFormat="1" applyFont="1" applyFill="1" applyBorder="1" applyAlignment="1">
      <alignment horizontal="center"/>
    </xf>
    <xf numFmtId="0" fontId="3" fillId="0" borderId="1" xfId="0" applyFont="1" applyBorder="1" applyAlignment="1">
      <alignment horizontal="center"/>
    </xf>
    <xf numFmtId="0" fontId="6" fillId="5" borderId="0" xfId="0" applyFont="1" applyFill="1" applyAlignment="1">
      <alignment horizontal="center"/>
    </xf>
    <xf numFmtId="0" fontId="3" fillId="0" borderId="0" xfId="0" applyFont="1"/>
    <xf numFmtId="0" fontId="20" fillId="0" borderId="0" xfId="0" applyFont="1" applyAlignment="1">
      <alignment horizontal="center"/>
    </xf>
    <xf numFmtId="0" fontId="20" fillId="0" borderId="0" xfId="0" applyFont="1"/>
    <xf numFmtId="0" fontId="51" fillId="0" borderId="0" xfId="0" applyFont="1"/>
    <xf numFmtId="0" fontId="28" fillId="20" borderId="22" xfId="0" applyFont="1" applyFill="1" applyBorder="1" applyAlignment="1">
      <alignment horizontal="center"/>
    </xf>
    <xf numFmtId="0" fontId="28" fillId="20" borderId="23" xfId="0" applyFont="1" applyFill="1" applyBorder="1" applyAlignment="1">
      <alignment horizontal="center"/>
    </xf>
    <xf numFmtId="0" fontId="28" fillId="20" borderId="24" xfId="0" applyFont="1" applyFill="1" applyBorder="1" applyAlignment="1">
      <alignment horizontal="center"/>
    </xf>
    <xf numFmtId="0" fontId="28" fillId="20" borderId="0" xfId="0" applyFont="1" applyFill="1" applyAlignment="1">
      <alignment horizontal="center"/>
    </xf>
    <xf numFmtId="0" fontId="6" fillId="20" borderId="0" xfId="1" applyFont="1" applyFill="1" applyAlignment="1">
      <alignment horizontal="center"/>
    </xf>
    <xf numFmtId="165" fontId="7" fillId="3" borderId="3" xfId="2" applyNumberFormat="1" applyFont="1" applyFill="1" applyBorder="1"/>
    <xf numFmtId="0" fontId="7" fillId="3" borderId="3" xfId="1" applyFont="1" applyFill="1" applyBorder="1"/>
    <xf numFmtId="165" fontId="7" fillId="0" borderId="5" xfId="2" applyNumberFormat="1" applyFont="1" applyBorder="1"/>
    <xf numFmtId="0" fontId="7" fillId="0" borderId="5" xfId="1" applyFont="1" applyBorder="1"/>
    <xf numFmtId="185" fontId="5" fillId="0" borderId="0" xfId="1" applyNumberFormat="1"/>
    <xf numFmtId="17" fontId="6" fillId="5" borderId="0" xfId="1" applyNumberFormat="1" applyFont="1" applyFill="1"/>
    <xf numFmtId="0" fontId="8" fillId="5" borderId="0" xfId="1" applyFont="1" applyFill="1"/>
    <xf numFmtId="166" fontId="18" fillId="10" borderId="0" xfId="2" applyNumberFormat="1" applyFont="1" applyFill="1"/>
    <xf numFmtId="0" fontId="5" fillId="10" borderId="0" xfId="1" applyFill="1" applyAlignment="1">
      <alignment horizontal="left" indent="1"/>
    </xf>
    <xf numFmtId="177" fontId="5" fillId="10" borderId="0" xfId="1" applyNumberFormat="1" applyFill="1"/>
    <xf numFmtId="166" fontId="7" fillId="3" borderId="25" xfId="2" applyNumberFormat="1" applyFont="1" applyFill="1" applyBorder="1"/>
    <xf numFmtId="0" fontId="7" fillId="3" borderId="25" xfId="1" applyFont="1" applyFill="1" applyBorder="1"/>
    <xf numFmtId="166" fontId="0" fillId="0" borderId="0" xfId="2" applyNumberFormat="1" applyFont="1"/>
    <xf numFmtId="173" fontId="29" fillId="20" borderId="4" xfId="1" applyNumberFormat="1" applyFont="1" applyFill="1" applyBorder="1" applyAlignment="1">
      <alignment horizontal="center"/>
    </xf>
    <xf numFmtId="0" fontId="29" fillId="5" borderId="0" xfId="1" applyFont="1" applyFill="1" applyAlignment="1">
      <alignment horizontal="left"/>
    </xf>
    <xf numFmtId="1" fontId="52" fillId="3" borderId="26" xfId="2" applyNumberFormat="1" applyFont="1" applyFill="1" applyBorder="1" applyAlignment="1">
      <alignment horizontal="center" vertical="center"/>
    </xf>
    <xf numFmtId="0" fontId="7" fillId="0" borderId="0" xfId="1" applyFont="1" applyAlignment="1">
      <alignment horizontal="left"/>
    </xf>
    <xf numFmtId="172" fontId="53" fillId="3" borderId="3" xfId="11" applyNumberFormat="1" applyFont="1" applyFill="1" applyBorder="1"/>
    <xf numFmtId="0" fontId="53" fillId="3" borderId="3" xfId="1" applyFont="1" applyFill="1" applyBorder="1"/>
    <xf numFmtId="166" fontId="7" fillId="0" borderId="25" xfId="2" applyNumberFormat="1" applyFont="1" applyFill="1" applyBorder="1"/>
    <xf numFmtId="0" fontId="7" fillId="0" borderId="25" xfId="1" applyFont="1" applyBorder="1"/>
    <xf numFmtId="171" fontId="5" fillId="0" borderId="0" xfId="1" applyNumberFormat="1"/>
    <xf numFmtId="178" fontId="5" fillId="0" borderId="0" xfId="1" applyNumberFormat="1"/>
    <xf numFmtId="0" fontId="18" fillId="0" borderId="0" xfId="1" applyFont="1" applyAlignment="1">
      <alignment horizontal="center"/>
    </xf>
    <xf numFmtId="0" fontId="6" fillId="20" borderId="0" xfId="1" applyFont="1" applyFill="1"/>
    <xf numFmtId="0" fontId="7" fillId="0" borderId="0" xfId="1" applyFont="1" applyAlignment="1">
      <alignment horizontal="center"/>
    </xf>
    <xf numFmtId="10" fontId="7" fillId="3" borderId="1" xfId="1" applyNumberFormat="1" applyFont="1" applyFill="1" applyBorder="1" applyAlignment="1">
      <alignment horizontal="center"/>
    </xf>
    <xf numFmtId="186" fontId="7" fillId="3" borderId="1" xfId="1" applyNumberFormat="1" applyFont="1" applyFill="1" applyBorder="1"/>
    <xf numFmtId="166" fontId="7" fillId="0" borderId="0" xfId="1" applyNumberFormat="1" applyFont="1"/>
    <xf numFmtId="9" fontId="54" fillId="0" borderId="1" xfId="1" applyNumberFormat="1" applyFont="1" applyBorder="1" applyAlignment="1">
      <alignment horizontal="center"/>
    </xf>
    <xf numFmtId="166" fontId="7" fillId="0" borderId="3" xfId="1" applyNumberFormat="1" applyFont="1" applyBorder="1"/>
    <xf numFmtId="0" fontId="7" fillId="0" borderId="3" xfId="1" applyFont="1" applyBorder="1"/>
    <xf numFmtId="166" fontId="25" fillId="8" borderId="0" xfId="2" applyNumberFormat="1" applyFont="1" applyFill="1" applyBorder="1"/>
    <xf numFmtId="173" fontId="5" fillId="4" borderId="4" xfId="1" applyNumberFormat="1" applyFill="1" applyBorder="1" applyAlignment="1">
      <alignment horizontal="center"/>
    </xf>
    <xf numFmtId="0" fontId="5" fillId="4" borderId="4" xfId="1" applyFill="1" applyBorder="1" applyAlignment="1">
      <alignment horizontal="center"/>
    </xf>
    <xf numFmtId="0" fontId="7" fillId="0" borderId="4" xfId="1" applyFont="1" applyBorder="1"/>
    <xf numFmtId="0" fontId="7" fillId="3" borderId="1" xfId="1" applyFont="1" applyFill="1" applyBorder="1" applyAlignment="1">
      <alignment horizontal="center"/>
    </xf>
    <xf numFmtId="0" fontId="3" fillId="0" borderId="0" xfId="1" applyFont="1" applyAlignment="1">
      <alignment horizontal="right"/>
    </xf>
    <xf numFmtId="0" fontId="2" fillId="0" borderId="0" xfId="1" applyFont="1" applyAlignment="1">
      <alignment horizontal="center"/>
    </xf>
    <xf numFmtId="187" fontId="7" fillId="3" borderId="1" xfId="1" applyNumberFormat="1" applyFont="1" applyFill="1" applyBorder="1"/>
    <xf numFmtId="165" fontId="7" fillId="3" borderId="1" xfId="2" applyNumberFormat="1" applyFont="1" applyFill="1" applyBorder="1" applyAlignment="1">
      <alignment horizontal="center" vertical="center"/>
    </xf>
    <xf numFmtId="0" fontId="18" fillId="0" borderId="0" xfId="1" applyFont="1"/>
    <xf numFmtId="9" fontId="5" fillId="0" borderId="0" xfId="1" applyNumberFormat="1"/>
    <xf numFmtId="187" fontId="5" fillId="0" borderId="0" xfId="1" applyNumberFormat="1"/>
    <xf numFmtId="187" fontId="7" fillId="3" borderId="3" xfId="1" applyNumberFormat="1" applyFont="1" applyFill="1" applyBorder="1"/>
    <xf numFmtId="187" fontId="18" fillId="0" borderId="0" xfId="1" applyNumberFormat="1" applyFont="1"/>
    <xf numFmtId="188" fontId="18" fillId="0" borderId="0" xfId="1" applyNumberFormat="1" applyFont="1"/>
    <xf numFmtId="166" fontId="7" fillId="3" borderId="1" xfId="1" applyNumberFormat="1" applyFont="1" applyFill="1" applyBorder="1"/>
    <xf numFmtId="49" fontId="31" fillId="0" borderId="0" xfId="6" applyNumberFormat="1"/>
    <xf numFmtId="0" fontId="3" fillId="0" borderId="4" xfId="0" applyFont="1" applyBorder="1" applyAlignment="1">
      <alignment horizontal="center"/>
    </xf>
    <xf numFmtId="165" fontId="55" fillId="0" borderId="0" xfId="9" applyNumberFormat="1" applyFont="1"/>
    <xf numFmtId="165" fontId="55" fillId="0" borderId="0" xfId="9" applyNumberFormat="1" applyFont="1" applyBorder="1" applyAlignment="1">
      <alignment horizontal="center" vertical="center"/>
    </xf>
    <xf numFmtId="165" fontId="55" fillId="0" borderId="0" xfId="9" applyNumberFormat="1" applyFont="1" applyAlignment="1">
      <alignment horizontal="center" vertical="center"/>
    </xf>
    <xf numFmtId="1" fontId="0" fillId="0" borderId="0" xfId="0" applyNumberFormat="1"/>
    <xf numFmtId="165" fontId="55" fillId="0" borderId="4" xfId="9" applyNumberFormat="1" applyFont="1" applyBorder="1"/>
    <xf numFmtId="165" fontId="55" fillId="0" borderId="4" xfId="9" applyNumberFormat="1" applyFont="1" applyBorder="1" applyAlignment="1">
      <alignment horizontal="right"/>
    </xf>
    <xf numFmtId="165" fontId="56" fillId="0" borderId="0" xfId="9" applyNumberFormat="1" applyFont="1"/>
    <xf numFmtId="165" fontId="57" fillId="0" borderId="0" xfId="9" applyNumberFormat="1" applyFont="1"/>
    <xf numFmtId="165" fontId="56" fillId="0" borderId="0" xfId="9" applyNumberFormat="1" applyFont="1" applyAlignment="1">
      <alignment horizontal="right"/>
    </xf>
    <xf numFmtId="0" fontId="59" fillId="0" borderId="0" xfId="12" applyFont="1"/>
    <xf numFmtId="44" fontId="59" fillId="32" borderId="0" xfId="13" applyFont="1" applyFill="1"/>
    <xf numFmtId="0" fontId="60" fillId="0" borderId="0" xfId="12" applyFont="1"/>
    <xf numFmtId="44" fontId="59" fillId="0" borderId="0" xfId="13" applyFont="1"/>
    <xf numFmtId="0" fontId="58" fillId="0" borderId="0" xfId="12"/>
    <xf numFmtId="189" fontId="58" fillId="32" borderId="0" xfId="12" applyNumberFormat="1" applyFill="1" applyAlignment="1">
      <alignment horizontal="center"/>
    </xf>
    <xf numFmtId="0" fontId="61" fillId="0" borderId="0" xfId="12" applyFont="1"/>
    <xf numFmtId="189" fontId="58" fillId="0" borderId="0" xfId="12" applyNumberFormat="1"/>
    <xf numFmtId="14" fontId="58" fillId="0" borderId="0" xfId="12" applyNumberFormat="1"/>
    <xf numFmtId="0" fontId="62" fillId="0" borderId="0" xfId="12" applyFont="1"/>
    <xf numFmtId="0" fontId="58" fillId="0" borderId="0" xfId="12" applyAlignment="1">
      <alignment horizontal="center"/>
    </xf>
    <xf numFmtId="170" fontId="58" fillId="0" borderId="0" xfId="12" applyNumberFormat="1"/>
    <xf numFmtId="15" fontId="58" fillId="0" borderId="0" xfId="12" applyNumberFormat="1"/>
    <xf numFmtId="0" fontId="61" fillId="0" borderId="0" xfId="12" applyFont="1" applyAlignment="1">
      <alignment horizontal="center"/>
    </xf>
    <xf numFmtId="0" fontId="63" fillId="0" borderId="0" xfId="12" applyFont="1"/>
    <xf numFmtId="0" fontId="64" fillId="0" borderId="0" xfId="12" applyFont="1"/>
    <xf numFmtId="49" fontId="58" fillId="0" borderId="0" xfId="12" applyNumberFormat="1"/>
    <xf numFmtId="170" fontId="0" fillId="0" borderId="0" xfId="13" applyNumberFormat="1" applyFont="1"/>
    <xf numFmtId="0" fontId="65" fillId="0" borderId="0" xfId="12" applyFont="1"/>
    <xf numFmtId="0" fontId="66" fillId="0" borderId="0" xfId="12" applyFont="1"/>
    <xf numFmtId="0" fontId="67" fillId="0" borderId="0" xfId="12" applyFont="1"/>
    <xf numFmtId="0" fontId="69" fillId="0" borderId="0" xfId="12" applyFont="1"/>
    <xf numFmtId="15" fontId="59" fillId="0" borderId="0" xfId="12" applyNumberFormat="1" applyFont="1"/>
    <xf numFmtId="0" fontId="45" fillId="34" borderId="0" xfId="0" applyFont="1" applyFill="1"/>
    <xf numFmtId="190" fontId="45" fillId="33" borderId="0" xfId="0" applyNumberFormat="1" applyFont="1" applyFill="1"/>
    <xf numFmtId="190" fontId="45" fillId="0" borderId="0" xfId="0" applyNumberFormat="1" applyFont="1"/>
    <xf numFmtId="190" fontId="0" fillId="0" borderId="0" xfId="0" applyNumberFormat="1"/>
    <xf numFmtId="165" fontId="0" fillId="0" borderId="0" xfId="2" applyNumberFormat="1" applyFont="1" applyAlignment="1"/>
    <xf numFmtId="0" fontId="70" fillId="0" borderId="0" xfId="1" applyFont="1"/>
    <xf numFmtId="3" fontId="5" fillId="0" borderId="0" xfId="1" applyNumberFormat="1"/>
    <xf numFmtId="3" fontId="5" fillId="0" borderId="0" xfId="1" applyNumberFormat="1" applyAlignment="1">
      <alignment horizontal="right"/>
    </xf>
    <xf numFmtId="3" fontId="0" fillId="0" borderId="0" xfId="2" applyNumberFormat="1" applyFont="1" applyBorder="1" applyAlignment="1">
      <alignment horizontal="right"/>
    </xf>
    <xf numFmtId="0" fontId="7" fillId="0" borderId="4" xfId="1" applyFont="1" applyBorder="1" applyAlignment="1">
      <alignment horizontal="center"/>
    </xf>
    <xf numFmtId="165" fontId="5" fillId="0" borderId="0" xfId="1" applyNumberFormat="1"/>
    <xf numFmtId="0" fontId="5" fillId="0" borderId="0" xfId="1" applyAlignment="1">
      <alignment horizontal="right"/>
    </xf>
    <xf numFmtId="10" fontId="0" fillId="0" borderId="0" xfId="11" applyNumberFormat="1" applyFont="1"/>
    <xf numFmtId="165" fontId="18" fillId="0" borderId="0" xfId="2" applyNumberFormat="1" applyFont="1"/>
    <xf numFmtId="172" fontId="18" fillId="0" borderId="0" xfId="1" applyNumberFormat="1" applyFont="1"/>
    <xf numFmtId="165" fontId="18" fillId="0" borderId="0" xfId="2" applyNumberFormat="1" applyFont="1" applyBorder="1"/>
    <xf numFmtId="0" fontId="6" fillId="0" borderId="0" xfId="1" applyFont="1" applyAlignment="1">
      <alignment horizontal="center"/>
    </xf>
    <xf numFmtId="172" fontId="7" fillId="3" borderId="1" xfId="1" applyNumberFormat="1" applyFont="1" applyFill="1" applyBorder="1"/>
    <xf numFmtId="172" fontId="7" fillId="0" borderId="0" xfId="1" applyNumberFormat="1" applyFont="1"/>
    <xf numFmtId="191" fontId="5" fillId="0" borderId="0" xfId="1" applyNumberFormat="1"/>
    <xf numFmtId="165" fontId="7" fillId="3" borderId="1" xfId="2" applyNumberFormat="1" applyFont="1" applyFill="1" applyBorder="1"/>
    <xf numFmtId="192" fontId="7" fillId="0" borderId="0" xfId="1" applyNumberFormat="1" applyFont="1"/>
    <xf numFmtId="43" fontId="5" fillId="0" borderId="0" xfId="1" applyNumberFormat="1"/>
    <xf numFmtId="9" fontId="18" fillId="0" borderId="0" xfId="1" applyNumberFormat="1" applyFont="1"/>
    <xf numFmtId="183" fontId="5" fillId="0" borderId="0" xfId="1" applyNumberFormat="1"/>
    <xf numFmtId="183" fontId="18" fillId="0" borderId="0" xfId="2" applyNumberFormat="1" applyFont="1" applyFill="1" applyAlignment="1">
      <alignment horizontal="right"/>
    </xf>
    <xf numFmtId="0" fontId="71" fillId="5" borderId="0" xfId="1" applyFont="1" applyFill="1"/>
    <xf numFmtId="0" fontId="71" fillId="5" borderId="0" xfId="1" applyFont="1" applyFill="1" applyAlignment="1">
      <alignment horizontal="right"/>
    </xf>
    <xf numFmtId="165" fontId="0" fillId="3" borderId="1" xfId="2" applyNumberFormat="1" applyFont="1" applyFill="1" applyBorder="1"/>
    <xf numFmtId="183" fontId="18" fillId="0" borderId="0" xfId="2" applyNumberFormat="1" applyFont="1" applyFill="1"/>
    <xf numFmtId="0" fontId="2" fillId="2" borderId="0" xfId="1" applyFont="1" applyFill="1" applyAlignment="1">
      <alignment horizontal="center"/>
    </xf>
    <xf numFmtId="0" fontId="6" fillId="5" borderId="0" xfId="1" applyFont="1" applyFill="1" applyAlignment="1">
      <alignment horizontal="center"/>
    </xf>
    <xf numFmtId="0" fontId="6" fillId="20" borderId="0" xfId="1" applyFont="1" applyFill="1" applyAlignment="1">
      <alignment horizontal="center"/>
    </xf>
    <xf numFmtId="0" fontId="33" fillId="15" borderId="0" xfId="6" applyFont="1" applyFill="1" applyAlignment="1">
      <alignment horizontal="center"/>
    </xf>
    <xf numFmtId="0" fontId="36" fillId="0" borderId="0" xfId="6" applyFont="1"/>
    <xf numFmtId="0" fontId="37" fillId="9" borderId="0" xfId="0" applyFont="1" applyFill="1" applyAlignment="1">
      <alignment horizontal="center" vertical="center"/>
    </xf>
    <xf numFmtId="0" fontId="25" fillId="0" borderId="0" xfId="5" applyFont="1" applyAlignment="1">
      <alignment horizontal="left" vertical="top" wrapText="1"/>
    </xf>
    <xf numFmtId="0" fontId="19" fillId="0" borderId="0" xfId="5"/>
    <xf numFmtId="0" fontId="23" fillId="15" borderId="0" xfId="5" applyFont="1" applyFill="1" applyAlignment="1">
      <alignment horizontal="center"/>
    </xf>
    <xf numFmtId="0" fontId="24" fillId="0" borderId="0" xfId="5" applyFont="1"/>
    <xf numFmtId="173" fontId="28" fillId="15" borderId="0" xfId="5" applyNumberFormat="1" applyFont="1" applyFill="1" applyAlignment="1">
      <alignment horizontal="center"/>
    </xf>
    <xf numFmtId="0" fontId="4" fillId="2" borderId="0" xfId="0" applyFont="1" applyFill="1" applyAlignment="1">
      <alignment horizontal="center"/>
    </xf>
    <xf numFmtId="0" fontId="4" fillId="8" borderId="0" xfId="0" applyFont="1" applyFill="1" applyAlignment="1">
      <alignment horizontal="center"/>
    </xf>
    <xf numFmtId="0" fontId="2" fillId="2" borderId="0" xfId="0" applyFont="1" applyFill="1" applyAlignment="1">
      <alignment horizontal="center"/>
    </xf>
    <xf numFmtId="0" fontId="7" fillId="0" borderId="4" xfId="1" applyFont="1" applyBorder="1" applyAlignment="1">
      <alignment horizontal="center"/>
    </xf>
    <xf numFmtId="0" fontId="0" fillId="0" borderId="0" xfId="0" applyAlignment="1">
      <alignment horizontal="center"/>
    </xf>
  </cellXfs>
  <cellStyles count="14">
    <cellStyle name="Comma" xfId="9" builtinId="3"/>
    <cellStyle name="Comma 2" xfId="2" xr:uid="{D9FCD908-8753-44D0-9307-1F6FF25C2995}"/>
    <cellStyle name="Comma 3" xfId="4" xr:uid="{E4A6ACF4-DB8C-4E84-A5E7-AC0470D1A92E}"/>
    <cellStyle name="Currency 2" xfId="3" xr:uid="{73CB8C67-613B-4931-AA4E-FEE9FD747217}"/>
    <cellStyle name="Currency 3" xfId="13" xr:uid="{143C54EB-06C7-464C-B123-5B8600760C0F}"/>
    <cellStyle name="Hyperlink" xfId="7" builtinId="8"/>
    <cellStyle name="Normal" xfId="0" builtinId="0"/>
    <cellStyle name="Normal 2" xfId="1" xr:uid="{EEA15331-1FE8-44A1-99B4-B63FB055AD31}"/>
    <cellStyle name="Normal 3" xfId="5" xr:uid="{39653F7D-3DD6-469D-B73C-7222529B9DA3}"/>
    <cellStyle name="Normal 4" xfId="6" xr:uid="{B1DFB3FE-581C-4E03-9409-D05A34DF8C2F}"/>
    <cellStyle name="Normal 5" xfId="12" xr:uid="{2562C2AB-2B06-4752-9954-8D8DC7E2CD08}"/>
    <cellStyle name="Per cent 2" xfId="8" xr:uid="{E2D8BA65-7A95-4A1B-9221-D12A7C3A960B}"/>
    <cellStyle name="Percent" xfId="10" builtinId="5"/>
    <cellStyle name="Percent 2" xfId="11" xr:uid="{24B77F45-94EC-4D87-AE90-ED5127194B7E}"/>
  </cellStyles>
  <dxfs count="7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8" tint="-0.24994659260841701"/>
      </font>
      <fill>
        <patternFill>
          <bgColor theme="8" tint="0.79998168889431442"/>
        </patternFill>
      </fill>
    </dxf>
    <dxf>
      <font>
        <color theme="8" tint="-0.24994659260841701"/>
      </font>
      <fill>
        <patternFill>
          <bgColor theme="8" tint="0.79998168889431442"/>
        </patternFill>
      </fill>
    </dxf>
    <dxf>
      <font>
        <color theme="8" tint="-0.24994659260841701"/>
      </font>
      <fill>
        <patternFill>
          <bgColor theme="8" tint="0.79998168889431442"/>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Body)"/>
        <scheme val="none"/>
      </font>
      <numFmt numFmtId="166" formatCode="_(* #,##0_);_(* \(#,##0\);_(* &quot;-&quot;??_);_(@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Body)"/>
        <scheme val="none"/>
      </font>
      <numFmt numFmtId="166" formatCode="_(* #,##0_);_(* \(#,##0\);_(* &quot;-&quot;??_);_(@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Body)"/>
        <scheme val="none"/>
      </font>
      <numFmt numFmtId="166" formatCode="_(* #,##0_);_(* \(#,##0\);_(* &quot;-&quot;??_);_(@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Body)"/>
        <scheme val="none"/>
      </font>
      <numFmt numFmtId="166" formatCode="_(* #,##0_);_(* \(#,##0\);_(* &quot;-&quot;??_);_(@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Body)"/>
        <scheme val="none"/>
      </font>
      <numFmt numFmtId="166" formatCode="_(* #,##0_);_(* \(#,##0\);_(* &quot;-&quot;??_);_(@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Body)"/>
        <scheme val="none"/>
      </font>
      <numFmt numFmtId="166" formatCode="_(* #,##0_);_(* \(#,##0\);_(* &quot;-&quot;??_);_(@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Body)"/>
        <scheme val="none"/>
      </font>
      <numFmt numFmtId="166" formatCode="_(* #,##0_);_(* \(#,##0\);_(* &quot;-&quot;??_);_(@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Body)"/>
        <scheme val="none"/>
      </font>
      <numFmt numFmtId="166" formatCode="_(* #,##0_);_(* \(#,##0\);_(* &quot;-&quot;??_);_(@_)"/>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Body)"/>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Body)"/>
        <scheme val="none"/>
      </font>
      <alignment horizontal="general" vertical="center" textRotation="0" wrapText="0" indent="0" justifyLastLine="0" shrinkToFit="0" readingOrder="0"/>
    </dxf>
    <dxf>
      <font>
        <b/>
        <i val="0"/>
        <strike val="0"/>
        <condense val="0"/>
        <extend val="0"/>
        <outline val="0"/>
        <shadow val="0"/>
        <u val="none"/>
        <vertAlign val="baseline"/>
        <sz val="11"/>
        <color theme="0"/>
        <name val="Calibri (Body)"/>
        <scheme val="none"/>
      </font>
      <numFmt numFmtId="168" formatCode="mmm"/>
      <fill>
        <patternFill patternType="solid">
          <fgColor indexed="64"/>
          <bgColor rgb="FF2A3E68"/>
        </patternFill>
      </fill>
      <alignment horizontal="center" vertical="center" textRotation="0" wrapText="0" indent="0" justifyLastLine="0" shrinkToFit="0" readingOrder="0"/>
    </dxf>
    <dxf>
      <numFmt numFmtId="167" formatCode="[$$-409]#,##0"/>
      <alignment horizontal="center" vertical="bottom" textRotation="0" wrapText="0" indent="0" justifyLastLine="0" shrinkToFit="0" readingOrder="0"/>
    </dxf>
    <dxf>
      <numFmt numFmtId="167" formatCode="[$$-409]#,##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 formatCode="0"/>
      <alignment horizontal="center" vertical="bottom" textRotation="0" wrapText="0" indent="0" justifyLastLine="0" shrinkToFit="0" readingOrder="0"/>
    </dxf>
    <dxf>
      <numFmt numFmtId="193" formatCode="d/m/yy"/>
      <alignment horizontal="center" vertical="bottom" textRotation="0" wrapText="0" indent="0" justifyLastLine="0" shrinkToFit="0" readingOrder="0"/>
    </dxf>
    <dxf>
      <numFmt numFmtId="1" formatCode="0"/>
      <alignment horizontal="left"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dxf>
    <dxf>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93D68"/>
        </patternFill>
      </fill>
      <alignment horizontal="center" vertical="bottom" textRotation="0" wrapText="0" indent="0" justifyLastLine="0" shrinkToFit="0" readingOrder="0"/>
    </dxf>
    <dxf>
      <numFmt numFmtId="167" formatCode="[$$-409]#,##0"/>
      <alignment horizontal="center" vertical="bottom" textRotation="0" wrapText="0" indent="0" justifyLastLine="0" shrinkToFit="0" readingOrder="0"/>
    </dxf>
    <dxf>
      <numFmt numFmtId="167" formatCode="[$$-409]#,##0"/>
      <alignment horizontal="center" vertical="bottom" textRotation="0" wrapText="0" indent="0" justifyLastLine="0" shrinkToFit="0" readingOrder="0"/>
    </dxf>
    <dxf>
      <numFmt numFmtId="193" formatCode="d/m/yy"/>
      <alignment horizontal="center" vertical="bottom" textRotation="0" wrapText="0" indent="0" justifyLastLine="0" shrinkToFit="0" readingOrder="0"/>
    </dxf>
    <dxf>
      <numFmt numFmtId="1" formatCode="0"/>
      <alignment horizontal="left"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93D68"/>
        </patternFill>
      </fil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_(* #,##0_);_(* \(#,##0\);_(* &quot;-&quot;??_);_(@_)"/>
    </dxf>
    <dxf>
      <font>
        <b val="0"/>
        <i val="0"/>
        <strike val="0"/>
        <condense val="0"/>
        <extend val="0"/>
        <outline val="0"/>
        <shadow val="0"/>
        <u val="none"/>
        <vertAlign val="baseline"/>
        <sz val="12"/>
        <color theme="1"/>
        <name val="Calibri"/>
        <family val="2"/>
        <scheme val="minor"/>
      </font>
    </dxf>
    <dxf>
      <numFmt numFmtId="167" formatCode="[$$-409]#,##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theme="0"/>
        <name val="Calibri"/>
        <family val="2"/>
        <scheme val="none"/>
      </font>
      <fill>
        <patternFill patternType="solid">
          <fgColor indexed="64"/>
          <bgColor rgb="FF073673"/>
        </patternFill>
      </fill>
      <alignment horizontal="center" vertical="bottom" textRotation="0" wrapText="0" indent="0" justifyLastLine="0" shrinkToFit="0" readingOrder="0"/>
    </dxf>
    <dxf>
      <fill>
        <patternFill patternType="solid">
          <bgColor theme="9" tint="0.39997558519241921"/>
        </patternFill>
      </fill>
    </dxf>
    <dxf>
      <fill>
        <patternFill patternType="solid">
          <bgColor theme="9" tint="0.39997558519241921"/>
        </patternFill>
      </fill>
    </dxf>
    <dxf>
      <numFmt numFmtId="3" formatCode="#,##0"/>
    </dxf>
    <dxf>
      <border outline="0">
        <bottom style="medium">
          <color indexed="64"/>
        </bottom>
      </border>
    </dxf>
    <dxf>
      <numFmt numFmtId="170" formatCode="&quot;$&quot;#,##0"/>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9" formatCode="00000"/>
      <alignment horizontal="left" vertical="bottom" textRotation="0" wrapText="0" indent="0" justifyLastLine="0" shrinkToFit="0" readingOrder="0"/>
    </dxf>
    <dxf>
      <numFmt numFmtId="19" formatCode="m/d/yyyy"/>
      <alignment horizontal="left" vertical="bottom" textRotation="0" wrapText="0" indent="0" justifyLastLine="0" shrinkToFit="0" readingOrder="0"/>
    </dxf>
    <dxf>
      <alignment horizontal="left" vertical="bottom" textRotation="0" wrapText="0" indent="0" justifyLastLine="0" shrinkToFit="0" readingOrder="0"/>
    </dxf>
    <dxf>
      <font>
        <b/>
        <strike val="0"/>
        <outline val="0"/>
        <shadow val="0"/>
        <u val="none"/>
        <vertAlign val="baseline"/>
        <sz val="11"/>
        <color theme="0"/>
        <name val="Calibri"/>
        <family val="2"/>
        <scheme val="minor"/>
      </font>
      <fill>
        <patternFill patternType="solid">
          <fgColor indexed="64"/>
          <bgColor rgb="FF2A3E68"/>
        </patternFill>
      </fill>
    </dxf>
    <dxf>
      <numFmt numFmtId="170" formatCode="&quot;$&quot;#,##0"/>
    </dxf>
    <dxf>
      <alignment horizontal="center" vertical="bottom" textRotation="0" wrapText="0" indent="0" justifyLastLine="0" shrinkToFit="0" readingOrder="0"/>
    </dxf>
    <dxf>
      <alignment horizontal="center" vertical="bottom" textRotation="0" wrapText="0" indent="0" justifyLastLine="0" shrinkToFit="0" readingOrder="0"/>
    </dxf>
    <dxf>
      <numFmt numFmtId="20" formatCode="d\-mmm\-yy"/>
    </dxf>
    <dxf>
      <font>
        <b val="0"/>
        <i val="0"/>
        <strike val="0"/>
        <condense val="0"/>
        <extend val="0"/>
        <outline val="0"/>
        <shadow val="0"/>
        <u val="none"/>
        <vertAlign val="baseline"/>
        <sz val="16"/>
        <color theme="1"/>
        <name val="Calibri"/>
        <family val="2"/>
        <scheme val="minor"/>
      </font>
      <numFmt numFmtId="170" formatCode="&quot;$&quot;#,##0"/>
    </dxf>
    <dxf>
      <numFmt numFmtId="30" formatCode="@"/>
    </dxf>
    <dxf>
      <font>
        <b/>
        <i val="0"/>
        <strike val="0"/>
        <condense val="0"/>
        <extend val="0"/>
        <outline val="0"/>
        <shadow val="0"/>
        <u val="none"/>
        <vertAlign val="baseline"/>
        <sz val="16"/>
        <color theme="1"/>
        <name val="Calibri"/>
        <family val="2"/>
        <scheme val="minor"/>
      </font>
    </dxf>
    <dxf>
      <font>
        <b val="0"/>
        <i val="0"/>
        <strike val="0"/>
        <condense val="0"/>
        <extend val="0"/>
        <outline val="0"/>
        <shadow val="0"/>
        <u val="none"/>
        <vertAlign val="baseline"/>
        <sz val="11"/>
        <color theme="1"/>
        <name val="Segoe UI"/>
        <family val="2"/>
        <scheme val="none"/>
      </font>
      <numFmt numFmtId="165" formatCode="_-* #,##0_-;\-* #,##0_-;_-* &quot;-&quot;??_-;_-@_-"/>
    </dxf>
    <dxf>
      <font>
        <b val="0"/>
        <i val="0"/>
        <strike val="0"/>
        <condense val="0"/>
        <extend val="0"/>
        <outline val="0"/>
        <shadow val="0"/>
        <u val="none"/>
        <vertAlign val="baseline"/>
        <sz val="11"/>
        <color theme="1"/>
        <name val="Segoe UI"/>
        <family val="2"/>
        <scheme val="none"/>
      </font>
      <numFmt numFmtId="165" formatCode="_-* #,##0_-;\-* #,##0_-;_-* &quot;-&quot;??_-;_-@_-"/>
    </dxf>
    <dxf>
      <font>
        <b val="0"/>
        <i val="0"/>
        <strike val="0"/>
        <condense val="0"/>
        <extend val="0"/>
        <outline val="0"/>
        <shadow val="0"/>
        <u val="none"/>
        <vertAlign val="baseline"/>
        <sz val="11"/>
        <color theme="1"/>
        <name val="Segoe UI"/>
        <family val="2"/>
        <scheme val="none"/>
      </font>
      <numFmt numFmtId="165" formatCode="_-* #,##0_-;\-* #,##0_-;_-* &quot;-&quot;??_-;_-@_-"/>
    </dxf>
    <dxf>
      <font>
        <b val="0"/>
        <i val="0"/>
        <strike val="0"/>
        <condense val="0"/>
        <extend val="0"/>
        <outline val="0"/>
        <shadow val="0"/>
        <u val="none"/>
        <vertAlign val="baseline"/>
        <sz val="11"/>
        <color theme="1"/>
        <name val="Segoe UI"/>
        <family val="2"/>
        <scheme val="none"/>
      </font>
      <numFmt numFmtId="165" formatCode="_-* #,##0_-;\-* #,##0_-;_-* &quot;-&quot;??_-;_-@_-"/>
    </dxf>
    <dxf>
      <font>
        <b val="0"/>
        <i val="0"/>
        <strike val="0"/>
        <condense val="0"/>
        <extend val="0"/>
        <outline val="0"/>
        <shadow val="0"/>
        <u val="none"/>
        <vertAlign val="baseline"/>
        <sz val="11"/>
        <color theme="1"/>
        <name val="Segoe UI"/>
        <family val="2"/>
        <scheme val="none"/>
      </font>
      <numFmt numFmtId="165" formatCode="_-* #,##0_-;\-* #,##0_-;_-* &quot;-&quot;??_-;_-@_-"/>
    </dxf>
    <dxf>
      <font>
        <b val="0"/>
        <i val="0"/>
        <strike val="0"/>
        <condense val="0"/>
        <extend val="0"/>
        <outline val="0"/>
        <shadow val="0"/>
        <u val="none"/>
        <vertAlign val="baseline"/>
        <sz val="11"/>
        <color theme="1"/>
        <name val="Segoe UI"/>
        <family val="2"/>
        <scheme val="none"/>
      </font>
    </dxf>
    <dxf>
      <font>
        <b val="0"/>
        <i val="0"/>
        <strike val="0"/>
        <condense val="0"/>
        <extend val="0"/>
        <outline val="0"/>
        <shadow val="0"/>
        <u val="none"/>
        <vertAlign val="baseline"/>
        <sz val="11"/>
        <color theme="1"/>
        <name val="Segoe UI"/>
        <family val="2"/>
        <scheme val="none"/>
      </font>
      <numFmt numFmtId="165" formatCode="_-* #,##0_-;\-* #,##0_-;_-* &quot;-&quot;??_-;_-@_-"/>
      <alignment horizontal="center" vertical="center" textRotation="0" wrapText="0" indent="0" justifyLastLine="0" shrinkToFit="0" readingOrder="0"/>
    </dxf>
    <dxf>
      <numFmt numFmtId="189" formatCode="&quot;$&quot;#,##0.00"/>
    </dxf>
    <dxf>
      <font>
        <b/>
        <i val="0"/>
        <strike val="0"/>
        <condense val="0"/>
        <extend val="0"/>
        <outline val="0"/>
        <shadow val="0"/>
        <u val="none"/>
        <vertAlign val="baseline"/>
        <sz val="16"/>
        <color theme="1"/>
        <name val="Calibri"/>
        <family val="2"/>
        <scheme val="minor"/>
      </font>
    </dxf>
    <dxf>
      <font>
        <b/>
        <i val="0"/>
        <strike val="0"/>
        <condense val="0"/>
        <extend val="0"/>
        <outline val="0"/>
        <shadow val="0"/>
        <u val="none"/>
        <vertAlign val="baseline"/>
        <sz val="16"/>
        <color theme="1"/>
        <name val="Calibri"/>
        <family val="2"/>
        <scheme val="minor"/>
      </font>
    </dxf>
    <dxf>
      <numFmt numFmtId="183" formatCode="#,##0_ ;\-#,##0\ "/>
    </dxf>
    <dxf>
      <numFmt numFmtId="194" formatCode="dd/mm/yyyy"/>
    </dxf>
    <dxf>
      <border outline="0">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microsoft.com/office/2017/10/relationships/person" Target="persons/person.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microsoft.com/office/2017/06/relationships/rdArray" Target="richData/rdarray.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microsoft.com/office/2017/06/relationships/rdRichValue" Target="richData/rdrichvalue.xml"/><Relationship Id="rId105" Type="http://schemas.microsoft.com/office/2017/06/relationships/rdSupportingPropertyBag" Target="richData/rdsupportingpropertybag.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pivotCacheDefinition" Target="pivotCache/pivotCacheDefinition1.xml"/><Relationship Id="rId98"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microsoft.com/office/2017/06/relationships/richStyles" Target="richData/richStyles.xml"/><Relationship Id="rId108"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microsoft.com/office/2017/06/relationships/rdRichValueTypes" Target="richData/rdRichValueTyp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pivotCacheDefinition" Target="pivotCache/pivotCacheDefinition2.xml"/><Relationship Id="rId99" Type="http://schemas.microsoft.com/office/2020/07/relationships/rdRichValueWebImage" Target="richData/rdRichValueWebImage.xml"/><Relationship Id="rId10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104" Type="http://schemas.microsoft.com/office/2017/06/relationships/rdSupportingPropertyBagStructure" Target="richData/rdsupportingpropertybagstructure.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10-EC42-11CE-9E0D-00AA006002F3}"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'different date change chart'!$H$8</c:f>
              <c:strCache>
                <c:ptCount val="1"/>
                <c:pt idx="0">
                  <c:v>Sales</c:v>
                </c:pt>
              </c:strCache>
            </c:strRef>
          </c:tx>
          <c:spPr>
            <a:ln w="28575" cap="rnd">
              <a:solidFill>
                <a:schemeClr val="accent1"/>
              </a:solidFill>
              <a:round/>
            </a:ln>
            <a:effectLst/>
          </c:spPr>
          <c:marker>
            <c:symbol val="none"/>
          </c:marker>
          <c:cat>
            <c:numRef>
              <c:f>'different date change chart'!$G$9:$G$15</c:f>
              <c:numCache>
                <c:formatCode>m/d/yyyy</c:formatCode>
                <c:ptCount val="7"/>
                <c:pt idx="0">
                  <c:v>44929</c:v>
                </c:pt>
                <c:pt idx="1">
                  <c:v>44930</c:v>
                </c:pt>
                <c:pt idx="2">
                  <c:v>44931</c:v>
                </c:pt>
                <c:pt idx="3">
                  <c:v>44932</c:v>
                </c:pt>
                <c:pt idx="4">
                  <c:v>44933</c:v>
                </c:pt>
                <c:pt idx="5">
                  <c:v>44934</c:v>
                </c:pt>
                <c:pt idx="6">
                  <c:v>44935</c:v>
                </c:pt>
              </c:numCache>
            </c:numRef>
          </c:cat>
          <c:val>
            <c:numRef>
              <c:f>'different date change chart'!$H$9:$H$15</c:f>
              <c:numCache>
                <c:formatCode>General</c:formatCode>
                <c:ptCount val="7"/>
                <c:pt idx="0">
                  <c:v>850</c:v>
                </c:pt>
                <c:pt idx="1">
                  <c:v>1193</c:v>
                </c:pt>
                <c:pt idx="2">
                  <c:v>1824</c:v>
                </c:pt>
                <c:pt idx="3">
                  <c:v>4353</c:v>
                </c:pt>
                <c:pt idx="4">
                  <c:v>1528</c:v>
                </c:pt>
                <c:pt idx="5">
                  <c:v>2436</c:v>
                </c:pt>
                <c:pt idx="6">
                  <c:v>697</c:v>
                </c:pt>
              </c:numCache>
            </c:numRef>
          </c:val>
          <c:smooth val="0"/>
          <c:extLst>
            <c:ext xmlns:c16="http://schemas.microsoft.com/office/drawing/2014/chart" uri="{C3380CC4-5D6E-409C-BE32-E72D297353CC}">
              <c16:uniqueId val="{00000000-D312-40DF-BC65-AEA61F4101FA}"/>
            </c:ext>
          </c:extLst>
        </c:ser>
        <c:dLbls>
          <c:showLegendKey val="0"/>
          <c:showVal val="0"/>
          <c:showCatName val="0"/>
          <c:showSerName val="0"/>
          <c:showPercent val="0"/>
          <c:showBubbleSize val="0"/>
        </c:dLbls>
        <c:smooth val="0"/>
        <c:axId val="570572400"/>
        <c:axId val="570570992"/>
      </c:lineChart>
      <c:dateAx>
        <c:axId val="57057240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570992"/>
        <c:crosses val="autoZero"/>
        <c:auto val="1"/>
        <c:lblOffset val="100"/>
        <c:baseTimeUnit val="days"/>
      </c:dateAx>
      <c:valAx>
        <c:axId val="57057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57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'highlight chart'!$C$2</c:f>
              <c:strCache>
                <c:ptCount val="1"/>
                <c:pt idx="0">
                  <c:v>Population</c:v>
                </c:pt>
              </c:strCache>
            </c:strRef>
          </c:tx>
          <c:spPr>
            <a:solidFill>
              <a:schemeClr val="bg1">
                <a:lumMod val="75000"/>
              </a:schemeClr>
            </a:solidFill>
            <a:ln>
              <a:noFill/>
            </a:ln>
            <a:effectLst/>
          </c:spPr>
          <c:invertIfNegative val="0"/>
          <c:cat>
            <c:strRef>
              <c:f>'highlight chart'!$B$3:$B$9</c:f>
              <c:strCache>
                <c:ptCount val="7"/>
                <c:pt idx="0">
                  <c:v>china</c:v>
                </c:pt>
                <c:pt idx="1">
                  <c:v>india</c:v>
                </c:pt>
                <c:pt idx="2">
                  <c:v>united states</c:v>
                </c:pt>
                <c:pt idx="3">
                  <c:v>indonesia</c:v>
                </c:pt>
                <c:pt idx="4">
                  <c:v>pakistan</c:v>
                </c:pt>
                <c:pt idx="5">
                  <c:v>brazil </c:v>
                </c:pt>
                <c:pt idx="6">
                  <c:v>nigeria</c:v>
                </c:pt>
              </c:strCache>
            </c:strRef>
          </c:cat>
          <c:val>
            <c:numRef>
              <c:f>'highlight chart'!$C$3:$C$9</c:f>
              <c:numCache>
                <c:formatCode>General</c:formatCode>
                <c:ptCount val="7"/>
                <c:pt idx="0">
                  <c:v>1415.9</c:v>
                </c:pt>
                <c:pt idx="1">
                  <c:v>1342.3</c:v>
                </c:pt>
                <c:pt idx="2">
                  <c:v>330.9</c:v>
                </c:pt>
                <c:pt idx="3">
                  <c:v>272.2</c:v>
                </c:pt>
                <c:pt idx="4">
                  <c:v>225.1</c:v>
                </c:pt>
                <c:pt idx="5">
                  <c:v>213.3</c:v>
                </c:pt>
                <c:pt idx="6">
                  <c:v>211.4</c:v>
                </c:pt>
              </c:numCache>
            </c:numRef>
          </c:val>
          <c:extLst>
            <c:ext xmlns:c16="http://schemas.microsoft.com/office/drawing/2014/chart" uri="{C3380CC4-5D6E-409C-BE32-E72D297353CC}">
              <c16:uniqueId val="{00000000-D4C0-4755-AA36-23D7F8B16C74}"/>
            </c:ext>
          </c:extLst>
        </c:ser>
        <c:ser>
          <c:idx val="1"/>
          <c:order val="1"/>
          <c:tx>
            <c:strRef>
              <c:f>'highlight chart'!$D$2</c:f>
              <c:strCache>
                <c:ptCount val="1"/>
              </c:strCache>
            </c:strRef>
          </c:tx>
          <c:spPr>
            <a:solidFill>
              <a:schemeClr val="accent2"/>
            </a:solidFill>
            <a:ln>
              <a:noFill/>
            </a:ln>
            <a:effectLst/>
          </c:spPr>
          <c:invertIfNegative val="0"/>
          <c:cat>
            <c:strRef>
              <c:f>'highlight chart'!$B$3:$B$9</c:f>
              <c:strCache>
                <c:ptCount val="7"/>
                <c:pt idx="0">
                  <c:v>china</c:v>
                </c:pt>
                <c:pt idx="1">
                  <c:v>india</c:v>
                </c:pt>
                <c:pt idx="2">
                  <c:v>united states</c:v>
                </c:pt>
                <c:pt idx="3">
                  <c:v>indonesia</c:v>
                </c:pt>
                <c:pt idx="4">
                  <c:v>pakistan</c:v>
                </c:pt>
                <c:pt idx="5">
                  <c:v>brazil </c:v>
                </c:pt>
                <c:pt idx="6">
                  <c:v>nigeria</c:v>
                </c:pt>
              </c:strCache>
            </c:strRef>
          </c:cat>
          <c:val>
            <c:numRef>
              <c:f>'highlight chart'!$D$3:$D$9</c:f>
              <c:numCache>
                <c:formatCode>General</c:formatCode>
                <c:ptCount val="7"/>
                <c:pt idx="0">
                  <c:v>0</c:v>
                </c:pt>
                <c:pt idx="1">
                  <c:v>0</c:v>
                </c:pt>
                <c:pt idx="2">
                  <c:v>330.9</c:v>
                </c:pt>
                <c:pt idx="3">
                  <c:v>0</c:v>
                </c:pt>
                <c:pt idx="4">
                  <c:v>0</c:v>
                </c:pt>
                <c:pt idx="5">
                  <c:v>0</c:v>
                </c:pt>
                <c:pt idx="6">
                  <c:v>0</c:v>
                </c:pt>
              </c:numCache>
            </c:numRef>
          </c:val>
          <c:extLst>
            <c:ext xmlns:c16="http://schemas.microsoft.com/office/drawing/2014/chart" uri="{C3380CC4-5D6E-409C-BE32-E72D297353CC}">
              <c16:uniqueId val="{00000001-D4C0-4755-AA36-23D7F8B16C74}"/>
            </c:ext>
          </c:extLst>
        </c:ser>
        <c:dLbls>
          <c:showLegendKey val="0"/>
          <c:showVal val="0"/>
          <c:showCatName val="0"/>
          <c:showSerName val="0"/>
          <c:showPercent val="0"/>
          <c:showBubbleSize val="0"/>
        </c:dLbls>
        <c:gapWidth val="182"/>
        <c:overlap val="100"/>
        <c:axId val="920479544"/>
        <c:axId val="920480248"/>
      </c:barChart>
      <c:catAx>
        <c:axId val="920479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480248"/>
        <c:crosses val="autoZero"/>
        <c:auto val="1"/>
        <c:lblAlgn val="ctr"/>
        <c:lblOffset val="100"/>
        <c:noMultiLvlLbl val="0"/>
      </c:catAx>
      <c:valAx>
        <c:axId val="920480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479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errBars>
            <c:errDir val="y"/>
            <c:errBarType val="both"/>
            <c:errValType val="percentage"/>
            <c:noEndCap val="0"/>
            <c:val val="5"/>
            <c:spPr>
              <a:noFill/>
              <a:ln w="9525" cap="flat" cmpd="sng" algn="ctr">
                <a:solidFill>
                  <a:schemeClr val="tx1">
                    <a:lumMod val="65000"/>
                    <a:lumOff val="35000"/>
                  </a:schemeClr>
                </a:solidFill>
                <a:round/>
              </a:ln>
              <a:effectLst/>
            </c:spPr>
          </c:errBars>
          <c:cat>
            <c:strRef>
              <c:f>'vertical values, dynamic chart'!$B$2:$B$13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'vertical values, dynamic chart'!$C$2:$C$13</c:f>
              <c:numCache>
                <c:formatCode>"£"#,##0.00</c:formatCode>
                <c:ptCount val="12"/>
                <c:pt idx="0">
                  <c:v>324123413</c:v>
                </c:pt>
                <c:pt idx="1">
                  <c:v>1234123414</c:v>
                </c:pt>
                <c:pt idx="2">
                  <c:v>3212341</c:v>
                </c:pt>
                <c:pt idx="3">
                  <c:v>23421234</c:v>
                </c:pt>
                <c:pt idx="4">
                  <c:v>4312342</c:v>
                </c:pt>
                <c:pt idx="5">
                  <c:v>2341234</c:v>
                </c:pt>
                <c:pt idx="6">
                  <c:v>1234234</c:v>
                </c:pt>
                <c:pt idx="7">
                  <c:v>1234123443</c:v>
                </c:pt>
                <c:pt idx="8">
                  <c:v>3231241324</c:v>
                </c:pt>
                <c:pt idx="9">
                  <c:v>23242143123</c:v>
                </c:pt>
                <c:pt idx="10">
                  <c:v>42321234</c:v>
                </c:pt>
                <c:pt idx="11">
                  <c:v>12341234123</c:v>
                </c:pt>
              </c:numCache>
            </c:numRef>
          </c:val>
          <c:smooth val="0"/>
          <c:extLst>
            <c:ext xmlns:c16="http://schemas.microsoft.com/office/drawing/2014/chart" uri="{C3380CC4-5D6E-409C-BE32-E72D297353CC}">
              <c16:uniqueId val="{00000000-04A8-4250-981B-6DBC2282688B}"/>
            </c:ext>
          </c:extLst>
        </c:ser>
        <c:dLbls>
          <c:showLegendKey val="0"/>
          <c:showVal val="0"/>
          <c:showCatName val="0"/>
          <c:showSerName val="0"/>
          <c:showPercent val="0"/>
          <c:showBubbleSize val="0"/>
        </c:dLbls>
        <c:smooth val="0"/>
        <c:axId val="1006486520"/>
        <c:axId val="1006484056"/>
      </c:lineChart>
      <c:catAx>
        <c:axId val="1006486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484056"/>
        <c:crosses val="autoZero"/>
        <c:auto val="1"/>
        <c:lblAlgn val="ctr"/>
        <c:lblOffset val="100"/>
        <c:noMultiLvlLbl val="0"/>
      </c:catAx>
      <c:valAx>
        <c:axId val="1006484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486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dynamicchangechart!$H$4</c:f>
              <c:strCache>
                <c:ptCount val="1"/>
                <c:pt idx="0">
                  <c:v>Salary</c:v>
                </c:pt>
              </c:strCache>
            </c:strRef>
          </c:tx>
          <c:spPr>
            <a:solidFill>
              <a:schemeClr val="accent1"/>
            </a:solidFill>
            <a:ln>
              <a:noFill/>
            </a:ln>
            <a:effectLst/>
          </c:spPr>
          <c:invertIfNegative val="0"/>
          <c:cat>
            <c:strRef>
              <c:f>dynamicchangechart!$G$5:$G$7</c:f>
              <c:strCache>
                <c:ptCount val="3"/>
                <c:pt idx="0">
                  <c:v>Damian</c:v>
                </c:pt>
                <c:pt idx="1">
                  <c:v>Kuba</c:v>
                </c:pt>
                <c:pt idx="2">
                  <c:v>Dominika</c:v>
                </c:pt>
              </c:strCache>
            </c:strRef>
          </c:cat>
          <c:val>
            <c:numRef>
              <c:f>dynamicchangechart!$H$5:$H$7</c:f>
              <c:numCache>
                <c:formatCode>#,##0</c:formatCode>
                <c:ptCount val="3"/>
                <c:pt idx="0">
                  <c:v>123456</c:v>
                </c:pt>
                <c:pt idx="1">
                  <c:v>45000</c:v>
                </c:pt>
                <c:pt idx="2">
                  <c:v>39567</c:v>
                </c:pt>
              </c:numCache>
            </c:numRef>
          </c:val>
          <c:extLst>
            <c:ext xmlns:c16="http://schemas.microsoft.com/office/drawing/2014/chart" uri="{C3380CC4-5D6E-409C-BE32-E72D297353CC}">
              <c16:uniqueId val="{00000000-9494-4BDD-B9E7-20F86C2B2F4E}"/>
            </c:ext>
          </c:extLst>
        </c:ser>
        <c:dLbls>
          <c:showLegendKey val="0"/>
          <c:showVal val="0"/>
          <c:showCatName val="0"/>
          <c:showSerName val="0"/>
          <c:showPercent val="0"/>
          <c:showBubbleSize val="0"/>
        </c:dLbls>
        <c:gapWidth val="219"/>
        <c:overlap val="-27"/>
        <c:axId val="920470040"/>
        <c:axId val="920468280"/>
      </c:barChart>
      <c:catAx>
        <c:axId val="920470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468280"/>
        <c:crosses val="autoZero"/>
        <c:auto val="1"/>
        <c:lblAlgn val="ctr"/>
        <c:lblOffset val="100"/>
        <c:noMultiLvlLbl val="0"/>
      </c:catAx>
      <c:valAx>
        <c:axId val="920468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470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 and gross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Visualize!$B$8</c:f>
              <c:strCache>
                <c:ptCount val="1"/>
                <c:pt idx="0">
                  <c:v>Products</c:v>
                </c:pt>
              </c:strCache>
            </c:strRef>
          </c:tx>
          <c:spPr>
            <a:solidFill>
              <a:srgbClr val="002060"/>
            </a:solidFill>
            <a:ln>
              <a:noFill/>
            </a:ln>
            <a:effectLst/>
          </c:spPr>
          <c:invertIfNegative val="0"/>
          <c:cat>
            <c:strRef>
              <c:f>Visualize!$C$6:$I$6</c:f>
              <c:strCache>
                <c:ptCount val="7"/>
                <c:pt idx="0">
                  <c:v>2022E</c:v>
                </c:pt>
                <c:pt idx="1">
                  <c:v>2023E</c:v>
                </c:pt>
                <c:pt idx="2">
                  <c:v>2024E</c:v>
                </c:pt>
                <c:pt idx="3">
                  <c:v>2025E</c:v>
                </c:pt>
                <c:pt idx="4">
                  <c:v>2026E</c:v>
                </c:pt>
                <c:pt idx="5">
                  <c:v>2027E</c:v>
                </c:pt>
                <c:pt idx="6">
                  <c:v>2028E</c:v>
                </c:pt>
              </c:strCache>
            </c:strRef>
          </c:cat>
          <c:val>
            <c:numRef>
              <c:f>Visualize!$C$8:$I$8</c:f>
              <c:numCache>
                <c:formatCode>#,##0_);\(#,##0\)</c:formatCode>
                <c:ptCount val="7"/>
                <c:pt idx="0">
                  <c:v>226116.80000000002</c:v>
                </c:pt>
                <c:pt idx="1">
                  <c:v>264007.10000000003</c:v>
                </c:pt>
                <c:pt idx="2">
                  <c:v>288893.43450000015</c:v>
                </c:pt>
                <c:pt idx="3">
                  <c:v>300001.74687500007</c:v>
                </c:pt>
                <c:pt idx="4">
                  <c:v>337974.95395125018</c:v>
                </c:pt>
                <c:pt idx="5">
                  <c:v>313351.55227656278</c:v>
                </c:pt>
                <c:pt idx="6">
                  <c:v>341938.67091570655</c:v>
                </c:pt>
              </c:numCache>
            </c:numRef>
          </c:val>
          <c:extLst>
            <c:ext xmlns:c16="http://schemas.microsoft.com/office/drawing/2014/chart" uri="{C3380CC4-5D6E-409C-BE32-E72D297353CC}">
              <c16:uniqueId val="{00000000-4B15-47DA-B09F-AA2CF511771A}"/>
            </c:ext>
          </c:extLst>
        </c:ser>
        <c:ser>
          <c:idx val="1"/>
          <c:order val="1"/>
          <c:tx>
            <c:strRef>
              <c:f>Visualize!$B$9</c:f>
              <c:strCache>
                <c:ptCount val="1"/>
                <c:pt idx="0">
                  <c:v>Services</c:v>
                </c:pt>
              </c:strCache>
            </c:strRef>
          </c:tx>
          <c:spPr>
            <a:solidFill>
              <a:schemeClr val="accent5">
                <a:lumMod val="40000"/>
                <a:lumOff val="60000"/>
              </a:schemeClr>
            </a:solidFill>
            <a:ln>
              <a:noFill/>
            </a:ln>
            <a:effectLst/>
          </c:spPr>
          <c:invertIfNegative val="0"/>
          <c:cat>
            <c:strRef>
              <c:f>Visualize!$C$6:$I$6</c:f>
              <c:strCache>
                <c:ptCount val="7"/>
                <c:pt idx="0">
                  <c:v>2022E</c:v>
                </c:pt>
                <c:pt idx="1">
                  <c:v>2023E</c:v>
                </c:pt>
                <c:pt idx="2">
                  <c:v>2024E</c:v>
                </c:pt>
                <c:pt idx="3">
                  <c:v>2025E</c:v>
                </c:pt>
                <c:pt idx="4">
                  <c:v>2026E</c:v>
                </c:pt>
                <c:pt idx="5">
                  <c:v>2027E</c:v>
                </c:pt>
                <c:pt idx="6">
                  <c:v>2028E</c:v>
                </c:pt>
              </c:strCache>
            </c:strRef>
          </c:cat>
          <c:val>
            <c:numRef>
              <c:f>Visualize!$C$9:$I$9</c:f>
              <c:numCache>
                <c:formatCode>#,##0_);\(#,##0\)</c:formatCode>
                <c:ptCount val="7"/>
                <c:pt idx="0">
                  <c:v>66860.999999999985</c:v>
                </c:pt>
                <c:pt idx="1">
                  <c:v>88649.819999999992</c:v>
                </c:pt>
                <c:pt idx="2">
                  <c:v>104027.84999999998</c:v>
                </c:pt>
                <c:pt idx="3">
                  <c:v>117239.38694999997</c:v>
                </c:pt>
                <c:pt idx="4">
                  <c:v>137576.83162499996</c:v>
                </c:pt>
                <c:pt idx="5">
                  <c:v>147138.42142293745</c:v>
                </c:pt>
                <c:pt idx="6">
                  <c:v>165570.2774398968</c:v>
                </c:pt>
              </c:numCache>
            </c:numRef>
          </c:val>
          <c:extLst>
            <c:ext xmlns:c16="http://schemas.microsoft.com/office/drawing/2014/chart" uri="{C3380CC4-5D6E-409C-BE32-E72D297353CC}">
              <c16:uniqueId val="{00000001-4B15-47DA-B09F-AA2CF511771A}"/>
            </c:ext>
          </c:extLst>
        </c:ser>
        <c:dLbls>
          <c:showLegendKey val="0"/>
          <c:showVal val="0"/>
          <c:showCatName val="0"/>
          <c:showSerName val="0"/>
          <c:showPercent val="0"/>
          <c:showBubbleSize val="0"/>
        </c:dLbls>
        <c:gapWidth val="219"/>
        <c:overlap val="-27"/>
        <c:axId val="71682160"/>
        <c:axId val="71744464"/>
      </c:barChart>
      <c:lineChart>
        <c:grouping val="standard"/>
        <c:varyColors val="0"/>
        <c:ser>
          <c:idx val="2"/>
          <c:order val="2"/>
          <c:tx>
            <c:strRef>
              <c:f>Visualize!$B$17</c:f>
              <c:strCache>
                <c:ptCount val="1"/>
                <c:pt idx="0">
                  <c:v>Gross Margin %</c:v>
                </c:pt>
              </c:strCache>
            </c:strRef>
          </c:tx>
          <c:spPr>
            <a:ln w="28575" cap="rnd">
              <a:solidFill>
                <a:srgbClr val="FF0000"/>
              </a:solidFill>
              <a:round/>
            </a:ln>
            <a:effectLst/>
          </c:spPr>
          <c:marker>
            <c:symbol val="none"/>
          </c:marker>
          <c:val>
            <c:numRef>
              <c:f>Visualize!$C$17:$I$17</c:f>
              <c:numCache>
                <c:formatCode>0%</c:formatCode>
                <c:ptCount val="7"/>
                <c:pt idx="0">
                  <c:v>0.76543576339231167</c:v>
                </c:pt>
                <c:pt idx="1">
                  <c:v>0.78743115263412389</c:v>
                </c:pt>
                <c:pt idx="2">
                  <c:v>0.76529509874388091</c:v>
                </c:pt>
                <c:pt idx="3">
                  <c:v>0.73471115867994552</c:v>
                </c:pt>
                <c:pt idx="4">
                  <c:v>0.80817706937970579</c:v>
                </c:pt>
                <c:pt idx="5">
                  <c:v>0.76763319488400661</c:v>
                </c:pt>
                <c:pt idx="6">
                  <c:v>0.78716312301813463</c:v>
                </c:pt>
              </c:numCache>
            </c:numRef>
          </c:val>
          <c:smooth val="0"/>
          <c:extLst>
            <c:ext xmlns:c16="http://schemas.microsoft.com/office/drawing/2014/chart" uri="{C3380CC4-5D6E-409C-BE32-E72D297353CC}">
              <c16:uniqueId val="{00000002-4B15-47DA-B09F-AA2CF511771A}"/>
            </c:ext>
          </c:extLst>
        </c:ser>
        <c:dLbls>
          <c:showLegendKey val="0"/>
          <c:showVal val="0"/>
          <c:showCatName val="0"/>
          <c:showSerName val="0"/>
          <c:showPercent val="0"/>
          <c:showBubbleSize val="0"/>
        </c:dLbls>
        <c:marker val="1"/>
        <c:smooth val="0"/>
        <c:axId val="83827136"/>
        <c:axId val="80924016"/>
      </c:lineChart>
      <c:catAx>
        <c:axId val="7168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44464"/>
        <c:crosses val="autoZero"/>
        <c:auto val="1"/>
        <c:lblAlgn val="ctr"/>
        <c:lblOffset val="100"/>
        <c:noMultiLvlLbl val="0"/>
      </c:catAx>
      <c:valAx>
        <c:axId val="71744464"/>
        <c:scaling>
          <c:orientation val="minMax"/>
        </c:scaling>
        <c:delete val="0"/>
        <c:axPos val="l"/>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82160"/>
        <c:crosses val="autoZero"/>
        <c:crossBetween val="between"/>
      </c:valAx>
      <c:valAx>
        <c:axId val="8092401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27136"/>
        <c:crosses val="max"/>
        <c:crossBetween val="between"/>
      </c:valAx>
      <c:catAx>
        <c:axId val="83827136"/>
        <c:scaling>
          <c:orientation val="minMax"/>
        </c:scaling>
        <c:delete val="1"/>
        <c:axPos val="b"/>
        <c:majorTickMark val="none"/>
        <c:minorTickMark val="none"/>
        <c:tickLblPos val="nextTo"/>
        <c:crossAx val="809240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C$3" lockText="1" noThreeD="1"/>
</file>

<file path=xl/ctrlProps/ctrlProp2.xml><?xml version="1.0" encoding="utf-8"?>
<formControlPr xmlns="http://schemas.microsoft.com/office/spreadsheetml/2009/9/main" objectType="CheckBox" checked="Checked" fmlaLink="C4" lockText="1" noThreeD="1"/>
</file>

<file path=xl/ctrlProps/ctrlProp3.xml><?xml version="1.0" encoding="utf-8"?>
<formControlPr xmlns="http://schemas.microsoft.com/office/spreadsheetml/2009/9/main" objectType="CheckBox" fmlaLink="$C$3" lockText="1" noThreeD="1"/>
</file>

<file path=xl/ctrlProps/ctrlProp4.xml><?xml version="1.0" encoding="utf-8"?>
<formControlPr xmlns="http://schemas.microsoft.com/office/spreadsheetml/2009/9/main" objectType="CheckBox" fmlaLink="$C$3" lockText="1" noThreeD="1"/>
</file>

<file path=xl/ctrlProps/ctrlProp5.xml><?xml version="1.0" encoding="utf-8"?>
<formControlPr xmlns="http://schemas.microsoft.com/office/spreadsheetml/2009/9/main" objectType="CheckBox" fmlaLink="$C$3" lockText="1" noThreeD="1"/>
</file>

<file path=xl/ctrlProps/ctrlProp6.xml><?xml version="1.0" encoding="utf-8"?>
<formControlPr xmlns="http://schemas.microsoft.com/office/spreadsheetml/2009/9/main" objectType="CheckBox" fmlaLink="$C$3" lockText="1" noThreeD="1"/>
</file>

<file path=xl/ctrlProps/ctrlProp7.xml><?xml version="1.0" encoding="utf-8"?>
<formControlPr xmlns="http://schemas.microsoft.com/office/spreadsheetml/2009/9/main" objectType="CheckBox" fmlaLink="$C$3" lockText="1" noThreeD="1"/>
</file>

<file path=xl/ctrlProps/ctrlProp8.xml><?xml version="1.0" encoding="utf-8"?>
<formControlPr xmlns="http://schemas.microsoft.com/office/spreadsheetml/2009/9/main" objectType="CheckBox" fmlaLink="C5" lockText="1" noThreeD="1"/>
</file>

<file path=xl/ctrlProps/ctrlProp9.xml><?xml version="1.0" encoding="utf-8"?>
<formControlPr xmlns="http://schemas.microsoft.com/office/spreadsheetml/2009/9/main" objectType="CheckBox" fmlaLink="C6" lockText="1" noThreeD="1"/>
</file>

<file path=xl/ctrlProps/ctrlProp10.xml><?xml version="1.0" encoding="utf-8"?>
<formControlPr xmlns="http://schemas.microsoft.com/office/spreadsheetml/2009/9/main" objectType="CheckBox" checked="Checked" fmlaLink="C4" lockText="1" noThreeD="1"/>
</file>

<file path=xl/ctrlProps/ctrlProp11.xml><?xml version="1.0" encoding="utf-8"?>
<formControlPr xmlns="http://schemas.microsoft.com/office/spreadsheetml/2009/9/main" objectType="CheckBox" checked="Checked" fmlaLink="C4" lockText="1" noThreeD="1"/>
</file>

<file path=xl/ctrlProps/ctrlProp12.xml><?xml version="1.0" encoding="utf-8"?>
<formControlPr xmlns="http://schemas.microsoft.com/office/spreadsheetml/2009/9/main" objectType="CheckBox" checked="Checked" fmlaLink="C4" lockText="1" noThreeD="1"/>
</file>

<file path=xl/ctrlProps/ctrlProp13.xml><?xml version="1.0" encoding="utf-8"?>
<formControlPr xmlns="http://schemas.microsoft.com/office/spreadsheetml/2009/9/main" objectType="Spin" dx="31" fmlaLink="$D$1" max="12" min="1" page="10" val="12"/>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5.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1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7.xml.rels><?xml version="1.0" encoding="UTF-8" standalone="yes"?>
<Relationships xmlns="http://schemas.openxmlformats.org/package/2006/relationships"><Relationship Id="rId2" Type="http://schemas.openxmlformats.org/officeDocument/2006/relationships/image" Target="../media/image13.png"/><Relationship Id="rId1" Type="http://schemas.microsoft.com/office/2011/relationships/webextension" Target="../webextensions/webextension1.xml"/></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9</xdr:col>
      <xdr:colOff>244475</xdr:colOff>
      <xdr:row>2</xdr:row>
      <xdr:rowOff>180975</xdr:rowOff>
    </xdr:from>
    <xdr:to>
      <xdr:col>16</xdr:col>
      <xdr:colOff>549275</xdr:colOff>
      <xdr:row>17</xdr:row>
      <xdr:rowOff>149225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6797</xdr:colOff>
      <xdr:row>0</xdr:row>
      <xdr:rowOff>70556</xdr:rowOff>
    </xdr:from>
    <xdr:ext cx="560109" cy="534763"/>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819597" y="70556"/>
          <a:ext cx="560109" cy="53476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914399</xdr:colOff>
      <xdr:row>2</xdr:row>
      <xdr:rowOff>168731</xdr:rowOff>
    </xdr:from>
    <xdr:to>
      <xdr:col>10</xdr:col>
      <xdr:colOff>716147</xdr:colOff>
      <xdr:row>11</xdr:row>
      <xdr:rowOff>43543</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7648574" y="759281"/>
          <a:ext cx="4799198" cy="2535462"/>
          <a:chOff x="6950528" y="1507674"/>
          <a:chExt cx="4809177" cy="2471055"/>
        </a:xfrm>
      </xdr:grpSpPr>
      <xdr:sp macro="" textlink="">
        <xdr:nvSpPr>
          <xdr:cNvPr id="3" name="Rectangle: Rounded Corners 2">
            <a:extLst>
              <a:ext uri="{FF2B5EF4-FFF2-40B4-BE49-F238E27FC236}">
                <a16:creationId xmlns:a16="http://schemas.microsoft.com/office/drawing/2014/main" id="{00000000-0008-0000-1A00-000003000000}"/>
              </a:ext>
            </a:extLst>
          </xdr:cNvPr>
          <xdr:cNvSpPr/>
        </xdr:nvSpPr>
        <xdr:spPr>
          <a:xfrm>
            <a:off x="6950528" y="1507674"/>
            <a:ext cx="4093029" cy="1948540"/>
          </a:xfrm>
          <a:prstGeom prst="roundRect">
            <a:avLst>
              <a:gd name="adj" fmla="val 13614"/>
            </a:avLst>
          </a:prstGeom>
          <a:gradFill flip="none" rotWithShape="1">
            <a:gsLst>
              <a:gs pos="41000">
                <a:schemeClr val="accent2">
                  <a:tint val="62000"/>
                  <a:hueMod val="94000"/>
                  <a:satMod val="140000"/>
                  <a:lumMod val="110000"/>
                </a:schemeClr>
              </a:gs>
              <a:gs pos="100000">
                <a:schemeClr val="accent2">
                  <a:tint val="84000"/>
                  <a:satMod val="160000"/>
                </a:schemeClr>
              </a:gs>
            </a:gsLst>
            <a:lin ang="18600000" scaled="0"/>
            <a:tileRect/>
          </a:gradFill>
          <a:scene3d>
            <a:camera prst="orthographicFront"/>
            <a:lightRig rig="threePt" dir="t"/>
          </a:scene3d>
          <a:sp3d>
            <a:bevelT w="152400" h="50800" prst="softRound"/>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1600" b="1" u="sng"/>
              <a:t>CHALLENGE</a:t>
            </a:r>
          </a:p>
          <a:p>
            <a:pPr algn="l"/>
            <a:endParaRPr lang="en-US" sz="1600" b="1"/>
          </a:p>
          <a:p>
            <a:pPr algn="l"/>
            <a:r>
              <a:rPr lang="en-US" sz="1600" b="1"/>
              <a:t>•  Determine</a:t>
            </a:r>
            <a:r>
              <a:rPr lang="en-US" sz="1600" b="1" baseline="0"/>
              <a:t> who (if anyone) has been assigned only 1 shift.</a:t>
            </a:r>
          </a:p>
        </xdr:txBody>
      </xdr:sp>
      <xdr:pic>
        <xdr:nvPicPr>
          <xdr:cNvPr id="4" name="Picture 3" descr="Icon&#10;&#10;Description automatically generated">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20734" y="2400298"/>
            <a:ext cx="1538971" cy="1578431"/>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absoluteAnchor>
    <xdr:pos x="6414158" y="325333"/>
    <xdr:ext cx="5098803" cy="3789466"/>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14158" y="325333"/>
          <a:ext cx="5098803" cy="3789466"/>
        </a:xfrm>
        <a:prstGeom prst="rect">
          <a:avLst/>
        </a:prstGeom>
      </xdr:spPr>
    </xdr:pic>
    <xdr:clientData/>
  </xdr:absoluteAnchor>
</xdr:wsDr>
</file>

<file path=xl/drawings/drawing5.xml><?xml version="1.0" encoding="utf-8"?>
<xdr:wsDr xmlns:xdr="http://schemas.openxmlformats.org/drawingml/2006/spreadsheetDrawing" xmlns:a="http://schemas.openxmlformats.org/drawingml/2006/main">
  <xdr:twoCellAnchor>
    <xdr:from>
      <xdr:col>13</xdr:col>
      <xdr:colOff>771797</xdr:colOff>
      <xdr:row>5</xdr:row>
      <xdr:rowOff>239149</xdr:rowOff>
    </xdr:from>
    <xdr:to>
      <xdr:col>18</xdr:col>
      <xdr:colOff>431585</xdr:colOff>
      <xdr:row>19</xdr:row>
      <xdr:rowOff>126043</xdr:rowOff>
    </xdr:to>
    <xdr:grpSp>
      <xdr:nvGrpSpPr>
        <xdr:cNvPr id="2" name="Group 1">
          <a:extLst>
            <a:ext uri="{FF2B5EF4-FFF2-40B4-BE49-F238E27FC236}">
              <a16:creationId xmlns:a16="http://schemas.microsoft.com/office/drawing/2014/main" id="{00000000-0008-0000-2B00-000002000000}"/>
            </a:ext>
          </a:extLst>
        </xdr:cNvPr>
        <xdr:cNvGrpSpPr/>
      </xdr:nvGrpSpPr>
      <xdr:grpSpPr>
        <a:xfrm>
          <a:off x="14332222" y="1712349"/>
          <a:ext cx="4803288" cy="4020744"/>
          <a:chOff x="14034769" y="1616526"/>
          <a:chExt cx="4828781" cy="3919729"/>
        </a:xfrm>
      </xdr:grpSpPr>
      <xdr:sp macro="" textlink="">
        <xdr:nvSpPr>
          <xdr:cNvPr id="3" name="Rectangle: Rounded Corners 2">
            <a:extLst>
              <a:ext uri="{FF2B5EF4-FFF2-40B4-BE49-F238E27FC236}">
                <a16:creationId xmlns:a16="http://schemas.microsoft.com/office/drawing/2014/main" id="{00000000-0008-0000-2B00-000003000000}"/>
              </a:ext>
            </a:extLst>
          </xdr:cNvPr>
          <xdr:cNvSpPr/>
        </xdr:nvSpPr>
        <xdr:spPr>
          <a:xfrm>
            <a:off x="14612675" y="1616526"/>
            <a:ext cx="4250875" cy="1632858"/>
          </a:xfrm>
          <a:prstGeom prst="roundRect">
            <a:avLst>
              <a:gd name="adj" fmla="val 13614"/>
            </a:avLst>
          </a:prstGeom>
          <a:gradFill flip="none" rotWithShape="1">
            <a:gsLst>
              <a:gs pos="41000">
                <a:schemeClr val="accent2">
                  <a:tint val="62000"/>
                  <a:hueMod val="94000"/>
                  <a:satMod val="140000"/>
                  <a:lumMod val="110000"/>
                </a:schemeClr>
              </a:gs>
              <a:gs pos="100000">
                <a:schemeClr val="accent2">
                  <a:tint val="84000"/>
                  <a:satMod val="160000"/>
                </a:schemeClr>
              </a:gs>
            </a:gsLst>
            <a:lin ang="18600000" scaled="0"/>
            <a:tileRect/>
          </a:gradFill>
          <a:scene3d>
            <a:camera prst="orthographicFront"/>
            <a:lightRig rig="threePt" dir="t"/>
          </a:scene3d>
          <a:sp3d>
            <a:bevelT w="152400" h="50800" prst="softRound"/>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1600" b="1" u="sng"/>
              <a:t>CHALLENGE</a:t>
            </a:r>
          </a:p>
          <a:p>
            <a:pPr algn="l"/>
            <a:endParaRPr lang="en-US" sz="1600" b="1"/>
          </a:p>
          <a:p>
            <a:pPr algn="l"/>
            <a:r>
              <a:rPr lang="en-US" sz="1600" b="1"/>
              <a:t>•  Filter</a:t>
            </a:r>
            <a:r>
              <a:rPr lang="en-US" sz="1600" b="1" baseline="0"/>
              <a:t> the names of people who took the courses out of order.</a:t>
            </a:r>
          </a:p>
        </xdr:txBody>
      </xdr:sp>
      <xdr:pic>
        <xdr:nvPicPr>
          <xdr:cNvPr id="4" name="Picture 3" descr="Logo&#10;&#10;Description automatically generated">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034769" y="4364136"/>
            <a:ext cx="1320697" cy="1172119"/>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absoluteAnchor>
    <xdr:pos x="9251621" y="1754623"/>
    <xdr:ext cx="2944092" cy="3029403"/>
    <xdr:grpSp>
      <xdr:nvGrpSpPr>
        <xdr:cNvPr id="2" name="Group 1">
          <a:extLst>
            <a:ext uri="{FF2B5EF4-FFF2-40B4-BE49-F238E27FC236}">
              <a16:creationId xmlns:a16="http://schemas.microsoft.com/office/drawing/2014/main" id="{00000000-0008-0000-2E00-000002000000}"/>
            </a:ext>
          </a:extLst>
        </xdr:cNvPr>
        <xdr:cNvGrpSpPr/>
      </xdr:nvGrpSpPr>
      <xdr:grpSpPr>
        <a:xfrm>
          <a:off x="9251621" y="1754623"/>
          <a:ext cx="2944092" cy="3029403"/>
          <a:chOff x="8871856" y="266700"/>
          <a:chExt cx="3260274" cy="3194957"/>
        </a:xfrm>
      </xdr:grpSpPr>
      <xdr:pic>
        <xdr:nvPicPr>
          <xdr:cNvPr id="3" name="Picture 2">
            <a:extLst>
              <a:ext uri="{FF2B5EF4-FFF2-40B4-BE49-F238E27FC236}">
                <a16:creationId xmlns:a16="http://schemas.microsoft.com/office/drawing/2014/main" id="{00000000-0008-0000-2E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018" t="24413" r="56414" b="33169"/>
          <a:stretch/>
        </xdr:blipFill>
        <xdr:spPr>
          <a:xfrm>
            <a:off x="9018814" y="2128157"/>
            <a:ext cx="1512535" cy="1333500"/>
          </a:xfrm>
          <a:prstGeom prst="rect">
            <a:avLst/>
          </a:prstGeom>
        </xdr:spPr>
      </xdr:pic>
      <xdr:pic>
        <xdr:nvPicPr>
          <xdr:cNvPr id="4" name="Picture 3">
            <a:extLst>
              <a:ext uri="{FF2B5EF4-FFF2-40B4-BE49-F238E27FC236}">
                <a16:creationId xmlns:a16="http://schemas.microsoft.com/office/drawing/2014/main" id="{00000000-0008-0000-2E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9022" t="6348" r="4450" b="15103"/>
          <a:stretch/>
        </xdr:blipFill>
        <xdr:spPr>
          <a:xfrm>
            <a:off x="10412186" y="821872"/>
            <a:ext cx="1719944" cy="2177143"/>
          </a:xfrm>
          <a:prstGeom prst="rect">
            <a:avLst/>
          </a:prstGeom>
        </xdr:spPr>
      </xdr:pic>
      <xdr:pic>
        <xdr:nvPicPr>
          <xdr:cNvPr id="5" name="Picture 4">
            <a:extLst>
              <a:ext uri="{FF2B5EF4-FFF2-40B4-BE49-F238E27FC236}">
                <a16:creationId xmlns:a16="http://schemas.microsoft.com/office/drawing/2014/main" id="{00000000-0008-0000-2E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47" t="18655" r="78845" b="32251"/>
          <a:stretch/>
        </xdr:blipFill>
        <xdr:spPr>
          <a:xfrm>
            <a:off x="8871856" y="266700"/>
            <a:ext cx="1529443" cy="1662438"/>
          </a:xfrm>
          <a:prstGeom prst="rect">
            <a:avLst/>
          </a:prstGeom>
        </xdr:spPr>
      </xdr:pic>
    </xdr:grpSp>
    <xdr:clientData/>
  </xdr:absoluteAnchor>
</xdr:wsDr>
</file>

<file path=xl/drawings/drawing7.xml><?xml version="1.0" encoding="utf-8"?>
<xdr:wsDr xmlns:xdr="http://schemas.openxmlformats.org/drawingml/2006/spreadsheetDrawing" xmlns:a="http://schemas.openxmlformats.org/drawingml/2006/main">
  <xdr:absoluteAnchor>
    <xdr:pos x="10260239" y="667656"/>
    <xdr:ext cx="5605689" cy="3901622"/>
    <xdr:sp macro="" textlink="">
      <xdr:nvSpPr>
        <xdr:cNvPr id="2" name="Rectangle: Rounded Corners 1">
          <a:extLst>
            <a:ext uri="{FF2B5EF4-FFF2-40B4-BE49-F238E27FC236}">
              <a16:creationId xmlns:a16="http://schemas.microsoft.com/office/drawing/2014/main" id="{00000000-0008-0000-2F00-000002000000}"/>
            </a:ext>
          </a:extLst>
        </xdr:cNvPr>
        <xdr:cNvSpPr/>
      </xdr:nvSpPr>
      <xdr:spPr>
        <a:xfrm>
          <a:off x="10260239" y="667656"/>
          <a:ext cx="5605689" cy="3901622"/>
        </a:xfrm>
        <a:prstGeom prst="roundRect">
          <a:avLst>
            <a:gd name="adj" fmla="val 13614"/>
          </a:avLst>
        </a:prstGeom>
        <a:gradFill flip="none" rotWithShape="1">
          <a:gsLst>
            <a:gs pos="41000">
              <a:schemeClr val="accent2">
                <a:tint val="62000"/>
                <a:hueMod val="94000"/>
                <a:satMod val="140000"/>
                <a:lumMod val="110000"/>
              </a:schemeClr>
            </a:gs>
            <a:gs pos="100000">
              <a:schemeClr val="accent2">
                <a:tint val="84000"/>
                <a:satMod val="160000"/>
              </a:schemeClr>
            </a:gs>
          </a:gsLst>
          <a:lin ang="18600000" scaled="0"/>
          <a:tileRect/>
        </a:gradFill>
        <a:scene3d>
          <a:camera prst="orthographicFront"/>
          <a:lightRig rig="threePt" dir="t"/>
        </a:scene3d>
        <a:sp3d>
          <a:bevelT w="152400" h="50800" prst="softRound"/>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1600" b="1" u="sng"/>
            <a:t>CHALLENGE</a:t>
          </a:r>
        </a:p>
        <a:p>
          <a:pPr algn="l"/>
          <a:endParaRPr lang="en-US" sz="1600" b="1"/>
        </a:p>
        <a:p>
          <a:pPr algn="l"/>
          <a:r>
            <a:rPr lang="en-US" sz="1600" b="1"/>
            <a:t>•  Calculate</a:t>
          </a:r>
          <a:r>
            <a:rPr lang="en-US" sz="1600" b="1" baseline="0"/>
            <a:t> the overall donations:</a:t>
          </a:r>
        </a:p>
        <a:p>
          <a:pPr lvl="1" algn="ctr"/>
          <a:r>
            <a:rPr lang="en-US" sz="1600" b="1" baseline="0">
              <a:sym typeface="Wingdings" panose="05000000000000000000" pitchFamily="2" charset="2"/>
            </a:rPr>
            <a:t>  Total      Average      Median</a:t>
          </a:r>
        </a:p>
        <a:p>
          <a:pPr algn="l"/>
          <a:endParaRPr lang="en-US" sz="1600" b="1" baseline="0"/>
        </a:p>
        <a:p>
          <a:pPr algn="l"/>
          <a:r>
            <a:rPr lang="en-US" sz="1600" b="1" baseline="0"/>
            <a:t>•  Calculate the same for the online donations.</a:t>
          </a:r>
        </a:p>
        <a:p>
          <a:pPr algn="l"/>
          <a:endParaRPr lang="en-US" sz="1600" b="1" baseline="0"/>
        </a:p>
        <a:p>
          <a:pPr algn="l"/>
          <a:r>
            <a:rPr lang="en-US" sz="1600" b="1" baseline="0"/>
            <a:t>•  Get a count and total for amounts ≥ $5000.</a:t>
          </a:r>
        </a:p>
        <a:p>
          <a:pPr algn="l"/>
          <a:endParaRPr lang="en-US" sz="1600" b="1" baseline="0"/>
        </a:p>
        <a:p>
          <a:pPr algn="l"/>
          <a:r>
            <a:rPr lang="en-US" sz="1600" b="1" baseline="0"/>
            <a:t>•  Think about what the details are telling you.</a:t>
          </a:r>
        </a:p>
      </xdr:txBody>
    </xdr:sp>
    <xdr:clientData/>
  </xdr:absoluteAnchor>
</xdr:wsDr>
</file>

<file path=xl/drawings/drawing8.xml><?xml version="1.0" encoding="utf-8"?>
<xdr:wsDr xmlns:xdr="http://schemas.openxmlformats.org/drawingml/2006/spreadsheetDrawing" xmlns:a="http://schemas.openxmlformats.org/drawingml/2006/main">
  <xdr:absoluteAnchor>
    <xdr:pos x="13212465" y="57150"/>
    <xdr:ext cx="3294804" cy="2292804"/>
    <xdr:pic>
      <xdr:nvPicPr>
        <xdr:cNvPr id="2" name="Picture 1" descr="Text&#10;&#10;Description automatically generated">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12465" y="57150"/>
          <a:ext cx="3294804" cy="2292804"/>
        </a:xfrm>
        <a:prstGeom prst="rect">
          <a:avLst/>
        </a:prstGeom>
      </xdr:spPr>
    </xdr:pic>
    <xdr:clientData/>
  </xdr:absoluteAnchor>
  <xdr:absoluteAnchor>
    <xdr:pos x="8256815" y="854257"/>
    <xdr:ext cx="3872592" cy="3832043"/>
    <xdr:grpSp>
      <xdr:nvGrpSpPr>
        <xdr:cNvPr id="3" name="Group 2">
          <a:extLst>
            <a:ext uri="{FF2B5EF4-FFF2-40B4-BE49-F238E27FC236}">
              <a16:creationId xmlns:a16="http://schemas.microsoft.com/office/drawing/2014/main" id="{00000000-0008-0000-3000-000003000000}"/>
            </a:ext>
          </a:extLst>
        </xdr:cNvPr>
        <xdr:cNvGrpSpPr/>
      </xdr:nvGrpSpPr>
      <xdr:grpSpPr>
        <a:xfrm>
          <a:off x="8256815" y="854257"/>
          <a:ext cx="3872592" cy="3832043"/>
          <a:chOff x="4849585" y="535850"/>
          <a:chExt cx="3875314" cy="3682365"/>
        </a:xfrm>
      </xdr:grpSpPr>
      <xdr:pic>
        <xdr:nvPicPr>
          <xdr:cNvPr id="4" name="Picture 3" descr="A picture containing building, window&#10;&#10;Description automatically generated">
            <a:extLst>
              <a:ext uri="{FF2B5EF4-FFF2-40B4-BE49-F238E27FC236}">
                <a16:creationId xmlns:a16="http://schemas.microsoft.com/office/drawing/2014/main" id="{00000000-0008-0000-3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401106">
            <a:off x="6110073" y="535850"/>
            <a:ext cx="2210703" cy="1796483"/>
          </a:xfrm>
          <a:prstGeom prst="rect">
            <a:avLst/>
          </a:prstGeom>
        </xdr:spPr>
      </xdr:pic>
      <xdr:sp macro="" textlink="">
        <xdr:nvSpPr>
          <xdr:cNvPr id="5" name="Rectangle: Rounded Corners 4">
            <a:extLst>
              <a:ext uri="{FF2B5EF4-FFF2-40B4-BE49-F238E27FC236}">
                <a16:creationId xmlns:a16="http://schemas.microsoft.com/office/drawing/2014/main" id="{00000000-0008-0000-3000-000005000000}"/>
              </a:ext>
            </a:extLst>
          </xdr:cNvPr>
          <xdr:cNvSpPr/>
        </xdr:nvSpPr>
        <xdr:spPr>
          <a:xfrm>
            <a:off x="4849585" y="2106384"/>
            <a:ext cx="3875314" cy="2111831"/>
          </a:xfrm>
          <a:prstGeom prst="roundRect">
            <a:avLst>
              <a:gd name="adj" fmla="val 13614"/>
            </a:avLst>
          </a:prstGeom>
          <a:gradFill flip="none" rotWithShape="1">
            <a:gsLst>
              <a:gs pos="41000">
                <a:schemeClr val="accent2">
                  <a:tint val="62000"/>
                  <a:hueMod val="94000"/>
                  <a:satMod val="140000"/>
                  <a:lumMod val="110000"/>
                </a:schemeClr>
              </a:gs>
              <a:gs pos="100000">
                <a:schemeClr val="accent2">
                  <a:tint val="84000"/>
                  <a:satMod val="160000"/>
                </a:schemeClr>
              </a:gs>
            </a:gsLst>
            <a:lin ang="18600000" scaled="0"/>
            <a:tileRect/>
          </a:gradFill>
          <a:scene3d>
            <a:camera prst="orthographicFront"/>
            <a:lightRig rig="threePt" dir="t"/>
          </a:scene3d>
          <a:sp3d>
            <a:bevelT w="152400" h="50800" prst="softRound"/>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1600" b="1" u="sng"/>
              <a:t>CHALLENGE</a:t>
            </a:r>
          </a:p>
          <a:p>
            <a:pPr algn="l"/>
            <a:endParaRPr lang="en-US" sz="1600" b="1"/>
          </a:p>
          <a:p>
            <a:pPr algn="l"/>
            <a:r>
              <a:rPr lang="en-US" sz="1600" b="1"/>
              <a:t>•  Find the minimum and</a:t>
            </a:r>
            <a:r>
              <a:rPr lang="en-US" sz="1600" b="1" baseline="0"/>
              <a:t> maximum rents based on these criteria:</a:t>
            </a:r>
          </a:p>
          <a:p>
            <a:pPr algn="l"/>
            <a:endParaRPr lang="en-US" sz="1600" b="1" baseline="0"/>
          </a:p>
          <a:p>
            <a:pPr lvl="1" algn="l"/>
            <a:r>
              <a:rPr lang="en-US" sz="1600" b="1" baseline="0">
                <a:sym typeface="Wingdings" panose="05000000000000000000" pitchFamily="2" charset="2"/>
              </a:rPr>
              <a:t>  Tower 1 or 3</a:t>
            </a:r>
          </a:p>
          <a:p>
            <a:pPr lvl="1" algn="l"/>
            <a:r>
              <a:rPr lang="en-US" sz="1600" b="1" baseline="0">
                <a:sym typeface="Wingdings" panose="05000000000000000000" pitchFamily="2" charset="2"/>
              </a:rPr>
              <a:t>  Floor Plan 9</a:t>
            </a:r>
          </a:p>
        </xdr:txBody>
      </xdr:sp>
    </xdr:grpSp>
    <xdr:clientData/>
  </xdr:absoluteAnchor>
</xdr:wsDr>
</file>

<file path=xl/drawings/drawing9.xml><?xml version="1.0" encoding="utf-8"?>
<xdr:wsDr xmlns:xdr="http://schemas.openxmlformats.org/drawingml/2006/spreadsheetDrawing" xmlns:a="http://schemas.openxmlformats.org/drawingml/2006/main">
  <xdr:absoluteAnchor>
    <xdr:pos x="7877628" y="1855109"/>
    <xdr:ext cx="4100286" cy="1935840"/>
    <xdr:sp macro="" textlink="">
      <xdr:nvSpPr>
        <xdr:cNvPr id="2" name="Rectangle: Rounded Corners 1">
          <a:extLst>
            <a:ext uri="{FF2B5EF4-FFF2-40B4-BE49-F238E27FC236}">
              <a16:creationId xmlns:a16="http://schemas.microsoft.com/office/drawing/2014/main" id="{00000000-0008-0000-3300-000002000000}"/>
            </a:ext>
          </a:extLst>
        </xdr:cNvPr>
        <xdr:cNvSpPr/>
      </xdr:nvSpPr>
      <xdr:spPr>
        <a:xfrm>
          <a:off x="7877628" y="1855109"/>
          <a:ext cx="4100286" cy="1935840"/>
        </a:xfrm>
        <a:prstGeom prst="roundRect">
          <a:avLst>
            <a:gd name="adj" fmla="val 13614"/>
          </a:avLst>
        </a:prstGeom>
        <a:gradFill flip="none" rotWithShape="1">
          <a:gsLst>
            <a:gs pos="41000">
              <a:schemeClr val="accent2">
                <a:tint val="62000"/>
                <a:hueMod val="94000"/>
                <a:satMod val="140000"/>
                <a:lumMod val="110000"/>
              </a:schemeClr>
            </a:gs>
            <a:gs pos="100000">
              <a:schemeClr val="accent2">
                <a:tint val="84000"/>
                <a:satMod val="160000"/>
              </a:schemeClr>
            </a:gs>
          </a:gsLst>
          <a:lin ang="18600000" scaled="0"/>
          <a:tileRect/>
        </a:gradFill>
        <a:scene3d>
          <a:camera prst="orthographicFront"/>
          <a:lightRig rig="threePt" dir="t"/>
        </a:scene3d>
        <a:sp3d>
          <a:bevelT w="152400" h="50800" prst="softRound"/>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1600" b="1" u="sng"/>
            <a:t>CHALLENGE</a:t>
          </a:r>
        </a:p>
        <a:p>
          <a:pPr algn="l"/>
          <a:endParaRPr lang="en-US" sz="1600" b="1"/>
        </a:p>
        <a:p>
          <a:pPr algn="l"/>
          <a:r>
            <a:rPr lang="en-US" sz="1600" b="1"/>
            <a:t>•  Set up a 2-way lookup to see who's assigned, by day and either, Morning, Afternoon or Evening </a:t>
          </a:r>
          <a:endParaRPr lang="en-US" sz="1600" b="1" baseline="0"/>
        </a:p>
      </xdr:txBody>
    </xdr:sp>
    <xdr:clientData/>
  </xdr:absoluteAnchor>
  <xdr:absoluteAnchor>
    <xdr:pos x="230680" y="340177"/>
    <xdr:ext cx="1091934" cy="1487655"/>
    <xdr:pic>
      <xdr:nvPicPr>
        <xdr:cNvPr id="3" name="Picture 2" descr="Shape&#10;&#10;Description automatically generated with low confidence">
          <a:extLst>
            <a:ext uri="{FF2B5EF4-FFF2-40B4-BE49-F238E27FC236}">
              <a16:creationId xmlns:a16="http://schemas.microsoft.com/office/drawing/2014/main" id="{00000000-0008-0000-3300-000003000000}"/>
            </a:ext>
          </a:extLst>
        </xdr:cNvPr>
        <xdr:cNvPicPr>
          <a:picLocks noChangeAspect="1"/>
        </xdr:cNvPicPr>
      </xdr:nvPicPr>
      <xdr:blipFill>
        <a:blip xmlns:r="http://schemas.openxmlformats.org/officeDocument/2006/relationships" r:embed="rId1"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230680" y="340177"/>
          <a:ext cx="1091934" cy="1487655"/>
        </a:xfrm>
        <a:prstGeom prst="rect">
          <a:avLst/>
        </a:prstGeom>
      </xdr:spPr>
    </xdr:pic>
    <xdr:clientData/>
  </xdr:absoluteAnchor>
</xdr:wsDr>
</file>

<file path=xl/drawings/drawing10.xml><?xml version="1.0" encoding="utf-8"?>
<xdr:wsDr xmlns:xdr="http://schemas.openxmlformats.org/drawingml/2006/spreadsheetDrawing" xmlns:a="http://schemas.openxmlformats.org/drawingml/2006/main">
  <xdr:absoluteAnchor>
    <xdr:pos x="9681605" y="281545"/>
    <xdr:ext cx="3702083" cy="3434153"/>
    <xdr:grpSp>
      <xdr:nvGrpSpPr>
        <xdr:cNvPr id="2" name="Group 1">
          <a:extLst>
            <a:ext uri="{FF2B5EF4-FFF2-40B4-BE49-F238E27FC236}">
              <a16:creationId xmlns:a16="http://schemas.microsoft.com/office/drawing/2014/main" id="{00000000-0008-0000-3400-000002000000}"/>
            </a:ext>
          </a:extLst>
        </xdr:cNvPr>
        <xdr:cNvGrpSpPr/>
      </xdr:nvGrpSpPr>
      <xdr:grpSpPr>
        <a:xfrm>
          <a:off x="9681605" y="281545"/>
          <a:ext cx="3702083" cy="3434153"/>
          <a:chOff x="8666477" y="1703615"/>
          <a:chExt cx="3690259" cy="3312887"/>
        </a:xfrm>
      </xdr:grpSpPr>
      <xdr:sp macro="" textlink="">
        <xdr:nvSpPr>
          <xdr:cNvPr id="3" name="Rectangle: Rounded Corners 2">
            <a:extLst>
              <a:ext uri="{FF2B5EF4-FFF2-40B4-BE49-F238E27FC236}">
                <a16:creationId xmlns:a16="http://schemas.microsoft.com/office/drawing/2014/main" id="{00000000-0008-0000-3400-000003000000}"/>
              </a:ext>
            </a:extLst>
          </xdr:cNvPr>
          <xdr:cNvSpPr/>
        </xdr:nvSpPr>
        <xdr:spPr>
          <a:xfrm>
            <a:off x="8666477" y="2654301"/>
            <a:ext cx="3690259" cy="2362201"/>
          </a:xfrm>
          <a:prstGeom prst="roundRect">
            <a:avLst>
              <a:gd name="adj" fmla="val 13614"/>
            </a:avLst>
          </a:prstGeom>
          <a:gradFill flip="none" rotWithShape="1">
            <a:gsLst>
              <a:gs pos="41000">
                <a:schemeClr val="accent2">
                  <a:tint val="62000"/>
                  <a:hueMod val="94000"/>
                  <a:satMod val="140000"/>
                  <a:lumMod val="110000"/>
                </a:schemeClr>
              </a:gs>
              <a:gs pos="100000">
                <a:schemeClr val="accent2">
                  <a:tint val="84000"/>
                  <a:satMod val="160000"/>
                </a:schemeClr>
              </a:gs>
            </a:gsLst>
            <a:lin ang="18600000" scaled="0"/>
            <a:tileRect/>
          </a:gradFill>
          <a:scene3d>
            <a:camera prst="orthographicFront"/>
            <a:lightRig rig="threePt" dir="t"/>
          </a:scene3d>
          <a:sp3d>
            <a:bevelT w="152400" h="50800" prst="softRound"/>
          </a:sp3d>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1600" b="1" u="sng"/>
              <a:t>CHALLENGE</a:t>
            </a:r>
          </a:p>
          <a:p>
            <a:pPr algn="l"/>
            <a:endParaRPr lang="en-US" sz="1600" b="1"/>
          </a:p>
          <a:p>
            <a:pPr algn="l"/>
            <a:r>
              <a:rPr lang="en-US" sz="1600" b="1"/>
              <a:t>•  Determine</a:t>
            </a:r>
            <a:r>
              <a:rPr lang="en-US" sz="1600" b="1" baseline="0"/>
              <a:t> if</a:t>
            </a:r>
            <a:r>
              <a:rPr lang="en-US" sz="1600" b="1"/>
              <a:t> Aimee</a:t>
            </a:r>
            <a:r>
              <a:rPr lang="en-US" sz="1600" b="1" baseline="0"/>
              <a:t> owns Guitars:</a:t>
            </a:r>
          </a:p>
          <a:p>
            <a:pPr algn="l"/>
            <a:r>
              <a:rPr lang="en-US" sz="1600" b="1" baseline="0"/>
              <a:t> F, L, M or A?</a:t>
            </a:r>
          </a:p>
          <a:p>
            <a:pPr algn="l"/>
            <a:endParaRPr lang="en-US" sz="1600" b="1" baseline="0"/>
          </a:p>
          <a:p>
            <a:pPr algn="l"/>
            <a:r>
              <a:rPr lang="en-US" sz="1600" b="1" baseline="0">
                <a:sym typeface="Wingdings" panose="05000000000000000000" pitchFamily="2" charset="2"/>
              </a:rPr>
              <a:t>  If she never owned one, return: "N.O."</a:t>
            </a:r>
            <a:endParaRPr lang="en-US" sz="1600" b="1" baseline="0"/>
          </a:p>
          <a:p>
            <a:pPr algn="l"/>
            <a:endParaRPr lang="en-US" sz="1600" b="1" baseline="0"/>
          </a:p>
          <a:p>
            <a:pPr algn="l"/>
            <a:endParaRPr lang="en-US" sz="1600" b="1" baseline="0"/>
          </a:p>
          <a:p>
            <a:pPr algn="l"/>
            <a:endParaRPr lang="en-US" sz="1600" b="1" baseline="0"/>
          </a:p>
          <a:p>
            <a:pPr algn="l"/>
            <a:endParaRPr lang="en-US" sz="1600" b="1" baseline="0"/>
          </a:p>
          <a:p>
            <a:pPr algn="l"/>
            <a:endParaRPr lang="en-US" sz="1600" b="1" baseline="0"/>
          </a:p>
        </xdr:txBody>
      </xdr:sp>
      <xdr:pic>
        <xdr:nvPicPr>
          <xdr:cNvPr id="4" name="Picture 3" descr="Shape&#10;&#10;Description automatically generated with low confidence">
            <a:extLst>
              <a:ext uri="{FF2B5EF4-FFF2-40B4-BE49-F238E27FC236}">
                <a16:creationId xmlns:a16="http://schemas.microsoft.com/office/drawing/2014/main" id="{00000000-0008-0000-34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4962" r="17047"/>
          <a:stretch/>
        </xdr:blipFill>
        <xdr:spPr>
          <a:xfrm>
            <a:off x="9361717" y="1703615"/>
            <a:ext cx="1224668" cy="2111829"/>
          </a:xfrm>
          <a:prstGeom prst="rect">
            <a:avLst/>
          </a:prstGeom>
        </xdr:spPr>
      </xdr:pic>
    </xdr:grpSp>
    <xdr:clientData/>
  </xdr:absoluteAnchor>
</xdr:wsDr>
</file>

<file path=xl/drawings/drawing11.xml><?xml version="1.0" encoding="utf-8"?>
<xdr:wsDr xmlns:xdr="http://schemas.openxmlformats.org/drawingml/2006/spreadsheetDrawing" xmlns:a="http://schemas.openxmlformats.org/drawingml/2006/main">
  <xdr:twoCellAnchor>
    <xdr:from>
      <xdr:col>1</xdr:col>
      <xdr:colOff>45508</xdr:colOff>
      <xdr:row>13</xdr:row>
      <xdr:rowOff>103716</xdr:rowOff>
    </xdr:from>
    <xdr:to>
      <xdr:col>7</xdr:col>
      <xdr:colOff>76200</xdr:colOff>
      <xdr:row>24</xdr:row>
      <xdr:rowOff>50799</xdr:rowOff>
    </xdr:to>
    <xdr:graphicFrame macro="">
      <xdr:nvGraphicFramePr>
        <xdr:cNvPr id="2" name="Chart 1">
          <a:extLst>
            <a:ext uri="{FF2B5EF4-FFF2-40B4-BE49-F238E27FC236}">
              <a16:creationId xmlns:a16="http://schemas.microsoft.com/office/drawing/2014/main" id="{00000000-0008-0000-3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57150</xdr:colOff>
          <xdr:row>1</xdr:row>
          <xdr:rowOff>101600</xdr:rowOff>
        </xdr:from>
        <xdr:to>
          <xdr:col>2</xdr:col>
          <xdr:colOff>393700</xdr:colOff>
          <xdr:row>3</xdr:row>
          <xdr:rowOff>95250</xdr:rowOff>
        </xdr:to>
        <xdr:sp macro="" textlink="">
          <xdr:nvSpPr>
            <xdr:cNvPr id="46081" name="Check Box 1" hidden="1">
              <a:extLst>
                <a:ext uri="{63B3BB69-23CF-44E3-9099-C40C66FF867C}">
                  <a14:compatExt spid="_x0000_s46081"/>
                </a:ext>
                <a:ext uri="{FF2B5EF4-FFF2-40B4-BE49-F238E27FC236}">
                  <a16:creationId xmlns:a16="http://schemas.microsoft.com/office/drawing/2014/main" id="{00000000-0008-0000-3F00-000001B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2</xdr:row>
          <xdr:rowOff>101600</xdr:rowOff>
        </xdr:from>
        <xdr:to>
          <xdr:col>2</xdr:col>
          <xdr:colOff>393700</xdr:colOff>
          <xdr:row>4</xdr:row>
          <xdr:rowOff>95250</xdr:rowOff>
        </xdr:to>
        <xdr:sp macro="" textlink="">
          <xdr:nvSpPr>
            <xdr:cNvPr id="46082" name="Check Box 2" hidden="1">
              <a:extLst>
                <a:ext uri="{63B3BB69-23CF-44E3-9099-C40C66FF867C}">
                  <a14:compatExt spid="_x0000_s46082"/>
                </a:ext>
                <a:ext uri="{FF2B5EF4-FFF2-40B4-BE49-F238E27FC236}">
                  <a16:creationId xmlns:a16="http://schemas.microsoft.com/office/drawing/2014/main" id="{00000000-0008-0000-3F00-000002B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3</xdr:row>
          <xdr:rowOff>101600</xdr:rowOff>
        </xdr:from>
        <xdr:to>
          <xdr:col>2</xdr:col>
          <xdr:colOff>393700</xdr:colOff>
          <xdr:row>5</xdr:row>
          <xdr:rowOff>95250</xdr:rowOff>
        </xdr:to>
        <xdr:sp macro="" textlink="">
          <xdr:nvSpPr>
            <xdr:cNvPr id="46083" name="Check Box 3" hidden="1">
              <a:extLst>
                <a:ext uri="{63B3BB69-23CF-44E3-9099-C40C66FF867C}">
                  <a14:compatExt spid="_x0000_s46083"/>
                </a:ext>
                <a:ext uri="{FF2B5EF4-FFF2-40B4-BE49-F238E27FC236}">
                  <a16:creationId xmlns:a16="http://schemas.microsoft.com/office/drawing/2014/main" id="{00000000-0008-0000-3F00-000003B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4</xdr:row>
          <xdr:rowOff>101600</xdr:rowOff>
        </xdr:from>
        <xdr:to>
          <xdr:col>2</xdr:col>
          <xdr:colOff>393700</xdr:colOff>
          <xdr:row>6</xdr:row>
          <xdr:rowOff>95250</xdr:rowOff>
        </xdr:to>
        <xdr:sp macro="" textlink="">
          <xdr:nvSpPr>
            <xdr:cNvPr id="46084" name="Check Box 4" hidden="1">
              <a:extLst>
                <a:ext uri="{63B3BB69-23CF-44E3-9099-C40C66FF867C}">
                  <a14:compatExt spid="_x0000_s46084"/>
                </a:ext>
                <a:ext uri="{FF2B5EF4-FFF2-40B4-BE49-F238E27FC236}">
                  <a16:creationId xmlns:a16="http://schemas.microsoft.com/office/drawing/2014/main" id="{00000000-0008-0000-3F00-000004B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5</xdr:row>
          <xdr:rowOff>101600</xdr:rowOff>
        </xdr:from>
        <xdr:to>
          <xdr:col>2</xdr:col>
          <xdr:colOff>393700</xdr:colOff>
          <xdr:row>7</xdr:row>
          <xdr:rowOff>95250</xdr:rowOff>
        </xdr:to>
        <xdr:sp macro="" textlink="">
          <xdr:nvSpPr>
            <xdr:cNvPr id="46085" name="Check Box 5" hidden="1">
              <a:extLst>
                <a:ext uri="{63B3BB69-23CF-44E3-9099-C40C66FF867C}">
                  <a14:compatExt spid="_x0000_s46085"/>
                </a:ext>
                <a:ext uri="{FF2B5EF4-FFF2-40B4-BE49-F238E27FC236}">
                  <a16:creationId xmlns:a16="http://schemas.microsoft.com/office/drawing/2014/main" id="{00000000-0008-0000-3F00-000005B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6</xdr:row>
          <xdr:rowOff>101600</xdr:rowOff>
        </xdr:from>
        <xdr:to>
          <xdr:col>2</xdr:col>
          <xdr:colOff>393700</xdr:colOff>
          <xdr:row>8</xdr:row>
          <xdr:rowOff>95250</xdr:rowOff>
        </xdr:to>
        <xdr:sp macro="" textlink="">
          <xdr:nvSpPr>
            <xdr:cNvPr id="46086" name="Check Box 6" hidden="1">
              <a:extLst>
                <a:ext uri="{63B3BB69-23CF-44E3-9099-C40C66FF867C}">
                  <a14:compatExt spid="_x0000_s46086"/>
                </a:ext>
                <a:ext uri="{FF2B5EF4-FFF2-40B4-BE49-F238E27FC236}">
                  <a16:creationId xmlns:a16="http://schemas.microsoft.com/office/drawing/2014/main" id="{00000000-0008-0000-3F00-000006B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7</xdr:row>
          <xdr:rowOff>101600</xdr:rowOff>
        </xdr:from>
        <xdr:to>
          <xdr:col>2</xdr:col>
          <xdr:colOff>393700</xdr:colOff>
          <xdr:row>9</xdr:row>
          <xdr:rowOff>95250</xdr:rowOff>
        </xdr:to>
        <xdr:sp macro="" textlink="">
          <xdr:nvSpPr>
            <xdr:cNvPr id="46087" name="Check Box 7" hidden="1">
              <a:extLst>
                <a:ext uri="{63B3BB69-23CF-44E3-9099-C40C66FF867C}">
                  <a14:compatExt spid="_x0000_s46087"/>
                </a:ext>
                <a:ext uri="{FF2B5EF4-FFF2-40B4-BE49-F238E27FC236}">
                  <a16:creationId xmlns:a16="http://schemas.microsoft.com/office/drawing/2014/main" id="{00000000-0008-0000-3F00-000007B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3</xdr:row>
          <xdr:rowOff>101600</xdr:rowOff>
        </xdr:from>
        <xdr:to>
          <xdr:col>2</xdr:col>
          <xdr:colOff>393700</xdr:colOff>
          <xdr:row>5</xdr:row>
          <xdr:rowOff>95250</xdr:rowOff>
        </xdr:to>
        <xdr:sp macro="" textlink="">
          <xdr:nvSpPr>
            <xdr:cNvPr id="46088" name="Check Box 8" hidden="1">
              <a:extLst>
                <a:ext uri="{63B3BB69-23CF-44E3-9099-C40C66FF867C}">
                  <a14:compatExt spid="_x0000_s46088"/>
                </a:ext>
                <a:ext uri="{FF2B5EF4-FFF2-40B4-BE49-F238E27FC236}">
                  <a16:creationId xmlns:a16="http://schemas.microsoft.com/office/drawing/2014/main" id="{00000000-0008-0000-3F00-000008B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4</xdr:row>
          <xdr:rowOff>101600</xdr:rowOff>
        </xdr:from>
        <xdr:to>
          <xdr:col>2</xdr:col>
          <xdr:colOff>393700</xdr:colOff>
          <xdr:row>6</xdr:row>
          <xdr:rowOff>95250</xdr:rowOff>
        </xdr:to>
        <xdr:sp macro="" textlink="">
          <xdr:nvSpPr>
            <xdr:cNvPr id="46089" name="Check Box 9" hidden="1">
              <a:extLst>
                <a:ext uri="{63B3BB69-23CF-44E3-9099-C40C66FF867C}">
                  <a14:compatExt spid="_x0000_s46089"/>
                </a:ext>
                <a:ext uri="{FF2B5EF4-FFF2-40B4-BE49-F238E27FC236}">
                  <a16:creationId xmlns:a16="http://schemas.microsoft.com/office/drawing/2014/main" id="{00000000-0008-0000-3F00-000009B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5</xdr:row>
          <xdr:rowOff>101600</xdr:rowOff>
        </xdr:from>
        <xdr:to>
          <xdr:col>2</xdr:col>
          <xdr:colOff>393700</xdr:colOff>
          <xdr:row>7</xdr:row>
          <xdr:rowOff>95250</xdr:rowOff>
        </xdr:to>
        <xdr:sp macro="" textlink="">
          <xdr:nvSpPr>
            <xdr:cNvPr id="46090" name="Check Box 10" hidden="1">
              <a:extLst>
                <a:ext uri="{63B3BB69-23CF-44E3-9099-C40C66FF867C}">
                  <a14:compatExt spid="_x0000_s46090"/>
                </a:ext>
                <a:ext uri="{FF2B5EF4-FFF2-40B4-BE49-F238E27FC236}">
                  <a16:creationId xmlns:a16="http://schemas.microsoft.com/office/drawing/2014/main" id="{00000000-0008-0000-3F00-00000AB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6</xdr:row>
          <xdr:rowOff>101600</xdr:rowOff>
        </xdr:from>
        <xdr:to>
          <xdr:col>2</xdr:col>
          <xdr:colOff>393700</xdr:colOff>
          <xdr:row>8</xdr:row>
          <xdr:rowOff>95250</xdr:rowOff>
        </xdr:to>
        <xdr:sp macro="" textlink="">
          <xdr:nvSpPr>
            <xdr:cNvPr id="46091" name="Check Box 11" hidden="1">
              <a:extLst>
                <a:ext uri="{63B3BB69-23CF-44E3-9099-C40C66FF867C}">
                  <a14:compatExt spid="_x0000_s46091"/>
                </a:ext>
                <a:ext uri="{FF2B5EF4-FFF2-40B4-BE49-F238E27FC236}">
                  <a16:creationId xmlns:a16="http://schemas.microsoft.com/office/drawing/2014/main" id="{00000000-0008-0000-3F00-00000BB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7</xdr:row>
          <xdr:rowOff>101600</xdr:rowOff>
        </xdr:from>
        <xdr:to>
          <xdr:col>2</xdr:col>
          <xdr:colOff>393700</xdr:colOff>
          <xdr:row>9</xdr:row>
          <xdr:rowOff>95250</xdr:rowOff>
        </xdr:to>
        <xdr:sp macro="" textlink="">
          <xdr:nvSpPr>
            <xdr:cNvPr id="46092" name="Check Box 12" hidden="1">
              <a:extLst>
                <a:ext uri="{63B3BB69-23CF-44E3-9099-C40C66FF867C}">
                  <a14:compatExt spid="_x0000_s46092"/>
                </a:ext>
                <a:ext uri="{FF2B5EF4-FFF2-40B4-BE49-F238E27FC236}">
                  <a16:creationId xmlns:a16="http://schemas.microsoft.com/office/drawing/2014/main" id="{00000000-0008-0000-3F00-00000CB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a:t>
              </a:r>
            </a:p>
          </xdr:txBody>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425450</xdr:colOff>
          <xdr:row>2</xdr:row>
          <xdr:rowOff>12700</xdr:rowOff>
        </xdr:from>
        <xdr:to>
          <xdr:col>6</xdr:col>
          <xdr:colOff>44450</xdr:colOff>
          <xdr:row>6</xdr:row>
          <xdr:rowOff>12700</xdr:rowOff>
        </xdr:to>
        <xdr:sp macro="" textlink="">
          <xdr:nvSpPr>
            <xdr:cNvPr id="47105" name="Spinner 1" hidden="1">
              <a:extLst>
                <a:ext uri="{63B3BB69-23CF-44E3-9099-C40C66FF867C}">
                  <a14:compatExt spid="_x0000_s47105"/>
                </a:ext>
                <a:ext uri="{FF2B5EF4-FFF2-40B4-BE49-F238E27FC236}">
                  <a16:creationId xmlns:a16="http://schemas.microsoft.com/office/drawing/2014/main" id="{00000000-0008-0000-4100-000001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581025</xdr:colOff>
      <xdr:row>14</xdr:row>
      <xdr:rowOff>82550</xdr:rowOff>
    </xdr:from>
    <xdr:to>
      <xdr:col>7</xdr:col>
      <xdr:colOff>244475</xdr:colOff>
      <xdr:row>29</xdr:row>
      <xdr:rowOff>63500</xdr:rowOff>
    </xdr:to>
    <xdr:graphicFrame macro="">
      <xdr:nvGraphicFramePr>
        <xdr:cNvPr id="2" name="Chart 1">
          <a:extLst>
            <a:ext uri="{FF2B5EF4-FFF2-40B4-BE49-F238E27FC236}">
              <a16:creationId xmlns:a16="http://schemas.microsoft.com/office/drawing/2014/main" id="{00000000-0008-0000-4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34925</xdr:colOff>
      <xdr:row>1</xdr:row>
      <xdr:rowOff>38100</xdr:rowOff>
    </xdr:from>
    <xdr:to>
      <xdr:col>16</xdr:col>
      <xdr:colOff>339725</xdr:colOff>
      <xdr:row>16</xdr:row>
      <xdr:rowOff>6350</xdr:rowOff>
    </xdr:to>
    <xdr:graphicFrame macro="">
      <xdr:nvGraphicFramePr>
        <xdr:cNvPr id="2" name="Chart 1">
          <a:extLst>
            <a:ext uri="{FF2B5EF4-FFF2-40B4-BE49-F238E27FC236}">
              <a16:creationId xmlns:a16="http://schemas.microsoft.com/office/drawing/2014/main" id="{00000000-0008-0000-4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292100</xdr:colOff>
          <xdr:row>1</xdr:row>
          <xdr:rowOff>50800</xdr:rowOff>
        </xdr:from>
        <xdr:to>
          <xdr:col>10</xdr:col>
          <xdr:colOff>546100</xdr:colOff>
          <xdr:row>2</xdr:row>
          <xdr:rowOff>101600</xdr:rowOff>
        </xdr:to>
        <xdr:sp macro="" textlink="">
          <xdr:nvSpPr>
            <xdr:cNvPr id="51201" name="TextBox1" hidden="1">
              <a:extLst>
                <a:ext uri="{63B3BB69-23CF-44E3-9099-C40C66FF867C}">
                  <a14:compatExt spid="_x0000_s51201"/>
                </a:ext>
                <a:ext uri="{FF2B5EF4-FFF2-40B4-BE49-F238E27FC236}">
                  <a16:creationId xmlns:a16="http://schemas.microsoft.com/office/drawing/2014/main" id="{00000000-0008-0000-4A00-000001C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576792</xdr:colOff>
      <xdr:row>1</xdr:row>
      <xdr:rowOff>10584</xdr:rowOff>
    </xdr:from>
    <xdr:to>
      <xdr:col>11</xdr:col>
      <xdr:colOff>0</xdr:colOff>
      <xdr:row>2</xdr:row>
      <xdr:rowOff>132291</xdr:rowOff>
    </xdr:to>
    <xdr:sp macro="" textlink="">
      <xdr:nvSpPr>
        <xdr:cNvPr id="2" name="Rectangle: Rounded Corners 1">
          <a:extLst>
            <a:ext uri="{FF2B5EF4-FFF2-40B4-BE49-F238E27FC236}">
              <a16:creationId xmlns:a16="http://schemas.microsoft.com/office/drawing/2014/main" id="{00000000-0008-0000-4A00-000002000000}"/>
            </a:ext>
          </a:extLst>
        </xdr:cNvPr>
        <xdr:cNvSpPr/>
      </xdr:nvSpPr>
      <xdr:spPr>
        <a:xfrm>
          <a:off x="4234392" y="194734"/>
          <a:ext cx="2471208" cy="305857"/>
        </a:xfrm>
        <a:prstGeom prst="roundRect">
          <a:avLst/>
        </a:prstGeom>
        <a:no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574146</xdr:colOff>
      <xdr:row>1</xdr:row>
      <xdr:rowOff>13229</xdr:rowOff>
    </xdr:from>
    <xdr:to>
      <xdr:col>7</xdr:col>
      <xdr:colOff>264585</xdr:colOff>
      <xdr:row>2</xdr:row>
      <xdr:rowOff>121707</xdr:rowOff>
    </xdr:to>
    <xdr:sp macro="" textlink="">
      <xdr:nvSpPr>
        <xdr:cNvPr id="3" name="Rectangle: Top Corners Rounded 2">
          <a:extLst>
            <a:ext uri="{FF2B5EF4-FFF2-40B4-BE49-F238E27FC236}">
              <a16:creationId xmlns:a16="http://schemas.microsoft.com/office/drawing/2014/main" id="{00000000-0008-0000-4A00-000003000000}"/>
            </a:ext>
          </a:extLst>
        </xdr:cNvPr>
        <xdr:cNvSpPr/>
      </xdr:nvSpPr>
      <xdr:spPr>
        <a:xfrm rot="16200000">
          <a:off x="4235452" y="193673"/>
          <a:ext cx="292628" cy="300039"/>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576793</xdr:colOff>
      <xdr:row>1</xdr:row>
      <xdr:rowOff>26459</xdr:rowOff>
    </xdr:from>
    <xdr:ext cx="280458" cy="280458"/>
    <xdr:pic>
      <xdr:nvPicPr>
        <xdr:cNvPr id="4" name="Graphic 3" descr="Magnifying glass with solid fill">
          <a:extLst>
            <a:ext uri="{FF2B5EF4-FFF2-40B4-BE49-F238E27FC236}">
              <a16:creationId xmlns:a16="http://schemas.microsoft.com/office/drawing/2014/main" id="{00000000-0008-0000-4A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234393" y="210609"/>
          <a:ext cx="280458" cy="280458"/>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xdr:from>
      <xdr:col>1</xdr:col>
      <xdr:colOff>171450</xdr:colOff>
      <xdr:row>19</xdr:row>
      <xdr:rowOff>158750</xdr:rowOff>
    </xdr:from>
    <xdr:to>
      <xdr:col>19</xdr:col>
      <xdr:colOff>215900</xdr:colOff>
      <xdr:row>40</xdr:row>
      <xdr:rowOff>0</xdr:rowOff>
    </xdr:to>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14</xdr:col>
      <xdr:colOff>44450</xdr:colOff>
      <xdr:row>0</xdr:row>
      <xdr:rowOff>0</xdr:rowOff>
    </xdr:from>
    <xdr:to>
      <xdr:col>23</xdr:col>
      <xdr:colOff>425450</xdr:colOff>
      <xdr:row>39</xdr:row>
      <xdr:rowOff>177800</xdr:rowOff>
    </xdr:to>
    <mc:AlternateContent xmlns:mc="http://schemas.openxmlformats.org/markup-compatibility/2006">
      <mc:Choice xmlns:we="http://schemas.microsoft.com/office/webextensions/webextension/2010/11" Requires="we">
        <xdr:graphicFrame macro="">
          <xdr:nvGraphicFramePr>
            <xdr:cNvPr id="2" name="Add-in 1" title="Bing Maps">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Add-in 1" title="Bing Maps">
              <a:extLst>
                <a:ext uri="{FF2B5EF4-FFF2-40B4-BE49-F238E27FC236}">
                  <a16:creationId xmlns:a16="http://schemas.microsoft.com/office/drawing/2014/main" id="{00000000-0008-0000-4F00-000002000000}"/>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omin\OneDrive\Pulpit\Excel\Excel\sumifs%20-%20produktow%20z%20tabeli%20i%20data%20clean.xlsx" TargetMode="External"/><Relationship Id="rId1" Type="http://schemas.openxmlformats.org/officeDocument/2006/relationships/externalLinkPath" Target="/Users/domin/OneDrive/Pulpit/Excel/Excel/sumifs%20-%20produktow%20z%20tabeli%20i%20data%20cle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fter clean"/>
      <sheetName val="Before"/>
      <sheetName val="Clean"/>
      <sheetName val="Analysis"/>
      <sheetName val="sumifs produktow z tabeli"/>
      <sheetName val="sumifs - produktow z tabeli i d"/>
    </sheetNames>
    <sheetDataSet>
      <sheetData sheetId="0" refreshError="1"/>
      <sheetData sheetId="1" refreshError="1"/>
      <sheetData sheetId="2"/>
      <sheetData sheetId="3" refreshError="1"/>
      <sheetData sheetId="4" refreshError="1"/>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akub Szwajkos" id="{AB4966CD-FE43-425F-8772-6EDFC29F7418}" userId="S::Jakub.Szwajkos@nielseniq.com::3868c9d3-4760-4a24-826a-a725cea8343e" providerId="AD"/>
</personList>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domin/OneDrive/Pulpit/Excel/Excel/Common-Excel-Questions-START_v2.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domin/OneDrive/Pulpit/Excel/Excel/sumifs%20-%20produktow%20z%20tabeli%20i%20data%20clean.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ub szwajkos" refreshedDate="45112.876699884262" createdVersion="8" refreshedVersion="8" minRefreshableVersion="3" recordCount="26" xr:uid="{14641708-B0FD-46B5-938D-DC89B2146D17}">
  <cacheSource type="worksheet">
    <worksheetSource name="Table1" r:id="rId2"/>
  </cacheSource>
  <cacheFields count="7">
    <cacheField name="Date" numFmtId="14">
      <sharedItems containsSemiMixedTypes="0" containsNonDate="0" containsDate="1" containsString="0" minDate="2020-01-18T00:00:00" maxDate="2021-12-24T00:00:00" count="26">
        <d v="2020-01-18T00:00:00"/>
        <d v="2020-02-09T00:00:00"/>
        <d v="2020-03-07T00:00:00"/>
        <d v="2020-04-03T00:00:00"/>
        <d v="2020-04-30T00:00:00"/>
        <d v="2020-05-27T00:00:00"/>
        <d v="2020-06-11T00:00:00"/>
        <d v="2020-06-26T00:00:00"/>
        <d v="2020-07-11T00:00:00"/>
        <d v="2020-07-26T00:00:00"/>
        <d v="2020-08-18T00:00:00"/>
        <d v="2020-09-10T00:00:00"/>
        <d v="2020-10-03T00:00:00"/>
        <d v="2020-10-26T00:00:00"/>
        <d v="2020-11-21T00:00:00"/>
        <d v="2020-12-17T00:00:00"/>
        <d v="2021-01-12T00:00:00"/>
        <d v="2021-02-07T00:00:00"/>
        <d v="2021-03-05T00:00:00"/>
        <d v="2021-04-11T00:00:00"/>
        <d v="2021-05-18T00:00:00"/>
        <d v="2021-06-24T00:00:00"/>
        <d v="2021-07-31T00:00:00"/>
        <d v="2021-09-06T00:00:00"/>
        <d v="2021-09-24T00:00:00"/>
        <d v="2021-12-23T00:00:00"/>
      </sharedItems>
      <fieldGroup par="6" base="0">
        <rangePr groupBy="months" startDate="2020-01-18T00:00:00" endDate="2021-12-24T00:00:00"/>
        <groupItems count="14">
          <s v="&lt;18/01/2020"/>
          <s v="Jan"/>
          <s v="Feb"/>
          <s v="Mar"/>
          <s v="Apr"/>
          <s v="May"/>
          <s v="Jun"/>
          <s v="Jul"/>
          <s v="Aug"/>
          <s v="Sep"/>
          <s v="Oct"/>
          <s v="Nov"/>
          <s v="Dec"/>
          <s v="&gt;24/12/2021"/>
        </groupItems>
      </fieldGroup>
    </cacheField>
    <cacheField name="Order ID" numFmtId="169">
      <sharedItems containsSemiMixedTypes="0" containsString="0" containsNumber="1" containsInteger="1" minValue="1001" maxValue="1030"/>
    </cacheField>
    <cacheField name="First" numFmtId="0">
      <sharedItems/>
    </cacheField>
    <cacheField name="Last" numFmtId="0">
      <sharedItems/>
    </cacheField>
    <cacheField name="Purchase" numFmtId="170">
      <sharedItems containsSemiMixedTypes="0" containsString="0" containsNumber="1" containsInteger="1" minValue="500" maxValue="960"/>
    </cacheField>
    <cacheField name="Quarters" numFmtId="0" databaseField="0">
      <fieldGroup base="0">
        <rangePr groupBy="quarters" startDate="2020-01-18T00:00:00" endDate="2021-12-24T00:00:00"/>
        <groupItems count="6">
          <s v="&lt;18/01/2020"/>
          <s v="Qtr1"/>
          <s v="Qtr2"/>
          <s v="Qtr3"/>
          <s v="Qtr4"/>
          <s v="&gt;24/12/2021"/>
        </groupItems>
      </fieldGroup>
    </cacheField>
    <cacheField name="Years" numFmtId="0" databaseField="0">
      <fieldGroup base="0">
        <rangePr groupBy="years" startDate="2020-01-18T00:00:00" endDate="2021-12-24T00:00:00"/>
        <groupItems count="4">
          <s v="&lt;18/01/2020"/>
          <s v="2020"/>
          <s v="2021"/>
          <s v="&gt;24/12/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ub szwajkos" refreshedDate="45113.855771759256" createdVersion="8" refreshedVersion="8" minRefreshableVersion="3" recordCount="257" xr:uid="{38DAB154-A5F5-4C64-A42D-20AD730F290E}">
  <cacheSource type="worksheet">
    <worksheetSource name="Table2" r:id="rId2"/>
  </cacheSource>
  <cacheFields count="11">
    <cacheField name="Order ID" numFmtId="0">
      <sharedItems containsSemiMixedTypes="0" containsString="0" containsNumber="1" containsInteger="1" minValue="10452" maxValue="10713"/>
    </cacheField>
    <cacheField name="Date" numFmtId="14">
      <sharedItems containsSemiMixedTypes="0" containsNonDate="0" containsDate="1" containsString="0" minDate="2022-11-07T00:00:00" maxDate="2022-12-30T00:00:00"/>
    </cacheField>
    <cacheField name="Product" numFmtId="0">
      <sharedItems count="5">
        <s v="Fries"/>
        <s v="Beverages"/>
        <s v="Sides &amp; Other"/>
        <s v="Burgers"/>
        <s v="Chicken Sandwiches"/>
      </sharedItems>
    </cacheField>
    <cacheField name="Price" numFmtId="0">
      <sharedItems containsSemiMixedTypes="0" containsString="0" containsNumber="1" minValue="2.95" maxValue="33.22"/>
    </cacheField>
    <cacheField name="Purchase Type" numFmtId="0">
      <sharedItems/>
    </cacheField>
    <cacheField name="Payment Method" numFmtId="0">
      <sharedItems count="3">
        <s v=" Gift Card"/>
        <s v=" Credit Card"/>
        <s v=" Cash"/>
      </sharedItems>
    </cacheField>
    <cacheField name="Manager22" numFmtId="0">
      <sharedItems/>
    </cacheField>
    <cacheField name="Quantity2" numFmtId="0">
      <sharedItems containsSemiMixedTypes="0" containsString="0" containsNumber="1" containsInteger="1" minValue="201" maxValue="755"/>
    </cacheField>
    <cacheField name="City" numFmtId="0">
      <sharedItems/>
    </cacheField>
    <cacheField name="City2" numFmtId="0">
      <sharedItems/>
    </cacheField>
    <cacheField name="Revenue" numFmtId="0">
      <sharedItems containsSemiMixedTypes="0" containsString="0" containsNumber="1" minValue="1002.99" maxValue="22523.16" count="34">
        <n v="2003.2600000000002"/>
        <n v="2200.7000000000003"/>
        <n v="1002.99"/>
        <n v="7404.3"/>
        <n v="2009.8999999999999"/>
        <n v="7209.45"/>
        <n v="2000.1000000000001"/>
        <n v="2202.19"/>
        <n v="6806.76"/>
        <n v="6611.91"/>
        <n v="16090.5"/>
        <n v="22523.16"/>
        <n v="4309.4400000000005"/>
        <n v="14666.759999999998"/>
        <n v="5868.1"/>
        <n v="7001.61"/>
        <n v="2401.1200000000003"/>
        <n v="6209.22"/>
        <n v="6404.07"/>
        <n v="6001.38"/>
        <n v="5806.53"/>
        <n v="7612.14"/>
        <n v="2208.8999999999996"/>
        <n v="7806.99"/>
        <n v="8209.68"/>
        <n v="8404.5300000000007"/>
        <n v="8807.2199999999993"/>
        <n v="2407.8999999999996"/>
        <n v="2606.8999999999996"/>
        <n v="9002.07"/>
        <n v="2805.8999999999996"/>
        <n v="9404.76"/>
        <n v="3004.8999999999996"/>
        <n v="9807.450000000000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x v="0"/>
    <n v="1001"/>
    <s v="Squid"/>
    <s v="Ward"/>
    <n v="530"/>
  </r>
  <r>
    <x v="1"/>
    <n v="1002"/>
    <s v="Sponge"/>
    <s v="Bob"/>
    <n v="550"/>
  </r>
  <r>
    <x v="2"/>
    <n v="1003"/>
    <s v="Homer"/>
    <s v="Simp"/>
    <n v="540"/>
  </r>
  <r>
    <x v="3"/>
    <n v="1004"/>
    <s v="Elon"/>
    <s v="Jobs"/>
    <n v="630"/>
  </r>
  <r>
    <x v="4"/>
    <n v="1005"/>
    <s v="Steve"/>
    <s v="Musk"/>
    <n v="880"/>
  </r>
  <r>
    <x v="5"/>
    <n v="1006"/>
    <s v="Warren"/>
    <s v="Munger"/>
    <n v="800"/>
  </r>
  <r>
    <x v="6"/>
    <n v="1007"/>
    <s v="Charlie"/>
    <s v="Buffett"/>
    <n v="900"/>
  </r>
  <r>
    <x v="7"/>
    <n v="1008"/>
    <s v="Kobe"/>
    <s v="James"/>
    <n v="850"/>
  </r>
  <r>
    <x v="8"/>
    <n v="1009"/>
    <s v="Jordan"/>
    <s v="Bryant"/>
    <n v="930"/>
  </r>
  <r>
    <x v="9"/>
    <n v="1010"/>
    <s v="Tom"/>
    <s v="Manning"/>
    <n v="750"/>
  </r>
  <r>
    <x v="10"/>
    <n v="1011"/>
    <s v="Peyton"/>
    <s v="Brady"/>
    <n v="960"/>
  </r>
  <r>
    <x v="11"/>
    <n v="1012"/>
    <s v="Bob"/>
    <s v="Builder"/>
    <n v="570"/>
  </r>
  <r>
    <x v="12"/>
    <n v="1013"/>
    <s v="Messi"/>
    <s v="Ronaldo"/>
    <n v="570"/>
  </r>
  <r>
    <x v="13"/>
    <n v="1014"/>
    <s v="Roger"/>
    <s v="Nadal"/>
    <n v="660"/>
  </r>
  <r>
    <x v="14"/>
    <n v="1015"/>
    <s v="Rafael"/>
    <s v="Federer"/>
    <n v="800"/>
  </r>
  <r>
    <x v="15"/>
    <n v="1016"/>
    <s v="Sam"/>
    <s v="Smith"/>
    <n v="550"/>
  </r>
  <r>
    <x v="16"/>
    <n v="1017"/>
    <s v="Ed"/>
    <s v="Mars"/>
    <n v="910"/>
  </r>
  <r>
    <x v="17"/>
    <n v="1018"/>
    <s v="Bruno"/>
    <s v="Sheeran"/>
    <n v="880"/>
  </r>
  <r>
    <x v="18"/>
    <n v="1019"/>
    <s v="Elvis"/>
    <s v="Einstein"/>
    <n v="710"/>
  </r>
  <r>
    <x v="19"/>
    <n v="1020"/>
    <s v="Albert"/>
    <s v="Presley"/>
    <n v="500"/>
  </r>
  <r>
    <x v="20"/>
    <n v="1021"/>
    <s v="Oprah"/>
    <s v="Obama"/>
    <n v="680"/>
  </r>
  <r>
    <x v="21"/>
    <n v="1022"/>
    <s v="Walt"/>
    <s v="Ford"/>
    <n v="880"/>
  </r>
  <r>
    <x v="22"/>
    <n v="1023"/>
    <s v="Henry"/>
    <s v="Disney"/>
    <n v="510"/>
  </r>
  <r>
    <x v="23"/>
    <n v="1024"/>
    <s v="Shohei"/>
    <s v="Soto"/>
    <n v="810"/>
  </r>
  <r>
    <x v="24"/>
    <n v="1025"/>
    <s v="Juan"/>
    <s v="Ohtani"/>
    <n v="630"/>
  </r>
  <r>
    <x v="25"/>
    <n v="1030"/>
    <s v="Bo"/>
    <s v="Rogan"/>
    <n v="78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
  <r>
    <n v="10452"/>
    <d v="2022-11-07T00:00:00"/>
    <x v="0"/>
    <n v="3.49"/>
    <s v="Online "/>
    <x v="0"/>
    <s v="Tom Jackson"/>
    <n v="574"/>
    <s v="London"/>
    <s v="United Kingdom"/>
    <x v="0"/>
  </r>
  <r>
    <n v="10453"/>
    <d v="2022-11-07T00:00:00"/>
    <x v="1"/>
    <n v="2.95"/>
    <s v="Online "/>
    <x v="0"/>
    <s v="Pablo Perez"/>
    <n v="746"/>
    <s v="Madrid"/>
    <s v="Spain"/>
    <x v="1"/>
  </r>
  <r>
    <n v="10454"/>
    <d v="2022-11-07T00:00:00"/>
    <x v="2"/>
    <n v="4.99"/>
    <s v="In-store "/>
    <x v="0"/>
    <s v="Joao Silva"/>
    <n v="201"/>
    <s v="Lisbon"/>
    <s v="Portugal"/>
    <x v="2"/>
  </r>
  <r>
    <n v="10455"/>
    <d v="2022-11-08T00:00:00"/>
    <x v="3"/>
    <n v="12.99"/>
    <s v="In-store "/>
    <x v="1"/>
    <s v="Walter Muller"/>
    <n v="570"/>
    <s v="Berlin"/>
    <s v="Germany"/>
    <x v="3"/>
  </r>
  <r>
    <n v="10456"/>
    <d v="2022-11-08T00:00:00"/>
    <x v="4"/>
    <n v="9.9499999999999993"/>
    <s v="In-store "/>
    <x v="1"/>
    <s v="Walter Muller"/>
    <n v="202"/>
    <s v="Berlin"/>
    <s v="Germany"/>
    <x v="4"/>
  </r>
  <r>
    <n v="10457"/>
    <d v="2022-11-08T00:00:00"/>
    <x v="0"/>
    <n v="3.49"/>
    <s v="In-store "/>
    <x v="1"/>
    <s v="Remy Monet"/>
    <n v="574"/>
    <s v="Paris"/>
    <s v="France"/>
    <x v="0"/>
  </r>
  <r>
    <n v="10459"/>
    <d v="2022-11-08T00:00:00"/>
    <x v="2"/>
    <n v="4.99"/>
    <s v="In-store "/>
    <x v="1"/>
    <s v="Walter Muller"/>
    <n v="201"/>
    <s v="Berlin"/>
    <s v="Germany"/>
    <x v="2"/>
  </r>
  <r>
    <n v="10460"/>
    <d v="2022-11-09T00:00:00"/>
    <x v="3"/>
    <n v="12.99"/>
    <s v="In-store "/>
    <x v="1"/>
    <s v="Remy Monet"/>
    <n v="555"/>
    <s v="Paris"/>
    <s v="France"/>
    <x v="5"/>
  </r>
  <r>
    <n v="10461"/>
    <d v="2022-11-09T00:00:00"/>
    <x v="4"/>
    <n v="9.9499999999999993"/>
    <s v="In-store "/>
    <x v="1"/>
    <s v="Remy Monet"/>
    <n v="202"/>
    <s v="Paris"/>
    <s v="France"/>
    <x v="4"/>
  </r>
  <r>
    <n v="10462"/>
    <d v="2022-11-09T00:00:00"/>
    <x v="0"/>
    <n v="3.49"/>
    <s v="In-store "/>
    <x v="1"/>
    <s v="Remy Monet"/>
    <n v="574"/>
    <s v="Paris"/>
    <s v="France"/>
    <x v="0"/>
  </r>
  <r>
    <n v="10463"/>
    <d v="2022-11-09T00:00:00"/>
    <x v="1"/>
    <n v="2.95"/>
    <s v="In-store "/>
    <x v="1"/>
    <s v="Remy Monet"/>
    <n v="678"/>
    <s v="Paris"/>
    <s v="France"/>
    <x v="6"/>
  </r>
  <r>
    <n v="10464"/>
    <d v="2022-11-09T00:00:00"/>
    <x v="2"/>
    <n v="4.99"/>
    <s v="In-store "/>
    <x v="1"/>
    <s v="Remy Monet"/>
    <n v="201"/>
    <s v="Paris"/>
    <s v="France"/>
    <x v="2"/>
  </r>
  <r>
    <n v="10465"/>
    <d v="2022-11-10T00:00:00"/>
    <x v="3"/>
    <n v="12.99"/>
    <s v="In-store "/>
    <x v="1"/>
    <s v="Pablo Perez"/>
    <n v="555"/>
    <s v="Madrid"/>
    <s v="Spain"/>
    <x v="5"/>
  </r>
  <r>
    <n v="10466"/>
    <d v="2022-11-10T00:00:00"/>
    <x v="4"/>
    <n v="9.9499999999999993"/>
    <s v="In-store "/>
    <x v="1"/>
    <s v="Pablo Perez"/>
    <n v="202"/>
    <s v="Madrid"/>
    <s v="Spain"/>
    <x v="4"/>
  </r>
  <r>
    <n v="10467"/>
    <d v="2022-11-10T00:00:00"/>
    <x v="0"/>
    <n v="3.49"/>
    <s v="In-store "/>
    <x v="1"/>
    <s v="Pablo Perez"/>
    <n v="574"/>
    <s v="Madrid"/>
    <s v="Spain"/>
    <x v="0"/>
  </r>
  <r>
    <n v="10468"/>
    <d v="2022-11-10T00:00:00"/>
    <x v="1"/>
    <n v="2.95"/>
    <s v="In-store "/>
    <x v="1"/>
    <s v="Pablo Perez"/>
    <n v="678"/>
    <s v="Madrid"/>
    <s v="Spain"/>
    <x v="6"/>
  </r>
  <r>
    <n v="10470"/>
    <d v="2022-11-11T00:00:00"/>
    <x v="3"/>
    <n v="12.99"/>
    <s v="In-store "/>
    <x v="1"/>
    <s v="Pablo Perez"/>
    <n v="555"/>
    <s v="Madrid"/>
    <s v="Spain"/>
    <x v="5"/>
  </r>
  <r>
    <n v="10471"/>
    <d v="2022-11-11T00:00:00"/>
    <x v="4"/>
    <n v="9.9499999999999993"/>
    <s v="In-store "/>
    <x v="1"/>
    <s v="Pablo Perez"/>
    <n v="202"/>
    <s v="Madrid"/>
    <s v="Spain"/>
    <x v="4"/>
  </r>
  <r>
    <n v="10472"/>
    <d v="2022-11-11T00:00:00"/>
    <x v="0"/>
    <n v="3.49"/>
    <s v="In-store "/>
    <x v="1"/>
    <s v="Pablo Perez"/>
    <n v="631"/>
    <s v="Madrid"/>
    <s v="Spain"/>
    <x v="7"/>
  </r>
  <r>
    <n v="10473"/>
    <d v="2022-11-11T00:00:00"/>
    <x v="1"/>
    <n v="2.95"/>
    <s v="In-store "/>
    <x v="1"/>
    <s v="Pablo Perez"/>
    <n v="678"/>
    <s v="Madrid"/>
    <s v="Spain"/>
    <x v="6"/>
  </r>
  <r>
    <n v="10474"/>
    <d v="2022-11-11T00:00:00"/>
    <x v="2"/>
    <n v="4.99"/>
    <s v="In-store "/>
    <x v="1"/>
    <s v="Pablo Perez"/>
    <n v="201"/>
    <s v="Madrid"/>
    <s v="Spain"/>
    <x v="2"/>
  </r>
  <r>
    <n v="10475"/>
    <d v="2022-11-12T00:00:00"/>
    <x v="3"/>
    <n v="12.99"/>
    <s v="In-store "/>
    <x v="1"/>
    <s v="Pablo Perez"/>
    <n v="524"/>
    <s v="Madrid"/>
    <s v="Spain"/>
    <x v="8"/>
  </r>
  <r>
    <n v="10476"/>
    <d v="2022-11-12T00:00:00"/>
    <x v="4"/>
    <n v="9.9499999999999993"/>
    <s v="In-store "/>
    <x v="1"/>
    <s v="Pablo Perez"/>
    <n v="202"/>
    <s v="Madrid"/>
    <s v="Spain"/>
    <x v="4"/>
  </r>
  <r>
    <n v="10477"/>
    <d v="2022-11-12T00:00:00"/>
    <x v="0"/>
    <n v="3.49"/>
    <s v="In-store "/>
    <x v="1"/>
    <s v="Pablo Perez"/>
    <n v="631"/>
    <s v="Madrid"/>
    <s v="Spain"/>
    <x v="7"/>
  </r>
  <r>
    <n v="10478"/>
    <d v="2022-11-12T00:00:00"/>
    <x v="1"/>
    <n v="2.95"/>
    <s v="In-store "/>
    <x v="1"/>
    <s v="Pablo Perez"/>
    <n v="678"/>
    <s v="Madrid"/>
    <s v="Spain"/>
    <x v="6"/>
  </r>
  <r>
    <n v="10479"/>
    <d v="2022-11-12T00:00:00"/>
    <x v="2"/>
    <n v="4.99"/>
    <s v="In-store "/>
    <x v="1"/>
    <s v="Pablo Perez"/>
    <n v="201"/>
    <s v="Madrid"/>
    <s v="Spain"/>
    <x v="2"/>
  </r>
  <r>
    <n v="10480"/>
    <d v="2022-11-13T00:00:00"/>
    <x v="3"/>
    <n v="12.99"/>
    <s v="In-store "/>
    <x v="1"/>
    <s v="Pablo Perez"/>
    <n v="509"/>
    <s v="Madrid"/>
    <s v="Spain"/>
    <x v="9"/>
  </r>
  <r>
    <n v="10481"/>
    <d v="2022-11-13T00:00:00"/>
    <x v="4"/>
    <n v="9.9499999999999993"/>
    <s v="In-store "/>
    <x v="1"/>
    <s v="Pablo Perez"/>
    <n v="202"/>
    <s v="Madrid"/>
    <s v="Spain"/>
    <x v="4"/>
  </r>
  <r>
    <n v="10482"/>
    <d v="2022-11-13T00:00:00"/>
    <x v="0"/>
    <n v="25.5"/>
    <s v="In-store "/>
    <x v="1"/>
    <s v="Joao Silva"/>
    <n v="631"/>
    <s v="Lisbon"/>
    <s v="Portugal"/>
    <x v="10"/>
  </r>
  <r>
    <n v="10483"/>
    <d v="2022-11-13T00:00:00"/>
    <x v="1"/>
    <n v="33.22"/>
    <s v="In-store "/>
    <x v="1"/>
    <s v="Joao Silva"/>
    <n v="678"/>
    <s v="Lisbon"/>
    <s v="Portugal"/>
    <x v="11"/>
  </r>
  <r>
    <n v="10484"/>
    <d v="2022-11-13T00:00:00"/>
    <x v="2"/>
    <n v="21.44"/>
    <s v="In-store "/>
    <x v="1"/>
    <s v="Joao Silva"/>
    <n v="201"/>
    <s v="Lisbon"/>
    <s v="Portugal"/>
    <x v="12"/>
  </r>
  <r>
    <n v="10485"/>
    <d v="2022-11-14T00:00:00"/>
    <x v="3"/>
    <n v="27.99"/>
    <s v="In-store "/>
    <x v="1"/>
    <s v="Joao Silva"/>
    <n v="524"/>
    <s v="Lisbon"/>
    <s v="Portugal"/>
    <x v="13"/>
  </r>
  <r>
    <n v="10486"/>
    <d v="2022-11-14T00:00:00"/>
    <x v="4"/>
    <n v="29.05"/>
    <s v="In-store "/>
    <x v="1"/>
    <s v="Joao Silva"/>
    <n v="202"/>
    <s v="Lisbon"/>
    <s v="Portugal"/>
    <x v="14"/>
  </r>
  <r>
    <n v="10487"/>
    <d v="2022-11-14T00:00:00"/>
    <x v="0"/>
    <n v="3.49"/>
    <s v="In-store "/>
    <x v="1"/>
    <s v="Joao Silva"/>
    <n v="631"/>
    <s v="Lisbon"/>
    <s v="Portugal"/>
    <x v="7"/>
  </r>
  <r>
    <n v="10488"/>
    <d v="2022-11-14T00:00:00"/>
    <x v="1"/>
    <n v="2.95"/>
    <s v="In-store "/>
    <x v="1"/>
    <s v="Joao Silva"/>
    <n v="678"/>
    <s v="Lisbon"/>
    <s v="Portugal"/>
    <x v="6"/>
  </r>
  <r>
    <n v="10489"/>
    <d v="2022-11-14T00:00:00"/>
    <x v="2"/>
    <n v="4.99"/>
    <s v="In-store "/>
    <x v="1"/>
    <s v="Pablo Perez"/>
    <n v="201"/>
    <s v="Madrid"/>
    <s v="Spain"/>
    <x v="2"/>
  </r>
  <r>
    <n v="10490"/>
    <d v="2022-11-15T00:00:00"/>
    <x v="3"/>
    <n v="12.99"/>
    <s v="In-store "/>
    <x v="1"/>
    <s v="Pablo Perez"/>
    <n v="509"/>
    <s v="Madrid"/>
    <s v="Spain"/>
    <x v="9"/>
  </r>
  <r>
    <n v="10491"/>
    <d v="2022-11-15T00:00:00"/>
    <x v="4"/>
    <n v="9.9499999999999993"/>
    <s v="In-store "/>
    <x v="1"/>
    <s v="Pablo Perez"/>
    <n v="202"/>
    <s v="Madrid"/>
    <s v="Spain"/>
    <x v="4"/>
  </r>
  <r>
    <n v="10492"/>
    <d v="2022-11-15T00:00:00"/>
    <x v="0"/>
    <n v="3.49"/>
    <s v="In-store "/>
    <x v="1"/>
    <s v="Pablo Perez"/>
    <n v="574"/>
    <s v="Madrid"/>
    <s v="Spain"/>
    <x v="0"/>
  </r>
  <r>
    <n v="10493"/>
    <d v="2022-11-15T00:00:00"/>
    <x v="1"/>
    <n v="2.95"/>
    <s v="In-store "/>
    <x v="1"/>
    <s v="Pablo Perez"/>
    <n v="678"/>
    <s v="Madrid"/>
    <s v="Spain"/>
    <x v="6"/>
  </r>
  <r>
    <n v="10494"/>
    <d v="2022-11-15T00:00:00"/>
    <x v="2"/>
    <n v="4.99"/>
    <s v="In-store "/>
    <x v="1"/>
    <s v="Pablo Perez"/>
    <n v="201"/>
    <s v="Madrid"/>
    <s v="Spain"/>
    <x v="2"/>
  </r>
  <r>
    <n v="10495"/>
    <d v="2022-11-16T00:00:00"/>
    <x v="3"/>
    <n v="12.99"/>
    <s v="In-store "/>
    <x v="1"/>
    <s v="Pablo Perez"/>
    <n v="509"/>
    <s v="Madrid"/>
    <s v="Spain"/>
    <x v="9"/>
  </r>
  <r>
    <n v="10496"/>
    <d v="2022-11-16T00:00:00"/>
    <x v="4"/>
    <n v="9.9499999999999993"/>
    <s v="In-store "/>
    <x v="1"/>
    <s v="Pablo Perez"/>
    <n v="202"/>
    <s v="Madrid"/>
    <s v="Spain"/>
    <x v="4"/>
  </r>
  <r>
    <n v="10497"/>
    <d v="2022-11-16T00:00:00"/>
    <x v="0"/>
    <n v="3.49"/>
    <s v="In-store "/>
    <x v="1"/>
    <s v="Pablo Perez"/>
    <n v="574"/>
    <s v="Madrid"/>
    <s v="Spain"/>
    <x v="0"/>
  </r>
  <r>
    <n v="10498"/>
    <d v="2022-11-16T00:00:00"/>
    <x v="1"/>
    <n v="2.95"/>
    <s v="Drive-thru "/>
    <x v="1"/>
    <s v="Pablo Perez"/>
    <n v="678"/>
    <s v="Madrid"/>
    <s v="Spain"/>
    <x v="6"/>
  </r>
  <r>
    <n v="10499"/>
    <d v="2022-11-16T00:00:00"/>
    <x v="2"/>
    <n v="4.99"/>
    <s v="Drive-thru "/>
    <x v="1"/>
    <s v="Pablo Perez"/>
    <n v="201"/>
    <s v="Madrid"/>
    <s v="Spain"/>
    <x v="2"/>
  </r>
  <r>
    <n v="10500"/>
    <d v="2022-11-17T00:00:00"/>
    <x v="3"/>
    <n v="12.99"/>
    <s v="Drive-thru "/>
    <x v="1"/>
    <s v="Pablo Perez"/>
    <n v="524"/>
    <s v="Madrid"/>
    <s v="Spain"/>
    <x v="8"/>
  </r>
  <r>
    <n v="10501"/>
    <d v="2022-11-17T00:00:00"/>
    <x v="4"/>
    <n v="9.9499999999999993"/>
    <s v="Drive-thru "/>
    <x v="1"/>
    <s v="Pablo Perez"/>
    <n v="202"/>
    <s v="Madrid"/>
    <s v="Spain"/>
    <x v="4"/>
  </r>
  <r>
    <n v="10502"/>
    <d v="2022-11-17T00:00:00"/>
    <x v="0"/>
    <n v="3.49"/>
    <s v="Drive-thru "/>
    <x v="1"/>
    <s v="Pablo Perez"/>
    <n v="631"/>
    <s v="Madrid"/>
    <s v="Spain"/>
    <x v="7"/>
  </r>
  <r>
    <n v="10503"/>
    <d v="2022-11-17T00:00:00"/>
    <x v="1"/>
    <n v="2.95"/>
    <s v="Drive-thru "/>
    <x v="1"/>
    <s v="Pablo Perez"/>
    <n v="678"/>
    <s v="Madrid"/>
    <s v="Spain"/>
    <x v="6"/>
  </r>
  <r>
    <n v="10504"/>
    <d v="2022-11-17T00:00:00"/>
    <x v="2"/>
    <n v="4.99"/>
    <s v="Drive-thru "/>
    <x v="1"/>
    <s v="Pablo Perez"/>
    <n v="201"/>
    <s v="Madrid"/>
    <s v="Spain"/>
    <x v="2"/>
  </r>
  <r>
    <n v="10505"/>
    <d v="2022-11-18T00:00:00"/>
    <x v="3"/>
    <n v="12.99"/>
    <s v="Drive-thru "/>
    <x v="1"/>
    <s v="Pablo Perez"/>
    <n v="539"/>
    <s v="Madrid"/>
    <s v="Spain"/>
    <x v="15"/>
  </r>
  <r>
    <n v="10506"/>
    <d v="2022-11-18T00:00:00"/>
    <x v="4"/>
    <n v="9.9499999999999993"/>
    <s v="Drive-thru "/>
    <x v="1"/>
    <s v="Pablo Perez"/>
    <n v="202"/>
    <s v="Madrid"/>
    <s v="Spain"/>
    <x v="4"/>
  </r>
  <r>
    <n v="10507"/>
    <d v="2022-11-18T00:00:00"/>
    <x v="0"/>
    <n v="3.49"/>
    <s v="Drive-thru "/>
    <x v="1"/>
    <s v="Pablo Perez"/>
    <n v="688"/>
    <s v="Madrid"/>
    <s v="Spain"/>
    <x v="16"/>
  </r>
  <r>
    <n v="10508"/>
    <d v="2022-11-18T00:00:00"/>
    <x v="1"/>
    <n v="2.95"/>
    <s v="Drive-thru "/>
    <x v="1"/>
    <s v="Pablo Perez"/>
    <n v="678"/>
    <s v="Madrid"/>
    <s v="Spain"/>
    <x v="6"/>
  </r>
  <r>
    <n v="10509"/>
    <d v="2022-11-18T00:00:00"/>
    <x v="2"/>
    <n v="4.99"/>
    <s v="Drive-thru "/>
    <x v="1"/>
    <s v="Pablo Perez"/>
    <n v="201"/>
    <s v="Madrid"/>
    <s v="Spain"/>
    <x v="2"/>
  </r>
  <r>
    <n v="10510"/>
    <d v="2022-11-19T00:00:00"/>
    <x v="3"/>
    <n v="12.99"/>
    <s v="Drive-thru "/>
    <x v="1"/>
    <s v="Pablo Perez"/>
    <n v="509"/>
    <s v="Madrid"/>
    <s v="Spain"/>
    <x v="9"/>
  </r>
  <r>
    <n v="10511"/>
    <d v="2022-11-19T00:00:00"/>
    <x v="4"/>
    <n v="9.9499999999999993"/>
    <s v="Drive-thru "/>
    <x v="1"/>
    <s v="Joao Silva"/>
    <n v="202"/>
    <s v="Lisbon"/>
    <s v="Portugal"/>
    <x v="4"/>
  </r>
  <r>
    <n v="10512"/>
    <d v="2022-11-19T00:00:00"/>
    <x v="0"/>
    <n v="3.49"/>
    <s v="Drive-thru "/>
    <x v="1"/>
    <s v="Joao Silva"/>
    <n v="688"/>
    <s v="Lisbon"/>
    <s v="Portugal"/>
    <x v="16"/>
  </r>
  <r>
    <n v="10513"/>
    <d v="2022-11-19T00:00:00"/>
    <x v="1"/>
    <n v="2.95"/>
    <s v="Drive-thru "/>
    <x v="2"/>
    <s v="Joao Silva"/>
    <n v="678"/>
    <s v="Lisbon"/>
    <s v="Portugal"/>
    <x v="6"/>
  </r>
  <r>
    <n v="10514"/>
    <d v="2022-11-19T00:00:00"/>
    <x v="2"/>
    <n v="4.99"/>
    <s v="Drive-thru "/>
    <x v="2"/>
    <s v="Joao Silva"/>
    <n v="201"/>
    <s v="Lisbon"/>
    <s v="Portugal"/>
    <x v="2"/>
  </r>
  <r>
    <n v="10515"/>
    <d v="2022-11-20T00:00:00"/>
    <x v="3"/>
    <n v="12.99"/>
    <s v="Drive-thru "/>
    <x v="2"/>
    <s v="Joao Silva"/>
    <n v="478"/>
    <s v="Lisbon"/>
    <s v="Portugal"/>
    <x v="17"/>
  </r>
  <r>
    <n v="10516"/>
    <d v="2022-11-20T00:00:00"/>
    <x v="4"/>
    <n v="9.9499999999999993"/>
    <s v="Drive-thru "/>
    <x v="2"/>
    <s v="Joao Silva"/>
    <n v="202"/>
    <s v="Lisbon"/>
    <s v="Portugal"/>
    <x v="4"/>
  </r>
  <r>
    <n v="10483"/>
    <d v="2022-11-13T00:00:00"/>
    <x v="1"/>
    <n v="2.95"/>
    <s v="In-store "/>
    <x v="1"/>
    <s v="Joao Silva"/>
    <n v="678"/>
    <s v="Lisbon"/>
    <s v="Portugal"/>
    <x v="6"/>
  </r>
  <r>
    <n v="10484"/>
    <d v="2022-11-13T00:00:00"/>
    <x v="2"/>
    <n v="4.99"/>
    <s v="In-store "/>
    <x v="1"/>
    <s v="Joao Silva"/>
    <n v="201"/>
    <s v="Lisbon"/>
    <s v="Portugal"/>
    <x v="2"/>
  </r>
  <r>
    <n v="10485"/>
    <d v="2022-11-14T00:00:00"/>
    <x v="3"/>
    <n v="12.99"/>
    <s v="In-store "/>
    <x v="1"/>
    <s v="Joao Silva"/>
    <n v="524"/>
    <s v="Lisbon"/>
    <s v="Portugal"/>
    <x v="8"/>
  </r>
  <r>
    <n v="10520"/>
    <d v="2022-11-21T00:00:00"/>
    <x v="3"/>
    <n v="12.99"/>
    <s v="Drive-thru "/>
    <x v="2"/>
    <s v="Remy Monet"/>
    <n v="493"/>
    <s v="Paris"/>
    <s v="France"/>
    <x v="18"/>
  </r>
  <r>
    <n v="10521"/>
    <d v="2022-11-21T00:00:00"/>
    <x v="4"/>
    <n v="9.9499999999999993"/>
    <s v="Drive-thru "/>
    <x v="2"/>
    <s v="Remy Monet"/>
    <n v="202"/>
    <s v="Paris"/>
    <s v="France"/>
    <x v="4"/>
  </r>
  <r>
    <n v="10522"/>
    <d v="2022-11-21T00:00:00"/>
    <x v="0"/>
    <n v="3.49"/>
    <s v="Drive-thru "/>
    <x v="2"/>
    <s v="Remy Monet"/>
    <n v="688"/>
    <s v="Paris"/>
    <s v="France"/>
    <x v="16"/>
  </r>
  <r>
    <n v="10523"/>
    <d v="2022-11-21T00:00:00"/>
    <x v="1"/>
    <n v="2.95"/>
    <s v="Drive-thru "/>
    <x v="2"/>
    <s v="Remy Monet"/>
    <n v="746"/>
    <s v="Paris"/>
    <s v="France"/>
    <x v="1"/>
  </r>
  <r>
    <n v="10524"/>
    <d v="2022-11-21T00:00:00"/>
    <x v="2"/>
    <n v="4.99"/>
    <s v="Drive-thru "/>
    <x v="2"/>
    <s v="Remy Monet"/>
    <n v="201"/>
    <s v="Paris"/>
    <s v="France"/>
    <x v="2"/>
  </r>
  <r>
    <n v="10525"/>
    <d v="2022-11-22T00:00:00"/>
    <x v="3"/>
    <n v="12.99"/>
    <s v="Drive-thru "/>
    <x v="2"/>
    <s v="Remy Monet"/>
    <n v="462"/>
    <s v="Paris"/>
    <s v="France"/>
    <x v="19"/>
  </r>
  <r>
    <n v="10526"/>
    <d v="2022-11-22T00:00:00"/>
    <x v="4"/>
    <n v="9.9499999999999993"/>
    <s v="Drive-thru "/>
    <x v="2"/>
    <s v="Remy Monet"/>
    <n v="202"/>
    <s v="Paris"/>
    <s v="France"/>
    <x v="4"/>
  </r>
  <r>
    <n v="10527"/>
    <d v="2022-11-22T00:00:00"/>
    <x v="0"/>
    <n v="3.49"/>
    <s v="Drive-thru "/>
    <x v="2"/>
    <s v="Remy Monet"/>
    <n v="688"/>
    <s v="Paris"/>
    <s v="France"/>
    <x v="16"/>
  </r>
  <r>
    <n v="10528"/>
    <d v="2022-11-22T00:00:00"/>
    <x v="1"/>
    <n v="2.95"/>
    <s v="Drive-thru "/>
    <x v="2"/>
    <s v="Remy Monet"/>
    <n v="746"/>
    <s v="Paris"/>
    <s v="France"/>
    <x v="1"/>
  </r>
  <r>
    <n v="10529"/>
    <d v="2022-11-22T00:00:00"/>
    <x v="2"/>
    <n v="4.99"/>
    <s v="Drive-thru "/>
    <x v="2"/>
    <s v="Remy Monet"/>
    <n v="201"/>
    <s v="Paris"/>
    <s v="France"/>
    <x v="2"/>
  </r>
  <r>
    <n v="10530"/>
    <d v="2022-11-23T00:00:00"/>
    <x v="3"/>
    <n v="12.99"/>
    <s v="Drive-thru "/>
    <x v="2"/>
    <s v="Remy Monet"/>
    <n v="478"/>
    <s v="Paris"/>
    <s v="France"/>
    <x v="17"/>
  </r>
  <r>
    <n v="10531"/>
    <d v="2022-11-23T00:00:00"/>
    <x v="4"/>
    <n v="9.9499999999999993"/>
    <s v="Drive-thru "/>
    <x v="2"/>
    <s v="Remy Monet"/>
    <n v="202"/>
    <s v="Paris"/>
    <s v="France"/>
    <x v="4"/>
  </r>
  <r>
    <n v="10532"/>
    <d v="2022-11-23T00:00:00"/>
    <x v="0"/>
    <n v="3.49"/>
    <s v="Drive-thru "/>
    <x v="2"/>
    <s v="Joao Silva"/>
    <n v="688"/>
    <s v="Lisbon"/>
    <s v="Portugal"/>
    <x v="16"/>
  </r>
  <r>
    <n v="10533"/>
    <d v="2022-11-23T00:00:00"/>
    <x v="1"/>
    <n v="2.95"/>
    <s v="Drive-thru "/>
    <x v="2"/>
    <s v="Joao Silva"/>
    <n v="746"/>
    <s v="Lisbon"/>
    <s v="Portugal"/>
    <x v="1"/>
  </r>
  <r>
    <n v="10534"/>
    <d v="2022-11-23T00:00:00"/>
    <x v="2"/>
    <n v="4.99"/>
    <s v="Drive-thru "/>
    <x v="2"/>
    <s v="Pablo Perez"/>
    <n v="201"/>
    <s v="Madrid"/>
    <s v="Spain"/>
    <x v="2"/>
  </r>
  <r>
    <n v="10535"/>
    <d v="2022-11-24T00:00:00"/>
    <x v="3"/>
    <n v="12.99"/>
    <s v="Drive-thru "/>
    <x v="1"/>
    <s v="Pablo Perez"/>
    <n v="478"/>
    <s v="Madrid"/>
    <s v="Spain"/>
    <x v="17"/>
  </r>
  <r>
    <n v="10536"/>
    <d v="2022-11-24T00:00:00"/>
    <x v="4"/>
    <n v="9.9499999999999993"/>
    <s v="Drive-thru "/>
    <x v="1"/>
    <s v="Pablo Perez"/>
    <n v="202"/>
    <s v="Madrid"/>
    <s v="Spain"/>
    <x v="4"/>
  </r>
  <r>
    <n v="10537"/>
    <d v="2022-11-24T00:00:00"/>
    <x v="0"/>
    <n v="3.49"/>
    <s v="Drive-thru "/>
    <x v="1"/>
    <s v="Pablo Perez"/>
    <n v="631"/>
    <s v="Madrid"/>
    <s v="Spain"/>
    <x v="7"/>
  </r>
  <r>
    <n v="10538"/>
    <d v="2022-11-24T00:00:00"/>
    <x v="1"/>
    <n v="2.95"/>
    <s v="Drive-thru "/>
    <x v="1"/>
    <s v="Pablo Perez"/>
    <n v="746"/>
    <s v="Madrid"/>
    <s v="Spain"/>
    <x v="1"/>
  </r>
  <r>
    <n v="10539"/>
    <d v="2022-11-24T00:00:00"/>
    <x v="2"/>
    <n v="4.99"/>
    <s v="Drive-thru "/>
    <x v="1"/>
    <s v="Pablo Perez"/>
    <n v="201"/>
    <s v="Madrid"/>
    <s v="Spain"/>
    <x v="2"/>
  </r>
  <r>
    <n v="10540"/>
    <d v="2022-11-25T00:00:00"/>
    <x v="3"/>
    <n v="12.99"/>
    <s v="Drive-thru "/>
    <x v="1"/>
    <s v="Pablo Perez"/>
    <n v="462"/>
    <s v="Madrid"/>
    <s v="Spain"/>
    <x v="19"/>
  </r>
  <r>
    <n v="10541"/>
    <d v="2022-11-25T00:00:00"/>
    <x v="4"/>
    <n v="9.9499999999999993"/>
    <s v="Drive-thru "/>
    <x v="1"/>
    <s v="Tom Jackson"/>
    <n v="202"/>
    <s v="London"/>
    <s v="United Kingdom"/>
    <x v="4"/>
  </r>
  <r>
    <n v="10542"/>
    <d v="2022-11-25T00:00:00"/>
    <x v="0"/>
    <n v="3.49"/>
    <s v="Drive-thru "/>
    <x v="1"/>
    <s v="Tom Jackson"/>
    <n v="631"/>
    <s v="London"/>
    <s v="United Kingdom"/>
    <x v="7"/>
  </r>
  <r>
    <n v="10543"/>
    <d v="2022-11-25T00:00:00"/>
    <x v="1"/>
    <n v="2.95"/>
    <s v="Drive-thru "/>
    <x v="1"/>
    <s v="Tom Jackson"/>
    <n v="746"/>
    <s v="London"/>
    <s v="United Kingdom"/>
    <x v="1"/>
  </r>
  <r>
    <n v="10544"/>
    <d v="2022-11-25T00:00:00"/>
    <x v="2"/>
    <n v="4.99"/>
    <s v="Drive-thru "/>
    <x v="1"/>
    <s v="Tom Jackson"/>
    <n v="201"/>
    <s v="London"/>
    <s v="United Kingdom"/>
    <x v="2"/>
  </r>
  <r>
    <n v="10545"/>
    <d v="2022-11-26T00:00:00"/>
    <x v="3"/>
    <n v="12.99"/>
    <s v="Drive-thru "/>
    <x v="1"/>
    <s v="Tom Jackson"/>
    <n v="447"/>
    <s v="London"/>
    <s v="United Kingdom"/>
    <x v="20"/>
  </r>
  <r>
    <n v="10546"/>
    <d v="2022-11-26T00:00:00"/>
    <x v="4"/>
    <n v="9.9499999999999993"/>
    <s v="Drive-thru "/>
    <x v="1"/>
    <s v="Tom Jackson"/>
    <n v="202"/>
    <s v="London"/>
    <s v="United Kingdom"/>
    <x v="4"/>
  </r>
  <r>
    <n v="10547"/>
    <d v="2022-11-26T00:00:00"/>
    <x v="0"/>
    <n v="3.49"/>
    <s v="Drive-thru "/>
    <x v="1"/>
    <s v="Tom Jackson"/>
    <n v="631"/>
    <s v="London"/>
    <s v="United Kingdom"/>
    <x v="7"/>
  </r>
  <r>
    <n v="10548"/>
    <d v="2022-11-26T00:00:00"/>
    <x v="1"/>
    <n v="2.95"/>
    <s v="Drive-thru "/>
    <x v="1"/>
    <s v="Tom Jackson"/>
    <n v="746"/>
    <s v="London"/>
    <s v="United Kingdom"/>
    <x v="1"/>
  </r>
  <r>
    <n v="10549"/>
    <d v="2022-11-26T00:00:00"/>
    <x v="2"/>
    <n v="4.99"/>
    <s v="Drive-thru "/>
    <x v="1"/>
    <s v="Tom Jackson"/>
    <n v="201"/>
    <s v="London"/>
    <s v="United Kingdom"/>
    <x v="2"/>
  </r>
  <r>
    <n v="10550"/>
    <d v="2022-11-27T00:00:00"/>
    <x v="3"/>
    <n v="12.99"/>
    <s v="Drive-thru "/>
    <x v="1"/>
    <s v="Tom Jackson"/>
    <n v="462"/>
    <s v="London"/>
    <s v="United Kingdom"/>
    <x v="19"/>
  </r>
  <r>
    <n v="10551"/>
    <d v="2022-11-27T00:00:00"/>
    <x v="4"/>
    <n v="9.9499999999999993"/>
    <s v="Drive-thru "/>
    <x v="1"/>
    <s v="Tom Jackson"/>
    <n v="202"/>
    <s v="London"/>
    <s v="United Kingdom"/>
    <x v="4"/>
  </r>
  <r>
    <n v="10552"/>
    <d v="2022-11-27T00:00:00"/>
    <x v="0"/>
    <n v="3.49"/>
    <s v="Online "/>
    <x v="1"/>
    <s v="Tom Jackson"/>
    <n v="631"/>
    <s v="London"/>
    <s v="United Kingdom"/>
    <x v="7"/>
  </r>
  <r>
    <n v="10553"/>
    <d v="2022-11-27T00:00:00"/>
    <x v="1"/>
    <n v="2.95"/>
    <s v="Online "/>
    <x v="1"/>
    <s v="Tom Jackson"/>
    <n v="746"/>
    <s v="London"/>
    <s v="United Kingdom"/>
    <x v="1"/>
  </r>
  <r>
    <n v="10554"/>
    <d v="2022-11-27T00:00:00"/>
    <x v="2"/>
    <n v="4.99"/>
    <s v="Online "/>
    <x v="1"/>
    <s v="Tom Jackson"/>
    <n v="201"/>
    <s v="London"/>
    <s v="United Kingdom"/>
    <x v="2"/>
  </r>
  <r>
    <n v="10555"/>
    <d v="2022-11-28T00:00:00"/>
    <x v="3"/>
    <n v="12.99"/>
    <s v="Online "/>
    <x v="1"/>
    <s v="Tom Jackson"/>
    <n v="478"/>
    <s v="London"/>
    <s v="United Kingdom"/>
    <x v="17"/>
  </r>
  <r>
    <n v="10556"/>
    <d v="2022-11-28T00:00:00"/>
    <x v="4"/>
    <n v="9.9499999999999993"/>
    <s v="Online "/>
    <x v="1"/>
    <s v="Tom Jackson"/>
    <n v="202"/>
    <s v="London"/>
    <s v="United Kingdom"/>
    <x v="4"/>
  </r>
  <r>
    <n v="10557"/>
    <d v="2022-11-28T00:00:00"/>
    <x v="0"/>
    <n v="3.49"/>
    <s v="Online "/>
    <x v="1"/>
    <s v="Tom Jackson"/>
    <n v="631"/>
    <s v="London"/>
    <s v="United Kingdom"/>
    <x v="7"/>
  </r>
  <r>
    <n v="10558"/>
    <d v="2022-11-28T00:00:00"/>
    <x v="1"/>
    <n v="2.95"/>
    <s v="Online "/>
    <x v="1"/>
    <s v="Tom Jackson"/>
    <n v="678"/>
    <s v="London"/>
    <s v="United Kingdom"/>
    <x v="6"/>
  </r>
  <r>
    <n v="10559"/>
    <d v="2022-11-28T00:00:00"/>
    <x v="2"/>
    <n v="4.99"/>
    <s v="Online "/>
    <x v="1"/>
    <s v="Tom Jackson"/>
    <n v="201"/>
    <s v="London"/>
    <s v="United Kingdom"/>
    <x v="2"/>
  </r>
  <r>
    <n v="10560"/>
    <d v="2022-11-29T00:00:00"/>
    <x v="3"/>
    <n v="12.99"/>
    <s v="Online "/>
    <x v="1"/>
    <s v="Tom Jackson"/>
    <n v="478"/>
    <s v="London"/>
    <s v="United Kingdom"/>
    <x v="17"/>
  </r>
  <r>
    <n v="10561"/>
    <d v="2022-11-29T00:00:00"/>
    <x v="4"/>
    <n v="9.9499999999999993"/>
    <s v="Online "/>
    <x v="1"/>
    <s v="Tom Jackson"/>
    <n v="202"/>
    <s v="London"/>
    <s v="United Kingdom"/>
    <x v="4"/>
  </r>
  <r>
    <n v="10562"/>
    <d v="2022-11-29T00:00:00"/>
    <x v="0"/>
    <n v="3.49"/>
    <s v="Online "/>
    <x v="1"/>
    <s v="Tom Jackson"/>
    <n v="631"/>
    <s v="London"/>
    <s v="United Kingdom"/>
    <x v="7"/>
  </r>
  <r>
    <n v="10563"/>
    <d v="2022-11-29T00:00:00"/>
    <x v="1"/>
    <n v="2.95"/>
    <s v="Online "/>
    <x v="1"/>
    <s v="Tom Jackson"/>
    <n v="678"/>
    <s v="London"/>
    <s v="United Kingdom"/>
    <x v="6"/>
  </r>
  <r>
    <n v="10564"/>
    <d v="2022-11-29T00:00:00"/>
    <x v="2"/>
    <n v="4.99"/>
    <s v="Online "/>
    <x v="1"/>
    <s v="Tom Jackson"/>
    <n v="201"/>
    <s v="London"/>
    <s v="United Kingdom"/>
    <x v="2"/>
  </r>
  <r>
    <n v="10565"/>
    <d v="2022-11-30T00:00:00"/>
    <x v="3"/>
    <n v="12.99"/>
    <s v="Online "/>
    <x v="1"/>
    <s v="Tom Jackson"/>
    <n v="493"/>
    <s v="London"/>
    <s v="United Kingdom"/>
    <x v="18"/>
  </r>
  <r>
    <n v="10566"/>
    <d v="2022-11-30T00:00:00"/>
    <x v="4"/>
    <n v="9.9499999999999993"/>
    <s v="Online "/>
    <x v="1"/>
    <s v="Tom Jackson"/>
    <n v="202"/>
    <s v="London"/>
    <s v="United Kingdom"/>
    <x v="4"/>
  </r>
  <r>
    <n v="10567"/>
    <d v="2022-11-30T00:00:00"/>
    <x v="0"/>
    <n v="3.49"/>
    <s v="Online "/>
    <x v="1"/>
    <s v="Tom Jackson"/>
    <n v="631"/>
    <s v="London"/>
    <s v="United Kingdom"/>
    <x v="7"/>
  </r>
  <r>
    <n v="10568"/>
    <d v="2022-11-30T00:00:00"/>
    <x v="1"/>
    <n v="2.95"/>
    <s v="Online "/>
    <x v="1"/>
    <s v="Tom Jackson"/>
    <n v="678"/>
    <s v="London"/>
    <s v="United Kingdom"/>
    <x v="6"/>
  </r>
  <r>
    <n v="10569"/>
    <d v="2022-11-30T00:00:00"/>
    <x v="2"/>
    <n v="4.99"/>
    <s v="Online "/>
    <x v="1"/>
    <s v="Tom Jackson"/>
    <n v="201"/>
    <s v="London"/>
    <s v="United Kingdom"/>
    <x v="2"/>
  </r>
  <r>
    <n v="10570"/>
    <d v="2022-12-01T00:00:00"/>
    <x v="3"/>
    <n v="12.99"/>
    <s v="Online "/>
    <x v="1"/>
    <s v="Tom Jackson"/>
    <n v="493"/>
    <s v="London"/>
    <s v="United Kingdom"/>
    <x v="18"/>
  </r>
  <r>
    <n v="10571"/>
    <d v="2022-12-01T00:00:00"/>
    <x v="4"/>
    <n v="9.9499999999999993"/>
    <s v="Online "/>
    <x v="1"/>
    <s v="Tom Jackson"/>
    <n v="202"/>
    <s v="London"/>
    <s v="United Kingdom"/>
    <x v="4"/>
  </r>
  <r>
    <n v="10572"/>
    <d v="2022-12-01T00:00:00"/>
    <x v="0"/>
    <n v="3.49"/>
    <s v="Online "/>
    <x v="1"/>
    <s v="Remy Monet"/>
    <n v="574"/>
    <s v="Paris"/>
    <s v="France"/>
    <x v="0"/>
  </r>
  <r>
    <n v="10573"/>
    <d v="2022-12-01T00:00:00"/>
    <x v="1"/>
    <n v="2.95"/>
    <s v="Online "/>
    <x v="1"/>
    <s v="Remy Monet"/>
    <n v="678"/>
    <s v="Paris"/>
    <s v="France"/>
    <x v="6"/>
  </r>
  <r>
    <n v="10574"/>
    <d v="2022-12-01T00:00:00"/>
    <x v="2"/>
    <n v="4.99"/>
    <s v="Online "/>
    <x v="1"/>
    <s v="Remy Monet"/>
    <n v="201"/>
    <s v="Paris"/>
    <s v="France"/>
    <x v="2"/>
  </r>
  <r>
    <n v="10575"/>
    <d v="2022-12-02T00:00:00"/>
    <x v="3"/>
    <n v="12.99"/>
    <s v="Online "/>
    <x v="1"/>
    <s v="Remy Monet"/>
    <n v="524"/>
    <s v="Paris"/>
    <s v="France"/>
    <x v="8"/>
  </r>
  <r>
    <n v="10576"/>
    <d v="2022-12-02T00:00:00"/>
    <x v="4"/>
    <n v="9.9499999999999993"/>
    <s v="Online "/>
    <x v="1"/>
    <s v="Remy Monet"/>
    <n v="202"/>
    <s v="Paris"/>
    <s v="France"/>
    <x v="4"/>
  </r>
  <r>
    <n v="10577"/>
    <d v="2022-12-02T00:00:00"/>
    <x v="0"/>
    <n v="3.49"/>
    <s v="Online "/>
    <x v="1"/>
    <s v="Remy Monet"/>
    <n v="631"/>
    <s v="Paris"/>
    <s v="France"/>
    <x v="7"/>
  </r>
  <r>
    <n v="10578"/>
    <d v="2022-12-02T00:00:00"/>
    <x v="1"/>
    <n v="2.95"/>
    <s v="Online "/>
    <x v="1"/>
    <s v="Remy Monet"/>
    <n v="678"/>
    <s v="Paris"/>
    <s v="France"/>
    <x v="6"/>
  </r>
  <r>
    <n v="10579"/>
    <d v="2022-12-02T00:00:00"/>
    <x v="2"/>
    <n v="4.99"/>
    <s v="Online "/>
    <x v="1"/>
    <s v="Remy Monet"/>
    <n v="201"/>
    <s v="Paris"/>
    <s v="France"/>
    <x v="2"/>
  </r>
  <r>
    <n v="10580"/>
    <d v="2022-12-03T00:00:00"/>
    <x v="3"/>
    <n v="12.99"/>
    <s v="Online "/>
    <x v="1"/>
    <s v="Remy Monet"/>
    <n v="524"/>
    <s v="Paris"/>
    <s v="France"/>
    <x v="8"/>
  </r>
  <r>
    <n v="10581"/>
    <d v="2022-12-03T00:00:00"/>
    <x v="4"/>
    <n v="9.9499999999999993"/>
    <s v="Online "/>
    <x v="1"/>
    <s v="Remy Monet"/>
    <n v="202"/>
    <s v="Paris"/>
    <s v="France"/>
    <x v="4"/>
  </r>
  <r>
    <n v="10582"/>
    <d v="2022-12-03T00:00:00"/>
    <x v="0"/>
    <n v="3.49"/>
    <s v="Online "/>
    <x v="1"/>
    <s v="Tom Jackson"/>
    <n v="631"/>
    <s v="London"/>
    <s v="United Kingdom"/>
    <x v="7"/>
  </r>
  <r>
    <n v="10583"/>
    <d v="2022-12-03T00:00:00"/>
    <x v="1"/>
    <n v="2.95"/>
    <s v="Online "/>
    <x v="1"/>
    <s v="Tom Jackson"/>
    <n v="678"/>
    <s v="London"/>
    <s v="United Kingdom"/>
    <x v="6"/>
  </r>
  <r>
    <n v="10584"/>
    <d v="2022-12-03T00:00:00"/>
    <x v="2"/>
    <n v="4.99"/>
    <s v="Online "/>
    <x v="1"/>
    <s v="Tom Jackson"/>
    <n v="201"/>
    <s v="London"/>
    <s v="United Kingdom"/>
    <x v="2"/>
  </r>
  <r>
    <n v="10585"/>
    <d v="2022-12-04T00:00:00"/>
    <x v="3"/>
    <n v="12.99"/>
    <s v="Online "/>
    <x v="1"/>
    <s v="Tom Jackson"/>
    <n v="539"/>
    <s v="London"/>
    <s v="United Kingdom"/>
    <x v="15"/>
  </r>
  <r>
    <n v="10586"/>
    <d v="2022-12-04T00:00:00"/>
    <x v="4"/>
    <n v="9.9499999999999993"/>
    <s v="Online "/>
    <x v="1"/>
    <s v="Tom Jackson"/>
    <n v="202"/>
    <s v="London"/>
    <s v="United Kingdom"/>
    <x v="4"/>
  </r>
  <r>
    <n v="10590"/>
    <d v="2022-12-05T00:00:00"/>
    <x v="3"/>
    <n v="12.99"/>
    <s v="Online "/>
    <x v="1"/>
    <s v="Tom Jackson"/>
    <n v="555"/>
    <s v="London"/>
    <s v="United Kingdom"/>
    <x v="5"/>
  </r>
  <r>
    <n v="10591"/>
    <d v="2022-12-05T00:00:00"/>
    <x v="4"/>
    <n v="9.9499999999999993"/>
    <s v="Online "/>
    <x v="1"/>
    <s v="Tom Jackson"/>
    <n v="202"/>
    <s v="London"/>
    <s v="United Kingdom"/>
    <x v="4"/>
  </r>
  <r>
    <n v="10592"/>
    <d v="2022-12-05T00:00:00"/>
    <x v="0"/>
    <n v="3.49"/>
    <s v="Online "/>
    <x v="1"/>
    <s v="Tom Jackson"/>
    <n v="574"/>
    <s v="London"/>
    <s v="United Kingdom"/>
    <x v="0"/>
  </r>
  <r>
    <n v="10593"/>
    <d v="2022-12-05T00:00:00"/>
    <x v="1"/>
    <n v="2.95"/>
    <s v="Online "/>
    <x v="1"/>
    <s v="Tom Jackson"/>
    <n v="678"/>
    <s v="London"/>
    <s v="United Kingdom"/>
    <x v="6"/>
  </r>
  <r>
    <n v="10594"/>
    <d v="2022-12-05T00:00:00"/>
    <x v="2"/>
    <n v="4.99"/>
    <s v="Online "/>
    <x v="1"/>
    <s v="Tom Jackson"/>
    <n v="201"/>
    <s v="London"/>
    <s v="United Kingdom"/>
    <x v="2"/>
  </r>
  <r>
    <n v="10595"/>
    <d v="2022-12-06T00:00:00"/>
    <x v="3"/>
    <n v="12.99"/>
    <s v="Online "/>
    <x v="1"/>
    <s v="Tom Jackson"/>
    <n v="539"/>
    <s v="London"/>
    <s v="United Kingdom"/>
    <x v="15"/>
  </r>
  <r>
    <n v="10596"/>
    <d v="2022-12-06T00:00:00"/>
    <x v="4"/>
    <n v="9.9499999999999993"/>
    <s v="Online "/>
    <x v="1"/>
    <s v="Tom Jackson"/>
    <n v="202"/>
    <s v="London"/>
    <s v="United Kingdom"/>
    <x v="4"/>
  </r>
  <r>
    <n v="10597"/>
    <d v="2022-12-06T00:00:00"/>
    <x v="0"/>
    <n v="3.49"/>
    <s v="Online "/>
    <x v="1"/>
    <s v="Tom Jackson"/>
    <n v="574"/>
    <s v="London"/>
    <s v="United Kingdom"/>
    <x v="0"/>
  </r>
  <r>
    <n v="10598"/>
    <d v="2022-12-06T00:00:00"/>
    <x v="1"/>
    <n v="2.95"/>
    <s v="Online "/>
    <x v="1"/>
    <s v="Tom Jackson"/>
    <n v="678"/>
    <s v="London"/>
    <s v="United Kingdom"/>
    <x v="6"/>
  </r>
  <r>
    <n v="10599"/>
    <d v="2022-12-06T00:00:00"/>
    <x v="2"/>
    <n v="4.99"/>
    <s v="Online "/>
    <x v="1"/>
    <s v="Tom Jackson"/>
    <n v="201"/>
    <s v="London"/>
    <s v="United Kingdom"/>
    <x v="2"/>
  </r>
  <r>
    <n v="10600"/>
    <d v="2022-12-07T00:00:00"/>
    <x v="3"/>
    <n v="12.99"/>
    <s v="Online "/>
    <x v="1"/>
    <s v="Tom Jackson"/>
    <n v="524"/>
    <s v="London"/>
    <s v="United Kingdom"/>
    <x v="8"/>
  </r>
  <r>
    <n v="10601"/>
    <d v="2022-12-07T00:00:00"/>
    <x v="4"/>
    <n v="9.9499999999999993"/>
    <s v="Online "/>
    <x v="1"/>
    <s v="Tom Jackson"/>
    <n v="202"/>
    <s v="London"/>
    <s v="United Kingdom"/>
    <x v="4"/>
  </r>
  <r>
    <n v="10602"/>
    <d v="2022-12-07T00:00:00"/>
    <x v="0"/>
    <n v="3.49"/>
    <s v="Online "/>
    <x v="2"/>
    <s v="Tom Jackson"/>
    <n v="631"/>
    <s v="London"/>
    <s v="United Kingdom"/>
    <x v="7"/>
  </r>
  <r>
    <n v="10603"/>
    <d v="2022-12-07T00:00:00"/>
    <x v="1"/>
    <n v="2.95"/>
    <s v="Online "/>
    <x v="2"/>
    <s v="Tom Jackson"/>
    <n v="678"/>
    <s v="London"/>
    <s v="United Kingdom"/>
    <x v="6"/>
  </r>
  <r>
    <n v="10604"/>
    <d v="2022-12-07T00:00:00"/>
    <x v="2"/>
    <n v="4.99"/>
    <s v="Online "/>
    <x v="2"/>
    <s v="Tom Jackson"/>
    <n v="201"/>
    <s v="London"/>
    <s v="United Kingdom"/>
    <x v="2"/>
  </r>
  <r>
    <n v="10605"/>
    <d v="2022-12-08T00:00:00"/>
    <x v="3"/>
    <n v="12.99"/>
    <s v="Online "/>
    <x v="2"/>
    <s v="Tom Jackson"/>
    <n v="539"/>
    <s v="London"/>
    <s v="United Kingdom"/>
    <x v="15"/>
  </r>
  <r>
    <n v="10606"/>
    <d v="2022-12-08T00:00:00"/>
    <x v="4"/>
    <n v="9.9499999999999993"/>
    <s v="Online "/>
    <x v="2"/>
    <s v="Tom Jackson"/>
    <n v="202"/>
    <s v="London"/>
    <s v="United Kingdom"/>
    <x v="4"/>
  </r>
  <r>
    <n v="10607"/>
    <d v="2022-12-08T00:00:00"/>
    <x v="0"/>
    <n v="3.49"/>
    <s v="Online "/>
    <x v="2"/>
    <s v="Tom Jackson"/>
    <n v="631"/>
    <s v="London"/>
    <s v="United Kingdom"/>
    <x v="7"/>
  </r>
  <r>
    <n v="10608"/>
    <d v="2022-12-08T00:00:00"/>
    <x v="1"/>
    <n v="2.95"/>
    <s v="Online "/>
    <x v="0"/>
    <s v="Tom Jackson"/>
    <n v="678"/>
    <s v="London"/>
    <s v="United Kingdom"/>
    <x v="6"/>
  </r>
  <r>
    <n v="10609"/>
    <d v="2022-12-08T00:00:00"/>
    <x v="2"/>
    <n v="4.99"/>
    <s v="Online "/>
    <x v="0"/>
    <s v="Tom Jackson"/>
    <n v="201"/>
    <s v="London"/>
    <s v="United Kingdom"/>
    <x v="2"/>
  </r>
  <r>
    <n v="10610"/>
    <d v="2022-12-09T00:00:00"/>
    <x v="3"/>
    <n v="12.99"/>
    <s v="Online "/>
    <x v="0"/>
    <s v="Tom Jackson"/>
    <n v="570"/>
    <s v="London"/>
    <s v="United Kingdom"/>
    <x v="3"/>
  </r>
  <r>
    <n v="10611"/>
    <d v="2022-12-09T00:00:00"/>
    <x v="4"/>
    <n v="9.9499999999999993"/>
    <s v="Online "/>
    <x v="0"/>
    <s v="Tom Jackson"/>
    <n v="202"/>
    <s v="London"/>
    <s v="United Kingdom"/>
    <x v="4"/>
  </r>
  <r>
    <n v="10612"/>
    <d v="2022-12-09T00:00:00"/>
    <x v="0"/>
    <n v="3.49"/>
    <s v="Online "/>
    <x v="0"/>
    <s v="Tom Jackson"/>
    <n v="631"/>
    <s v="London"/>
    <s v="United Kingdom"/>
    <x v="7"/>
  </r>
  <r>
    <n v="10613"/>
    <d v="2022-12-09T00:00:00"/>
    <x v="1"/>
    <n v="2.95"/>
    <s v="Online "/>
    <x v="0"/>
    <s v="Tom Jackson"/>
    <n v="678"/>
    <s v="London"/>
    <s v="United Kingdom"/>
    <x v="6"/>
  </r>
  <r>
    <n v="10614"/>
    <d v="2022-12-09T00:00:00"/>
    <x v="2"/>
    <n v="4.99"/>
    <s v="Online "/>
    <x v="0"/>
    <s v="Tom Jackson"/>
    <n v="201"/>
    <s v="London"/>
    <s v="United Kingdom"/>
    <x v="2"/>
  </r>
  <r>
    <n v="10615"/>
    <d v="2022-12-10T00:00:00"/>
    <x v="3"/>
    <n v="12.99"/>
    <s v="Online "/>
    <x v="0"/>
    <s v="Tom Jackson"/>
    <n v="570"/>
    <s v="London"/>
    <s v="United Kingdom"/>
    <x v="3"/>
  </r>
  <r>
    <n v="10616"/>
    <d v="2022-12-10T00:00:00"/>
    <x v="4"/>
    <n v="9.9499999999999993"/>
    <s v="Online "/>
    <x v="0"/>
    <s v="Tom Jackson"/>
    <n v="202"/>
    <s v="London"/>
    <s v="United Kingdom"/>
    <x v="4"/>
  </r>
  <r>
    <n v="10617"/>
    <d v="2022-12-10T00:00:00"/>
    <x v="0"/>
    <n v="3.49"/>
    <s v="Online "/>
    <x v="0"/>
    <s v="Tom Jackson"/>
    <n v="631"/>
    <s v="London"/>
    <s v="United Kingdom"/>
    <x v="7"/>
  </r>
  <r>
    <n v="10618"/>
    <d v="2022-12-10T00:00:00"/>
    <x v="1"/>
    <n v="2.95"/>
    <s v="Online "/>
    <x v="0"/>
    <s v="Tom Jackson"/>
    <n v="678"/>
    <s v="London"/>
    <s v="United Kingdom"/>
    <x v="6"/>
  </r>
  <r>
    <n v="10619"/>
    <d v="2022-12-10T00:00:00"/>
    <x v="2"/>
    <n v="4.99"/>
    <s v="Online "/>
    <x v="0"/>
    <s v="Tom Jackson"/>
    <n v="201"/>
    <s v="London"/>
    <s v="United Kingdom"/>
    <x v="2"/>
  </r>
  <r>
    <n v="10620"/>
    <d v="2022-12-11T00:00:00"/>
    <x v="3"/>
    <n v="12.99"/>
    <s v="Online "/>
    <x v="0"/>
    <s v="Tom Jackson"/>
    <n v="586"/>
    <s v="London"/>
    <s v="United Kingdom"/>
    <x v="21"/>
  </r>
  <r>
    <n v="10621"/>
    <d v="2022-12-11T00:00:00"/>
    <x v="4"/>
    <n v="9.9499999999999993"/>
    <s v="Online "/>
    <x v="0"/>
    <s v="Tom Jackson"/>
    <n v="202"/>
    <s v="London"/>
    <s v="United Kingdom"/>
    <x v="4"/>
  </r>
  <r>
    <n v="10622"/>
    <d v="2022-12-11T00:00:00"/>
    <x v="0"/>
    <n v="3.49"/>
    <s v="Online "/>
    <x v="0"/>
    <s v="Tom Jackson"/>
    <n v="631"/>
    <s v="London"/>
    <s v="United Kingdom"/>
    <x v="7"/>
  </r>
  <r>
    <n v="10623"/>
    <d v="2022-12-11T00:00:00"/>
    <x v="1"/>
    <n v="2.95"/>
    <s v="Online "/>
    <x v="0"/>
    <s v="Tom Jackson"/>
    <n v="746"/>
    <s v="London"/>
    <s v="United Kingdom"/>
    <x v="1"/>
  </r>
  <r>
    <n v="10624"/>
    <d v="2022-12-11T00:00:00"/>
    <x v="2"/>
    <n v="4.99"/>
    <s v="Online "/>
    <x v="0"/>
    <s v="Tom Jackson"/>
    <n v="201"/>
    <s v="London"/>
    <s v="United Kingdom"/>
    <x v="2"/>
  </r>
  <r>
    <n v="10625"/>
    <d v="2022-12-12T00:00:00"/>
    <x v="3"/>
    <n v="12.99"/>
    <s v="Online "/>
    <x v="0"/>
    <s v="Tom Jackson"/>
    <n v="570"/>
    <s v="London"/>
    <s v="United Kingdom"/>
    <x v="3"/>
  </r>
  <r>
    <n v="10626"/>
    <d v="2022-12-12T00:00:00"/>
    <x v="4"/>
    <n v="9.9499999999999993"/>
    <s v="Online "/>
    <x v="0"/>
    <s v="Tom Jackson"/>
    <n v="202"/>
    <s v="London"/>
    <s v="United Kingdom"/>
    <x v="4"/>
  </r>
  <r>
    <n v="10627"/>
    <d v="2022-12-12T00:00:00"/>
    <x v="0"/>
    <n v="3.49"/>
    <s v="Online "/>
    <x v="0"/>
    <s v="Tom Jackson"/>
    <n v="631"/>
    <s v="London"/>
    <s v="United Kingdom"/>
    <x v="7"/>
  </r>
  <r>
    <n v="10628"/>
    <d v="2022-12-12T00:00:00"/>
    <x v="1"/>
    <n v="2.95"/>
    <s v="Online "/>
    <x v="0"/>
    <s v="Joao Silva"/>
    <n v="678"/>
    <s v="Lisbon"/>
    <s v="Portugal"/>
    <x v="6"/>
  </r>
  <r>
    <n v="10629"/>
    <d v="2022-12-12T00:00:00"/>
    <x v="2"/>
    <n v="4.99"/>
    <s v="Online "/>
    <x v="0"/>
    <s v="Joao Silva"/>
    <n v="201"/>
    <s v="Lisbon"/>
    <s v="Portugal"/>
    <x v="2"/>
  </r>
  <r>
    <n v="10630"/>
    <d v="2022-12-13T00:00:00"/>
    <x v="3"/>
    <n v="12.99"/>
    <s v="Online "/>
    <x v="2"/>
    <s v="Joao Silva"/>
    <n v="570"/>
    <s v="Lisbon"/>
    <s v="Portugal"/>
    <x v="3"/>
  </r>
  <r>
    <n v="10631"/>
    <d v="2022-12-13T00:00:00"/>
    <x v="4"/>
    <n v="9.9499999999999993"/>
    <s v="Online "/>
    <x v="0"/>
    <s v="Joao Silva"/>
    <n v="202"/>
    <s v="Lisbon"/>
    <s v="Portugal"/>
    <x v="4"/>
  </r>
  <r>
    <n v="10632"/>
    <d v="2022-12-13T00:00:00"/>
    <x v="0"/>
    <n v="3.49"/>
    <s v="Online "/>
    <x v="0"/>
    <s v="Joao Silva"/>
    <n v="631"/>
    <s v="Lisbon"/>
    <s v="Portugal"/>
    <x v="7"/>
  </r>
  <r>
    <n v="10633"/>
    <d v="2022-12-13T00:00:00"/>
    <x v="1"/>
    <n v="2.95"/>
    <s v="Online "/>
    <x v="0"/>
    <s v="Joao Silva"/>
    <n v="678"/>
    <s v="Lisbon"/>
    <s v="Portugal"/>
    <x v="6"/>
  </r>
  <r>
    <n v="10634"/>
    <d v="2022-12-13T00:00:00"/>
    <x v="2"/>
    <n v="4.99"/>
    <s v="Online "/>
    <x v="0"/>
    <s v="Joao Silva"/>
    <n v="201"/>
    <s v="Lisbon"/>
    <s v="Portugal"/>
    <x v="2"/>
  </r>
  <r>
    <n v="10635"/>
    <d v="2022-12-14T00:00:00"/>
    <x v="3"/>
    <n v="12.99"/>
    <s v="Online "/>
    <x v="0"/>
    <s v="Joao Silva"/>
    <n v="555"/>
    <s v="Lisbon"/>
    <s v="Portugal"/>
    <x v="5"/>
  </r>
  <r>
    <n v="10636"/>
    <d v="2022-12-14T00:00:00"/>
    <x v="4"/>
    <n v="9.9499999999999993"/>
    <s v="Online "/>
    <x v="0"/>
    <s v="Joao Silva"/>
    <n v="222"/>
    <s v="Lisbon"/>
    <s v="Portugal"/>
    <x v="22"/>
  </r>
  <r>
    <n v="10637"/>
    <d v="2022-12-14T00:00:00"/>
    <x v="0"/>
    <n v="3.49"/>
    <s v="Online "/>
    <x v="0"/>
    <s v="Joao Silva"/>
    <n v="631"/>
    <s v="Lisbon"/>
    <s v="Portugal"/>
    <x v="7"/>
  </r>
  <r>
    <n v="10638"/>
    <d v="2022-12-14T00:00:00"/>
    <x v="1"/>
    <n v="2.95"/>
    <s v="Online "/>
    <x v="0"/>
    <s v="Joao Silva"/>
    <n v="678"/>
    <s v="Lisbon"/>
    <s v="Portugal"/>
    <x v="6"/>
  </r>
  <r>
    <n v="10639"/>
    <d v="2022-12-14T00:00:00"/>
    <x v="2"/>
    <n v="4.99"/>
    <s v="Online "/>
    <x v="0"/>
    <s v="Joao Silva"/>
    <n v="201"/>
    <s v="Lisbon"/>
    <s v="Portugal"/>
    <x v="2"/>
  </r>
  <r>
    <n v="10640"/>
    <d v="2022-12-15T00:00:00"/>
    <x v="3"/>
    <n v="12.99"/>
    <s v="Online "/>
    <x v="0"/>
    <s v="Joao Silva"/>
    <n v="539"/>
    <s v="Lisbon"/>
    <s v="Portugal"/>
    <x v="15"/>
  </r>
  <r>
    <n v="10641"/>
    <d v="2022-12-15T00:00:00"/>
    <x v="4"/>
    <n v="9.9499999999999993"/>
    <s v="Online "/>
    <x v="0"/>
    <s v="Joao Silva"/>
    <n v="222"/>
    <s v="Lisbon"/>
    <s v="Portugal"/>
    <x v="22"/>
  </r>
  <r>
    <n v="10642"/>
    <d v="2022-12-15T00:00:00"/>
    <x v="0"/>
    <n v="3.49"/>
    <s v="Online "/>
    <x v="2"/>
    <s v="Joao Silva"/>
    <n v="631"/>
    <s v="Lisbon"/>
    <s v="Portugal"/>
    <x v="7"/>
  </r>
  <r>
    <n v="10643"/>
    <d v="2022-12-15T00:00:00"/>
    <x v="1"/>
    <n v="2.95"/>
    <s v="Online "/>
    <x v="2"/>
    <s v="Joao Silva"/>
    <n v="678"/>
    <s v="Lisbon"/>
    <s v="Portugal"/>
    <x v="6"/>
  </r>
  <r>
    <n v="10644"/>
    <d v="2022-12-15T00:00:00"/>
    <x v="2"/>
    <n v="4.99"/>
    <s v="Online "/>
    <x v="2"/>
    <s v="Joao Silva"/>
    <n v="201"/>
    <s v="Lisbon"/>
    <s v="Portugal"/>
    <x v="2"/>
  </r>
  <r>
    <n v="10645"/>
    <d v="2022-12-16T00:00:00"/>
    <x v="3"/>
    <n v="12.99"/>
    <s v="Online "/>
    <x v="2"/>
    <s v="Joao Silva"/>
    <n v="570"/>
    <s v="Lisbon"/>
    <s v="Portugal"/>
    <x v="3"/>
  </r>
  <r>
    <n v="10646"/>
    <d v="2022-12-16T00:00:00"/>
    <x v="4"/>
    <n v="9.9499999999999993"/>
    <s v="Online "/>
    <x v="2"/>
    <s v="Joao Silva"/>
    <n v="222"/>
    <s v="Lisbon"/>
    <s v="Portugal"/>
    <x v="22"/>
  </r>
  <r>
    <n v="10647"/>
    <d v="2022-12-16T00:00:00"/>
    <x v="0"/>
    <n v="3.49"/>
    <s v="Online "/>
    <x v="0"/>
    <s v="Joao Silva"/>
    <n v="631"/>
    <s v="Lisbon"/>
    <s v="Portugal"/>
    <x v="7"/>
  </r>
  <r>
    <n v="10648"/>
    <d v="2022-12-16T00:00:00"/>
    <x v="1"/>
    <n v="2.95"/>
    <s v="Online "/>
    <x v="0"/>
    <s v="Joao Silva"/>
    <n v="746"/>
    <s v="Lisbon"/>
    <s v="Portugal"/>
    <x v="1"/>
  </r>
  <r>
    <n v="10649"/>
    <d v="2022-12-16T00:00:00"/>
    <x v="2"/>
    <n v="4.99"/>
    <s v="Online "/>
    <x v="0"/>
    <s v="Joao Silva"/>
    <n v="201"/>
    <s v="Lisbon"/>
    <s v="Portugal"/>
    <x v="2"/>
  </r>
  <r>
    <n v="10650"/>
    <d v="2022-12-17T00:00:00"/>
    <x v="3"/>
    <n v="12.99"/>
    <s v="Online "/>
    <x v="0"/>
    <s v="Joao Silva"/>
    <n v="586"/>
    <s v="Lisbon"/>
    <s v="Portugal"/>
    <x v="21"/>
  </r>
  <r>
    <n v="10651"/>
    <d v="2022-12-17T00:00:00"/>
    <x v="4"/>
    <n v="9.9499999999999993"/>
    <s v="Online "/>
    <x v="0"/>
    <s v="Joao Silva"/>
    <n v="222"/>
    <s v="Lisbon"/>
    <s v="Portugal"/>
    <x v="22"/>
  </r>
  <r>
    <n v="10652"/>
    <d v="2022-12-17T00:00:00"/>
    <x v="0"/>
    <n v="3.49"/>
    <s v="Online "/>
    <x v="0"/>
    <s v="Joao Silva"/>
    <n v="688"/>
    <s v="Lisbon"/>
    <s v="Portugal"/>
    <x v="16"/>
  </r>
  <r>
    <n v="10653"/>
    <d v="2022-12-17T00:00:00"/>
    <x v="1"/>
    <n v="2.95"/>
    <s v="Online "/>
    <x v="0"/>
    <s v="Joao Silva"/>
    <n v="746"/>
    <s v="Lisbon"/>
    <s v="Portugal"/>
    <x v="1"/>
  </r>
  <r>
    <n v="10654"/>
    <d v="2022-12-17T00:00:00"/>
    <x v="2"/>
    <n v="4.99"/>
    <s v="Online "/>
    <x v="0"/>
    <s v="Joao Silva"/>
    <n v="201"/>
    <s v="Lisbon"/>
    <s v="Portugal"/>
    <x v="2"/>
  </r>
  <r>
    <n v="10655"/>
    <d v="2022-12-18T00:00:00"/>
    <x v="3"/>
    <n v="12.99"/>
    <s v="Online "/>
    <x v="0"/>
    <s v="Joao Silva"/>
    <n v="601"/>
    <s v="Lisbon"/>
    <s v="Portugal"/>
    <x v="23"/>
  </r>
  <r>
    <n v="10656"/>
    <d v="2022-12-18T00:00:00"/>
    <x v="4"/>
    <n v="9.9499999999999993"/>
    <s v="Online "/>
    <x v="0"/>
    <s v="Joao Silva"/>
    <n v="222"/>
    <s v="Lisbon"/>
    <s v="Portugal"/>
    <x v="22"/>
  </r>
  <r>
    <n v="10657"/>
    <d v="2022-12-18T00:00:00"/>
    <x v="0"/>
    <n v="3.49"/>
    <s v="Online "/>
    <x v="0"/>
    <s v="Joao Silva"/>
    <n v="688"/>
    <s v="Lisbon"/>
    <s v="Portugal"/>
    <x v="16"/>
  </r>
  <r>
    <n v="10658"/>
    <d v="2022-12-18T00:00:00"/>
    <x v="1"/>
    <n v="2.95"/>
    <s v="Online "/>
    <x v="2"/>
    <s v="Joao Silva"/>
    <n v="746"/>
    <s v="Lisbon"/>
    <s v="Portugal"/>
    <x v="1"/>
  </r>
  <r>
    <n v="10659"/>
    <d v="2022-12-18T00:00:00"/>
    <x v="2"/>
    <n v="4.99"/>
    <s v="Online "/>
    <x v="2"/>
    <s v="Joao Silva"/>
    <n v="201"/>
    <s v="Lisbon"/>
    <s v="Portugal"/>
    <x v="2"/>
  </r>
  <r>
    <n v="10660"/>
    <d v="2022-12-19T00:00:00"/>
    <x v="3"/>
    <n v="12.99"/>
    <s v="In-store "/>
    <x v="2"/>
    <s v="Joao Silva"/>
    <n v="632"/>
    <s v="Lisbon"/>
    <s v="Portugal"/>
    <x v="24"/>
  </r>
  <r>
    <n v="10661"/>
    <d v="2022-12-19T00:00:00"/>
    <x v="4"/>
    <n v="9.9499999999999993"/>
    <s v="In-store "/>
    <x v="2"/>
    <s v="Joao Silva"/>
    <n v="222"/>
    <s v="Lisbon"/>
    <s v="Portugal"/>
    <x v="22"/>
  </r>
  <r>
    <n v="10662"/>
    <d v="2022-12-19T00:00:00"/>
    <x v="0"/>
    <n v="3.49"/>
    <s v="In-store "/>
    <x v="2"/>
    <s v="Joao Silva"/>
    <n v="631"/>
    <s v="Lisbon"/>
    <s v="Portugal"/>
    <x v="7"/>
  </r>
  <r>
    <n v="10663"/>
    <d v="2022-12-19T00:00:00"/>
    <x v="1"/>
    <n v="2.95"/>
    <s v="In-store "/>
    <x v="2"/>
    <s v="Joao Silva"/>
    <n v="746"/>
    <s v="Lisbon"/>
    <s v="Portugal"/>
    <x v="1"/>
  </r>
  <r>
    <n v="10664"/>
    <d v="2022-12-19T00:00:00"/>
    <x v="2"/>
    <n v="4.99"/>
    <s v="In-store "/>
    <x v="2"/>
    <s v="Joao Silva"/>
    <n v="201"/>
    <s v="Lisbon"/>
    <s v="Portugal"/>
    <x v="2"/>
  </r>
  <r>
    <n v="10665"/>
    <d v="2022-12-20T00:00:00"/>
    <x v="3"/>
    <n v="12.99"/>
    <s v="In-store "/>
    <x v="2"/>
    <s v="Joao Silva"/>
    <n v="647"/>
    <s v="Lisbon"/>
    <s v="Portugal"/>
    <x v="25"/>
  </r>
  <r>
    <n v="10666"/>
    <d v="2022-12-20T00:00:00"/>
    <x v="4"/>
    <n v="9.9499999999999993"/>
    <s v="In-store "/>
    <x v="2"/>
    <s v="Joao Silva"/>
    <n v="222"/>
    <s v="Lisbon"/>
    <s v="Portugal"/>
    <x v="22"/>
  </r>
  <r>
    <n v="10667"/>
    <d v="2022-12-20T00:00:00"/>
    <x v="0"/>
    <n v="3.49"/>
    <s v="In-store "/>
    <x v="2"/>
    <s v="Joao Silva"/>
    <n v="631"/>
    <s v="Lisbon"/>
    <s v="Portugal"/>
    <x v="7"/>
  </r>
  <r>
    <n v="10668"/>
    <d v="2022-12-20T00:00:00"/>
    <x v="1"/>
    <n v="2.95"/>
    <s v="In-store "/>
    <x v="2"/>
    <s v="Joao Silva"/>
    <n v="746"/>
    <s v="Lisbon"/>
    <s v="Portugal"/>
    <x v="1"/>
  </r>
  <r>
    <n v="10669"/>
    <d v="2022-12-20T00:00:00"/>
    <x v="2"/>
    <n v="4.99"/>
    <s v="In-store "/>
    <x v="2"/>
    <s v="Joao Silva"/>
    <n v="201"/>
    <s v="Lisbon"/>
    <s v="Portugal"/>
    <x v="2"/>
  </r>
  <r>
    <n v="10670"/>
    <d v="2022-12-21T00:00:00"/>
    <x v="3"/>
    <n v="12.99"/>
    <s v="In-store "/>
    <x v="2"/>
    <s v="Joao Silva"/>
    <n v="678"/>
    <s v="Lisbon"/>
    <s v="Portugal"/>
    <x v="26"/>
  </r>
  <r>
    <n v="10671"/>
    <d v="2022-12-21T00:00:00"/>
    <x v="4"/>
    <n v="9.9499999999999993"/>
    <s v="In-store "/>
    <x v="2"/>
    <s v="Joao Silva"/>
    <n v="222"/>
    <s v="Lisbon"/>
    <s v="Portugal"/>
    <x v="22"/>
  </r>
  <r>
    <n v="10672"/>
    <d v="2022-12-21T00:00:00"/>
    <x v="0"/>
    <n v="3.49"/>
    <s v="In-store "/>
    <x v="2"/>
    <s v="Joao Silva"/>
    <n v="631"/>
    <s v="Lisbon"/>
    <s v="Portugal"/>
    <x v="7"/>
  </r>
  <r>
    <n v="10673"/>
    <d v="2022-12-21T00:00:00"/>
    <x v="1"/>
    <n v="2.95"/>
    <s v="In-store "/>
    <x v="2"/>
    <s v="Joao Silva"/>
    <n v="746"/>
    <s v="Lisbon"/>
    <s v="Portugal"/>
    <x v="1"/>
  </r>
  <r>
    <n v="10674"/>
    <d v="2022-12-21T00:00:00"/>
    <x v="2"/>
    <n v="4.99"/>
    <s v="In-store "/>
    <x v="2"/>
    <s v="Joao Silva"/>
    <n v="201"/>
    <s v="Lisbon"/>
    <s v="Portugal"/>
    <x v="2"/>
  </r>
  <r>
    <n v="10675"/>
    <d v="2022-12-22T00:00:00"/>
    <x v="3"/>
    <n v="12.99"/>
    <s v="In-store "/>
    <x v="2"/>
    <s v="Joao Silva"/>
    <n v="678"/>
    <s v="Lisbon"/>
    <s v="Portugal"/>
    <x v="26"/>
  </r>
  <r>
    <n v="10676"/>
    <d v="2022-12-22T00:00:00"/>
    <x v="4"/>
    <n v="9.9499999999999993"/>
    <s v="In-store "/>
    <x v="2"/>
    <s v="Joao Silva"/>
    <n v="242"/>
    <s v="Lisbon"/>
    <s v="Portugal"/>
    <x v="27"/>
  </r>
  <r>
    <n v="10677"/>
    <d v="2022-12-22T00:00:00"/>
    <x v="0"/>
    <n v="3.49"/>
    <s v="In-store "/>
    <x v="2"/>
    <s v="Joao Silva"/>
    <n v="631"/>
    <s v="Lisbon"/>
    <s v="Portugal"/>
    <x v="7"/>
  </r>
  <r>
    <n v="10678"/>
    <d v="2022-12-22T00:00:00"/>
    <x v="1"/>
    <n v="2.95"/>
    <s v="In-store "/>
    <x v="2"/>
    <s v="Joao Silva"/>
    <n v="746"/>
    <s v="Lisbon"/>
    <s v="Portugal"/>
    <x v="1"/>
  </r>
  <r>
    <n v="10679"/>
    <d v="2022-12-22T00:00:00"/>
    <x v="2"/>
    <n v="4.99"/>
    <s v="In-store "/>
    <x v="2"/>
    <s v="Joao Silva"/>
    <n v="201"/>
    <s v="Lisbon"/>
    <s v="Portugal"/>
    <x v="2"/>
  </r>
  <r>
    <n v="10680"/>
    <d v="2022-12-23T00:00:00"/>
    <x v="3"/>
    <n v="12.99"/>
    <s v="In-store "/>
    <x v="2"/>
    <s v="Joao Silva"/>
    <n v="647"/>
    <s v="Lisbon"/>
    <s v="Portugal"/>
    <x v="25"/>
  </r>
  <r>
    <n v="10681"/>
    <d v="2022-12-23T00:00:00"/>
    <x v="4"/>
    <n v="9.9499999999999993"/>
    <s v="In-store "/>
    <x v="2"/>
    <s v="Joao Silva"/>
    <n v="242"/>
    <s v="Lisbon"/>
    <s v="Portugal"/>
    <x v="27"/>
  </r>
  <r>
    <n v="10682"/>
    <d v="2022-12-23T00:00:00"/>
    <x v="0"/>
    <n v="3.49"/>
    <s v="In-store "/>
    <x v="2"/>
    <s v="Joao Silva"/>
    <n v="631"/>
    <s v="Lisbon"/>
    <s v="Portugal"/>
    <x v="7"/>
  </r>
  <r>
    <n v="10683"/>
    <d v="2022-12-23T00:00:00"/>
    <x v="1"/>
    <n v="2.95"/>
    <s v="In-store "/>
    <x v="2"/>
    <s v="Joao Silva"/>
    <n v="678"/>
    <s v="Lisbon"/>
    <s v="Portugal"/>
    <x v="6"/>
  </r>
  <r>
    <n v="10684"/>
    <d v="2022-12-23T00:00:00"/>
    <x v="2"/>
    <n v="4.99"/>
    <s v="In-store "/>
    <x v="2"/>
    <s v="Joao Silva"/>
    <n v="201"/>
    <s v="Lisbon"/>
    <s v="Portugal"/>
    <x v="2"/>
  </r>
  <r>
    <n v="10685"/>
    <d v="2022-12-24T00:00:00"/>
    <x v="3"/>
    <n v="12.99"/>
    <s v="In-store "/>
    <x v="2"/>
    <s v="Joao Silva"/>
    <n v="678"/>
    <s v="Lisbon"/>
    <s v="Portugal"/>
    <x v="26"/>
  </r>
  <r>
    <n v="10686"/>
    <d v="2022-12-24T00:00:00"/>
    <x v="4"/>
    <n v="9.9499999999999993"/>
    <s v="In-store "/>
    <x v="2"/>
    <s v="Joao Silva"/>
    <n v="242"/>
    <s v="Lisbon"/>
    <s v="Portugal"/>
    <x v="27"/>
  </r>
  <r>
    <n v="10687"/>
    <d v="2022-12-24T00:00:00"/>
    <x v="0"/>
    <n v="3.49"/>
    <s v="In-store "/>
    <x v="2"/>
    <s v="Walter Muller"/>
    <n v="631"/>
    <s v="Berlin"/>
    <s v="Germany"/>
    <x v="7"/>
  </r>
  <r>
    <n v="10688"/>
    <d v="2022-12-24T00:00:00"/>
    <x v="1"/>
    <n v="2.95"/>
    <s v="In-store "/>
    <x v="2"/>
    <s v="Walter Muller"/>
    <n v="678"/>
    <s v="Berlin"/>
    <s v="Germany"/>
    <x v="6"/>
  </r>
  <r>
    <n v="10689"/>
    <d v="2022-12-24T00:00:00"/>
    <x v="2"/>
    <n v="4.99"/>
    <s v="In-store "/>
    <x v="2"/>
    <s v="Walter Muller"/>
    <n v="201"/>
    <s v="Berlin"/>
    <s v="Germany"/>
    <x v="2"/>
  </r>
  <r>
    <n v="10690"/>
    <d v="2022-12-25T00:00:00"/>
    <x v="3"/>
    <n v="12.99"/>
    <s v="In-store "/>
    <x v="2"/>
    <s v="Walter Muller"/>
    <n v="678"/>
    <s v="Berlin"/>
    <s v="Germany"/>
    <x v="26"/>
  </r>
  <r>
    <n v="10691"/>
    <d v="2022-12-25T00:00:00"/>
    <x v="4"/>
    <n v="9.9499999999999993"/>
    <s v="In-store "/>
    <x v="2"/>
    <s v="Walter Muller"/>
    <n v="262"/>
    <s v="Berlin"/>
    <s v="Germany"/>
    <x v="28"/>
  </r>
  <r>
    <n v="10692"/>
    <d v="2022-12-25T00:00:00"/>
    <x v="0"/>
    <n v="3.49"/>
    <s v="In-store "/>
    <x v="2"/>
    <s v="Walter Muller"/>
    <n v="631"/>
    <s v="Berlin"/>
    <s v="Germany"/>
    <x v="7"/>
  </r>
  <r>
    <n v="10693"/>
    <d v="2022-12-25T00:00:00"/>
    <x v="1"/>
    <n v="2.95"/>
    <s v="In-store "/>
    <x v="2"/>
    <s v="Walter Muller"/>
    <n v="678"/>
    <s v="Berlin"/>
    <s v="Germany"/>
    <x v="6"/>
  </r>
  <r>
    <n v="10694"/>
    <d v="2022-12-25T00:00:00"/>
    <x v="2"/>
    <n v="4.99"/>
    <s v="In-store "/>
    <x v="2"/>
    <s v="Walter Muller"/>
    <n v="201"/>
    <s v="Berlin"/>
    <s v="Germany"/>
    <x v="2"/>
  </r>
  <r>
    <n v="10695"/>
    <d v="2022-12-26T00:00:00"/>
    <x v="3"/>
    <n v="12.99"/>
    <s v="In-store "/>
    <x v="2"/>
    <s v="Walter Muller"/>
    <n v="693"/>
    <s v="Berlin"/>
    <s v="Germany"/>
    <x v="29"/>
  </r>
  <r>
    <n v="10696"/>
    <d v="2022-12-26T00:00:00"/>
    <x v="4"/>
    <n v="9.9499999999999993"/>
    <s v="In-store "/>
    <x v="2"/>
    <s v="Walter Muller"/>
    <n v="282"/>
    <s v="Berlin"/>
    <s v="Germany"/>
    <x v="30"/>
  </r>
  <r>
    <n v="10697"/>
    <d v="2022-12-26T00:00:00"/>
    <x v="0"/>
    <n v="3.49"/>
    <s v="In-store "/>
    <x v="2"/>
    <s v="Walter Muller"/>
    <n v="631"/>
    <s v="Berlin"/>
    <s v="Germany"/>
    <x v="7"/>
  </r>
  <r>
    <n v="10698"/>
    <d v="2022-12-26T00:00:00"/>
    <x v="1"/>
    <n v="2.95"/>
    <s v="In-store "/>
    <x v="2"/>
    <s v="Walter Muller"/>
    <n v="678"/>
    <s v="Berlin"/>
    <s v="Germany"/>
    <x v="6"/>
  </r>
  <r>
    <n v="10699"/>
    <d v="2022-12-26T00:00:00"/>
    <x v="2"/>
    <n v="4.99"/>
    <s v="In-store "/>
    <x v="2"/>
    <s v="Walter Muller"/>
    <n v="201"/>
    <s v="Berlin"/>
    <s v="Germany"/>
    <x v="2"/>
  </r>
  <r>
    <n v="10700"/>
    <d v="2022-12-27T00:00:00"/>
    <x v="3"/>
    <n v="12.99"/>
    <s v="In-store "/>
    <x v="2"/>
    <s v="Walter Muller"/>
    <n v="693"/>
    <s v="Berlin"/>
    <s v="Germany"/>
    <x v="29"/>
  </r>
  <r>
    <n v="10701"/>
    <d v="2022-12-27T00:00:00"/>
    <x v="4"/>
    <n v="9.9499999999999993"/>
    <s v="In-store "/>
    <x v="2"/>
    <s v="Walter Muller"/>
    <n v="282"/>
    <s v="Berlin"/>
    <s v="Germany"/>
    <x v="30"/>
  </r>
  <r>
    <n v="10702"/>
    <d v="2022-12-27T00:00:00"/>
    <x v="0"/>
    <n v="3.49"/>
    <s v="In-store "/>
    <x v="2"/>
    <s v="Walter Muller"/>
    <n v="631"/>
    <s v="Berlin"/>
    <s v="Germany"/>
    <x v="7"/>
  </r>
  <r>
    <n v="10703"/>
    <d v="2022-12-27T00:00:00"/>
    <x v="1"/>
    <n v="2.95"/>
    <s v="In-store "/>
    <x v="0"/>
    <s v="Walter Muller"/>
    <n v="678"/>
    <s v="Berlin"/>
    <s v="Germany"/>
    <x v="6"/>
  </r>
  <r>
    <n v="10704"/>
    <d v="2022-12-27T00:00:00"/>
    <x v="2"/>
    <n v="4.99"/>
    <s v="Drive-thru "/>
    <x v="0"/>
    <s v="Walter Muller"/>
    <n v="201"/>
    <s v="Berlin"/>
    <s v="Germany"/>
    <x v="2"/>
  </r>
  <r>
    <n v="10705"/>
    <d v="2022-12-28T00:00:00"/>
    <x v="3"/>
    <n v="12.99"/>
    <s v="Drive-thru "/>
    <x v="0"/>
    <s v="Walter Muller"/>
    <n v="724"/>
    <s v="Berlin"/>
    <s v="Germany"/>
    <x v="31"/>
  </r>
  <r>
    <n v="10706"/>
    <d v="2022-12-28T00:00:00"/>
    <x v="4"/>
    <n v="9.9499999999999993"/>
    <s v="Drive-thru "/>
    <x v="0"/>
    <s v="Walter Muller"/>
    <n v="302"/>
    <s v="Berlin"/>
    <s v="Germany"/>
    <x v="32"/>
  </r>
  <r>
    <n v="10707"/>
    <d v="2022-12-28T00:00:00"/>
    <x v="0"/>
    <n v="3.49"/>
    <s v="Drive-thru "/>
    <x v="0"/>
    <s v="Walter Muller"/>
    <n v="631"/>
    <s v="Berlin"/>
    <s v="Germany"/>
    <x v="7"/>
  </r>
  <r>
    <n v="10708"/>
    <d v="2022-12-28T00:00:00"/>
    <x v="1"/>
    <n v="2.95"/>
    <s v="Drive-thru "/>
    <x v="0"/>
    <s v="Walter Muller"/>
    <n v="678"/>
    <s v="Berlin"/>
    <s v="Germany"/>
    <x v="6"/>
  </r>
  <r>
    <n v="10709"/>
    <d v="2022-12-28T00:00:00"/>
    <x v="2"/>
    <n v="4.99"/>
    <s v="Drive-thru "/>
    <x v="0"/>
    <s v="Walter Muller"/>
    <n v="201"/>
    <s v="Berlin"/>
    <s v="Germany"/>
    <x v="2"/>
  </r>
  <r>
    <n v="10710"/>
    <d v="2022-12-29T00:00:00"/>
    <x v="3"/>
    <n v="12.99"/>
    <s v="Drive-thru "/>
    <x v="0"/>
    <s v="Walter Muller"/>
    <n v="755"/>
    <s v="Berlin"/>
    <s v="Germany"/>
    <x v="33"/>
  </r>
  <r>
    <n v="10711"/>
    <d v="2022-12-29T00:00:00"/>
    <x v="4"/>
    <n v="9.9499999999999993"/>
    <s v="Drive-thru "/>
    <x v="0"/>
    <s v="Walter Muller"/>
    <n v="282"/>
    <s v="Berlin"/>
    <s v="Germany"/>
    <x v="30"/>
  </r>
  <r>
    <n v="10712"/>
    <d v="2022-12-29T00:00:00"/>
    <x v="0"/>
    <n v="3.49"/>
    <s v="Drive-thru "/>
    <x v="0"/>
    <s v="Walter Muller"/>
    <n v="631"/>
    <s v="Berlin"/>
    <s v="Germany"/>
    <x v="7"/>
  </r>
  <r>
    <n v="10713"/>
    <d v="2022-12-29T00:00:00"/>
    <x v="1"/>
    <n v="2.95"/>
    <s v="Drive-thru "/>
    <x v="0"/>
    <s v="Walter Muller"/>
    <n v="678"/>
    <s v="Berlin"/>
    <s v="Germany"/>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9ED115-0C4D-4FB5-BFBD-2DC7EAFB403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K17" firstHeaderRow="0" firstDataRow="1" firstDataCol="1"/>
  <pivotFields count="7">
    <pivotField numFmtId="14" showAll="0">
      <items count="15">
        <item x="0"/>
        <item x="1"/>
        <item x="2"/>
        <item x="3"/>
        <item x="4"/>
        <item x="5"/>
        <item x="6"/>
        <item x="7"/>
        <item x="8"/>
        <item x="9"/>
        <item x="10"/>
        <item x="11"/>
        <item x="12"/>
        <item x="13"/>
        <item t="default"/>
      </items>
    </pivotField>
    <pivotField numFmtId="169" showAll="0"/>
    <pivotField showAll="0"/>
    <pivotField showAll="0"/>
    <pivotField dataField="1" numFmtId="170" showAll="0"/>
    <pivotField axis="axisRow" showAll="0">
      <items count="7">
        <item sd="0" x="0"/>
        <item sd="0" x="1"/>
        <item sd="0" x="2"/>
        <item sd="0" x="3"/>
        <item sd="0" x="4"/>
        <item sd="0" x="5"/>
        <item t="default"/>
      </items>
    </pivotField>
    <pivotField axis="axisRow" showAll="0">
      <items count="5">
        <item sd="0" x="0"/>
        <item x="1"/>
        <item x="2"/>
        <item sd="0" x="3"/>
        <item t="default"/>
      </items>
    </pivotField>
  </pivotFields>
  <rowFields count="2">
    <field x="6"/>
    <field x="5"/>
  </rowFields>
  <rowItems count="11">
    <i>
      <x v="1"/>
    </i>
    <i r="1">
      <x v="1"/>
    </i>
    <i r="1">
      <x v="2"/>
    </i>
    <i r="1">
      <x v="3"/>
    </i>
    <i r="1">
      <x v="4"/>
    </i>
    <i>
      <x v="2"/>
    </i>
    <i r="1">
      <x v="1"/>
    </i>
    <i r="1">
      <x v="2"/>
    </i>
    <i r="1">
      <x v="3"/>
    </i>
    <i r="1">
      <x v="4"/>
    </i>
    <i t="grand">
      <x/>
    </i>
  </rowItems>
  <colFields count="1">
    <field x="-2"/>
  </colFields>
  <colItems count="3">
    <i>
      <x/>
    </i>
    <i i="1">
      <x v="1"/>
    </i>
    <i i="2">
      <x v="2"/>
    </i>
  </colItems>
  <dataFields count="3">
    <dataField name="Quantity sold" fld="4" subtotal="count" baseField="0" baseItem="0"/>
    <dataField name="Total Sales" fld="4" baseField="0" baseItem="0"/>
    <dataField name="Avg sale price"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E9059A-38E9-4B0C-AA17-0B2B9EF25C0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9" firstHeaderRow="1" firstDataRow="1" firstDataCol="1"/>
  <pivotFields count="11">
    <pivotField showAll="0"/>
    <pivotField numFmtId="14" showAll="0"/>
    <pivotField axis="axisRow" showAll="0" sortType="descending">
      <items count="6">
        <item x="1"/>
        <item x="3"/>
        <item x="4"/>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s>
  <rowFields count="1">
    <field x="2"/>
  </rowFields>
  <rowItems count="6">
    <i>
      <x/>
    </i>
    <i>
      <x v="3"/>
    </i>
    <i>
      <x v="1"/>
    </i>
    <i>
      <x v="2"/>
    </i>
    <i>
      <x v="4"/>
    </i>
    <i t="grand">
      <x/>
    </i>
  </rowItems>
  <colItems count="1">
    <i/>
  </colItems>
  <dataFields count="1">
    <dataField name="Sum of Quantity2" fld="7" baseField="0" baseItem="0"/>
  </dataFields>
  <formats count="1">
    <format dxfId="47">
      <pivotArea collapsedLevelsAreSubtotals="1" fieldPosition="0">
        <references count="1">
          <reference field="2"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249A68-61AF-4D8F-9FC3-7539D9CC82D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4:H15" firstHeaderRow="1" firstDataRow="1" firstDataCol="0"/>
  <pivotFields count="11">
    <pivotField showAll="0"/>
    <pivotField numFmtId="14" showAll="0"/>
    <pivotField showAll="0"/>
    <pivotField showAll="0"/>
    <pivotField showAll="0"/>
    <pivotField showAll="0"/>
    <pivotField showAll="0"/>
    <pivotField showAll="0"/>
    <pivotField showAll="0"/>
    <pivotField showAll="0"/>
    <pivotField dataField="1" showAll="0">
      <items count="35">
        <item x="2"/>
        <item x="6"/>
        <item x="0"/>
        <item x="4"/>
        <item x="1"/>
        <item x="7"/>
        <item x="22"/>
        <item x="16"/>
        <item x="27"/>
        <item x="28"/>
        <item x="30"/>
        <item x="32"/>
        <item x="12"/>
        <item x="20"/>
        <item x="14"/>
        <item x="19"/>
        <item x="17"/>
        <item x="18"/>
        <item x="9"/>
        <item x="8"/>
        <item x="15"/>
        <item x="5"/>
        <item x="3"/>
        <item x="21"/>
        <item x="23"/>
        <item x="24"/>
        <item x="25"/>
        <item x="26"/>
        <item x="29"/>
        <item x="31"/>
        <item x="33"/>
        <item x="13"/>
        <item x="10"/>
        <item x="11"/>
        <item t="default"/>
      </items>
    </pivotField>
  </pivotFields>
  <rowItems count="1">
    <i/>
  </rowItems>
  <colItems count="1">
    <i/>
  </colItems>
  <dataFields count="1">
    <dataField name="Sum of Revenue" fld="10" baseField="0" baseItem="0"/>
  </dataFields>
  <formats count="1">
    <format dxfId="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D68012-304E-4117-A829-B2170D377FC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6:K20" firstHeaderRow="1" firstDataRow="1" firstDataCol="1"/>
  <pivotFields count="11">
    <pivotField showAll="0"/>
    <pivotField numFmtId="14" showAll="0"/>
    <pivotField showAll="0"/>
    <pivotField showAll="0"/>
    <pivotField showAll="0"/>
    <pivotField axis="axisRow" showAll="0">
      <items count="4">
        <item x="2"/>
        <item x="1"/>
        <item x="0"/>
        <item t="default"/>
      </items>
    </pivotField>
    <pivotField showAll="0"/>
    <pivotField showAll="0"/>
    <pivotField showAll="0"/>
    <pivotField showAll="0"/>
    <pivotField dataField="1" showAll="0"/>
  </pivotFields>
  <rowFields count="1">
    <field x="5"/>
  </rowFields>
  <rowItems count="4">
    <i>
      <x/>
    </i>
    <i>
      <x v="1"/>
    </i>
    <i>
      <x v="2"/>
    </i>
    <i t="grand">
      <x/>
    </i>
  </rowItems>
  <colItems count="1">
    <i/>
  </colItems>
  <dataFields count="1">
    <dataField name="Sum of Revenue" fld="10"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OSK.3666846595b7a7ef3fd0663d5b9791f3&amp;qlt=95" TargetMode="External"/><Relationship Id="rId2" Type="http://schemas.openxmlformats.org/officeDocument/2006/relationships/hyperlink" Target="https://www.bing.com/images/search?form=xlimg&amp;q=united+kingdom" TargetMode="External"/><Relationship Id="rId1" Type="http://schemas.openxmlformats.org/officeDocument/2006/relationships/hyperlink" Target="https://www.bing.com/th?id=AMMS_08d2869d43a589e2a364e67dfd999853&amp;qlt=95" TargetMode="External"/><Relationship Id="rId4" Type="http://schemas.openxmlformats.org/officeDocument/2006/relationships/hyperlink" Target="https://www.bing.com/images/search?form=xlimg&amp;q=London"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Srd>
</file>

<file path=xl/richData/rdarray.xml><?xml version="1.0" encoding="utf-8"?>
<arrayData xmlns="http://schemas.microsoft.com/office/spreadsheetml/2017/richdata2" count="8">
  <a r="4">
    <v t="r">454</v>
    <v t="r">455</v>
    <v t="r">456</v>
    <v t="r">457</v>
  </a>
  <a r="1">
    <v t="s">English</v>
  </a>
  <a r="150">
    <v t="r">476</v>
    <v t="r">477</v>
    <v t="r">478</v>
    <v t="r">479</v>
    <v t="r">480</v>
    <v t="r">481</v>
    <v t="r">482</v>
    <v t="r">483</v>
    <v t="r">484</v>
    <v t="r">485</v>
    <v t="r">486</v>
    <v t="r">487</v>
    <v t="r">488</v>
    <v t="r">489</v>
    <v t="r">490</v>
    <v t="r">491</v>
    <v t="r">492</v>
    <v t="r">493</v>
    <v t="r">494</v>
    <v t="r">495</v>
    <v t="r">496</v>
    <v t="r">497</v>
    <v t="r">498</v>
    <v t="r">499</v>
    <v t="r">500</v>
    <v t="r">501</v>
    <v t="r">502</v>
    <v t="r">503</v>
    <v t="r">504</v>
    <v t="r">505</v>
    <v t="r">506</v>
    <v t="r">507</v>
    <v t="r">508</v>
    <v t="r">509</v>
    <v t="r">510</v>
    <v t="r">511</v>
    <v t="r">512</v>
    <v t="r">513</v>
    <v t="r">514</v>
    <v t="r">515</v>
    <v t="r">516</v>
    <v t="r">517</v>
    <v t="r">518</v>
    <v t="r">519</v>
    <v t="r">520</v>
    <v t="r">521</v>
    <v t="r">522</v>
    <v t="r">523</v>
    <v t="r">524</v>
    <v t="r">525</v>
    <v t="r">526</v>
    <v t="r">527</v>
    <v t="r">528</v>
    <v t="r">529</v>
    <v t="r">530</v>
    <v t="r">531</v>
    <v t="r">532</v>
    <v t="r">533</v>
    <v t="r">534</v>
    <v t="r">535</v>
    <v t="r">536</v>
    <v t="r">537</v>
    <v t="r">538</v>
    <v t="r">539</v>
    <v t="r">540</v>
    <v t="r">541</v>
    <v t="r">542</v>
    <v t="r">543</v>
    <v t="r">544</v>
    <v t="r">545</v>
    <v t="r">546</v>
    <v t="r">547</v>
    <v t="r">548</v>
    <v t="r">549</v>
    <v t="r">550</v>
    <v t="r">551</v>
    <v t="r">552</v>
    <v t="r">553</v>
    <v t="r">554</v>
    <v t="r">555</v>
    <v t="r">556</v>
    <v t="r">557</v>
    <v t="r">558</v>
    <v t="r">559</v>
    <v t="r">560</v>
    <v t="r">561</v>
    <v t="r">562</v>
    <v t="r">563</v>
    <v t="r">564</v>
    <v t="r">565</v>
    <v t="r">566</v>
    <v t="r">567</v>
    <v t="r">568</v>
    <v t="r">569</v>
    <v t="r">570</v>
    <v t="r">571</v>
    <v t="r">572</v>
    <v t="r">573</v>
    <v t="r">574</v>
    <v t="r">575</v>
    <v t="r">576</v>
    <v t="r">577</v>
    <v t="r">578</v>
    <v t="r">579</v>
    <v t="r">580</v>
    <v t="r">581</v>
    <v t="r">582</v>
    <v t="r">583</v>
    <v t="r">584</v>
    <v t="r">585</v>
    <v t="r">586</v>
    <v t="r">587</v>
    <v t="r">588</v>
    <v t="r">589</v>
    <v t="r">590</v>
    <v t="r">591</v>
    <v t="s">Metropolitan Borough of Knowsley</v>
    <v t="r">592</v>
    <v t="s">Metropolitan Borough of Wirral</v>
    <v t="r">593</v>
    <v t="r">594</v>
    <v t="r">595</v>
    <v t="r">596</v>
    <v t="r">597</v>
    <v t="r">598</v>
    <v t="r">599</v>
    <v t="r">600</v>
    <v t="r">601</v>
    <v t="r">602</v>
    <v t="r">603</v>
    <v t="r">604</v>
    <v t="r">605</v>
    <v t="r">606</v>
    <v t="r">607</v>
    <v t="r">608</v>
    <v t="r">609</v>
    <v t="r">610</v>
    <v t="r">611</v>
    <v t="r">612</v>
    <v t="r">613</v>
    <v t="s">Outer Hebrides</v>
    <v t="r">614</v>
    <v t="r">615</v>
    <v t="r">616</v>
    <v t="r">617</v>
    <v t="r">618</v>
    <v t="r">619</v>
    <v t="r">620</v>
    <v t="r">621</v>
    <v t="r">622</v>
  </a>
  <a r="3">
    <v t="s">British Summer Time</v>
    <v t="s">Greenwich Mean Time Zone</v>
    <v t="s">Western European Time Zone</v>
  </a>
  <a r="1">
    <v t="r">634</v>
  </a>
  <a r="2">
    <v t="s">British Summer Time</v>
    <v t="s">Greenwich Mean Time Zone</v>
  </a>
  <a r="1" c="203">
    <v t="i">2</v>
    <v t="i">3</v>
    <v t="i">4</v>
    <v t="i">5</v>
    <v t="i">8</v>
    <v t="i">9</v>
    <v t="i">10</v>
    <v t="i">11</v>
    <v t="i">12</v>
    <v t="i">16</v>
    <v t="i">17</v>
    <v t="i">18</v>
    <v t="i">19</v>
    <v t="i">22</v>
    <v t="i">23</v>
    <v t="i">24</v>
    <v t="i">25</v>
    <v t="i">26</v>
    <v t="i">29</v>
    <v t="i">30</v>
    <v t="i">31</v>
    <v t="i">32</v>
    <v t="i">33</v>
    <v t="i">36</v>
    <v t="i">37</v>
    <v t="i">38</v>
    <v t="i">39</v>
    <v t="i">40</v>
    <v t="i">43</v>
    <v t="i">44</v>
    <v t="i">45</v>
    <v t="i">46</v>
    <v t="i">47</v>
    <v t="i">51</v>
    <v t="i">52</v>
    <v t="i">53</v>
    <v t="i">54</v>
    <v t="i">57</v>
    <v t="i">58</v>
    <v t="i">59</v>
    <v t="i">60</v>
    <v t="i">61</v>
    <v t="i">64</v>
    <v t="i">65</v>
    <v t="i">66</v>
    <v t="i">67</v>
    <v t="i">68</v>
    <v t="i">71</v>
    <v t="i">72</v>
    <v t="i">73</v>
    <v t="i">74</v>
    <v t="i">75</v>
    <v t="i">78</v>
    <v t="i">79</v>
    <v t="i">80</v>
    <v t="i">81</v>
    <v t="i">82</v>
    <v t="i">85</v>
    <v t="i">86</v>
    <v t="i">87</v>
    <v t="i">88</v>
    <v t="i">89</v>
    <v t="i">92</v>
    <v t="i">93</v>
    <v t="i">94</v>
    <v t="i">95</v>
    <v t="i">99</v>
    <v t="i">100</v>
    <v t="i">101</v>
    <v t="i">102</v>
    <v t="i">103</v>
    <v t="i">106</v>
    <v t="i">107</v>
    <v t="i">108</v>
    <v t="i">109</v>
    <v t="i">110</v>
    <v t="i">113</v>
    <v t="i">114</v>
    <v t="i">115</v>
    <v t="i">116</v>
    <v t="i">117</v>
    <v t="i">120</v>
    <v t="i">121</v>
    <v t="i">122</v>
    <v t="i">123</v>
    <v t="i">124</v>
    <v t="i">127</v>
    <v t="i">128</v>
    <v t="i">129</v>
    <v t="i">130</v>
    <v t="i">131</v>
    <v t="i">134</v>
    <v t="i">135</v>
    <v t="i">136</v>
    <v t="i">137</v>
    <v t="i">138</v>
    <v t="i">141</v>
    <v t="i">142</v>
    <v t="i">143</v>
    <v t="i">144</v>
    <v t="i">145</v>
    <v t="i">149</v>
    <v t="i">150</v>
    <v t="i">151</v>
    <v t="i">152</v>
    <v t="i">155</v>
    <v t="i">156</v>
    <v t="i">157</v>
    <v t="i">158</v>
    <v t="i">159</v>
    <v t="i">162</v>
    <v t="i">163</v>
    <v t="i">164</v>
    <v t="i">165</v>
    <v t="i">166</v>
    <v t="i">170</v>
    <v t="i">171</v>
    <v t="i">172</v>
    <v t="i">173</v>
    <v t="i">176</v>
    <v t="i">177</v>
    <v t="i">178</v>
    <v t="i">179</v>
    <v t="i">180</v>
    <v t="i">183</v>
    <v t="i">185</v>
    <v t="i">186</v>
    <v t="i">187</v>
    <v t="i">190</v>
    <v t="i">191</v>
    <v t="i">192</v>
    <v t="i">193</v>
    <v t="i">194</v>
    <v t="i">197</v>
    <v t="i">198</v>
    <v t="i">199</v>
    <v t="i">200</v>
    <v t="i">201</v>
    <v t="i">204</v>
    <v t="i">205</v>
    <v t="i">206</v>
    <v t="i">207</v>
    <v t="i">208</v>
    <v t="i">211</v>
    <v t="i">212</v>
    <v t="i">213</v>
    <v t="i">214</v>
    <v t="i">215</v>
    <v t="i">218</v>
    <v t="i">219</v>
    <v t="i">220</v>
    <v t="i">221</v>
    <v t="i">222</v>
    <v t="i">225</v>
    <v t="i">226</v>
    <v t="i">227</v>
    <v t="i">228</v>
    <v t="i">229</v>
    <v t="i">232</v>
    <v t="i">233</v>
    <v t="i">234</v>
    <v t="i">235</v>
    <v t="i">236</v>
    <v t="i">239</v>
    <v t="i">240</v>
    <v t="i">241</v>
    <v t="i">242</v>
    <v t="i">243</v>
    <v t="i">247</v>
    <v t="i">248</v>
    <v t="i">249</v>
    <v t="i">250</v>
    <v t="i">253</v>
    <v t="i">254</v>
    <v t="i">255</v>
    <v t="i">256</v>
    <v t="i">257</v>
    <v t="i">260</v>
    <v t="i">261</v>
    <v t="i">262</v>
    <v t="i">263</v>
    <v t="i">264</v>
    <v t="i">267</v>
    <v t="i">268</v>
    <v t="i">269</v>
    <v t="i">270</v>
    <v t="i">271</v>
    <v t="i">274</v>
    <v t="i">275</v>
    <v t="i">276</v>
    <v t="i">277</v>
    <v t="i">278</v>
    <v t="i">281</v>
    <v t="i">282</v>
    <v t="i">283</v>
    <v t="i">284</v>
    <v t="i">285</v>
    <v t="i">288</v>
    <v t="i">289</v>
    <v t="i">290</v>
    <v t="i">291</v>
    <v t="i">292</v>
    <v t="i">295</v>
  </a>
  <a r="1" c="203">
    <v>125.07</v>
    <v>126.36</v>
    <v>125.02</v>
    <v>129.62</v>
    <v>130.15</v>
    <v>130.72999999999999</v>
    <v>133.49</v>
    <v>133.41</v>
    <v>134.76</v>
    <v>135.94</v>
    <v>135.21</v>
    <v>135.27000000000001</v>
    <v>137.87</v>
    <v>141.11000000000001</v>
    <v>142.53</v>
    <v>141.86000000000001</v>
    <v>143.96</v>
    <v>145.93</v>
    <v>143</v>
    <v>144.29</v>
    <v>145.43</v>
    <v>150.82</v>
    <v>154.5</v>
    <v>151.72999999999999</v>
    <v>154.65</v>
    <v>151.91999999999999</v>
    <v>150.87</v>
    <v>151.01</v>
    <v>153.85</v>
    <v>153.19999999999999</v>
    <v>155.33000000000001</v>
    <v>153.71</v>
    <v>152.55000000000001</v>
    <v>148.47999999999999</v>
    <v>148.91</v>
    <v>149.4</v>
    <v>146.71</v>
    <v>147.91999999999999</v>
    <v>147.41</v>
    <v>145.31</v>
    <v>145.91</v>
    <v>151.03</v>
    <v>153.83000000000001</v>
    <v>151.6</v>
    <v>152.87</v>
    <v>150.59</v>
    <v>148.5</v>
    <v>150.47</v>
    <v>152.59</v>
    <v>152.99</v>
    <v>155.85</v>
    <v>155</v>
    <v>157.4</v>
    <v>159.28</v>
    <v>157.83000000000001</v>
    <v>158.93</v>
    <v>160.25</v>
    <v>158.28</v>
    <v>157.65</v>
    <v>160.77000000000001</v>
    <v>162.36000000000001</v>
    <v>164.9</v>
    <v>166.17</v>
    <v>165.63</v>
    <v>163.76</v>
    <v>164.66</v>
    <v>162.03</v>
    <v>160.80000000000001</v>
    <v>160.1</v>
    <v>165.56</v>
    <v>165.21</v>
    <v>165.23</v>
    <v>166.47</v>
    <v>167.63</v>
    <v>166.65</v>
    <v>165.02</v>
    <v>165.33</v>
    <v>163.77000000000001</v>
    <v>163.76</v>
    <v>168.41</v>
    <v>169.68</v>
    <v>169.59</v>
    <v>168.54</v>
    <v>167.45</v>
    <v>165.79</v>
    <v>173.57</v>
    <v>173.5</v>
    <v>171.77</v>
    <v>173.55500000000001</v>
    <v>173.75</v>
    <v>172.57</v>
    <v>172.07</v>
    <v>172.07</v>
    <v>172.69</v>
    <v>175.05</v>
    <v>175.16</v>
    <v>174.2</v>
    <v>171.56</v>
    <v>171.84</v>
    <v>172.99</v>
    <v>175.43</v>
    <v>177.3</v>
    <v>177.25</v>
    <v>180.09</v>
    <v>180.95</v>
    <v>179.58</v>
    <v>179.21</v>
    <v>177.82</v>
    <v>180.57</v>
    <v>180.96</v>
    <v>183.79</v>
    <v>183.31</v>
    <v>183.95</v>
    <v>186.01</v>
    <v>184.92</v>
    <v>185.01</v>
    <v>183.96</v>
    <v>187</v>
    <v>186.68</v>
    <v>185.27</v>
    <v>188.06</v>
    <v>189.25</v>
    <v>189.59</v>
    <v>193.97</v>
    <v>192.46</v>
    <v>191.33</v>
    <v>191.81</v>
    <v>190.68</v>
    <v>188.61</v>
    <v>188.08</v>
    <v>189.77</v>
    <v>190.54</v>
    <v>190.69</v>
    <v>193.99</v>
    <v>193.73</v>
    <v>195.1</v>
    <v>193.13</v>
    <v>191.94</v>
    <v>192.75</v>
    <v>193.62</v>
    <v>194.5</v>
    <v>193.22</v>
    <v>195.83</v>
    <v>196.45</v>
    <v>195.60499999999999</v>
    <v>192.58</v>
    <v>191.17</v>
    <v>181.99</v>
    <v>178.85</v>
    <v>179.8</v>
    <v>178.19</v>
    <v>177.97</v>
    <v>177.79</v>
    <v>179.46</v>
    <v>177.45</v>
    <v>176.57</v>
    <v>174</v>
    <v>174.49</v>
    <v>175.84</v>
    <v>177.23</v>
    <v>181.12</v>
    <v>176.38</v>
    <v>178.61</v>
    <v>180.19</v>
    <v>184.12</v>
    <v>187.65</v>
    <v>187.87</v>
    <v>189.46</v>
    <v>189.7</v>
    <v>182.91</v>
    <v>177.56</v>
    <v>178.18</v>
    <v>179.36</v>
    <v>176.3</v>
    <v>174.21</v>
    <v>175.74</v>
    <v>175.01</v>
    <v>177.97</v>
    <v>179.07</v>
    <v>175.49</v>
    <v>173.93</v>
    <v>174.79</v>
    <v>176.08</v>
    <v>171.96</v>
    <v>170.43</v>
    <v>170.69</v>
    <v>171.21</v>
    <v>173.75</v>
    <v>172.4</v>
    <v>173.66</v>
    <v>174.91</v>
    <v>177.49</v>
    <v>178.99</v>
    <v>178.39</v>
    <v>179.8</v>
    <v>180.71</v>
    <v>178.85</v>
    <v>178.72</v>
    <v>177.15</v>
    <v>175.84</v>
    <v>175.46</v>
    <v>172.88</v>
    <v>173</v>
  </a>
</arrayData>
</file>

<file path=xl/richData/rdrichvalue.xml><?xml version="1.0" encoding="utf-8"?>
<rvData xmlns="http://schemas.microsoft.com/office/spreadsheetml/2017/richdata" count="642">
  <rv s="0">
    <fb>44929</fb>
    <v>0</v>
  </rv>
  <rv s="0">
    <fb>125.07</fb>
    <v>1</v>
  </rv>
  <rv s="0">
    <fb>44930</fb>
    <v>0</v>
  </rv>
  <rv s="0">
    <fb>126.36</fb>
    <v>1</v>
  </rv>
  <rv s="0">
    <fb>44931</fb>
    <v>0</v>
  </rv>
  <rv s="0">
    <fb>125.02</fb>
    <v>1</v>
  </rv>
  <rv s="0">
    <fb>44932</fb>
    <v>0</v>
  </rv>
  <rv s="0">
    <fb>129.62</fb>
    <v>1</v>
  </rv>
  <rv s="0">
    <fb>44935</fb>
    <v>0</v>
  </rv>
  <rv s="0">
    <fb>130.15</fb>
    <v>1</v>
  </rv>
  <rv s="0">
    <fb>44936</fb>
    <v>0</v>
  </rv>
  <rv s="0">
    <fb>130.72999999999999</fb>
    <v>1</v>
  </rv>
  <rv s="0">
    <fb>44937</fb>
    <v>0</v>
  </rv>
  <rv s="0">
    <fb>133.49</fb>
    <v>1</v>
  </rv>
  <rv s="0">
    <fb>44938</fb>
    <v>0</v>
  </rv>
  <rv s="0">
    <fb>133.41</fb>
    <v>1</v>
  </rv>
  <rv s="0">
    <fb>44939</fb>
    <v>0</v>
  </rv>
  <rv s="0">
    <fb>134.76</fb>
    <v>1</v>
  </rv>
  <rv s="0">
    <fb>44943</fb>
    <v>0</v>
  </rv>
  <rv s="0">
    <fb>135.94</fb>
    <v>1</v>
  </rv>
  <rv s="0">
    <fb>44944</fb>
    <v>0</v>
  </rv>
  <rv s="0">
    <fb>135.21</fb>
    <v>1</v>
  </rv>
  <rv s="0">
    <fb>44945</fb>
    <v>0</v>
  </rv>
  <rv s="0">
    <fb>135.27000000000001</fb>
    <v>1</v>
  </rv>
  <rv s="0">
    <fb>44946</fb>
    <v>0</v>
  </rv>
  <rv s="0">
    <fb>137.87</fb>
    <v>1</v>
  </rv>
  <rv s="0">
    <fb>44949</fb>
    <v>0</v>
  </rv>
  <rv s="0">
    <fb>141.11000000000001</fb>
    <v>1</v>
  </rv>
  <rv s="0">
    <fb>44950</fb>
    <v>0</v>
  </rv>
  <rv s="0">
    <fb>142.53</fb>
    <v>1</v>
  </rv>
  <rv s="0">
    <fb>44951</fb>
    <v>0</v>
  </rv>
  <rv s="0">
    <fb>141.86000000000001</fb>
    <v>1</v>
  </rv>
  <rv s="0">
    <fb>44952</fb>
    <v>0</v>
  </rv>
  <rv s="0">
    <fb>143.96</fb>
    <v>1</v>
  </rv>
  <rv s="0">
    <fb>44953</fb>
    <v>0</v>
  </rv>
  <rv s="0">
    <fb>145.93</fb>
    <v>1</v>
  </rv>
  <rv s="0">
    <fb>44956</fb>
    <v>0</v>
  </rv>
  <rv s="0">
    <fb>143</fb>
    <v>1</v>
  </rv>
  <rv s="0">
    <fb>44957</fb>
    <v>0</v>
  </rv>
  <rv s="0">
    <fb>144.29</fb>
    <v>1</v>
  </rv>
  <rv s="0">
    <fb>44958</fb>
    <v>0</v>
  </rv>
  <rv s="0">
    <fb>145.43</fb>
    <v>1</v>
  </rv>
  <rv s="0">
    <fb>44959</fb>
    <v>0</v>
  </rv>
  <rv s="0">
    <fb>150.82</fb>
    <v>1</v>
  </rv>
  <rv s="0">
    <fb>44960</fb>
    <v>0</v>
  </rv>
  <rv s="0">
    <fb>154.5</fb>
    <v>1</v>
  </rv>
  <rv s="0">
    <fb>44963</fb>
    <v>0</v>
  </rv>
  <rv s="0">
    <fb>151.72999999999999</fb>
    <v>1</v>
  </rv>
  <rv s="0">
    <fb>44964</fb>
    <v>0</v>
  </rv>
  <rv s="0">
    <fb>154.65</fb>
    <v>1</v>
  </rv>
  <rv s="0">
    <fb>44965</fb>
    <v>0</v>
  </rv>
  <rv s="0">
    <fb>151.91999999999999</fb>
    <v>1</v>
  </rv>
  <rv s="0">
    <fb>44966</fb>
    <v>0</v>
  </rv>
  <rv s="0">
    <fb>150.87</fb>
    <v>1</v>
  </rv>
  <rv s="0">
    <fb>44967</fb>
    <v>0</v>
  </rv>
  <rv s="0">
    <fb>151.01</fb>
    <v>1</v>
  </rv>
  <rv s="0">
    <fb>44970</fb>
    <v>0</v>
  </rv>
  <rv s="0">
    <fb>153.85</fb>
    <v>1</v>
  </rv>
  <rv s="0">
    <fb>44971</fb>
    <v>0</v>
  </rv>
  <rv s="0">
    <fb>153.19999999999999</fb>
    <v>1</v>
  </rv>
  <rv s="0">
    <fb>44972</fb>
    <v>0</v>
  </rv>
  <rv s="0">
    <fb>155.33000000000001</fb>
    <v>1</v>
  </rv>
  <rv s="0">
    <fb>44973</fb>
    <v>0</v>
  </rv>
  <rv s="0">
    <fb>153.71</fb>
    <v>1</v>
  </rv>
  <rv s="0">
    <fb>44974</fb>
    <v>0</v>
  </rv>
  <rv s="0">
    <fb>152.55000000000001</fb>
    <v>1</v>
  </rv>
  <rv s="0">
    <fb>44978</fb>
    <v>0</v>
  </rv>
  <rv s="0">
    <fb>148.47999999999999</fb>
    <v>1</v>
  </rv>
  <rv s="0">
    <fb>44979</fb>
    <v>0</v>
  </rv>
  <rv s="0">
    <fb>148.91</fb>
    <v>1</v>
  </rv>
  <rv s="0">
    <fb>44980</fb>
    <v>0</v>
  </rv>
  <rv s="0">
    <fb>149.4</fb>
    <v>1</v>
  </rv>
  <rv s="0">
    <fb>44981</fb>
    <v>0</v>
  </rv>
  <rv s="0">
    <fb>146.71</fb>
    <v>1</v>
  </rv>
  <rv s="0">
    <fb>44984</fb>
    <v>0</v>
  </rv>
  <rv s="0">
    <fb>147.91999999999999</fb>
    <v>1</v>
  </rv>
  <rv s="0">
    <fb>44985</fb>
    <v>0</v>
  </rv>
  <rv s="0">
    <fb>147.41</fb>
    <v>1</v>
  </rv>
  <rv s="0">
    <fb>44986</fb>
    <v>0</v>
  </rv>
  <rv s="0">
    <fb>145.31</fb>
    <v>1</v>
  </rv>
  <rv s="0">
    <fb>44987</fb>
    <v>0</v>
  </rv>
  <rv s="0">
    <fb>145.91</fb>
    <v>1</v>
  </rv>
  <rv s="0">
    <fb>44988</fb>
    <v>0</v>
  </rv>
  <rv s="0">
    <fb>151.03</fb>
    <v>1</v>
  </rv>
  <rv s="0">
    <fb>44991</fb>
    <v>0</v>
  </rv>
  <rv s="0">
    <fb>153.83000000000001</fb>
    <v>1</v>
  </rv>
  <rv s="0">
    <fb>44992</fb>
    <v>0</v>
  </rv>
  <rv s="0">
    <fb>151.6</fb>
    <v>1</v>
  </rv>
  <rv s="0">
    <fb>44993</fb>
    <v>0</v>
  </rv>
  <rv s="0">
    <fb>152.87</fb>
    <v>1</v>
  </rv>
  <rv s="0">
    <fb>44994</fb>
    <v>0</v>
  </rv>
  <rv s="0">
    <fb>150.59</fb>
    <v>1</v>
  </rv>
  <rv s="0">
    <fb>44995</fb>
    <v>0</v>
  </rv>
  <rv s="0">
    <fb>148.5</fb>
    <v>1</v>
  </rv>
  <rv s="0">
    <fb>44998</fb>
    <v>0</v>
  </rv>
  <rv s="0">
    <fb>150.47</fb>
    <v>1</v>
  </rv>
  <rv s="0">
    <fb>44999</fb>
    <v>0</v>
  </rv>
  <rv s="0">
    <fb>152.59</fb>
    <v>1</v>
  </rv>
  <rv s="0">
    <fb>45000</fb>
    <v>0</v>
  </rv>
  <rv s="0">
    <fb>152.99</fb>
    <v>1</v>
  </rv>
  <rv s="0">
    <fb>45001</fb>
    <v>0</v>
  </rv>
  <rv s="0">
    <fb>155.85</fb>
    <v>1</v>
  </rv>
  <rv s="0">
    <fb>45002</fb>
    <v>0</v>
  </rv>
  <rv s="0">
    <fb>155</fb>
    <v>1</v>
  </rv>
  <rv s="0">
    <fb>45005</fb>
    <v>0</v>
  </rv>
  <rv s="0">
    <fb>157.4</fb>
    <v>1</v>
  </rv>
  <rv s="0">
    <fb>45006</fb>
    <v>0</v>
  </rv>
  <rv s="0">
    <fb>159.28</fb>
    <v>1</v>
  </rv>
  <rv s="0">
    <fb>45007</fb>
    <v>0</v>
  </rv>
  <rv s="0">
    <fb>157.83000000000001</fb>
    <v>1</v>
  </rv>
  <rv s="0">
    <fb>45008</fb>
    <v>0</v>
  </rv>
  <rv s="0">
    <fb>158.93</fb>
    <v>1</v>
  </rv>
  <rv s="0">
    <fb>45009</fb>
    <v>0</v>
  </rv>
  <rv s="0">
    <fb>160.25</fb>
    <v>1</v>
  </rv>
  <rv s="0">
    <fb>45012</fb>
    <v>0</v>
  </rv>
  <rv s="0">
    <fb>158.28</fb>
    <v>1</v>
  </rv>
  <rv s="0">
    <fb>45013</fb>
    <v>0</v>
  </rv>
  <rv s="0">
    <fb>157.65</fb>
    <v>1</v>
  </rv>
  <rv s="0">
    <fb>45014</fb>
    <v>0</v>
  </rv>
  <rv s="0">
    <fb>160.77000000000001</fb>
    <v>1</v>
  </rv>
  <rv s="0">
    <fb>45015</fb>
    <v>0</v>
  </rv>
  <rv s="0">
    <fb>162.36000000000001</fb>
    <v>1</v>
  </rv>
  <rv s="0">
    <fb>45016</fb>
    <v>0</v>
  </rv>
  <rv s="0">
    <fb>164.9</fb>
    <v>1</v>
  </rv>
  <rv s="0">
    <fb>45019</fb>
    <v>0</v>
  </rv>
  <rv s="0">
    <fb>166.17</fb>
    <v>1</v>
  </rv>
  <rv s="0">
    <fb>45020</fb>
    <v>0</v>
  </rv>
  <rv s="0">
    <fb>165.63</fb>
    <v>1</v>
  </rv>
  <rv s="0">
    <fb>45021</fb>
    <v>0</v>
  </rv>
  <rv s="0">
    <fb>163.76</fb>
    <v>1</v>
  </rv>
  <rv s="0">
    <fb>45022</fb>
    <v>0</v>
  </rv>
  <rv s="0">
    <fb>164.66</fb>
    <v>1</v>
  </rv>
  <rv s="0">
    <fb>45026</fb>
    <v>0</v>
  </rv>
  <rv s="0">
    <fb>162.03</fb>
    <v>1</v>
  </rv>
  <rv s="0">
    <fb>45027</fb>
    <v>0</v>
  </rv>
  <rv s="0">
    <fb>160.80000000000001</fb>
    <v>1</v>
  </rv>
  <rv s="0">
    <fb>45028</fb>
    <v>0</v>
  </rv>
  <rv s="0">
    <fb>160.1</fb>
    <v>1</v>
  </rv>
  <rv s="0">
    <fb>45029</fb>
    <v>0</v>
  </rv>
  <rv s="0">
    <fb>165.56</fb>
    <v>1</v>
  </rv>
  <rv s="0">
    <fb>45030</fb>
    <v>0</v>
  </rv>
  <rv s="0">
    <fb>165.21</fb>
    <v>1</v>
  </rv>
  <rv s="0">
    <fb>45033</fb>
    <v>0</v>
  </rv>
  <rv s="0">
    <fb>165.23</fb>
    <v>1</v>
  </rv>
  <rv s="0">
    <fb>45034</fb>
    <v>0</v>
  </rv>
  <rv s="0">
    <fb>166.47</fb>
    <v>1</v>
  </rv>
  <rv s="0">
    <fb>45035</fb>
    <v>0</v>
  </rv>
  <rv s="0">
    <fb>167.63</fb>
    <v>1</v>
  </rv>
  <rv s="0">
    <fb>45036</fb>
    <v>0</v>
  </rv>
  <rv s="0">
    <fb>166.65</fb>
    <v>1</v>
  </rv>
  <rv s="0">
    <fb>45037</fb>
    <v>0</v>
  </rv>
  <rv s="0">
    <fb>165.02</fb>
    <v>1</v>
  </rv>
  <rv s="0">
    <fb>45040</fb>
    <v>0</v>
  </rv>
  <rv s="0">
    <fb>165.33</fb>
    <v>1</v>
  </rv>
  <rv s="0">
    <fb>45041</fb>
    <v>0</v>
  </rv>
  <rv s="0">
    <fb>163.77000000000001</fb>
    <v>1</v>
  </rv>
  <rv s="0">
    <fb>45042</fb>
    <v>0</v>
  </rv>
  <rv s="0">
    <fb>45043</fb>
    <v>0</v>
  </rv>
  <rv s="0">
    <fb>168.41</fb>
    <v>1</v>
  </rv>
  <rv s="0">
    <fb>45044</fb>
    <v>0</v>
  </rv>
  <rv s="0">
    <fb>169.68</fb>
    <v>1</v>
  </rv>
  <rv s="0">
    <fb>45047</fb>
    <v>0</v>
  </rv>
  <rv s="0">
    <fb>169.59</fb>
    <v>1</v>
  </rv>
  <rv s="0">
    <fb>45048</fb>
    <v>0</v>
  </rv>
  <rv s="0">
    <fb>168.54</fb>
    <v>1</v>
  </rv>
  <rv s="0">
    <fb>45049</fb>
    <v>0</v>
  </rv>
  <rv s="0">
    <fb>167.45</fb>
    <v>1</v>
  </rv>
  <rv s="0">
    <fb>45050</fb>
    <v>0</v>
  </rv>
  <rv s="0">
    <fb>165.79</fb>
    <v>1</v>
  </rv>
  <rv s="0">
    <fb>45051</fb>
    <v>0</v>
  </rv>
  <rv s="0">
    <fb>173.57</fb>
    <v>1</v>
  </rv>
  <rv s="0">
    <fb>45054</fb>
    <v>0</v>
  </rv>
  <rv s="0">
    <fb>173.5</fb>
    <v>1</v>
  </rv>
  <rv s="0">
    <fb>45055</fb>
    <v>0</v>
  </rv>
  <rv s="0">
    <fb>171.77</fb>
    <v>1</v>
  </rv>
  <rv s="0">
    <fb>45056</fb>
    <v>0</v>
  </rv>
  <rv s="0">
    <fb>173.55500000000001</fb>
    <v>1</v>
  </rv>
  <rv s="0">
    <fb>45057</fb>
    <v>0</v>
  </rv>
  <rv s="0">
    <fb>173.75</fb>
    <v>1</v>
  </rv>
  <rv s="0">
    <fb>45058</fb>
    <v>0</v>
  </rv>
  <rv s="0">
    <fb>172.57</fb>
    <v>1</v>
  </rv>
  <rv s="0">
    <fb>45061</fb>
    <v>0</v>
  </rv>
  <rv s="0">
    <fb>172.07</fb>
    <v>1</v>
  </rv>
  <rv s="0">
    <fb>45062</fb>
    <v>0</v>
  </rv>
  <rv s="0">
    <fb>45063</fb>
    <v>0</v>
  </rv>
  <rv s="0">
    <fb>172.69</fb>
    <v>1</v>
  </rv>
  <rv s="0">
    <fb>45064</fb>
    <v>0</v>
  </rv>
  <rv s="0">
    <fb>175.05</fb>
    <v>1</v>
  </rv>
  <rv s="0">
    <fb>45065</fb>
    <v>0</v>
  </rv>
  <rv s="0">
    <fb>175.16</fb>
    <v>1</v>
  </rv>
  <rv s="0">
    <fb>45068</fb>
    <v>0</v>
  </rv>
  <rv s="0">
    <fb>174.2</fb>
    <v>1</v>
  </rv>
  <rv s="0">
    <fb>45069</fb>
    <v>0</v>
  </rv>
  <rv s="0">
    <fb>171.56</fb>
    <v>1</v>
  </rv>
  <rv s="0">
    <fb>45070</fb>
    <v>0</v>
  </rv>
  <rv s="0">
    <fb>171.84</fb>
    <v>1</v>
  </rv>
  <rv s="0">
    <fb>45071</fb>
    <v>0</v>
  </rv>
  <rv s="0">
    <fb>172.99</fb>
    <v>1</v>
  </rv>
  <rv s="0">
    <fb>45072</fb>
    <v>0</v>
  </rv>
  <rv s="0">
    <fb>175.43</fb>
    <v>1</v>
  </rv>
  <rv s="0">
    <fb>45076</fb>
    <v>0</v>
  </rv>
  <rv s="0">
    <fb>177.3</fb>
    <v>1</v>
  </rv>
  <rv s="0">
    <fb>45077</fb>
    <v>0</v>
  </rv>
  <rv s="0">
    <fb>177.25</fb>
    <v>1</v>
  </rv>
  <rv s="0">
    <fb>45078</fb>
    <v>0</v>
  </rv>
  <rv s="0">
    <fb>180.09</fb>
    <v>1</v>
  </rv>
  <rv s="0">
    <fb>45079</fb>
    <v>0</v>
  </rv>
  <rv s="0">
    <fb>180.95</fb>
    <v>1</v>
  </rv>
  <rv s="0">
    <fb>45082</fb>
    <v>0</v>
  </rv>
  <rv s="0">
    <fb>179.58</fb>
    <v>1</v>
  </rv>
  <rv s="0">
    <fb>45083</fb>
    <v>0</v>
  </rv>
  <rv s="0">
    <fb>179.21</fb>
    <v>1</v>
  </rv>
  <rv s="0">
    <fb>45084</fb>
    <v>0</v>
  </rv>
  <rv s="0">
    <fb>177.82</fb>
    <v>1</v>
  </rv>
  <rv s="0">
    <fb>45085</fb>
    <v>0</v>
  </rv>
  <rv s="0">
    <fb>180.57</fb>
    <v>1</v>
  </rv>
  <rv s="0">
    <fb>45086</fb>
    <v>0</v>
  </rv>
  <rv s="0">
    <fb>180.96</fb>
    <v>1</v>
  </rv>
  <rv s="0">
    <fb>45089</fb>
    <v>0</v>
  </rv>
  <rv s="0">
    <fb>183.79</fb>
    <v>1</v>
  </rv>
  <rv s="0">
    <fb>45090</fb>
    <v>0</v>
  </rv>
  <rv s="0">
    <fb>183.31</fb>
    <v>1</v>
  </rv>
  <rv s="0">
    <fb>45091</fb>
    <v>0</v>
  </rv>
  <rv s="0">
    <fb>183.95</fb>
    <v>1</v>
  </rv>
  <rv s="0">
    <fb>45092</fb>
    <v>0</v>
  </rv>
  <rv s="0">
    <fb>186.01</fb>
    <v>1</v>
  </rv>
  <rv s="0">
    <fb>45093</fb>
    <v>0</v>
  </rv>
  <rv s="0">
    <fb>184.92</fb>
    <v>1</v>
  </rv>
  <rv s="0">
    <fb>45097</fb>
    <v>0</v>
  </rv>
  <rv s="0">
    <fb>185.01</fb>
    <v>1</v>
  </rv>
  <rv s="0">
    <fb>45098</fb>
    <v>0</v>
  </rv>
  <rv s="0">
    <fb>183.96</fb>
    <v>1</v>
  </rv>
  <rv s="0">
    <fb>45099</fb>
    <v>0</v>
  </rv>
  <rv s="0">
    <fb>187</fb>
    <v>1</v>
  </rv>
  <rv s="0">
    <fb>45100</fb>
    <v>0</v>
  </rv>
  <rv s="0">
    <fb>186.68</fb>
    <v>1</v>
  </rv>
  <rv s="0">
    <fb>45103</fb>
    <v>0</v>
  </rv>
  <rv s="0">
    <fb>185.27</fb>
    <v>1</v>
  </rv>
  <rv s="0">
    <fb>45104</fb>
    <v>0</v>
  </rv>
  <rv s="0">
    <fb>188.06</fb>
    <v>1</v>
  </rv>
  <rv s="0">
    <fb>45105</fb>
    <v>0</v>
  </rv>
  <rv s="0">
    <fb>189.25</fb>
    <v>1</v>
  </rv>
  <rv s="0">
    <fb>45106</fb>
    <v>0</v>
  </rv>
  <rv s="0">
    <fb>189.59</fb>
    <v>1</v>
  </rv>
  <rv s="0">
    <fb>45107</fb>
    <v>0</v>
  </rv>
  <rv s="0">
    <fb>193.97</fb>
    <v>1</v>
  </rv>
  <rv s="0">
    <fb>45110</fb>
    <v>0</v>
  </rv>
  <rv s="0">
    <fb>192.46</fb>
    <v>1</v>
  </rv>
  <rv s="0">
    <fb>45112</fb>
    <v>0</v>
  </rv>
  <rv s="0">
    <fb>191.33</fb>
    <v>1</v>
  </rv>
  <rv s="0">
    <fb>45113</fb>
    <v>0</v>
  </rv>
  <rv s="0">
    <fb>191.81</fb>
    <v>1</v>
  </rv>
  <rv s="0">
    <fb>45114</fb>
    <v>0</v>
  </rv>
  <rv s="0">
    <fb>190.68</fb>
    <v>1</v>
  </rv>
  <rv s="0">
    <fb>45117</fb>
    <v>0</v>
  </rv>
  <rv s="0">
    <fb>188.61</fb>
    <v>1</v>
  </rv>
  <rv s="0">
    <fb>45118</fb>
    <v>0</v>
  </rv>
  <rv s="0">
    <fb>188.08</fb>
    <v>1</v>
  </rv>
  <rv s="0">
    <fb>45119</fb>
    <v>0</v>
  </rv>
  <rv s="0">
    <fb>189.77</fb>
    <v>1</v>
  </rv>
  <rv s="0">
    <fb>45120</fb>
    <v>0</v>
  </rv>
  <rv s="0">
    <fb>190.54</fb>
    <v>1</v>
  </rv>
  <rv s="0">
    <fb>45121</fb>
    <v>0</v>
  </rv>
  <rv s="0">
    <fb>190.69</fb>
    <v>1</v>
  </rv>
  <rv s="0">
    <fb>45124</fb>
    <v>0</v>
  </rv>
  <rv s="0">
    <fb>193.99</fb>
    <v>1</v>
  </rv>
  <rv s="0">
    <fb>45125</fb>
    <v>0</v>
  </rv>
  <rv s="0">
    <fb>193.73</fb>
    <v>1</v>
  </rv>
  <rv s="0">
    <fb>45126</fb>
    <v>0</v>
  </rv>
  <rv s="0">
    <fb>195.1</fb>
    <v>1</v>
  </rv>
  <rv s="0">
    <fb>45127</fb>
    <v>0</v>
  </rv>
  <rv s="0">
    <fb>193.13</fb>
    <v>1</v>
  </rv>
  <rv s="0">
    <fb>45128</fb>
    <v>0</v>
  </rv>
  <rv s="0">
    <fb>191.94</fb>
    <v>1</v>
  </rv>
  <rv s="0">
    <fb>45131</fb>
    <v>0</v>
  </rv>
  <rv s="0">
    <fb>192.75</fb>
    <v>1</v>
  </rv>
  <rv s="0">
    <fb>45132</fb>
    <v>0</v>
  </rv>
  <rv s="0">
    <fb>193.62</fb>
    <v>1</v>
  </rv>
  <rv s="0">
    <fb>45133</fb>
    <v>0</v>
  </rv>
  <rv s="0">
    <fb>194.5</fb>
    <v>1</v>
  </rv>
  <rv s="0">
    <fb>45134</fb>
    <v>0</v>
  </rv>
  <rv s="0">
    <fb>193.22</fb>
    <v>1</v>
  </rv>
  <rv s="0">
    <fb>45135</fb>
    <v>0</v>
  </rv>
  <rv s="0">
    <fb>195.83</fb>
    <v>1</v>
  </rv>
  <rv s="0">
    <fb>45138</fb>
    <v>0</v>
  </rv>
  <rv s="0">
    <fb>196.45</fb>
    <v>1</v>
  </rv>
  <rv s="0">
    <fb>45139</fb>
    <v>0</v>
  </rv>
  <rv s="0">
    <fb>195.60499999999999</fb>
    <v>1</v>
  </rv>
  <rv s="0">
    <fb>45140</fb>
    <v>0</v>
  </rv>
  <rv s="0">
    <fb>192.58</fb>
    <v>1</v>
  </rv>
  <rv s="0">
    <fb>45141</fb>
    <v>0</v>
  </rv>
  <rv s="0">
    <fb>191.17</fb>
    <v>1</v>
  </rv>
  <rv s="0">
    <fb>45142</fb>
    <v>0</v>
  </rv>
  <rv s="0">
    <fb>181.99</fb>
    <v>1</v>
  </rv>
  <rv s="0">
    <fb>45145</fb>
    <v>0</v>
  </rv>
  <rv s="0">
    <fb>178.85</fb>
    <v>1</v>
  </rv>
  <rv s="0">
    <fb>45146</fb>
    <v>0</v>
  </rv>
  <rv s="0">
    <fb>179.8</fb>
    <v>1</v>
  </rv>
  <rv s="0">
    <fb>45147</fb>
    <v>0</v>
  </rv>
  <rv s="0">
    <fb>178.19</fb>
    <v>1</v>
  </rv>
  <rv s="0">
    <fb>45148</fb>
    <v>0</v>
  </rv>
  <rv s="0">
    <fb>177.97</fb>
    <v>1</v>
  </rv>
  <rv s="0">
    <fb>45149</fb>
    <v>0</v>
  </rv>
  <rv s="0">
    <fb>177.79</fb>
    <v>1</v>
  </rv>
  <rv s="0">
    <fb>45152</fb>
    <v>0</v>
  </rv>
  <rv s="0">
    <fb>179.46</fb>
    <v>1</v>
  </rv>
  <rv s="0">
    <fb>45153</fb>
    <v>0</v>
  </rv>
  <rv s="0">
    <fb>177.45</fb>
    <v>1</v>
  </rv>
  <rv s="0">
    <fb>45154</fb>
    <v>0</v>
  </rv>
  <rv s="0">
    <fb>176.57</fb>
    <v>1</v>
  </rv>
  <rv s="0">
    <fb>45155</fb>
    <v>0</v>
  </rv>
  <rv s="0">
    <fb>174</fb>
    <v>1</v>
  </rv>
  <rv s="0">
    <fb>45156</fb>
    <v>0</v>
  </rv>
  <rv s="0">
    <fb>174.49</fb>
    <v>1</v>
  </rv>
  <rv s="0">
    <fb>45159</fb>
    <v>0</v>
  </rv>
  <rv s="0">
    <fb>175.84</fb>
    <v>1</v>
  </rv>
  <rv s="0">
    <fb>45160</fb>
    <v>0</v>
  </rv>
  <rv s="0">
    <fb>177.23</fb>
    <v>1</v>
  </rv>
  <rv s="0">
    <fb>45161</fb>
    <v>0</v>
  </rv>
  <rv s="0">
    <fb>181.12</fb>
    <v>1</v>
  </rv>
  <rv s="0">
    <fb>45162</fb>
    <v>0</v>
  </rv>
  <rv s="0">
    <fb>176.38</fb>
    <v>1</v>
  </rv>
  <rv s="0">
    <fb>45163</fb>
    <v>0</v>
  </rv>
  <rv s="0">
    <fb>178.61</fb>
    <v>1</v>
  </rv>
  <rv s="0">
    <fb>45166</fb>
    <v>0</v>
  </rv>
  <rv s="0">
    <fb>180.19</fb>
    <v>1</v>
  </rv>
  <rv s="0">
    <fb>45167</fb>
    <v>0</v>
  </rv>
  <rv s="0">
    <fb>184.12</fb>
    <v>1</v>
  </rv>
  <rv s="0">
    <fb>45168</fb>
    <v>0</v>
  </rv>
  <rv s="0">
    <fb>187.65</fb>
    <v>1</v>
  </rv>
  <rv s="0">
    <fb>45169</fb>
    <v>0</v>
  </rv>
  <rv s="0">
    <fb>187.87</fb>
    <v>1</v>
  </rv>
  <rv s="0">
    <fb>45170</fb>
    <v>0</v>
  </rv>
  <rv s="0">
    <fb>189.46</fb>
    <v>1</v>
  </rv>
  <rv s="0">
    <fb>45174</fb>
    <v>0</v>
  </rv>
  <rv s="0">
    <fb>189.7</fb>
    <v>1</v>
  </rv>
  <rv s="0">
    <fb>45175</fb>
    <v>0</v>
  </rv>
  <rv s="0">
    <fb>182.91</fb>
    <v>1</v>
  </rv>
  <rv s="0">
    <fb>45176</fb>
    <v>0</v>
  </rv>
  <rv s="0">
    <fb>177.56</fb>
    <v>1</v>
  </rv>
  <rv s="0">
    <fb>45177</fb>
    <v>0</v>
  </rv>
  <rv s="0">
    <fb>178.18</fb>
    <v>1</v>
  </rv>
  <rv s="0">
    <fb>45180</fb>
    <v>0</v>
  </rv>
  <rv s="0">
    <fb>179.36</fb>
    <v>1</v>
  </rv>
  <rv s="0">
    <fb>45181</fb>
    <v>0</v>
  </rv>
  <rv s="0">
    <fb>176.3</fb>
    <v>1</v>
  </rv>
  <rv s="0">
    <fb>45182</fb>
    <v>0</v>
  </rv>
  <rv s="0">
    <fb>174.21</fb>
    <v>1</v>
  </rv>
  <rv s="0">
    <fb>45183</fb>
    <v>0</v>
  </rv>
  <rv s="0">
    <fb>175.74</fb>
    <v>1</v>
  </rv>
  <rv s="0">
    <fb>45184</fb>
    <v>0</v>
  </rv>
  <rv s="0">
    <fb>175.01</fb>
    <v>1</v>
  </rv>
  <rv s="0">
    <fb>45187</fb>
    <v>0</v>
  </rv>
  <rv s="0">
    <fb>45188</fb>
    <v>0</v>
  </rv>
  <rv s="0">
    <fb>179.07</fb>
    <v>1</v>
  </rv>
  <rv s="0">
    <fb>45189</fb>
    <v>0</v>
  </rv>
  <rv s="0">
    <fb>175.49</fb>
    <v>1</v>
  </rv>
  <rv s="0">
    <fb>45190</fb>
    <v>0</v>
  </rv>
  <rv s="0">
    <fb>173.93</fb>
    <v>1</v>
  </rv>
  <rv s="0">
    <fb>45191</fb>
    <v>0</v>
  </rv>
  <rv s="0">
    <fb>174.79</fb>
    <v>1</v>
  </rv>
  <rv s="0">
    <fb>45194</fb>
    <v>0</v>
  </rv>
  <rv s="0">
    <fb>176.08</fb>
    <v>1</v>
  </rv>
  <rv s="0">
    <fb>45195</fb>
    <v>0</v>
  </rv>
  <rv s="0">
    <fb>171.96</fb>
    <v>1</v>
  </rv>
  <rv s="0">
    <fb>45196</fb>
    <v>0</v>
  </rv>
  <rv s="0">
    <fb>170.43</fb>
    <v>1</v>
  </rv>
  <rv s="0">
    <fb>45197</fb>
    <v>0</v>
  </rv>
  <rv s="0">
    <fb>170.69</fb>
    <v>1</v>
  </rv>
  <rv s="0">
    <fb>45198</fb>
    <v>0</v>
  </rv>
  <rv s="0">
    <fb>171.21</fb>
    <v>1</v>
  </rv>
  <rv s="0">
    <fb>45201</fb>
    <v>0</v>
  </rv>
  <rv s="0">
    <fb>45202</fb>
    <v>0</v>
  </rv>
  <rv s="0">
    <fb>172.4</fb>
    <v>1</v>
  </rv>
  <rv s="0">
    <fb>45203</fb>
    <v>0</v>
  </rv>
  <rv s="0">
    <fb>173.66</fb>
    <v>1</v>
  </rv>
  <rv s="0">
    <fb>45204</fb>
    <v>0</v>
  </rv>
  <rv s="0">
    <fb>174.91</fb>
    <v>1</v>
  </rv>
  <rv s="0">
    <fb>45205</fb>
    <v>0</v>
  </rv>
  <rv s="0">
    <fb>177.49</fb>
    <v>1</v>
  </rv>
  <rv s="0">
    <fb>45208</fb>
    <v>0</v>
  </rv>
  <rv s="0">
    <fb>178.99</fb>
    <v>1</v>
  </rv>
  <rv s="0">
    <fb>45209</fb>
    <v>0</v>
  </rv>
  <rv s="0">
    <fb>178.39</fb>
    <v>1</v>
  </rv>
  <rv s="0">
    <fb>45210</fb>
    <v>0</v>
  </rv>
  <rv s="0">
    <fb>45211</fb>
    <v>0</v>
  </rv>
  <rv s="0">
    <fb>180.71</fb>
    <v>1</v>
  </rv>
  <rv s="0">
    <fb>45212</fb>
    <v>0</v>
  </rv>
  <rv s="0">
    <fb>45215</fb>
    <v>0</v>
  </rv>
  <rv s="0">
    <fb>178.72</fb>
    <v>1</v>
  </rv>
  <rv s="0">
    <fb>45216</fb>
    <v>0</v>
  </rv>
  <rv s="0">
    <fb>177.15</fb>
    <v>1</v>
  </rv>
  <rv s="0">
    <fb>45217</fb>
    <v>0</v>
  </rv>
  <rv s="0">
    <fb>45218</fb>
    <v>0</v>
  </rv>
  <rv s="0">
    <fb>175.46</fb>
    <v>1</v>
  </rv>
  <rv s="0">
    <fb>45219</fb>
    <v>0</v>
  </rv>
  <rv s="0">
    <fb>172.88</fb>
    <v>1</v>
  </rv>
  <rv s="0">
    <fb>45222</fb>
    <v>0</v>
  </rv>
  <rv s="0">
    <fb>173</fb>
    <v>1</v>
  </rv>
  <rv s="1">
    <v>http://en.wikipedia.org/wiki/Public_domain</v>
    <v>Public domain</v>
  </rv>
  <rv s="1">
    <v>http://es.wikipedia.org/wiki/Adobe_(empresa)</v>
    <v>Wikipedia</v>
  </rv>
  <rv s="2">
    <v>399</v>
    <v>400</v>
  </rv>
  <rv s="3">
    <v>8</v>
    <v>https://www.bing.com/th?id=AMMS_503c684ccc667ad525fe1d703881df2c&amp;qlt=95</v>
    <v>401</v>
    <v>0</v>
    <v>https://www.bing.com/images/search?form=xlimg&amp;q=adobe+systems</v>
    <v>Image of ADOBE INC.</v>
  </rv>
  <rv s="1">
    <v>https://www.bing.com/financeapi/forcetrigger?t=a1mv7w&amp;q=XNAS%3aADBE&amp;form=skydnc</v>
    <v>Learn more on Bing</v>
  </rv>
  <rv s="4">
    <v>en-US</v>
    <v>a1mv7w</v>
    <v>268435456</v>
    <v>1</v>
    <v>Powered by Refinitiv</v>
    <v>2</v>
    <v>ADOBE INC. (XNAS:ADBE)</v>
    <v>5</v>
    <v>6</v>
    <v>Finance</v>
    <v>7</v>
    <v>574.4</v>
    <v>278.23</v>
    <v>1.3250999999999999</v>
    <v>-2.2400000000000002</v>
    <v>-4.1449999999999994E-3</v>
    <v>USD</v>
    <v>Adobe Inc. is a software company that offers a line of products and services used by professionals, communicators, businesses, and consumers for creating, managing, delivering, measuring, optimizing, engaging and transacting with content and experiences across various digital media formats. The Company’s segments include Digital Media, Digital Experience and Publishing and Advertising. Digital Media segment provides products, services and solutions that enable individuals, teams and enterprises to create, publish and promote their content anywhere. Digital Media segment is centered around Adobe Creative Cloud and Adobe Document Cloud. Digital Experience segment provides an integrated platform and set of applications and services through Adobe Experience Cloud that enable brands and businesses to create, manage, execute, measure, monetize and optimize customer experiences. The Publishing and Advertising segment consists of products and services that address diverse market opportunities.</v>
    <v>29239</v>
    <v>Nasdaq Stock Market</v>
    <v>XNAS</v>
    <v>XNAS</v>
    <v>345 PARK AVE, SAN JOSE, CA, 95110-2704 US</v>
    <v>546</v>
    <v>402</v>
    <v>Software &amp; IT Services</v>
    <v>Stock</v>
    <v>45223.648458078125</v>
    <v>403</v>
    <v>537.26</v>
    <v>245028800999</v>
    <v>ADOBE INC.</v>
    <v>ADOBE INC.</v>
    <v>544.39</v>
    <v>48.656300000000002</v>
    <v>540.41</v>
    <v>538.16999999999996</v>
    <v>455300000</v>
    <v>ADBE</v>
    <v>ADOBE INC. (XNAS:ADBE)</v>
    <v>973757</v>
    <v>2608255</v>
    <v>1997</v>
  </rv>
  <rv s="5">
    <v>404</v>
  </rv>
  <rv s="1">
    <v>https://www.bing.com/financeapi/forcetrigger?t=a1yjxm&amp;q=XNYS%3aNKE&amp;form=skydnc</v>
    <v>Learn more on Bing</v>
  </rv>
  <rv s="6">
    <v>en-US</v>
    <v>a1yjxm</v>
    <v>268435456</v>
    <v>1</v>
    <v>Powered by Refinitiv</v>
    <v>9</v>
    <v>NIKE, INC. (XNYS:NKE)</v>
    <v>10</v>
    <v>11</v>
    <v>Finance</v>
    <v>7</v>
    <v>131.31</v>
    <v>86.24</v>
    <v>1.0923</v>
    <v>2.34</v>
    <v>2.2759999999999999E-2</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83700</v>
    <v>New York Stock Exchange</v>
    <v>XNYS</v>
    <v>XNYS</v>
    <v>One Bowerman Dr, BEAVERTON, OR, 97005-6453 US</v>
    <v>105.64</v>
    <v>Textiles &amp; Apparel</v>
    <v>Stock</v>
    <v>45223.648482164062</v>
    <v>406</v>
    <v>103.66</v>
    <v>160028836500</v>
    <v>NIKE, INC.</v>
    <v>NIKE, INC.</v>
    <v>103.74</v>
    <v>31.716699999999999</v>
    <v>102.81</v>
    <v>105.15</v>
    <v>1521910000</v>
    <v>NKE</v>
    <v>NIKE, INC. (XNYS:NKE)</v>
    <v>3159025</v>
    <v>10101379</v>
    <v>1969</v>
  </rv>
  <rv s="5">
    <v>407</v>
  </rv>
  <rv s="1">
    <v>https://www.bing.com/financeapi/forcetrigger?t=axyhnm&amp;q=XNAS%3aPEP&amp;form=skydnc</v>
    <v>Learn more on Bing</v>
  </rv>
  <rv s="6">
    <v>en-US</v>
    <v>axyhnm</v>
    <v>268435456</v>
    <v>1</v>
    <v>Powered by Refinitiv</v>
    <v>9</v>
    <v>PEPSICO, INC. (XNAS:PEP)</v>
    <v>10</v>
    <v>11</v>
    <v>Finance</v>
    <v>7</v>
    <v>196.88</v>
    <v>155.83000000000001</v>
    <v>0.58289999999999997</v>
    <v>2.06</v>
    <v>1.2868999999999998E-2</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315000</v>
    <v>Nasdaq Stock Market</v>
    <v>XNAS</v>
    <v>XNAS</v>
    <v>700 ANDERSON HILL RD, PURCHASE, NY, 10577 US</v>
    <v>162.85499999999999</v>
    <v>Beverages</v>
    <v>Stock</v>
    <v>45223.648485566409</v>
    <v>409</v>
    <v>159.68</v>
    <v>222920448959</v>
    <v>PEPSICO, INC.</v>
    <v>PEPSICO, INC.</v>
    <v>160.1</v>
    <v>26.6755</v>
    <v>160.08000000000001</v>
    <v>162.13999999999999</v>
    <v>1374864000</v>
    <v>PEP</v>
    <v>PEPSICO, INC. (XNAS:PEP)</v>
    <v>1597934</v>
    <v>6232461</v>
    <v>1986</v>
  </rv>
  <rv s="5">
    <v>410</v>
  </rv>
  <rv s="1">
    <v>https://www.bing.com/financeapi/forcetrigger?t=a1wljc&amp;q=XNYS%3aKO&amp;form=skydnc</v>
    <v>Learn more on Bing</v>
  </rv>
  <rv s="6">
    <v>en-US</v>
    <v>a1wljc</v>
    <v>268435456</v>
    <v>1</v>
    <v>Powered by Refinitiv</v>
    <v>9</v>
    <v>THE COCA-COLA COMPANY (XNYS:KO)</v>
    <v>10</v>
    <v>11</v>
    <v>Finance</v>
    <v>7</v>
    <v>64.989999999999995</v>
    <v>51.55</v>
    <v>0.60009999999999997</v>
    <v>1.4450000000000001</v>
    <v>2.6720000000000001E-2</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Coca-Cola; sparkling flavors; water, sports, coffee and tea; juice, dairy and plant-based beverages; and emerging beverages. It owns and markets six nonalcoholic sparkling soft drink brands, such as Coca-Cola, Sprite, Fanta, Diet Coke /Coca-Cola Light, and Coca-Cola Zero Sugar. Its water, sports, coffee and tea brands include quarius, Ayataka, BODYARMOR, Ciel, Costa, dogadan, Dasani, FUZE TEA, Georgia, glaceau smartwater, glaceau vitaminwater, Gold Peak, Powerade and others. The Company’s juice, dairy and plant-based beverages brands include AdeS, Del Valle, fairlife, innocent, Minute Maid, Minute Maid Pulpy and Simply. The Company products are available to consumers in more than 200 countries.</v>
    <v>82500</v>
    <v>New York Stock Exchange</v>
    <v>XNYS</v>
    <v>XNYS</v>
    <v>1 Coca Cola Plz NW, ATLANTA, GA, 30313-2420 US</v>
    <v>56.16</v>
    <v>Beverages</v>
    <v>Stock</v>
    <v>45223.648496203125</v>
    <v>412</v>
    <v>55.3</v>
    <v>240109256125</v>
    <v>THE COCA-COLA COMPANY</v>
    <v>THE COCA-COLA COMPANY</v>
    <v>55.56</v>
    <v>22.353000000000002</v>
    <v>54.08</v>
    <v>55.524999999999999</v>
    <v>4324345000</v>
    <v>KO</v>
    <v>THE COCA-COLA COMPANY (XNYS:KO)</v>
    <v>9535348</v>
    <v>16156196</v>
    <v>1919</v>
  </rv>
  <rv s="5">
    <v>413</v>
  </rv>
  <rv s="1">
    <v>https://www.bing.com/financeapi/forcetrigger?t=a1mou2&amp;q=XNAS%3aAAPL&amp;form=skydnc</v>
    <v>Learn more on Bing</v>
  </rv>
  <rv s="6">
    <v>en-US</v>
    <v>a1mou2</v>
    <v>268435456</v>
    <v>1</v>
    <v>Powered by Refinitiv</v>
    <v>9</v>
    <v>APPLE INC. (XNAS:AAPL)</v>
    <v>10</v>
    <v>11</v>
    <v>Finance</v>
    <v>7</v>
    <v>198.23</v>
    <v>124.17</v>
    <v>1.3050999999999999</v>
    <v>-0.51249999999999996</v>
    <v>-2.9620000000000002E-3</v>
    <v>USD</v>
    <v>Apple Inc. (Apple) designs, manufactures and markets smartphones, personal computers, tablets, wearables and accessories and sells a range of related services. The Company’s products include iPhone, Mac, iPad, AirPods, Apple TV, Apple Watch, Beats products, HomePod, iPod touch and accessories. The Company operates various platforms, including the App Store, which allows customers to discover and download applications and digital content, such as books, music, video, games and podcasts. Apple offers digital content through subscription-based services, including Apple Arcade, Apple Music, Apple News+, Apple TV+ and Apple Fitness+. Apple also offers a range of other services, such as AppleCare, iCloud, Apple Card and Apple Pay. Apple sells its products and resells third-party products in a range of markets, including directly to consumers, small and mid-sized businesses, and education, enterprise and government customers through its retail and online stores and its direct sales force.</v>
    <v>164000</v>
    <v>Nasdaq Stock Market</v>
    <v>XNAS</v>
    <v>XNAS</v>
    <v>One Apple Park Way, CUPERTINO, CA, 95014 US</v>
    <v>173.31</v>
    <v>Computers, Phones &amp; Household Electronics</v>
    <v>Stock</v>
    <v>45223.648498055467</v>
    <v>415</v>
    <v>171.81</v>
    <v>2696709247125</v>
    <v>APPLE INC.</v>
    <v>APPLE INC.</v>
    <v>173</v>
    <v>29.0533</v>
    <v>173</v>
    <v>172.48750000000001</v>
    <v>15634230000</v>
    <v>AAPL</v>
    <v>APPLE INC. (XNAS:AAPL)</v>
    <v>16645391</v>
    <v>54509898</v>
    <v>1977</v>
  </rv>
  <rv s="5">
    <v>416</v>
  </rv>
  <rv s="6">
    <v>en-GB</v>
    <v>a1mou2</v>
    <v>268435456</v>
    <v>1</v>
    <v>Powered by Refinitiv</v>
    <v>9</v>
    <v>APPLE INC. (XNAS:AAPL)</v>
    <v>10</v>
    <v>11</v>
    <v>Finance</v>
    <v>7</v>
    <v>198.23</v>
    <v>124.17</v>
    <v>1.3050999999999999</v>
    <v>-0.51249999999999996</v>
    <v>-2.9620000000000002E-3</v>
    <v>USD</v>
    <v>Apple Inc. (Apple) designs, manufactures and markets smartphones, personal computers, tablets, wearables and accessories and sells a range of related services. The Company’s products include iPhone, Mac, iPad, AirPods, Apple TV, Apple Watch, Beats products, HomePod, iPod touch and accessories. The Company operates various platforms, including the App Store, which allows customers to discover and download applications and digital content, such as books, music, video, games and podcasts. Apple offers digital content through subscription-based services, including Apple Arcade, Apple Music, Apple News+, Apple TV+ and Apple Fitness+. Apple also offers a range of other services, such as AppleCare, iCloud, Apple Card and Apple Pay. Apple sells its products and resells third-party products in a range of markets, including directly to consumers, small and mid-sized businesses, and education, enterprise and government customers through its retail and online stores and its direct sales force.</v>
    <v>164000</v>
    <v>Nasdaq Stock Market</v>
    <v>XNAS</v>
    <v>XNAS</v>
    <v>One Apple Park Way, CUPERTINO, CA, 95014 US</v>
    <v>173.31</v>
    <v>Computers, Phones &amp; Household Electronics</v>
    <v>Stock</v>
    <v>45223.648498055467</v>
    <v>415</v>
    <v>171.81</v>
    <v>2696709247125</v>
    <v>APPLE INC.</v>
    <v>APPLE INC.</v>
    <v>173</v>
    <v>29.0533</v>
    <v>173</v>
    <v>172.48750000000001</v>
    <v>15634230000</v>
    <v>AAPL</v>
    <v>APPLE INC. (XNAS:AAPL)</v>
    <v>16645391</v>
    <v>54509898</v>
    <v>1977</v>
  </rv>
  <rv s="5">
    <v>418</v>
  </rv>
  <rv s="1">
    <v>https://www.bing.com/financeapi/forcetrigger?t=a1nhlh&amp;q=XNAS%3aAMZN&amp;form=skydnc</v>
    <v>Learn more on Bing</v>
  </rv>
  <rv s="6">
    <v>en-GB</v>
    <v>a1nhlh</v>
    <v>268435456</v>
    <v>1</v>
    <v>Powered by Refinitiv</v>
    <v>9</v>
    <v>AMAZON.COM, INC. (XNAS:AMZN)</v>
    <v>10</v>
    <v>11</v>
    <v>Finance</v>
    <v>7</v>
    <v>145.86000000000001</v>
    <v>81.430000000000007</v>
    <v>1.1862999999999999</v>
    <v>1.1175999999999999</v>
    <v>8.8310000000000003E-3</v>
    <v>USD</v>
    <v>Amazon.com, Inc. provides a range of products and services to customers. The products offered through its stores include merchandise and content that it purchased for resale and products offered by third-party sellers. It manufactures and sells electronic devices, including Kindle, Fire tablet, Fire TV, Echo, and Ring, and it develops and produces media content. It also offers subscription services such as Amazon Prime, a membership program. Its segments include North America, International and Amazon Web Services (AWS). The AWS segment consists of global sales of compute, storage, database, and other services for start-ups, enterprises, government agencies, and academic institutions. It provides advertising services to sellers, vendors, publishers, authors, and others, through programs, such as sponsored advertisements, display, and video advertising. Customers access its offerings through websites, mobile applications, Alexa, devices, streaming, and physically visiting its stores.</v>
    <v>1461000</v>
    <v>Nasdaq Stock Market</v>
    <v>XNAS</v>
    <v>XNAS</v>
    <v>410 Terry Ave N, SEATTLE, WA, 98109 US</v>
    <v>128.80000000000001</v>
    <v>Diversified Retail</v>
    <v>Stock</v>
    <v>45223.648498784372</v>
    <v>420</v>
    <v>126.90089999999999</v>
    <v>1305815000000</v>
    <v>AMAZON.COM, INC.</v>
    <v>AMAZON.COM, INC.</v>
    <v>127.75</v>
    <v>100.6241</v>
    <v>126.56</v>
    <v>127.6776</v>
    <v>10317750000</v>
    <v>AMZN</v>
    <v>AMAZON.COM, INC. (XNAS:AMZN)</v>
    <v>17593438</v>
    <v>51777125</v>
    <v>1996</v>
  </rv>
  <rv s="5">
    <v>421</v>
  </rv>
  <rv s="1">
    <v>https://en.wikipedia.org/wiki/Microsoft</v>
    <v>Wikipedia</v>
  </rv>
  <rv s="2">
    <v>399</v>
    <v>423</v>
  </rv>
  <rv s="3">
    <v>8</v>
    <v>https://www.bing.com/th?id=AMMS_e6e837c7bf3a77408619758b7447855a&amp;qlt=95</v>
    <v>424</v>
    <v>0</v>
    <v>https://www.bing.com/images/search?form=xlimg&amp;q=microsoft</v>
    <v>Image of MICROSOFT CORPORATION</v>
  </rv>
  <rv s="1">
    <v>https://www.bing.com/financeapi/forcetrigger?t=a1xzim&amp;q=XNAS%3aMSFT&amp;form=skydnc</v>
    <v>Learn more on Bing</v>
  </rv>
  <rv s="4">
    <v>en-GB</v>
    <v>a1xzim</v>
    <v>268435456</v>
    <v>1</v>
    <v>Powered by Refinitiv</v>
    <v>2</v>
    <v>MICROSOFT CORPORATION (XNAS:MSFT)</v>
    <v>5</v>
    <v>6</v>
    <v>Finance</v>
    <v>7</v>
    <v>366.78</v>
    <v>213.43100000000001</v>
    <v>0.89229999999999998</v>
    <v>0.46560000000000001</v>
    <v>1.4139999999999999E-3</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221000</v>
    <v>Nasdaq Stock Market</v>
    <v>XNAS</v>
    <v>XNAS</v>
    <v>One Microsoft Way, REDMOND, WA, 98052-6399 US</v>
    <v>331.84</v>
    <v>425</v>
    <v>Software &amp; IT Services</v>
    <v>Stock</v>
    <v>45223.648465323437</v>
    <v>426</v>
    <v>328.69</v>
    <v>2449987445753</v>
    <v>MICROSOFT CORPORATION</v>
    <v>MICROSOFT CORPORATION</v>
    <v>331.3</v>
    <v>34.004199999999997</v>
    <v>329.32</v>
    <v>329.78559999999999</v>
    <v>7429031000</v>
    <v>MSFT</v>
    <v>MICROSOFT CORPORATION (XNAS:MSFT)</v>
    <v>8005849</v>
    <v>21852467</v>
    <v>1993</v>
  </rv>
  <rv s="5">
    <v>427</v>
  </rv>
  <rv s="6">
    <v>en-GB</v>
    <v>a1yjxm</v>
    <v>268435456</v>
    <v>1</v>
    <v>Powered by Refinitiv</v>
    <v>9</v>
    <v>NIKE, INC. (XNYS:NKE)</v>
    <v>10</v>
    <v>11</v>
    <v>Finance</v>
    <v>7</v>
    <v>131.31</v>
    <v>86.24</v>
    <v>1.0923</v>
    <v>2.34</v>
    <v>2.2759999999999999E-2</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83700</v>
    <v>New York Stock Exchange</v>
    <v>XNYS</v>
    <v>XNYS</v>
    <v>One Bowerman Dr, BEAVERTON, OR, 97005-6453 US</v>
    <v>105.64</v>
    <v>Textiles &amp; Apparel</v>
    <v>Stock</v>
    <v>45223.648482164062</v>
    <v>406</v>
    <v>103.66</v>
    <v>160028836500</v>
    <v>NIKE, INC.</v>
    <v>NIKE, INC.</v>
    <v>103.74</v>
    <v>31.716699999999999</v>
    <v>102.81</v>
    <v>105.15</v>
    <v>1521910000</v>
    <v>NKE</v>
    <v>NIKE, INC. (XNYS:NKE)</v>
    <v>3159025</v>
    <v>10101379</v>
    <v>1969</v>
  </rv>
  <rv s="5">
    <v>429</v>
  </rv>
  <rv s="1">
    <v>https://www.bing.com/financeapi/forcetrigger?t=a25ya2&amp;q=XNYS%3aWMT&amp;form=skydnc</v>
    <v>Learn more on Bing</v>
  </rv>
  <rv s="6">
    <v>en-GB</v>
    <v>a25ya2</v>
    <v>268435456</v>
    <v>1</v>
    <v>Powered by Refinitiv</v>
    <v>9</v>
    <v>WALMART INC. (XNYS:WMT)</v>
    <v>10</v>
    <v>11</v>
    <v>Finance</v>
    <v>7</v>
    <v>165.84989999999999</v>
    <v>136.09</v>
    <v>0.53580000000000005</v>
    <v>1.9350000000000001</v>
    <v>1.2017999999999999E-2</v>
    <v>USD</v>
    <v>Walmart Inc. is a technology-powered omni-channel retailer. The Company provides the opportunity to shop in both retail stores and through e-commerce and to access its other service offerings. It offers an assortment of merchandise and services at everyday low prices (EDLP). It operates through three segments: Walmart U.S., Walmart International and Sam's Club. The Walmart U.S. segment is a mass merchandiser of consumer products, operating under the Walmart and Walmart Neighborhood Market brands, as well as walmart.com and other e-commerce brands. Walmart International segment includes various formats divided into two categories: retail and wholesale. These categories consist of many formats, including supercenters, supermarkets, hypermarkets, warehouse clubs (including Sam's Clubs) and cash &amp; carry, as well as e-commerce through walmart.com.mx, walmart.ca, flipkart.com, walmart.cn and other sites. Sam's Club segment is a membership-only warehouse club that also operates samsclub.com.</v>
    <v>2100000</v>
    <v>New York Stock Exchange</v>
    <v>XNYS</v>
    <v>XNYS</v>
    <v>702 SW 8th St, BENTONVILLE, AR, 72716-6209 US</v>
    <v>163.09</v>
    <v>Food &amp; Drug Retailing</v>
    <v>Stock</v>
    <v>45223.648483633595</v>
    <v>431</v>
    <v>161.39699999999999</v>
    <v>438576895980</v>
    <v>WALMART INC.</v>
    <v>WALMART INC.</v>
    <v>161.5</v>
    <v>31.005800000000001</v>
    <v>161.01</v>
    <v>162.94499999999999</v>
    <v>2691564000</v>
    <v>WMT</v>
    <v>WALMART INC. (XNYS:WMT)</v>
    <v>1418130</v>
    <v>5069250</v>
    <v>1969</v>
  </rv>
  <rv s="5">
    <v>432</v>
  </rv>
  <rv s="7">
    <v>536870912</v>
    <v>United Kingdom</v>
    <v>b1a5155a-6bb2-4646-8f7c-3e6b3a53c831</v>
    <v>en-GB</v>
    <v>Map</v>
  </rv>
  <rv s="0">
    <fb>0.71714878141404492</fb>
    <v>38</v>
  </rv>
  <rv s="0">
    <fb>243610</fb>
    <v>39</v>
  </rv>
  <rv s="0">
    <fb>148000</fb>
    <v>39</v>
  </rv>
  <rv s="0">
    <fb>11</fb>
    <v>40</v>
  </rv>
  <rv s="0">
    <fb>44</fb>
    <v>41</v>
  </rv>
  <rv s="7">
    <v>536870912</v>
    <v>London</v>
    <v>8e0ba7b6-4225-fa8a-6369-1b5294e602a5</v>
    <v>en-GB</v>
    <v>Map</v>
  </rv>
  <rv s="0">
    <fb>379024.78700000001</fb>
    <v>39</v>
  </rv>
  <rv s="0">
    <fb>119.622711300166</fb>
    <v>42</v>
  </rv>
  <rv s="0">
    <fb>1.7381046008651101E-2</fb>
    <v>38</v>
  </rv>
  <rv s="0">
    <fb>5129.5277927901998</fb>
    <v>39</v>
  </rv>
  <rv s="0">
    <fb>1.68</fb>
    <v>40</v>
  </rv>
  <rv s="0">
    <fb>0.130657628239573</fb>
    <v>38</v>
  </rv>
  <rv s="0">
    <fb>80.351771267255202</fb>
    <v>43</v>
  </rv>
  <rv s="0">
    <fb>1.46</fb>
    <v>1</v>
  </rv>
  <rv s="0">
    <fb>2827113184695.5801</fb>
    <v>44</v>
  </rv>
  <rv s="0">
    <fb>1.0115456</fb>
    <v>38</v>
  </rv>
  <rv s="0">
    <fb>0.59995569999999998</fb>
    <v>38</v>
  </rv>
  <rv s="8">
    <v>0</v>
    <v>36</v>
    <v>45</v>
    <v>6</v>
    <v>0</v>
    <v>Image of United Kingdom</v>
  </rv>
  <rv s="0">
    <fb>3.6</fb>
    <v>43</v>
  </rv>
  <rv s="7">
    <v>805306368</v>
    <v>Boris Johnson (Prime Minister)</v>
    <v>fe217755-2d46-1c61-dded-740ff4500899</v>
    <v>en-GB</v>
    <v>Generic</v>
  </rv>
  <rv s="7">
    <v>805306368</v>
    <v>Justine Greening (Minister)</v>
    <v>7aff4253-0f04-ea8e-9418-a9ef69475621</v>
    <v>en-GB</v>
    <v>Generic</v>
  </rv>
  <rv s="7">
    <v>805306368</v>
    <v>Nadhim Zahawi (Minister)</v>
    <v>394346ee-f3b1-c53c-2bcd-8d22bdee8814</v>
    <v>en-GB</v>
    <v>Generic</v>
  </rv>
  <rv s="7">
    <v>805306368</v>
    <v>Natalie Evans, Baroness Evans of Bowes Park (Minister)</v>
    <v>fcf767e2-c1da-d731-e0f0-696a3bd436b5</v>
    <v>en-GB</v>
    <v>Generic</v>
  </rv>
  <rv s="9">
    <v>0</v>
  </rv>
  <rv s="1">
    <v>https://www.bing.com/search?q=united+kingdom&amp;form=skydnc</v>
    <v>Learn more on Bing</v>
  </rv>
  <rv s="0">
    <fb>81.256097560975604</fb>
    <v>43</v>
  </rv>
  <rv s="0">
    <fb>1868152970000</fb>
    <v>44</v>
  </rv>
  <rv s="0">
    <fb>7</fb>
    <v>43</v>
  </rv>
  <rv s="0">
    <fb>10.130000000000001</fb>
    <v>1</v>
  </rv>
  <rv s="9">
    <v>1</v>
  </rv>
  <rv s="0">
    <fb>0.14794489889999998</fb>
    <v>38</v>
  </rv>
  <rv s="0">
    <fb>2.8117000000000001</fb>
    <v>40</v>
  </rv>
  <rv s="0">
    <fb>66834405</fb>
    <v>39</v>
  </rv>
  <rv s="0">
    <fb>0.22500000000000001</fb>
    <v>38</v>
  </rv>
  <rv s="0">
    <fb>0.26800000000000002</fb>
    <v>38</v>
  </rv>
  <rv s="0">
    <fb>0.42100000000000004</fb>
    <v>38</v>
  </rv>
  <rv s="0">
    <fb>2.7999999999999997E-2</fb>
    <v>38</v>
  </rv>
  <rv s="0">
    <fb>7.0999999999999994E-2</fb>
    <v>38</v>
  </rv>
  <rv s="0">
    <fb>0.11900000000000001</fb>
    <v>38</v>
  </rv>
  <rv s="0">
    <fb>0.16399999999999998</fb>
    <v>38</v>
  </rv>
  <rv s="0">
    <fb>0.62773998260497998</fb>
    <v>38</v>
  </rv>
  <rv s="7">
    <v>536870912</v>
    <v>Devon</v>
    <v>5ad1bd45-b1d3-1dd7-13e3-f0ecea97ece7</v>
    <v>en-GB</v>
    <v>Map</v>
  </rv>
  <rv s="7">
    <v>536870912</v>
    <v>Somerset</v>
    <v>2b333df9-032c-c9b1-0d74-88ea8c5befbd</v>
    <v>en-GB</v>
    <v>Map</v>
  </rv>
  <rv s="7">
    <v>536870912</v>
    <v>Lancashire</v>
    <v>d2ddd91b-d3db-c97c-d4e1-b66d033659fa</v>
    <v>en-GB</v>
    <v>Map</v>
  </rv>
  <rv s="7">
    <v>536870912</v>
    <v>England</v>
    <v>280d39e8-7217-6863-6980-a8c20c211c89</v>
    <v>en-GB</v>
    <v>Map</v>
  </rv>
  <rv s="7">
    <v>536870912</v>
    <v>Liverpool</v>
    <v>a5642e81-20ab-a561-17cc-52a63926b210</v>
    <v>en-GB</v>
    <v>Map</v>
  </rv>
  <rv s="7">
    <v>536870912</v>
    <v>Newcastle upon Tyne</v>
    <v>e1ab16e3-5050-dafb-7e90-7ceb4efd055d</v>
    <v>en-GB</v>
    <v>Map</v>
  </rv>
  <rv s="7">
    <v>536870912</v>
    <v>City of London</v>
    <v>3513d611-e6ca-408d-8d00-c93a427d32ad</v>
    <v>en-GB</v>
    <v>Map</v>
  </rv>
  <rv s="7">
    <v>536870912</v>
    <v>Stoke-on-Trent</v>
    <v>2efa6384-eb20-dbf0-d19a-2c63f3b239fb</v>
    <v>en-GB</v>
    <v>Map</v>
  </rv>
  <rv s="7">
    <v>536870912</v>
    <v>Cornwall</v>
    <v>7ce7e82d-6d0f-f7b6-daf4-9018d403a859</v>
    <v>en-GB</v>
    <v>Map</v>
  </rv>
  <rv s="7">
    <v>536870912</v>
    <v>Derbyshire</v>
    <v>a3be3ce0-6a5c-7632-5ef1-6034834ffe0e</v>
    <v>en-GB</v>
    <v>Map</v>
  </rv>
  <rv s="7">
    <v>536870912</v>
    <v>Worcestershire</v>
    <v>92b6b35e-17f8-7d50-a89b-650c809a2158</v>
    <v>en-GB</v>
    <v>Map</v>
  </rv>
  <rv s="7">
    <v>536870912</v>
    <v>Norfolk</v>
    <v>1f7d5120-8b19-7582-e7d0-2351c715f854</v>
    <v>en-GB</v>
    <v>Map</v>
  </rv>
  <rv s="7">
    <v>536870912</v>
    <v>Lincolnshire</v>
    <v>1b1b62b6-be46-b598-310b-b10fe8c992b8</v>
    <v>en-GB</v>
    <v>Map</v>
  </rv>
  <rv s="7">
    <v>536870912</v>
    <v>Northamptonshire</v>
    <v>6b5ff743-48aa-7f30-4bfe-97eeede8e6fa</v>
    <v>en-GB</v>
    <v>Map</v>
  </rv>
  <rv s="7">
    <v>536870912</v>
    <v>Surrey</v>
    <v>4e00ff19-370b-4752-b12d-9b5088a81c75</v>
    <v>en-GB</v>
    <v>Map</v>
  </rv>
  <rv s="7">
    <v>536870912</v>
    <v>Shropshire</v>
    <v>620367d1-f8ad-2237-2ba3-9bd995d6cb3e</v>
    <v>en-GB</v>
    <v>Map</v>
  </rv>
  <rv s="7">
    <v>536870912</v>
    <v>Isle of Wight</v>
    <v>95d8ced0-437b-28ff-5329-8fbf91940733</v>
    <v>en-GB</v>
    <v>Map</v>
  </rv>
  <rv s="7">
    <v>536870912</v>
    <v>Buckinghamshire</v>
    <v>ff464c2a-d8cf-cd5b-431b-50f9494b808a</v>
    <v>en-GB</v>
    <v>Map</v>
  </rv>
  <rv s="7">
    <v>536870912</v>
    <v>Wiltshire</v>
    <v>4ebe79fa-f77b-5216-7ef9-f8ea04679349</v>
    <v>en-GB</v>
    <v>Map</v>
  </rv>
  <rv s="7">
    <v>536870912</v>
    <v>Coventry</v>
    <v>452272b4-d4d5-224d-223b-58b995e82185</v>
    <v>en-GB</v>
    <v>Map</v>
  </rv>
  <rv s="7">
    <v>536870912</v>
    <v>Warrington</v>
    <v>4079f4c4-ee00-1666-ed95-342e8d1634e2</v>
    <v>en-GB</v>
    <v>Map</v>
  </rv>
  <rv s="7">
    <v>536870912</v>
    <v>Bournemouth</v>
    <v>798e72ae-7e6b-eaba-0080-5e2b222ddfb7</v>
    <v>en-GB</v>
    <v>Map</v>
  </rv>
  <rv s="7">
    <v>536870912</v>
    <v>Blackpool</v>
    <v>a2968ee5-f872-4ab4-6479-95727f9bc6a7</v>
    <v>en-GB</v>
    <v>Map</v>
  </rv>
  <rv s="7">
    <v>536870912</v>
    <v>County Durham</v>
    <v>326adeba-4a25-fb10-67b8-480c6d7f4b2d</v>
    <v>en-GB</v>
    <v>Map</v>
  </rv>
  <rv s="7">
    <v>536870912</v>
    <v>Cumbria</v>
    <v>a192dc6e-69b1-5d04-741f-67720ce0ebfc</v>
    <v>en-GB</v>
    <v>Map</v>
  </rv>
  <rv s="7">
    <v>536870912</v>
    <v>Dorset</v>
    <v>248ebd80-8904-8a43-be23-3cd065a30350</v>
    <v>en-GB</v>
    <v>Map</v>
  </rv>
  <rv s="7">
    <v>536870912</v>
    <v>West Sussex</v>
    <v>6fef3193-51df-c781-5d99-8b60839e1cf9</v>
    <v>en-GB</v>
    <v>Map</v>
  </rv>
  <rv s="7">
    <v>536870912</v>
    <v>Hampshire</v>
    <v>2d3a57b7-ee5f-c34a-1ce7-09a573697693</v>
    <v>en-GB</v>
    <v>Map</v>
  </rv>
  <rv s="7">
    <v>536870912</v>
    <v>Suffolk</v>
    <v>b891db46-5bbb-53eb-6a27-28ae58d995e9</v>
    <v>en-GB</v>
    <v>Map</v>
  </rv>
  <rv s="7">
    <v>536870912</v>
    <v>Scotland</v>
    <v>a0377d96-1a18-f843-65ad-adcbc4acdc69</v>
    <v>en-GB</v>
    <v>Map</v>
  </rv>
  <rv s="7">
    <v>536870912</v>
    <v>Newport</v>
    <v>eb987e3b-b3c7-4072-08fa-b6ba938b35e1</v>
    <v>en-GB</v>
    <v>Map</v>
  </rv>
  <rv s="7">
    <v>536870912</v>
    <v>York</v>
    <v>a60ce14b-6919-f15c-15bd-5d5494ff8598</v>
    <v>en-GB</v>
    <v>Map</v>
  </rv>
  <rv s="7">
    <v>536870912</v>
    <v>Derby</v>
    <v>137d5451-9100-4ac6-b03e-fbc72ac322f4</v>
    <v>en-GB</v>
    <v>Map</v>
  </rv>
  <rv s="7">
    <v>536870912</v>
    <v>Reading</v>
    <v>281a95af-ccff-e632-516d-0f60d9882cfd</v>
    <v>en-GB</v>
    <v>Map</v>
  </rv>
  <rv s="7">
    <v>536870912</v>
    <v>Nottingham</v>
    <v>fd1f499f-6103-6a87-cddd-2086efabf88f</v>
    <v>en-GB</v>
    <v>Map</v>
  </rv>
  <rv s="7">
    <v>536870912</v>
    <v>Nottinghamshire</v>
    <v>474ecb67-f819-ecef-a259-d24741044ebd</v>
    <v>en-GB</v>
    <v>Map</v>
  </rv>
  <rv s="7">
    <v>536870912</v>
    <v>Sheffield</v>
    <v>41dbe832-f699-1fd7-e3b3-fbdcbd0167eb</v>
    <v>en-GB</v>
    <v>Map</v>
  </rv>
  <rv s="7">
    <v>536870912</v>
    <v>Leicestershire</v>
    <v>4b2d786f-4d40-dd9a-2c29-31c1db8a6dd3</v>
    <v>en-GB</v>
    <v>Map</v>
  </rv>
  <rv s="7">
    <v>536870912</v>
    <v>Gloucestershire</v>
    <v>eab8d5d9-01a7-f0db-d230-ec907f822254</v>
    <v>en-GB</v>
    <v>Map</v>
  </rv>
  <rv s="7">
    <v>536870912</v>
    <v>Birmingham</v>
    <v>aaac0a14-911d-49c8-ac97-51d9f9100ad7</v>
    <v>en-GB</v>
    <v>Map</v>
  </rv>
  <rv s="7">
    <v>536870912</v>
    <v>Isles of Scilly</v>
    <v>cbd82567-ce28-513c-27d4-0452c5504f8b</v>
    <v>en-GB</v>
    <v>Map</v>
  </rv>
  <rv s="7">
    <v>536870912</v>
    <v>Oxfordshire</v>
    <v>1eda598d-62bc-9a62-5694-ee4472f8dcf5</v>
    <v>en-GB</v>
    <v>Map</v>
  </rv>
  <rv s="7">
    <v>536870912</v>
    <v>Staffordshire</v>
    <v>8af62e75-98e5-6987-9d37-3061b70d0365</v>
    <v>en-GB</v>
    <v>Map</v>
  </rv>
  <rv s="7">
    <v>536870912</v>
    <v>Warwickshire</v>
    <v>f1173647-228f-1554-f0d8-39e325d478af</v>
    <v>en-GB</v>
    <v>Map</v>
  </rv>
  <rv s="7">
    <v>536870912</v>
    <v>Wales</v>
    <v>b51b24e1-6afb-d525-d360-f2eb5bf3410b</v>
    <v>en-GB</v>
    <v>Map</v>
  </rv>
  <rv s="7">
    <v>536870912</v>
    <v>Northumberland</v>
    <v>86a3fee3-ba4c-f565-1ce4-449912831e53</v>
    <v>en-GB</v>
    <v>Map</v>
  </rv>
  <rv s="7">
    <v>536870912</v>
    <v>East Sussex</v>
    <v>4a646622-0fa1-ec75-7268-69cce45dbd22</v>
    <v>en-GB</v>
    <v>Map</v>
  </rv>
  <rv s="7">
    <v>536870912</v>
    <v>Manchester</v>
    <v>35dddbb1-7bb3-4072-bfd5-f9e6570713b0</v>
    <v>en-GB</v>
    <v>Map</v>
  </rv>
  <rv s="7">
    <v>536870912</v>
    <v>North Yorkshire</v>
    <v>fb1d8fdd-e4d5-f9a0-5f8c-1a03f3c7dad4</v>
    <v>en-GB</v>
    <v>Map</v>
  </rv>
  <rv s="7">
    <v>536870912</v>
    <v>Kent</v>
    <v>254f7086-5bb1-bdbf-8511-000e19ec575a</v>
    <v>en-GB</v>
    <v>Map</v>
  </rv>
  <rv s="7">
    <v>536870912</v>
    <v>Plymouth</v>
    <v>a3e2c1e6-1f92-c845-835d-3b78083edf28</v>
    <v>en-GB</v>
    <v>Map</v>
  </rv>
  <rv s="7">
    <v>536870912</v>
    <v>Kingston upon Hull</v>
    <v>c2d2e2f2-1587-bacd-a08a-017a722bf4f3</v>
    <v>en-GB</v>
    <v>Map</v>
  </rv>
  <rv s="7">
    <v>536870912</v>
    <v>Bristol</v>
    <v>3a2b5f36-3aab-be4b-07ef-da515a676e60</v>
    <v>en-GB</v>
    <v>Map</v>
  </rv>
  <rv s="7">
    <v>536870912</v>
    <v>Leicester</v>
    <v>88af3d23-ab3c-0468-1391-254a59804943</v>
    <v>en-GB</v>
    <v>Map</v>
  </rv>
  <rv s="7">
    <v>536870912</v>
    <v>Southampton</v>
    <v>c459ea11-71e5-3eae-977c-7a7ac56e054d</v>
    <v>en-GB</v>
    <v>Map</v>
  </rv>
  <rv s="7">
    <v>536870912</v>
    <v>Wolverhampton</v>
    <v>a4e729ad-f9ef-fbc2-5496-659379e68cc8</v>
    <v>en-GB</v>
    <v>Map</v>
  </rv>
  <rv s="7">
    <v>536870912</v>
    <v>Portsmouth</v>
    <v>337425e1-03f7-5cdc-cf78-5fb9639fcc32</v>
    <v>en-GB</v>
    <v>Map</v>
  </rv>
  <rv s="7">
    <v>536870912</v>
    <v>Luton</v>
    <v>f00d5748-ef3f-0016-e774-64ef25551a8e</v>
    <v>en-GB</v>
    <v>Map</v>
  </rv>
  <rv s="7">
    <v>536870912</v>
    <v>Slough</v>
    <v>abfe29f2-7624-f440-e5c1-83347196e0b5</v>
    <v>en-GB</v>
    <v>Map</v>
  </rv>
  <rv s="7">
    <v>536870912</v>
    <v>Peterborough</v>
    <v>62489622-eccf-7222-2856-6fff39f80df8</v>
    <v>en-GB</v>
    <v>Map</v>
  </rv>
  <rv s="7">
    <v>536870912</v>
    <v>Poole</v>
    <v>cc1b9a88-ec7e-57fa-3120-f797177b9ece</v>
    <v>en-GB</v>
    <v>Map</v>
  </rv>
  <rv s="7">
    <v>536870912</v>
    <v>London Borough of Richmond upon Thames</v>
    <v>330d56ea-b71b-f6c8-32ac-1c0f219611a4</v>
    <v>en-GB</v>
    <v>Map</v>
  </rv>
  <rv s="7">
    <v>536870912</v>
    <v>Middlesbrough</v>
    <v>8b36aad5-43a9-73f0-207c-ad3765927011</v>
    <v>en-GB</v>
    <v>Map</v>
  </rv>
  <rv s="7">
    <v>536870912</v>
    <v>Hertfordshire</v>
    <v>070f9acc-7c22-7b21-6d9a-6d46b9aa876a</v>
    <v>en-GB</v>
    <v>Map</v>
  </rv>
  <rv s="7">
    <v>536870912</v>
    <v>Cambridgeshire</v>
    <v>bc02c14b-0035-fc4c-411f-168edbf62536</v>
    <v>en-GB</v>
    <v>Map</v>
  </rv>
  <rv s="7">
    <v>536870912</v>
    <v>West Berkshire</v>
    <v>24ab4528-6d4a-2364-a87a-5ce1744b2fd9</v>
    <v>en-GB</v>
    <v>Map</v>
  </rv>
  <rv s="7">
    <v>536870912</v>
    <v>Herefordshire</v>
    <v>f586d43a-d582-5c49-952e-b296001cdbe1</v>
    <v>en-GB</v>
    <v>Map</v>
  </rv>
  <rv s="7">
    <v>536870912</v>
    <v>Rutland</v>
    <v>39bb7744-90c5-e3fa-c4f7-7e89bf42f3a9</v>
    <v>en-GB</v>
    <v>Map</v>
  </rv>
  <rv s="7">
    <v>536870912</v>
    <v>Essex</v>
    <v>5c034f63-79be-7ab6-5ae6-b57d985a0e50</v>
    <v>en-GB</v>
    <v>Map</v>
  </rv>
  <rv s="7">
    <v>536870912</v>
    <v>Edinburgh</v>
    <v>286af946-edea-5f33-df53-4164821c69da</v>
    <v>en-GB</v>
    <v>Map</v>
  </rv>
  <rv s="7">
    <v>536870912</v>
    <v>Glasgow</v>
    <v>da2548ee-1b26-f939-06b4-2fae57e075e7</v>
    <v>en-GB</v>
    <v>Map</v>
  </rv>
  <rv s="7">
    <v>536870912</v>
    <v>Cardiff</v>
    <v>cdfaa940-1a8c-2522-2bf5-e09831059c8c</v>
    <v>en-GB</v>
    <v>Map</v>
  </rv>
  <rv s="7">
    <v>536870912</v>
    <v>Dundee</v>
    <v>26e6ea64-8197-1c44-a767-91d93e3e7e60</v>
    <v>en-GB</v>
    <v>Map</v>
  </rv>
  <rv s="7">
    <v>536870912</v>
    <v>Gwynedd</v>
    <v>4696c15a-9117-8701-d989-35980505aaba</v>
    <v>en-GB</v>
    <v>Map</v>
  </rv>
  <rv s="7">
    <v>536870912</v>
    <v>Northern Ireland</v>
    <v>e4b8bc44-385c-e87b-bb7d-b32328f53502</v>
    <v>en-GB</v>
    <v>Map</v>
  </rv>
  <rv s="7">
    <v>536870912</v>
    <v>Aberdeenshire</v>
    <v>b81a7eb6-c957-282c-9953-e0c1798b2eb6</v>
    <v>en-GB</v>
    <v>Map</v>
  </rv>
  <rv s="7">
    <v>536870912</v>
    <v>Merthyr Tydfil</v>
    <v>067b1107-205b-0f64-187e-94c55c7c82a3</v>
    <v>en-GB</v>
    <v>Map</v>
  </rv>
  <rv s="7">
    <v>536870912</v>
    <v>Aberdeen</v>
    <v>e99cc5fc-69e5-a8a6-e0bb-bade5ce6f2e7</v>
    <v>en-GB</v>
    <v>Map</v>
  </rv>
  <rv s="7">
    <v>536870912</v>
    <v>West Lothian</v>
    <v>c3c56189-7090-194e-859f-d3fbb1781795</v>
    <v>en-GB</v>
    <v>Map</v>
  </rv>
  <rv s="7">
    <v>536870912</v>
    <v>Belfast</v>
    <v>066bd7c2-af77-6ff0-3347-a0c3ed0a34f4</v>
    <v>en-GB</v>
    <v>Map</v>
  </rv>
  <rv s="7">
    <v>536870912</v>
    <v>Wrexham County Borough</v>
    <v>3c28a426-f3d1-4876-8049-750e76d56950</v>
    <v>en-GB</v>
    <v>Map</v>
  </rv>
  <rv s="7">
    <v>536870912</v>
    <v>Swansea</v>
    <v>ca0c6bd0-fcf5-4af4-618e-0dcc81e904f1</v>
    <v>en-GB</v>
    <v>Map</v>
  </rv>
  <rv s="7">
    <v>536870912</v>
    <v>Carmarthenshire</v>
    <v>1d3b8c9e-4e53-0b68-e9b4-8eddd9ffd0bc</v>
    <v>en-GB</v>
    <v>Map</v>
  </rv>
  <rv s="7">
    <v>536870912</v>
    <v>Midlothian</v>
    <v>9c548132-3419-5bc6-56ca-e1373dcfe23c</v>
    <v>en-GB</v>
    <v>Map</v>
  </rv>
  <rv s="7">
    <v>536870912</v>
    <v>Fife</v>
    <v>54a585e4-03af-cb0b-6dc0-35d8c58407f5</v>
    <v>en-GB</v>
    <v>Map</v>
  </rv>
  <rv s="7">
    <v>536870912</v>
    <v>East Lothian</v>
    <v>0fbdbf9c-787c-9fa5-4e8a-acfd4aaff046</v>
    <v>en-GB</v>
    <v>Map</v>
  </rv>
  <rv s="7">
    <v>536870912</v>
    <v>Flintshire</v>
    <v>154b78b5-e707-2db6-6f66-f6a938690d05</v>
    <v>en-GB</v>
    <v>Map</v>
  </rv>
  <rv s="7">
    <v>536870912</v>
    <v>Anglesey</v>
    <v>5207525e-c76a-4aec-33af-64384c5a6e0c</v>
    <v>en-GB</v>
    <v>Map</v>
  </rv>
  <rv s="7">
    <v>536870912</v>
    <v>Dumfries and Galloway</v>
    <v>166abd1b-5753-3637-40eb-61aaf9738a0b</v>
    <v>en-GB</v>
    <v>Map</v>
  </rv>
  <rv s="7">
    <v>536870912</v>
    <v>Pembrokeshire</v>
    <v>4925e50e-8717-4f5f-2bfd-0bfe0c525744</v>
    <v>en-GB</v>
    <v>Map</v>
  </rv>
  <rv s="7">
    <v>536870912</v>
    <v>Powys</v>
    <v>5d9c5f00-6996-2dfd-d223-c8de2ee5eca5</v>
    <v>en-GB</v>
    <v>Map</v>
  </rv>
  <rv s="7">
    <v>536870912</v>
    <v>City of Westminster</v>
    <v>63ce8294-e571-7282-75aa-205efd425a22</v>
    <v>en-GB</v>
    <v>Map</v>
  </rv>
  <rv s="7">
    <v>536870912</v>
    <v>Vale of Glamorgan</v>
    <v>94cdbb31-cc8e-b56e-7be6-54e42315cdbf</v>
    <v>en-GB</v>
    <v>Map</v>
  </rv>
  <rv s="7">
    <v>536870912</v>
    <v>Ceredigion</v>
    <v>7b38a8a3-f389-b19c-ae91-3d0d4ca3273b</v>
    <v>en-GB</v>
    <v>Map</v>
  </rv>
  <rv s="7">
    <v>536870912</v>
    <v>Royal Borough of Greenwich</v>
    <v>69a30182-b3c0-474a-ff80-5e14c2516e95</v>
    <v>en-GB</v>
    <v>Map</v>
  </rv>
  <rv s="7">
    <v>536870912</v>
    <v>Orkney</v>
    <v>041d9a1c-58a6-ca2b-d149-0546a069bef4</v>
    <v>en-GB</v>
    <v>Map</v>
  </rv>
  <rv s="7">
    <v>536870912</v>
    <v>Southend-on-Sea</v>
    <v>7da0961f-3c65-9262-1fa3-d36b06c3c72c</v>
    <v>en-GB</v>
    <v>Map</v>
  </rv>
  <rv s="7">
    <v>536870912</v>
    <v>Trafford</v>
    <v>88dd02ca-7d6b-61b2-cbec-c00dae5fc203</v>
    <v>en-GB</v>
    <v>Map</v>
  </rv>
  <rv s="7">
    <v>536870912</v>
    <v>London Borough of Camden</v>
    <v>427b51f0-5efc-c4ce-8007-d7db16792348</v>
    <v>en-GB</v>
    <v>Map</v>
  </rv>
  <rv s="7">
    <v>536870912</v>
    <v>City of Salford</v>
    <v>0d97218d-4223-6a9d-b74c-6f674d3df8ad</v>
    <v>en-GB</v>
    <v>Map</v>
  </rv>
  <rv s="7">
    <v>536870912</v>
    <v>Shetland</v>
    <v>69917bcc-72c4-054c-7b8b-59e2e6e6d054</v>
    <v>en-GB</v>
    <v>Map</v>
  </rv>
  <rv s="7">
    <v>536870912</v>
    <v>London Borough of Ealing</v>
    <v>77aca5f9-73b2-ac32-7da9-829325532b67</v>
    <v>en-GB</v>
    <v>Map</v>
  </rv>
  <rv s="7">
    <v>536870912</v>
    <v>Kirklees</v>
    <v>7fdc5fe4-3ddc-2d3f-0ba1-f1c30887c0c4</v>
    <v>en-GB</v>
    <v>Map</v>
  </rv>
  <rv s="7">
    <v>536870912</v>
    <v>London Borough of Hackney</v>
    <v>76c7413e-fd75-9503-c844-f948f920bf50</v>
    <v>en-GB</v>
    <v>Map</v>
  </rv>
  <rv s="7">
    <v>536870912</v>
    <v>Royal Borough of Kensington and Chelsea</v>
    <v>c8bf96b0-bbe9-7147-b91d-e4f05eeeaa4c</v>
    <v>en-GB</v>
    <v>Map</v>
  </rv>
  <rv s="7">
    <v>536870912</v>
    <v>Sandwell</v>
    <v>7578a257-fbbb-a33c-1ae8-09f08c610682</v>
    <v>en-GB</v>
    <v>Map</v>
  </rv>
  <rv s="7">
    <v>536870912</v>
    <v>Caerphilly County Borough</v>
    <v>6d897151-929a-c376-fe6c-d2ecbf6d0096</v>
    <v>en-GB</v>
    <v>Map</v>
  </rv>
  <rv s="7">
    <v>536870912</v>
    <v>City of Bradford</v>
    <v>2fb792af-f38f-dc28-e920-682ea0f4dd1e</v>
    <v>en-GB</v>
    <v>Map</v>
  </rv>
  <rv s="7">
    <v>536870912</v>
    <v>Royal Borough of Kingston upon Thames</v>
    <v>a7e7bf4f-aaf6-b38c-c6f1-3cece81a7c73</v>
    <v>en-GB</v>
    <v>Map</v>
  </rv>
  <rv s="7">
    <v>536870912</v>
    <v>Calderdale</v>
    <v>5924493e-e100-57de-1e2c-616b7f16fb75</v>
    <v>en-GB</v>
    <v>Map</v>
  </rv>
  <rv s="7">
    <v>536870912</v>
    <v>London Borough of Barking and Dagenham</v>
    <v>2c34f629-9085-faea-d501-72c74db2e99e</v>
    <v>en-GB</v>
    <v>Map</v>
  </rv>
  <rv s="7">
    <v>536870912</v>
    <v>London Borough of Newham</v>
    <v>6f66bcdb-5f1f-dc38-5bcd-6cf54619476b</v>
    <v>en-GB</v>
    <v>Map</v>
  </rv>
  <rv s="7">
    <v>536870912</v>
    <v>London Borough of Croydon</v>
    <v>a9d4124c-1c82-3830-538a-6e730fd78ca2</v>
    <v>en-GB</v>
    <v>Map</v>
  </rv>
  <rv s="7">
    <v>536870912</v>
    <v>London Borough of Hammersmith and Fulham</v>
    <v>51eedf66-5a54-e2da-0786-904cd2ae5e01</v>
    <v>en-GB</v>
    <v>Map</v>
  </rv>
  <rv s="7">
    <v>536870912</v>
    <v>London Borough of Barnet</v>
    <v>1415c296-3271-e593-e550-6baa54d0be91</v>
    <v>en-GB</v>
    <v>Map</v>
  </rv>
  <rv s="7">
    <v>536870912</v>
    <v>Brighton and Hove</v>
    <v>297cae4c-741d-4091-0d17-7a0cb4dfc072</v>
    <v>en-GB</v>
    <v>Map</v>
  </rv>
  <rv s="7">
    <v>536870912</v>
    <v>London Borough of Wandsworth</v>
    <v>53aa5bbb-0a68-ec05-93a9-8fa5ae4c0035</v>
    <v>en-GB</v>
    <v>Map</v>
  </rv>
  <rv s="7">
    <v>536870912</v>
    <v>London Borough of Enfield</v>
    <v>7c4de49e-3914-6146-453f-83960bc60157</v>
    <v>en-GB</v>
    <v>Map</v>
  </rv>
  <rv s="7">
    <v>536870912</v>
    <v>London Borough of Brent</v>
    <v>87fcc92f-bb25-a5db-2917-0297b7cc7006</v>
    <v>en-GB</v>
    <v>Map</v>
  </rv>
  <rv s="7">
    <v>536870912</v>
    <v>London Borough of Redbridge</v>
    <v>25ce92d8-1ab5-04ff-f1eb-644dc5a2b326</v>
    <v>en-GB</v>
    <v>Map</v>
  </rv>
  <rv s="7">
    <v>536870912</v>
    <v>London Borough of Lambeth</v>
    <v>601c1f89-26d4-d4e8-5de2-23643ae45707</v>
    <v>en-GB</v>
    <v>Map</v>
  </rv>
  <rv s="7">
    <v>536870912</v>
    <v>London Borough of Hillingdon</v>
    <v>adce1ab7-1b39-eea4-bbdd-78e6be2aaa2e</v>
    <v>en-GB</v>
    <v>Map</v>
  </rv>
  <rv s="7">
    <v>536870912</v>
    <v>London Borough of Islington</v>
    <v>fffc642f-7ca5-55b3-c338-3cba1b932d55</v>
    <v>en-GB</v>
    <v>Map</v>
  </rv>
  <rv s="7">
    <v>536870912</v>
    <v>London Borough of Tower Hamlets</v>
    <v>b55b7e9b-cc89-eb16-0ee2-ef35b73001a0</v>
    <v>en-GB</v>
    <v>Map</v>
  </rv>
  <rv s="7">
    <v>536870912</v>
    <v>London Borough of Hounslow</v>
    <v>a393f5fb-5fb3-19ff-52cf-267a06915d2f</v>
    <v>en-GB</v>
    <v>Map</v>
  </rv>
  <rv s="7">
    <v>536870912</v>
    <v>London Borough of Merton</v>
    <v>8e4ee7a7-2b94-344c-b740-c768658bb561</v>
    <v>en-GB</v>
    <v>Map</v>
  </rv>
  <rv s="7">
    <v>536870912</v>
    <v>London Borough of Southwark</v>
    <v>6ff0cd7b-6e7e-3ceb-7dad-6e0d2c1da0c3</v>
    <v>en-GB</v>
    <v>Map</v>
  </rv>
  <rv s="7">
    <v>536870912</v>
    <v>London Borough of Harrow</v>
    <v>0365592b-9270-e980-6139-aa2a4615cdb3</v>
    <v>en-GB</v>
    <v>Map</v>
  </rv>
  <rv s="7">
    <v>536870912</v>
    <v>London Borough of Waltham Forest</v>
    <v>7da02390-10d4-e36c-314f-ea514faa62e6</v>
    <v>en-GB</v>
    <v>Map</v>
  </rv>
  <rv s="7">
    <v>536870912</v>
    <v>London Borough of Havering</v>
    <v>b14e42eb-0997-fe1c-4049-b8f437a869de</v>
    <v>en-GB</v>
    <v>Map</v>
  </rv>
  <rv s="7">
    <v>536870912</v>
    <v>Denbighshire</v>
    <v>d9b0986c-3824-a9c1-8788-f8c20d153ff5</v>
    <v>en-GB</v>
    <v>Map</v>
  </rv>
  <rv s="7">
    <v>536870912</v>
    <v>London Borough of Haringey</v>
    <v>942466ed-2570-73ac-4497-51fccd9667ac</v>
    <v>en-GB</v>
    <v>Map</v>
  </rv>
  <rv s="7">
    <v>536870912</v>
    <v>London Borough of Lewisham</v>
    <v>105eeb6e-338a-1994-b9e3-fa5b63eb79fd</v>
    <v>en-GB</v>
    <v>Map</v>
  </rv>
  <rv s="7">
    <v>536870912</v>
    <v>Monmouthshire</v>
    <v>81bc2422-be5c-4cd9-8614-3b9b226c7154</v>
    <v>en-GB</v>
    <v>Map</v>
  </rv>
  <rv s="7">
    <v>536870912</v>
    <v>London Borough of Bromley</v>
    <v>5fbe984e-fdf2-c1a4-c9e0-c9ae9a1b1bfa</v>
    <v>en-GB</v>
    <v>Map</v>
  </rv>
  <rv s="7">
    <v>536870912</v>
    <v>Torbay</v>
    <v>20f58686-8f00-84da-c4d0-61544ec1c0b3</v>
    <v>en-GB</v>
    <v>Map</v>
  </rv>
  <rv s="7">
    <v>536870912</v>
    <v>City of Wakefield</v>
    <v>fda1d0a0-3c3d-b6d2-4e49-217176b79940</v>
    <v>en-GB</v>
    <v>Map</v>
  </rv>
  <rv s="7">
    <v>536870912</v>
    <v>London Borough of Bexley</v>
    <v>37fc0a51-9932-09b4-2e6d-28e52a5abc35</v>
    <v>en-GB</v>
    <v>Map</v>
  </rv>
  <rv s="7">
    <v>536870912</v>
    <v>Borough of Halton</v>
    <v>aba165c7-6f69-a541-bd58-9952c853e295</v>
    <v>en-GB</v>
    <v>Map</v>
  </rv>
  <rv s="7">
    <v>536870912</v>
    <v>North Somerset</v>
    <v>e3678f85-61b8-0810-8c53-e58bdb733dec</v>
    <v>en-GB</v>
    <v>Map</v>
  </rv>
  <rv s="7">
    <v>536870912</v>
    <v>Tameside</v>
    <v>4d704dba-d053-5372-9d1b-631f69f25246</v>
    <v>en-GB</v>
    <v>Map</v>
  </rv>
  <rv s="7">
    <v>536870912</v>
    <v>North Tyneside</v>
    <v>36ca8e86-236d-306d-dfc1-621780c43474</v>
    <v>en-GB</v>
    <v>Map</v>
  </rv>
  <rv s="7">
    <v>536870912</v>
    <v>London Borough of Sutton</v>
    <v>c1460554-820a-05a1-aac2-342042bac143</v>
    <v>en-GB</v>
    <v>Map</v>
  </rv>
  <rv s="7">
    <v>536870912</v>
    <v>Medway</v>
    <v>3ade3b17-52c4-4392-59ad-874fde4b7de5</v>
    <v>en-GB</v>
    <v>Map</v>
  </rv>
  <rv s="7">
    <v>536870912</v>
    <v>Bath and North East Somerset</v>
    <v>1ea8797d-5e0d-8b8d-d63e-c6cbbd49f9d2</v>
    <v>en-GB</v>
    <v>Map</v>
  </rv>
  <rv s="7">
    <v>536870912</v>
    <v>Metropolitan Borough of Stockport</v>
    <v>a0ddc244-2a33-2738-d6e7-20cabc5c8b14</v>
    <v>en-GB</v>
    <v>Map</v>
  </rv>
  <rv s="7">
    <v>536870912</v>
    <v>North East Lincolnshire</v>
    <v>87656709-108c-e3ba-f3f5-aac83525778e</v>
    <v>en-GB</v>
    <v>Map</v>
  </rv>
  <rv s="9">
    <v>2</v>
  </rv>
  <rv s="0">
    <fb>0.255052921600669</fb>
    <v>38</v>
  </rv>
  <rv s="9">
    <v>3</v>
  </rv>
  <rv s="0">
    <fb>0.30599999999999999</fb>
    <v>38</v>
  </rv>
  <rv s="0">
    <fb>3.8510000705719E-2</fb>
    <v>46</v>
  </rv>
  <rv s="0">
    <fb>55908316</fb>
    <v>39</v>
  </rv>
  <rv s="10">
    <v>#VALUE!</v>
    <v>en-GB</v>
    <v>b1a5155a-6bb2-4646-8f7c-3e6b3a53c831</v>
    <v>536870912</v>
    <v>1</v>
    <v>32</v>
    <v>33</v>
    <v>United Kingdom</v>
    <v>34</v>
    <v>35</v>
    <v>Map</v>
    <v>36</v>
    <v>37</v>
    <v>GB</v>
    <v>435</v>
    <v>436</v>
    <v>437</v>
    <v>438</v>
    <v>439</v>
    <v>440</v>
    <v>441</v>
    <v>442</v>
    <v>443</v>
    <v>GBP</v>
    <v>The United Kingdom of Great Britain and Northern Ireland, commonly known as the United Kingdom or Britain, is a sovereign country in Europe, off the north-western coast of the continental mainland. It comprises England, Wales, Scotland, and Northern Ireland.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the North Sea, the English Channel, the Celtic Sea and the Irish Sea. The total area of the United Kingdom is 93,628 square miles, with an estimated 2020 population of more than 67 million people.</v>
    <v>444</v>
    <v>445</v>
    <v>446</v>
    <v>447</v>
    <v>448</v>
    <v>449</v>
    <v>450</v>
    <v>451</v>
    <v>452</v>
    <v>453</v>
    <v>440</v>
    <v>458</v>
    <v>459</v>
    <v>460</v>
    <v>461</v>
    <v>462</v>
    <v>463</v>
    <v>United Kingdom</v>
    <v>God Save the Queen</v>
    <v>464</v>
    <v>United Kingdom of Great Britain and Northern Ireland</v>
    <v>465</v>
    <v>466</v>
    <v>467</v>
    <v>468</v>
    <v>469</v>
    <v>470</v>
    <v>471</v>
    <v>472</v>
    <v>473</v>
    <v>474</v>
    <v>475</v>
    <v>623</v>
    <v>624</v>
    <v>625</v>
    <v>626</v>
    <v>627</v>
    <v>United Kingdom</v>
    <v>628</v>
    <v>mdp/vdpid/242</v>
  </rv>
  <rv s="7">
    <v>536870912</v>
    <v>Greater London</v>
    <v>2ba8a441-178c-f2c0-26cb-a4b260b8c806</v>
    <v>en-GB</v>
    <v>Map</v>
  </rv>
  <rv s="0">
    <fb>1572</fb>
    <v>39</v>
  </rv>
  <rv s="8">
    <v>1</v>
    <v>36</v>
    <v>54</v>
    <v>7</v>
    <v>0</v>
    <v>Image of London</v>
  </rv>
  <rv s="0">
    <fb>51.500152399999997</fb>
    <v>55</v>
  </rv>
  <rv s="7">
    <v>805306368</v>
    <v>Sadiq Khan (Mayor)</v>
    <v>d7862dc2-4c03-1dc8-3412-7fe03041fdcb</v>
    <v>en-GB</v>
    <v>Generic</v>
  </rv>
  <rv s="9">
    <v>4</v>
  </rv>
  <rv s="1">
    <v>https://www.bing.com/search?q=london+england&amp;form=skydnc</v>
    <v>Learn more on Bing</v>
  </rv>
  <rv s="0">
    <fb>-0.12623619999999999</fb>
    <v>55</v>
  </rv>
  <rv s="0">
    <fb>9002488</fb>
    <v>39</v>
  </rv>
  <rv s="9">
    <v>5</v>
  </rv>
  <rv s="11">
    <v>#VALUE!</v>
    <v>en-GB</v>
    <v>8e0ba7b6-4225-fa8a-6369-1b5294e602a5</v>
    <v>536870912</v>
    <v>1</v>
    <v>51</v>
    <v>52</v>
    <v>London</v>
    <v>34</v>
    <v>35</v>
    <v>Map</v>
    <v>36</v>
    <v>53</v>
    <v>479</v>
    <v>630</v>
    <v>631</v>
    <v>434</v>
    <v>London is the capital and largest city of England and the United Kingdom, with a population of just under 9 million. It stands on the River Thames in south-east England at the head of a 50-mile estuary down to the North Sea, and has been a major settlement for two millennia. The City of London, its ancient core and financial centre, was founded by the Romans as Londinium and retains its medieval boundaries. The City of Westminster, to the west of the City of London, has for centuries hosted the national government and parliament. Since the 19th century, the name "London" has also referred to the metropolis around this core, historically split between the counties of Middlesex, Essex, Surrey, Kent, and Hertfordshire, which since 1965 has largely comprised Greater London, which is governed by 33 local authorities and the Greater London Authority.</v>
    <v>632</v>
    <v>633</v>
    <v>635</v>
    <v>636</v>
    <v>637</v>
    <v>London</v>
    <v>638</v>
    <v>639</v>
    <v>London</v>
    <v>mdp/vdpid/5471798185326280713</v>
  </rv>
  <rv s="12">
    <v>56</v>
    <v>AAPL</v>
    <v>Daily</v>
    <v>44927</v>
    <v>45223</v>
    <v>0</v>
    <v>1</v>
    <v>638336160000000000,638337215763671349,0</v>
    <v>6</v>
    <v>a1mou2</v>
    <v>XNAS:AAPL</v>
    <v>7</v>
  </rv>
</rvData>
</file>

<file path=xl/richData/rdrichvaluestructure.xml><?xml version="1.0" encoding="utf-8"?>
<rvStructures xmlns="http://schemas.microsoft.com/office/spreadsheetml/2017/richdata" count="13">
  <s t="_formattednumber">
    <k n="_Format" t="spb"/>
  </s>
  <s t="_hyperlink">
    <k n="Address" t="s"/>
    <k n="Text" t="s"/>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2">
    <k n="%EntityServiceId" t="i"/>
    <k n="_DisplayString" t="s"/>
    <k n="%EntityId" t="s"/>
    <k n="%EntityCulture" t="s"/>
    <k n="_Icon" t="s"/>
  </s>
  <s t="_webimage">
    <k n="WebImageIdentifier" t="i"/>
    <k n="_Provider" t="spb"/>
    <k n="Attribution" t="spb"/>
    <k n="CalcOrigin" t="i"/>
    <k n="ComputedImage" t="b"/>
    <k n="Text" t="s"/>
  </s>
  <s t="_array">
    <k n="array" t="a"/>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4">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57">
    <spb s="0">
      <v>1</v>
    </spb>
    <spb s="0">
      <v>2</v>
    </spb>
    <spb s="1">
      <v>0</v>
      <v>Name</v>
      <v>LearnMoreOnLink</v>
    </spb>
    <spb s="2">
      <v>0</v>
      <v>0</v>
    </spb>
    <spb s="3">
      <v>0</v>
      <v>0</v>
      <v>0</v>
    </spb>
    <spb s="4">
      <v>3</v>
      <v>4</v>
      <v>4</v>
      <v>4</v>
      <v>4</v>
    </spb>
    <spb s="5">
      <v>2</v>
      <v>3</v>
      <v>3</v>
      <v>2</v>
      <v>4</v>
      <v>2</v>
      <v>5</v>
      <v>2</v>
      <v>2</v>
      <v>6</v>
      <v>6</v>
      <v>7</v>
      <v>8</v>
      <v>2</v>
      <v>2</v>
      <v>2</v>
      <v>6</v>
      <v>9</v>
      <v>10</v>
      <v>11</v>
      <v>6</v>
    </spb>
    <spb s="6">
      <v>Real-Time Nasdaq Last Sale</v>
      <v>from previous close</v>
      <v>from previous close</v>
      <v>Source: Nasdaq Last Sale</v>
      <v>GMT</v>
    </spb>
    <spb s="7">
      <v>Powered by Refinitiv</v>
    </spb>
    <spb s="1">
      <v>1</v>
      <v>Name</v>
      <v>LearnMoreOnLink</v>
    </spb>
    <spb s="8">
      <v>4</v>
      <v>4</v>
      <v>4</v>
      <v>4</v>
    </spb>
    <spb s="9">
      <v>2</v>
      <v>3</v>
      <v>3</v>
      <v>2</v>
      <v>4</v>
      <v>2</v>
      <v>2</v>
      <v>2</v>
      <v>6</v>
      <v>6</v>
      <v>7</v>
      <v>8</v>
      <v>2</v>
      <v>2</v>
      <v>2</v>
      <v>6</v>
      <v>9</v>
      <v>10</v>
      <v>11</v>
      <v>6</v>
    </spb>
    <spb s="10">
      <v xml:space="preserve">data.worldbank.org	</v>
      <v xml:space="preserve">	</v>
      <v xml:space="preserve">http://data.worldbank.org/indicator/FP.CPI.TOTL	</v>
      <v xml:space="preserve">	</v>
    </spb>
    <spb s="1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10">
      <v xml:space="preserve">Cia	</v>
      <v xml:space="preserve">	</v>
      <v xml:space="preserve">https://www.cia.gov/library/publications/the-world-factbook/geos/uk.html?Transportation	</v>
      <v xml:space="preserve">	</v>
    </spb>
    <spb s="1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https://www.sec.gov/cgi-bin/browse-edgar?action=getcompany&amp;CIK=0001924953	</v>
      <v xml:space="preserve">http://creativecommons.org/licenses/by-sa/3.0/		http://creativecommons.org/licenses/by-sa/3.0/				</v>
    </spb>
    <spb s="10">
      <v xml:space="preserve">data.worldbank.org	</v>
      <v xml:space="preserve">	</v>
      <v xml:space="preserve">http://data.worldbank.org/indicator/SP.DYN.CBRT.IN	</v>
      <v xml:space="preserve">	</v>
    </spb>
    <spb s="10">
      <v xml:space="preserve">data.worldbank.org	</v>
      <v xml:space="preserve">	</v>
      <v xml:space="preserve">http://data.worldbank.org/indicator/SP.POP.TOTL	</v>
      <v xml:space="preserve">	</v>
    </spb>
    <spb s="10">
      <v xml:space="preserve">Wikipedia	</v>
      <v xml:space="preserve">CC-BY-SA	</v>
      <v xml:space="preserve">http://en.wikipedia.org/wiki/United_Kingdom	</v>
      <v xml:space="preserve">http://creativecommons.org/licenses/by-sa/3.0/	</v>
    </spb>
    <spb s="10">
      <v xml:space="preserve">Wikipedia	Cia	</v>
      <v xml:space="preserve">CC-BY-SA		</v>
      <v xml:space="preserve">http://en.wikipedia.org/wiki/United_Kingdom	https://www.cia.gov/library/publications/the-world-factbook/geos/uk.html?Transportation	</v>
      <v xml:space="preserve">http://creativecommons.org/licenses/by-sa/3.0/		</v>
    </spb>
    <spb s="1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https://www.sec.gov/cgi-bin/browse-edgar?action=getcompany&amp;CIK=0001924953	</v>
      <v xml:space="preserve">http://creativecommons.org/licenses/by-sa/3.0/	http://creativecommons.org/licenses/by-sa/3.0/				</v>
    </spb>
    <spb s="10">
      <v xml:space="preserve">data.worldbank.org	</v>
      <v xml:space="preserve">	</v>
      <v xml:space="preserve">http://data.worldbank.org/indicator/SP.DYN.TFRT.IN	</v>
      <v xml:space="preserve">	</v>
    </spb>
    <spb s="10">
      <v xml:space="preserve">data.worldbank.org	</v>
      <v xml:space="preserve">	</v>
      <v xml:space="preserve">http://data.worldbank.org/indicator/SP.DYN.LE00.IN	</v>
      <v xml:space="preserve">	</v>
    </spb>
    <spb s="10">
      <v xml:space="preserve">Wikipedia	Wikipedia	</v>
      <v xml:space="preserve">CC-BY-SA	CC-BY-SA	</v>
      <v xml:space="preserve">http://en.wikipedia.org/wiki/United_Kingdom	http://km.wikipedia.org/wiki/ចក្រភពអង់គ្លេស	</v>
      <v xml:space="preserve">http://creativecommons.org/licenses/by-sa/3.0/	http://creativecommons.org/licenses/by-sa/3.0/	</v>
    </spb>
    <spb s="10">
      <v xml:space="preserve">data.worldbank.org	</v>
      <v xml:space="preserve">	</v>
      <v xml:space="preserve">http://data.worldbank.org/indicator/SP.DYN.IMRT.IN	</v>
      <v xml:space="preserve">	</v>
    </spb>
    <spb s="10">
      <v xml:space="preserve">data.worldbank.org	</v>
      <v xml:space="preserve">	</v>
      <v xml:space="preserve">http://data.worldbank.org/indicator/SP.URB.TOTL	</v>
      <v xml:space="preserve">	</v>
    </spb>
    <spb s="10">
      <v xml:space="preserve">data.worldbank.org	</v>
      <v xml:space="preserve">	</v>
      <v xml:space="preserve">http://data.worldbank.org/indicator/MS.MIL.TOTL.P1	</v>
      <v xml:space="preserve">	</v>
    </spb>
    <spb s="10">
      <v xml:space="preserve">data.worldbank.org	</v>
      <v xml:space="preserve">	</v>
      <v xml:space="preserve">http://data.worldbank.org/indicator/SH.MED.PHYS.ZS	</v>
      <v xml:space="preserve">	</v>
    </spb>
    <spb s="10">
      <v xml:space="preserve">data.worldbank.org	</v>
      <v xml:space="preserve">	</v>
      <v xml:space="preserve">http://data.worldbank.org/indicator/EN.ATM.CO2E.KT	</v>
      <v xml:space="preserve">	</v>
    </spb>
    <spb s="10">
      <v xml:space="preserve">data.worldbank.org	</v>
      <v xml:space="preserve">	</v>
      <v xml:space="preserve">http://data.worldbank.org/indicator/SH.STA.MMRT	</v>
      <v xml:space="preserve">	</v>
    </spb>
    <spb s="10">
      <v xml:space="preserve">data.worldbank.org	</v>
      <v xml:space="preserve">	</v>
      <v xml:space="preserve">http://data.worldbank.org/indicator/EG.USE.ELEC.KH.PC	</v>
      <v xml:space="preserve">	</v>
    </spb>
    <spb s="10">
      <v xml:space="preserve">data.worldbank.org	</v>
      <v xml:space="preserve">	</v>
      <v xml:space="preserve">http://data.worldbank.org/indicator/SL.TLF.CACT.ZS	</v>
      <v xml:space="preserve">	</v>
    </spb>
    <spb s="11">
      <v>12</v>
      <v>13</v>
      <v>14</v>
      <v>15</v>
      <v>16</v>
      <v>17</v>
      <v>15</v>
      <v>18</v>
      <v>18</v>
      <v>19</v>
      <v>20</v>
      <v>18</v>
      <v>18</v>
      <v>14</v>
      <v>21</v>
      <v>13</v>
      <v>14</v>
      <v>22</v>
      <v>23</v>
      <v>14</v>
      <v>24</v>
      <v>25</v>
      <v>26</v>
      <v>14</v>
      <v>14</v>
      <v>20</v>
      <v>14</v>
      <v>27</v>
      <v>28</v>
      <v>29</v>
      <v>30</v>
      <v>14</v>
      <v>13</v>
      <v>14</v>
      <v>14</v>
      <v>14</v>
      <v>14</v>
      <v>14</v>
      <v>14</v>
      <v>14</v>
      <v>14</v>
      <v>14</v>
      <v>14</v>
      <v>31</v>
    </spb>
    <spb s="1">
      <v>2</v>
      <v>Name</v>
      <v>LearnMoreOnLink</v>
    </spb>
    <spb s="12">
      <v>4</v>
      <v>4</v>
      <v>3</v>
      <v>4</v>
    </spb>
    <spb s="13">
      <v>4</v>
      <v>5</v>
      <v>12</v>
    </spb>
    <spb s="14">
      <v>https://www.bing.com</v>
      <v>https://www.bing.com/th?id=Ga%5Cbing_yt.png&amp;w=100&amp;h=40&amp;c=0&amp;pid=0.1</v>
      <v>Powered by Bing</v>
    </spb>
    <spb s="15">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13</v>
    </spb>
    <spb s="0">
      <v>6</v>
    </spb>
    <spb s="0">
      <v>11</v>
    </spb>
    <spb s="0">
      <v>10</v>
    </spb>
    <spb s="0">
      <v>3</v>
    </spb>
    <spb s="0">
      <v>14</v>
    </spb>
    <spb s="0">
      <v>8</v>
    </spb>
    <spb s="10">
      <v xml:space="preserve">Wikipedia	</v>
      <v xml:space="preserve">Public domain	</v>
      <v xml:space="preserve">http://en.wikipedia.org/wiki/United_Kingdom	</v>
      <v xml:space="preserve">http://en.wikipedia.org/wiki/Public_domain	</v>
    </spb>
    <spb s="0">
      <v>7</v>
    </spb>
    <spb s="10">
      <v xml:space="preserve">Wikipedia	</v>
      <v xml:space="preserve">CC-BY-SA	</v>
      <v xml:space="preserve">http://en.wikipedia.org/wiki/London	</v>
      <v xml:space="preserve">http://creativecommons.org/licenses/by-sa/3.0/	</v>
    </spb>
    <spb s="10">
      <v xml:space="preserve">Wikipedia	Sec	</v>
      <v xml:space="preserve">CC-BY-SA		</v>
      <v xml:space="preserve">http://en.wikipedia.org/wiki/London	https://www.sec.gov/cgi-bin/browse-edgar?action=getcompany&amp;CIK=0001924953	</v>
      <v xml:space="preserve">http://creativecommons.org/licenses/by-sa/3.0/		</v>
    </spb>
    <spb s="10">
      <v xml:space="preserve">Wikipedia	Wikipedia	Sec	</v>
      <v xml:space="preserve">CC-BY-SA	CC-BY-SA		</v>
      <v xml:space="preserve">http://en.wikipedia.org/wiki/London	https://en.wikipedia.org/wiki/London	https://www.sec.gov/cgi-bin/browse-edgar?action=getcompany&amp;CIK=0001924953	</v>
      <v xml:space="preserve">http://creativecommons.org/licenses/by-sa/3.0/	http://creativecommons.org/licenses/by-sa/3.0/		</v>
    </spb>
    <spb s="10">
      <v xml:space="preserve">Wikipedia	Wikidata	Wikipedia	</v>
      <v xml:space="preserve">CC-BY-SA		CC-BY-SA	</v>
      <v xml:space="preserve">http://en.wikipedia.org/wiki/London	https://www.wikidata.org/wiki/Q84	https://en.wikipedia.org/wiki/London	</v>
      <v xml:space="preserve">http://creativecommons.org/licenses/by-sa/3.0/		http://creativecommons.org/licenses/by-sa/3.0/	</v>
    </spb>
    <spb s="16">
      <v>47</v>
      <v>48</v>
      <v>47</v>
      <v>48</v>
      <v>47</v>
      <v>49</v>
      <v>50</v>
      <v>47</v>
    </spb>
    <spb s="1">
      <v>3</v>
      <v>Name</v>
      <v>LearnMoreOnLink</v>
    </spb>
    <spb s="17">
      <v>square km</v>
      <v>2021</v>
    </spb>
    <spb s="10">
      <v xml:space="preserve">	</v>
      <v xml:space="preserve">	</v>
      <v xml:space="preserve">https://en.wikipedia.org/wiki/London	</v>
      <v xml:space="preserve">https://creativecommons.org/licenses/by-sa/3.0	</v>
    </spb>
    <spb s="0">
      <v>15</v>
    </spb>
    <spb s="18">
      <v>1</v>
      <v>2</v>
    </spb>
  </spbData>
</supportingPropertyBags>
</file>

<file path=xl/richData/rdsupportingpropertybagstructure.xml><?xml version="1.0" encoding="utf-8"?>
<spbStructures xmlns="http://schemas.microsoft.com/office/spreadsheetml/2017/richdata2" count="19">
  <s>
    <k n="_Self" t="i"/>
  </s>
  <s>
    <k n="^Order" t="spba"/>
    <k n="TitleProperty" t="s"/>
    <k n="SubTitleProperty" t="s"/>
  </s>
  <s>
    <k n="ShowInDotNotation" t="b"/>
    <k n="ShowInAutoComplete" t="b"/>
  </s>
  <s>
    <k n="ShowInCardView" t="b"/>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name"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UniqueName" t="spb"/>
    <k n="VDPID/VSID" t="spb"/>
    <k n="Description" t="spb"/>
    <k n="LearnMoreOnLink" t="spb"/>
  </s>
  <s>
    <k n="Name" t="i"/>
    <k n="Image" t="i"/>
    <k n="Description"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Country/region" t="spb"/>
    <k n="Admin Division 1 (State/province/other)" t="spb"/>
    <k n="Admin Division 2 (County/district/other)" t="spb"/>
  </s>
  <s>
    <k n="Area" t="s"/>
    <k n="Population" t="s"/>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3" formatCode="#,##0"/>
    </x:dxf>
    <x:dxf>
      <x:numFmt numFmtId="0" formatCode="General"/>
    </x:dxf>
    <x:dxf>
      <x:numFmt numFmtId="14" formatCode="0.00%"/>
    </x:dxf>
    <x:dxf>
      <x:numFmt numFmtId="2" formatCode="0.00"/>
    </x:dxf>
    <x:dxf>
      <x:numFmt numFmtId="1" formatCode="0"/>
    </x:dxf>
    <x:dxf>
      <x:numFmt numFmtId="4" formatCode="#,##0.00"/>
    </x:dxf>
    <x:dxf>
      <x:numFmt numFmtId="27" formatCode="m/d/yyyy\ h:mm"/>
    </x:dxf>
    <x:dxf>
      <x:numFmt numFmtId="19" formatCode="m/d/yyyy"/>
    </x:dxf>
  </dxfs>
  <richProperties>
    <rPr n="NumberFormat" t="s"/>
    <rPr n="IsTitleField" t="b"/>
    <rPr n="IsHeroField" t="b"/>
    <rPr n="RequiresInlineAttribution" t="b"/>
  </richProperties>
  <richStyles>
    <rSty dxfid="7"/>
    <rSty dxfid="1">
      <rpv i="0">_([$$-en-US]* #,##0.00_);_([$$-en-US]* (#,##0.00);_([$$-en-US]* "-"??_);_(@_)</rpv>
    </rSty>
    <rSty dxfid="5">
      <rpv i="0">#,##0.00</rpv>
    </rSty>
    <rSty>
      <rpv i="1">1</rpv>
    </rSty>
    <rSty>
      <rpv i="2">1</rpv>
    </rSty>
    <rSty dxfid="0">
      <rpv i="0">#,##0</rpv>
    </rSty>
    <rSty dxfid="2"/>
    <rSty dxfid="1">
      <rpv i="0">_([$$-en-US]* #,##0_);_([$$-en-US]* (#,##0);_([$$-en-US]* "-"_);_(@_)</rpv>
    </rSty>
    <rSty dxfid="6"/>
    <rSty dxfid="4">
      <rpv i="0">0</rpv>
    </rSty>
    <rSty dxfid="3">
      <rpv i="0">0.00</rpv>
    </rSty>
    <rSty>
      <rpv i="3">1</rpv>
    </rSty>
    <rSty dxfid="2">
      <rpv i="0">0.0%</rpv>
    </rSty>
    <rSty dxfid="1">
      <rpv i="0">0.0</rpv>
    </rSty>
    <rSty dxfid="1">
      <rpv i="0">0.0000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E919721-BDD2-4F93-8EC7-EC8073E1BB51}" name="Bang" displayName="Bang" ref="B3:C34" totalsRowShown="0" headerRowBorderDxfId="77">
  <autoFilter ref="B3:C34" xr:uid="{CE919721-BDD2-4F93-8EC7-EC8073E1BB51}"/>
  <tableColumns count="2">
    <tableColumn id="1" xr3:uid="{20E77A96-44B9-4B1B-95B0-7C2C35BC3F6C}" name="Date" dataDxfId="76"/>
    <tableColumn id="2" xr3:uid="{DF6EDE3C-CC7D-45C3-94DD-EA7947034F47}" name="Sales" dataDxfId="75">
      <calculatedColumnFormula>RANDBETWEEN(100,5000)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AA8A4F4-437A-49CF-BE12-AD920FD2C851}" name="Table612" displayName="Table612" ref="B3:E9" totalsRowShown="0" headerRowDxfId="74">
  <autoFilter ref="B3:E9" xr:uid="{E7633E98-BA69-4FBE-80D5-66907BA6AE05}">
    <filterColumn colId="0" hiddenButton="1"/>
    <filterColumn colId="1" hiddenButton="1"/>
    <filterColumn colId="2" hiddenButton="1"/>
    <filterColumn colId="3" hiddenButton="1"/>
  </autoFilter>
  <tableColumns count="4">
    <tableColumn id="1" xr3:uid="{C0A9DC63-49BB-4B7C-B891-1202A3EC4892}" name="DAY" dataDxfId="73"/>
    <tableColumn id="2" xr3:uid="{D9D06249-21C1-436B-BBFC-AC3758FFDD09}" name="Shift1"/>
    <tableColumn id="3" xr3:uid="{8B956DFC-8E7E-41E4-A2B4-AC5ECE02EE03}" name="Shift2"/>
    <tableColumn id="4" xr3:uid="{0F420019-B1DD-4EA5-95AD-2ECD2850B6FE}" name="Shift3"/>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25A5AEA-E400-498D-9B3E-580D1C77B00D}" name="Table315" displayName="Table315" ref="G6:H10" totalsRowShown="0">
  <autoFilter ref="G6:H10" xr:uid="{29D0A773-D6C0-47F6-AA0C-8AD726B83B12}">
    <filterColumn colId="0" hiddenButton="1"/>
    <filterColumn colId="1" hiddenButton="1"/>
  </autoFilter>
  <tableColumns count="2">
    <tableColumn id="1" xr3:uid="{B35BDD5A-8309-46AF-82BF-D4ED29AC9783}" name="Count"/>
    <tableColumn id="2" xr3:uid="{C22A616D-B720-4AA7-9C40-3525312E8150}" name="Fancy Dinner" dataDxfId="72"/>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76FC983-DE41-48DD-8028-7134D498912E}" name="Table12" displayName="Table12" ref="A1:D5" totalsRowShown="0">
  <autoFilter ref="A1:D5" xr:uid="{476FC983-DE41-48DD-8028-7134D498912E}"/>
  <tableColumns count="4">
    <tableColumn id="1" xr3:uid="{CB9DD8CD-6F26-4041-92FE-3D6292A48CB3}" name="title"/>
    <tableColumn id="2" xr3:uid="{14CFDA31-F476-43F0-9300-48B0EBAA9BBE}" name="publisher"/>
    <tableColumn id="3" xr3:uid="{D3085133-CBA8-41CE-87BE-64041453A5D4}" name="unit price"/>
    <tableColumn id="4" xr3:uid="{28B7DDB9-D308-45FC-BEB4-5B4D20044D46}" name="tax"/>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9E16B0B-8E99-4C93-9223-441BB0CACA83}" name="Table214" displayName="Table214" ref="A2:E13" totalsRowShown="0" headerRowDxfId="71" dataDxfId="70" headerRowCellStyle="Comma" dataCellStyle="Comma">
  <autoFilter ref="A2:E13" xr:uid="{A9E16B0B-8E99-4C93-9223-441BB0CACA83}"/>
  <tableColumns count="5">
    <tableColumn id="1" xr3:uid="{DBB97FB3-97B1-4D49-B225-1DD0302210BB}" name="Student" dataDxfId="69" dataCellStyle="Comma"/>
    <tableColumn id="2" xr3:uid="{DDE3A876-5BEE-4154-A3A3-331BF5BC2C0C}" name="Physics" dataDxfId="68" dataCellStyle="Comma"/>
    <tableColumn id="3" xr3:uid="{FA40BB2B-48F9-46AA-822C-AB4247CBAB7D}" name="Art" dataDxfId="67" dataCellStyle="Comma"/>
    <tableColumn id="4" xr3:uid="{2A5AF05F-B2C3-4577-BBE5-EB3177BD0B32}" name="Chemistry" dataDxfId="66" dataCellStyle="Comma"/>
    <tableColumn id="5" xr3:uid="{7F58A3A5-0E1A-43C1-AF92-FAFC0C986CA5}" name="Average" dataDxfId="65" dataCellStyle="Comma">
      <calculatedColumnFormula>AVERAGE(Table214[[#This Row],[Physics]:[Chemistry]])</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F9032BB-E996-47D8-B163-DE0233420644}" name="Table117" displayName="Table117" ref="B1:C41" totalsRowShown="0" headerRowDxfId="64">
  <autoFilter ref="B1:C41" xr:uid="{377485CD-1360-4BA6-8273-CEE1A184037E}"/>
  <tableColumns count="2">
    <tableColumn id="1" xr3:uid="{5BBF6FEA-A72D-405E-B8CA-F17E3CC896F5}" name="UNIT CODE" dataDxfId="63"/>
    <tableColumn id="2" xr3:uid="{1DB86CC5-3701-47A8-A896-FC07918C3D82}" name="Rent" dataDxfId="6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492BB36-E2B9-4C0F-973B-8954E42895A8}" name="Table116" displayName="Table116" ref="B2:E17" totalsRowShown="0">
  <autoFilter ref="B2:E17" xr:uid="{BED49323-AF45-4154-9470-1FE1EFFB27F0}"/>
  <sortState xmlns:xlrd2="http://schemas.microsoft.com/office/spreadsheetml/2017/richdata2" ref="B3:E17">
    <sortCondition ref="B2:B17"/>
  </sortState>
  <tableColumns count="4">
    <tableColumn id="1" xr3:uid="{26069103-F2EC-494F-9284-5DB6EE3D1627}" name="Activity" dataDxfId="61"/>
    <tableColumn id="2" xr3:uid="{8AB36C62-4302-43EF-95B3-3DB6D77B85E5}" name="Guitar" dataDxfId="60"/>
    <tableColumn id="3" xr3:uid="{02F35B72-59B3-4118-9021-B20EE4A953E9}" name="Action" dataDxfId="59"/>
    <tableColumn id="4" xr3:uid="{34B1F970-ED42-4DA8-A3F0-8F3CF5CE735D}" name="Amount" dataDxfId="5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C75CD30-7A46-4FD6-B05E-2F9C4B4B3C10}" name="Table1" displayName="Table1" ref="B5:F31" totalsRowShown="0" headerRowDxfId="57" dataDxfId="56">
  <autoFilter ref="B5:F31" xr:uid="{FDE3727E-29AA-4B71-8795-18CB83BF8B2C}"/>
  <tableColumns count="5">
    <tableColumn id="1" xr3:uid="{5AE30AD5-5E97-43BD-BEC6-67055D969694}" name="Date" dataDxfId="55"/>
    <tableColumn id="2" xr3:uid="{86007BF3-BB2E-4A4D-B629-0C5971435DAB}" name="Order ID" dataDxfId="54"/>
    <tableColumn id="3" xr3:uid="{73B97E60-8F7D-48D8-B80A-FA861FBA358E}" name="First" dataDxfId="53"/>
    <tableColumn id="4" xr3:uid="{EA58AABB-024D-4E8E-801D-7F3C8C7EDB32}" name="Last" dataDxfId="52"/>
    <tableColumn id="5" xr3:uid="{A5406862-8348-4B08-B856-B76B5D832678}" name="Purchase" dataDxfId="51"/>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87ED6A-785C-4599-B6CA-AA630165212E}" name="Salarytable" displayName="Salarytable" ref="A2:C9" totalsRowShown="0" headerRowBorderDxfId="50">
  <autoFilter ref="A2:C9" xr:uid="{4787ED6A-785C-4599-B6CA-AA630165212E}"/>
  <tableColumns count="3">
    <tableColumn id="1" xr3:uid="{A85E1A76-DB02-46FA-8BED-07378C3AC1DB}" name="Departament"/>
    <tableColumn id="2" xr3:uid="{801F074C-D4B7-4748-9B17-2D9853633F08}" name="Name"/>
    <tableColumn id="3" xr3:uid="{67634398-369F-45A9-A2DC-AF8F604EA841}" name="Yearly Salary" dataDxfId="4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788C463-93C9-432F-AF2A-BAB2F160D367}" name="Table111" displayName="Table111" ref="B4:E23" totalsRowShown="0" headerRowDxfId="46" dataDxfId="45">
  <autoFilter ref="B4:E23" xr:uid="{0FD9D56B-1EC7-4A2B-B06D-C5C6469A7F8B}"/>
  <tableColumns count="4">
    <tableColumn id="1" xr3:uid="{524E19F5-B208-498A-8508-7D110452A5FB}" name="First" dataDxfId="44"/>
    <tableColumn id="2" xr3:uid="{A7A54B06-308D-46D1-A9FF-0836889AC5ED}" name="Last" dataDxfId="43"/>
    <tableColumn id="3" xr3:uid="{05C1C836-0BB9-4020-92C0-F4D3BEBEB34F}" name="Country" dataDxfId="42"/>
    <tableColumn id="4" xr3:uid="{5D9A8522-CEF6-48BE-B1C3-2CABC402CE7D}" name="Age" dataDxfId="4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357FE70-E756-4728-A47B-C06E0741A593}" name="Table6" displayName="Table6" ref="B2:E19" totalsRowShown="0" headerRowDxfId="40">
  <autoFilter ref="B2:E19" xr:uid="{45A1D26E-74BC-104B-BAA5-DBECFB5FB46E}">
    <filterColumn colId="0" hiddenButton="1"/>
    <filterColumn colId="1" hiddenButton="1"/>
    <filterColumn colId="2" hiddenButton="1"/>
    <filterColumn colId="3" hiddenButton="1"/>
  </autoFilter>
  <tableColumns count="4">
    <tableColumn id="1" xr3:uid="{B8A7864E-938F-3C4B-9927-80E96247A4A5}" name="ID" dataDxfId="39">
      <calculatedColumnFormula>B2+3</calculatedColumnFormula>
    </tableColumn>
    <tableColumn id="2" xr3:uid="{4310DC1C-FD71-9E4B-AC81-4D383AB9C03B}" name="Name"/>
    <tableColumn id="3" xr3:uid="{5D65B485-312E-F248-B457-4FE630ECCF94}" name="Location" dataDxfId="38"/>
    <tableColumn id="4" xr3:uid="{19C48944-5461-4446-A533-737E69C6C736}" name="Sales" dataDxfId="37"/>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319425-CD14-428B-9BB3-DE8C8B673711}" name="Table4" displayName="Table4" ref="B4:C14" totalsRowShown="0">
  <autoFilter ref="B4:C14" xr:uid="{1E592783-8D3E-214E-90CA-D2A4C608262A}">
    <filterColumn colId="0" hiddenButton="1"/>
    <filterColumn colId="1" hiddenButton="1"/>
  </autoFilter>
  <tableColumns count="2">
    <tableColumn id="1" xr3:uid="{3FB6D3A9-34B8-5A42-9334-8F8C467EE60D}" name="Figures in USD" dataDxfId="36"/>
    <tableColumn id="2" xr3:uid="{3C79BB4D-C56D-8145-8214-70464FBEDE00}" name="Sales" dataDxfId="35"/>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6D891A-8E99-47F1-8FB4-775C9F6FEE6D}" name="Table7" displayName="Table7" ref="B2:H22" totalsRowShown="0" headerRowDxfId="34">
  <autoFilter ref="B2:H22" xr:uid="{9C633B6E-31E8-504E-9022-68C54738715C}">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6C28C6C6-6FB1-574D-9A4F-5F9B526C20F2}" name="ID" dataDxfId="33">
      <calculatedColumnFormula>B2+3</calculatedColumnFormula>
    </tableColumn>
    <tableColumn id="2" xr3:uid="{C2BAC5CF-F729-B844-B6FC-4892207596A0}" name="First"/>
    <tableColumn id="3" xr3:uid="{042E1190-AEE9-3243-9812-6F698D6BF9B6}" name="Last"/>
    <tableColumn id="4" xr3:uid="{82598C58-6514-5442-98B5-D3907EEF8FE1}" name="Brand"/>
    <tableColumn id="5" xr3:uid="{AF97C5B0-B0BE-1945-A6FD-D0CA68E75927}" name="City"/>
    <tableColumn id="6" xr3:uid="{D7C79ACD-9E0D-EE47-BA3E-712B81905C25}" name="Country"/>
    <tableColumn id="7" xr3:uid="{00CA2BCC-4CE0-A448-8DED-7D853CDF1290}" name="Price"/>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3B570B-C89B-462E-A049-E6F1D6A6175F}" name="Table2" displayName="Table2" ref="B2:F24" totalsRowShown="0" headerRowDxfId="32" dataDxfId="31">
  <autoFilter ref="B2:F24" xr:uid="{6CB3FF65-B7C0-974E-A5DC-68A335986FAA}">
    <filterColumn colId="0" hiddenButton="1"/>
    <filterColumn colId="1" hiddenButton="1"/>
    <filterColumn colId="2" hiddenButton="1"/>
    <filterColumn colId="3" hiddenButton="1"/>
    <filterColumn colId="4" hiddenButton="1"/>
  </autoFilter>
  <tableColumns count="5">
    <tableColumn id="1" xr3:uid="{788F3FD5-093A-524A-B1AC-48F57F0078DA}" name="ID Number" dataDxfId="30"/>
    <tableColumn id="2" xr3:uid="{DA22937D-824B-204A-B6E5-3728D26AB665}" name="Date" dataDxfId="29"/>
    <tableColumn id="3" xr3:uid="{F91461BB-7E6E-684C-B559-90BBAA398CB2}" name="Sale Amount" dataDxfId="28"/>
    <tableColumn id="4" xr3:uid="{21F3D171-3F7E-6440-98FC-8ADE06D1E853}" name="Commission" dataDxfId="27">
      <calculatedColumnFormula>D3*0.2</calculatedColumnFormula>
    </tableColumn>
    <tableColumn id="5" xr3:uid="{049B751E-3FE7-FD42-BF4E-9A9FD2C94FCF}" name="Salesperson"/>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941A7-87EB-4598-87F8-AD64CAADB71E}" name="Table5" displayName="Table5" ref="B2:G14" totalsRowShown="0" headerRowDxfId="26" dataDxfId="25">
  <autoFilter ref="B2:G14" xr:uid="{14A3A326-99AD-6141-AA56-24A89A7299EF}">
    <filterColumn colId="0" hiddenButton="1"/>
    <filterColumn colId="1" hiddenButton="1"/>
    <filterColumn colId="2" hiddenButton="1"/>
    <filterColumn colId="3" hiddenButton="1"/>
    <filterColumn colId="4" hiddenButton="1"/>
    <filterColumn colId="5" hiddenButton="1"/>
  </autoFilter>
  <tableColumns count="6">
    <tableColumn id="1" xr3:uid="{DB315F13-3AE9-2148-B101-41B8B3A53E8C}" name="Company" dataDxfId="24"/>
    <tableColumn id="2" xr3:uid="{0623682E-519B-9B4D-A954-C6A24351F9AF}" name="ID Number" dataDxfId="23"/>
    <tableColumn id="3" xr3:uid="{3E9FD6E5-DC7E-F24C-AB0F-0ED5F851CF9E}" name="Date" dataDxfId="22"/>
    <tableColumn id="4" xr3:uid="{7D31E5F9-A50E-1041-8BE8-4AC80EEB0D10}" name="Month" dataDxfId="21">
      <calculatedColumnFormula>MONTH(D3)</calculatedColumnFormula>
    </tableColumn>
    <tableColumn id="5" xr3:uid="{DD7EC870-0F19-1E4E-A05C-512F20FFDDFC}" name="Sales" dataDxfId="20"/>
    <tableColumn id="6" xr3:uid="{6D84871E-AD74-8D43-B34D-7BE31E9A3009}" name="Commission" dataDxfId="19">
      <calculatedColumnFormula>F3*0.2</calculatedColumnFormula>
    </tableColumn>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473F4E9-C449-40D8-B44C-2914239AC47C}" name="Table3" displayName="Table3" ref="B2:J11" totalsRowShown="0" headerRowDxfId="18" dataDxfId="17">
  <autoFilter ref="B2:J11" xr:uid="{E62197E2-BE14-AC47-8D9A-8F0FBCEB64B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1354C12D-FCE0-BF44-A252-ADA7EAFF8998}" name="Regional Sales" dataDxfId="16"/>
    <tableColumn id="2" xr3:uid="{76AACE74-E000-5B47-9B69-EBBD5BCD6FE1}" name="January" dataDxfId="15"/>
    <tableColumn id="3" xr3:uid="{E39B24D4-EC1F-0542-9A06-295E4AA25D8C}" name="February" dataDxfId="14"/>
    <tableColumn id="4" xr3:uid="{C197CEF3-AF30-A149-A7D9-0B8E09A2A0DA}" name="March" dataDxfId="13"/>
    <tableColumn id="5" xr3:uid="{6C1B47E5-54F4-4B45-90CD-A50D16FBE3D0}" name="April" dataDxfId="12"/>
    <tableColumn id="6" xr3:uid="{6F9CB832-8375-4547-A38A-292D7B88CFE2}" name="May" dataDxfId="11"/>
    <tableColumn id="7" xr3:uid="{E9D346CD-38C8-444B-9725-4B9A41B68645}" name="June" dataDxfId="10"/>
    <tableColumn id="8" xr3:uid="{6360978D-E938-0F47-A18A-288D63D114C4}" name="July" dataDxfId="9"/>
    <tableColumn id="9" xr3:uid="{C3142DC1-710C-174D-B11C-9BE469A142E8}" name="August" dataDxfId="8"/>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3" dT="2023-10-23T16:41:39.11" personId="{AB4966CD-FE43-425F-8772-6EDFC29F7418}" id="{9B5FC8CF-4876-42B9-97A8-A253FF568884}">
    <text>Zwrot pieniedzy</text>
  </threadedComment>
  <threadedComment ref="C14" dT="2023-10-23T16:41:46.16" personId="{AB4966CD-FE43-425F-8772-6EDFC29F7418}" id="{A8DA2C49-FDC8-4C21-BAFC-E71BC64283A8}">
    <text>Zwrot odsetek</text>
  </threadedComment>
</ThreadedComments>
</file>

<file path=xl/webextensions/_rels/webextension1.xml.rels><?xml version="1.0" encoding="UTF-8" standalone="yes"?>
<Relationships xmlns="http://schemas.openxmlformats.org/package/2006/relationships"><Relationship Id="rId1" Type="http://schemas.openxmlformats.org/officeDocument/2006/relationships/image" Target="../media/image13.png"/></Relationships>
</file>

<file path=xl/webextensions/webextension1.xml><?xml version="1.0" encoding="utf-8"?>
<we:webextension xmlns:we="http://schemas.microsoft.com/office/webextensions/webextension/2010/11" id="{00000000-0008-0000-4D00-000002000000}">
  <we:reference id="wa102957661" version="1.4.0.0" store="en-GB" storeType="OMEX"/>
  <we:alternateReferences/>
  <we:properties>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mapType" value="&quot;road&quot;"/>
    <we:property name="pointType" value="&quot;pie&quot;"/>
    <we:property name="showLegend" value="&quot;show&quot;"/>
  </we:properties>
  <we:bindings>
    <we:binding id="Locations" type="matrix" appref="{0A5FC821-61A9-451B-837B-351EB9FC198E}"/>
  </we:bindings>
  <we:snapshot xmlns:r="http://schemas.openxmlformats.org/officeDocument/2006/relationships" r:embed="rId1"/>
</we:webextension>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8" Type="http://schemas.openxmlformats.org/officeDocument/2006/relationships/hyperlink" Target="mailto:jordan.boone@apple.com" TargetMode="External"/><Relationship Id="rId13" Type="http://schemas.openxmlformats.org/officeDocument/2006/relationships/hyperlink" Target="mailto:steven.michael@apple.com" TargetMode="External"/><Relationship Id="rId18" Type="http://schemas.openxmlformats.org/officeDocument/2006/relationships/hyperlink" Target="mailto:denzel.flores@apple.com" TargetMode="External"/><Relationship Id="rId3" Type="http://schemas.openxmlformats.org/officeDocument/2006/relationships/hyperlink" Target="mailto:harley.fritz@apple.com" TargetMode="External"/><Relationship Id="rId21" Type="http://schemas.openxmlformats.org/officeDocument/2006/relationships/hyperlink" Target="mailto:bruce.rich@apple.com" TargetMode="External"/><Relationship Id="rId7" Type="http://schemas.openxmlformats.org/officeDocument/2006/relationships/hyperlink" Target="mailto:jonah.higgins@apple.com" TargetMode="External"/><Relationship Id="rId12" Type="http://schemas.openxmlformats.org/officeDocument/2006/relationships/hyperlink" Target="mailto:conor.wise@apple.com" TargetMode="External"/><Relationship Id="rId17" Type="http://schemas.openxmlformats.org/officeDocument/2006/relationships/hyperlink" Target="mailto:alia.thornton@apple.com" TargetMode="External"/><Relationship Id="rId2" Type="http://schemas.openxmlformats.org/officeDocument/2006/relationships/hyperlink" Target="mailto:kennedi.singh@apple.com" TargetMode="External"/><Relationship Id="rId16" Type="http://schemas.openxmlformats.org/officeDocument/2006/relationships/hyperlink" Target="mailto:franklin.wright@apple.com" TargetMode="External"/><Relationship Id="rId20" Type="http://schemas.openxmlformats.org/officeDocument/2006/relationships/hyperlink" Target="mailto:jaylynn.knapp@apple.com" TargetMode="External"/><Relationship Id="rId1" Type="http://schemas.openxmlformats.org/officeDocument/2006/relationships/hyperlink" Target="mailto:bill.smith@apple.com" TargetMode="External"/><Relationship Id="rId6" Type="http://schemas.openxmlformats.org/officeDocument/2006/relationships/hyperlink" Target="mailto:ivan.hines@apple.com" TargetMode="External"/><Relationship Id="rId11" Type="http://schemas.openxmlformats.org/officeDocument/2006/relationships/hyperlink" Target="mailto:brendan.walls@apple.com" TargetMode="External"/><Relationship Id="rId24" Type="http://schemas.openxmlformats.org/officeDocument/2006/relationships/hyperlink" Target="mailto:jaidyn.andersen@apple.com" TargetMode="External"/><Relationship Id="rId5" Type="http://schemas.openxmlformats.org/officeDocument/2006/relationships/hyperlink" Target="mailto:david.rasmussen@apple.com" TargetMode="External"/><Relationship Id="rId15" Type="http://schemas.openxmlformats.org/officeDocument/2006/relationships/hyperlink" Target="mailto:josue.roach@apple.com" TargetMode="External"/><Relationship Id="rId23" Type="http://schemas.openxmlformats.org/officeDocument/2006/relationships/hyperlink" Target="mailto:bryce.carpenter@apple.com" TargetMode="External"/><Relationship Id="rId10" Type="http://schemas.openxmlformats.org/officeDocument/2006/relationships/hyperlink" Target="mailto:nora.rollins@apple.com" TargetMode="External"/><Relationship Id="rId19" Type="http://schemas.openxmlformats.org/officeDocument/2006/relationships/hyperlink" Target="mailto:bruno.cordova@apple.com" TargetMode="External"/><Relationship Id="rId4" Type="http://schemas.openxmlformats.org/officeDocument/2006/relationships/hyperlink" Target="mailto:nyla.novak@apple.com" TargetMode="External"/><Relationship Id="rId9" Type="http://schemas.openxmlformats.org/officeDocument/2006/relationships/hyperlink" Target="mailto:kylee.townsend@apple.com" TargetMode="External"/><Relationship Id="rId14" Type="http://schemas.openxmlformats.org/officeDocument/2006/relationships/hyperlink" Target="mailto:lucia.mckay@apple.com" TargetMode="External"/><Relationship Id="rId22" Type="http://schemas.openxmlformats.org/officeDocument/2006/relationships/hyperlink" Target="mailto:arturo.moore@apple.com"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3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53.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0.xml"/></Relationships>
</file>

<file path=xl/worksheets/_rels/sheet5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ivotTable" Target="../pivotTables/pivotTable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2.xml"/><Relationship Id="rId1" Type="http://schemas.openxmlformats.org/officeDocument/2006/relationships/printerSettings" Target="../printerSettings/printerSettings8.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6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3.xml"/><Relationship Id="rId1" Type="http://schemas.openxmlformats.org/officeDocument/2006/relationships/printerSettings" Target="../printerSettings/printerSettings9.bin"/><Relationship Id="rId4" Type="http://schemas.openxmlformats.org/officeDocument/2006/relationships/ctrlProp" Target="../ctrlProps/ctrlProp13.xm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14.xml"/></Relationships>
</file>

<file path=xl/worksheets/_rels/sheet69.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75.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3.vml"/><Relationship Id="rId1" Type="http://schemas.openxmlformats.org/officeDocument/2006/relationships/drawing" Target="../drawings/drawing15.xml"/><Relationship Id="rId5" Type="http://schemas.openxmlformats.org/officeDocument/2006/relationships/table" Target="../tables/table10.xml"/><Relationship Id="rId4" Type="http://schemas.openxmlformats.org/officeDocument/2006/relationships/image" Target="../media/image10.emf"/></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8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4.vml"/></Relationships>
</file>

<file path=xl/worksheets/_rels/sheet87.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88.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E9865-62AF-4CF7-868C-55CE546069BF}">
  <dimension ref="B2:C52"/>
  <sheetViews>
    <sheetView showGridLines="0" zoomScale="165" workbookViewId="0">
      <selection activeCell="C3" sqref="C3"/>
    </sheetView>
  </sheetViews>
  <sheetFormatPr defaultColWidth="11.6328125" defaultRowHeight="15.5"/>
  <cols>
    <col min="1" max="1" width="5.453125" style="1" customWidth="1"/>
    <col min="2" max="2" width="8.1796875" style="1" customWidth="1"/>
    <col min="3" max="16384" width="11.6328125" style="1"/>
  </cols>
  <sheetData>
    <row r="2" spans="2:3">
      <c r="B2" s="8" t="s">
        <v>175</v>
      </c>
      <c r="C2" s="8" t="s">
        <v>105</v>
      </c>
    </row>
    <row r="3" spans="2:3">
      <c r="B3" s="2" cm="1">
        <f t="array" ref="B3:B52">_xlfn.SEQUENCE(50)</f>
        <v>1</v>
      </c>
      <c r="C3" s="14" cm="1">
        <f t="array" ref="C3:C52">_xlfn.SEQUENCE(50,,DATE(2023,1,1),7)</f>
        <v>44927</v>
      </c>
    </row>
    <row r="4" spans="2:3">
      <c r="B4" s="2">
        <v>2</v>
      </c>
      <c r="C4" s="14">
        <v>44934</v>
      </c>
    </row>
    <row r="5" spans="2:3">
      <c r="B5" s="2">
        <v>3</v>
      </c>
      <c r="C5" s="14">
        <v>44941</v>
      </c>
    </row>
    <row r="6" spans="2:3">
      <c r="B6" s="2">
        <v>4</v>
      </c>
      <c r="C6" s="14">
        <v>44948</v>
      </c>
    </row>
    <row r="7" spans="2:3">
      <c r="B7" s="2">
        <v>5</v>
      </c>
      <c r="C7" s="14">
        <v>44955</v>
      </c>
    </row>
    <row r="8" spans="2:3">
      <c r="B8" s="2">
        <v>6</v>
      </c>
      <c r="C8" s="14">
        <v>44962</v>
      </c>
    </row>
    <row r="9" spans="2:3">
      <c r="B9" s="2">
        <v>7</v>
      </c>
      <c r="C9" s="14">
        <v>44969</v>
      </c>
    </row>
    <row r="10" spans="2:3">
      <c r="B10" s="2">
        <v>8</v>
      </c>
      <c r="C10" s="14">
        <v>44976</v>
      </c>
    </row>
    <row r="11" spans="2:3">
      <c r="B11" s="2">
        <v>9</v>
      </c>
      <c r="C11" s="14">
        <v>44983</v>
      </c>
    </row>
    <row r="12" spans="2:3">
      <c r="B12" s="2">
        <v>10</v>
      </c>
      <c r="C12" s="14">
        <v>44990</v>
      </c>
    </row>
    <row r="13" spans="2:3">
      <c r="B13" s="2">
        <v>11</v>
      </c>
      <c r="C13" s="14">
        <v>44997</v>
      </c>
    </row>
    <row r="14" spans="2:3">
      <c r="B14" s="2">
        <v>12</v>
      </c>
      <c r="C14" s="14">
        <v>45004</v>
      </c>
    </row>
    <row r="15" spans="2:3">
      <c r="B15" s="2">
        <v>13</v>
      </c>
      <c r="C15" s="14">
        <v>45011</v>
      </c>
    </row>
    <row r="16" spans="2:3">
      <c r="B16" s="2">
        <v>14</v>
      </c>
      <c r="C16" s="14">
        <v>45018</v>
      </c>
    </row>
    <row r="17" spans="2:3">
      <c r="B17" s="2">
        <v>15</v>
      </c>
      <c r="C17" s="14">
        <v>45025</v>
      </c>
    </row>
    <row r="18" spans="2:3">
      <c r="B18" s="2">
        <v>16</v>
      </c>
      <c r="C18" s="14">
        <v>45032</v>
      </c>
    </row>
    <row r="19" spans="2:3">
      <c r="B19" s="2">
        <v>17</v>
      </c>
      <c r="C19" s="14">
        <v>45039</v>
      </c>
    </row>
    <row r="20" spans="2:3">
      <c r="B20" s="2">
        <v>18</v>
      </c>
      <c r="C20" s="14">
        <v>45046</v>
      </c>
    </row>
    <row r="21" spans="2:3">
      <c r="B21" s="2">
        <v>19</v>
      </c>
      <c r="C21" s="14">
        <v>45053</v>
      </c>
    </row>
    <row r="22" spans="2:3">
      <c r="B22" s="2">
        <v>20</v>
      </c>
      <c r="C22" s="14">
        <v>45060</v>
      </c>
    </row>
    <row r="23" spans="2:3">
      <c r="B23" s="2">
        <v>21</v>
      </c>
      <c r="C23" s="14">
        <v>45067</v>
      </c>
    </row>
    <row r="24" spans="2:3">
      <c r="B24" s="2">
        <v>22</v>
      </c>
      <c r="C24" s="14">
        <v>45074</v>
      </c>
    </row>
    <row r="25" spans="2:3">
      <c r="B25" s="2">
        <v>23</v>
      </c>
      <c r="C25" s="14">
        <v>45081</v>
      </c>
    </row>
    <row r="26" spans="2:3">
      <c r="B26" s="2">
        <v>24</v>
      </c>
      <c r="C26" s="14">
        <v>45088</v>
      </c>
    </row>
    <row r="27" spans="2:3">
      <c r="B27" s="2">
        <v>25</v>
      </c>
      <c r="C27" s="14">
        <v>45095</v>
      </c>
    </row>
    <row r="28" spans="2:3">
      <c r="B28" s="2">
        <v>26</v>
      </c>
      <c r="C28" s="14">
        <v>45102</v>
      </c>
    </row>
    <row r="29" spans="2:3">
      <c r="B29" s="2">
        <v>27</v>
      </c>
      <c r="C29" s="14">
        <v>45109</v>
      </c>
    </row>
    <row r="30" spans="2:3">
      <c r="B30" s="2">
        <v>28</v>
      </c>
      <c r="C30" s="14">
        <v>45116</v>
      </c>
    </row>
    <row r="31" spans="2:3">
      <c r="B31" s="2">
        <v>29</v>
      </c>
      <c r="C31" s="14">
        <v>45123</v>
      </c>
    </row>
    <row r="32" spans="2:3">
      <c r="B32" s="2">
        <v>30</v>
      </c>
      <c r="C32" s="14">
        <v>45130</v>
      </c>
    </row>
    <row r="33" spans="2:3">
      <c r="B33" s="2">
        <v>31</v>
      </c>
      <c r="C33" s="14">
        <v>45137</v>
      </c>
    </row>
    <row r="34" spans="2:3">
      <c r="B34" s="2">
        <v>32</v>
      </c>
      <c r="C34" s="14">
        <v>45144</v>
      </c>
    </row>
    <row r="35" spans="2:3">
      <c r="B35" s="2">
        <v>33</v>
      </c>
      <c r="C35" s="14">
        <v>45151</v>
      </c>
    </row>
    <row r="36" spans="2:3">
      <c r="B36" s="2">
        <v>34</v>
      </c>
      <c r="C36" s="14">
        <v>45158</v>
      </c>
    </row>
    <row r="37" spans="2:3">
      <c r="B37" s="2">
        <v>35</v>
      </c>
      <c r="C37" s="14">
        <v>45165</v>
      </c>
    </row>
    <row r="38" spans="2:3">
      <c r="B38" s="2">
        <v>36</v>
      </c>
      <c r="C38" s="14">
        <v>45172</v>
      </c>
    </row>
    <row r="39" spans="2:3">
      <c r="B39" s="2">
        <v>37</v>
      </c>
      <c r="C39" s="14">
        <v>45179</v>
      </c>
    </row>
    <row r="40" spans="2:3">
      <c r="B40" s="2">
        <v>38</v>
      </c>
      <c r="C40" s="14">
        <v>45186</v>
      </c>
    </row>
    <row r="41" spans="2:3">
      <c r="B41" s="2">
        <v>39</v>
      </c>
      <c r="C41" s="14">
        <v>45193</v>
      </c>
    </row>
    <row r="42" spans="2:3">
      <c r="B42" s="2">
        <v>40</v>
      </c>
      <c r="C42" s="14">
        <v>45200</v>
      </c>
    </row>
    <row r="43" spans="2:3">
      <c r="B43" s="2">
        <v>41</v>
      </c>
      <c r="C43" s="14">
        <v>45207</v>
      </c>
    </row>
    <row r="44" spans="2:3">
      <c r="B44" s="2">
        <v>42</v>
      </c>
      <c r="C44" s="14">
        <v>45214</v>
      </c>
    </row>
    <row r="45" spans="2:3">
      <c r="B45" s="2">
        <v>43</v>
      </c>
      <c r="C45" s="14">
        <v>45221</v>
      </c>
    </row>
    <row r="46" spans="2:3">
      <c r="B46" s="2">
        <v>44</v>
      </c>
      <c r="C46" s="14">
        <v>45228</v>
      </c>
    </row>
    <row r="47" spans="2:3">
      <c r="B47" s="2">
        <v>45</v>
      </c>
      <c r="C47" s="14">
        <v>45235</v>
      </c>
    </row>
    <row r="48" spans="2:3">
      <c r="B48" s="2">
        <v>46</v>
      </c>
      <c r="C48" s="14">
        <v>45242</v>
      </c>
    </row>
    <row r="49" spans="2:3">
      <c r="B49" s="2">
        <v>47</v>
      </c>
      <c r="C49" s="14">
        <v>45249</v>
      </c>
    </row>
    <row r="50" spans="2:3">
      <c r="B50" s="2">
        <v>48</v>
      </c>
      <c r="C50" s="14">
        <v>45256</v>
      </c>
    </row>
    <row r="51" spans="2:3">
      <c r="B51" s="2">
        <v>49</v>
      </c>
      <c r="C51" s="14">
        <v>45263</v>
      </c>
    </row>
    <row r="52" spans="2:3">
      <c r="B52" s="2">
        <v>50</v>
      </c>
      <c r="C52" s="14">
        <v>45270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6B588-9D91-45A5-A06F-ABF072ADC0E1}">
  <dimension ref="B3:H34"/>
  <sheetViews>
    <sheetView workbookViewId="0">
      <selection activeCell="H10" sqref="H10"/>
    </sheetView>
  </sheetViews>
  <sheetFormatPr defaultRowHeight="14.5"/>
  <cols>
    <col min="2" max="2" width="10.453125" bestFit="1" customWidth="1"/>
    <col min="3" max="3" width="10.08984375" bestFit="1" customWidth="1"/>
    <col min="7" max="7" width="14.26953125" bestFit="1" customWidth="1"/>
    <col min="8" max="8" width="10.453125" bestFit="1" customWidth="1"/>
  </cols>
  <sheetData>
    <row r="3" spans="2:8" ht="15" thickBot="1">
      <c r="B3" s="227" t="s">
        <v>105</v>
      </c>
      <c r="C3" s="227" t="s">
        <v>76</v>
      </c>
      <c r="G3" s="230" t="s">
        <v>675</v>
      </c>
      <c r="H3" s="228">
        <v>44929</v>
      </c>
    </row>
    <row r="4" spans="2:8">
      <c r="B4" s="228">
        <v>44927</v>
      </c>
      <c r="C4" s="229">
        <f ca="1">RANDBETWEEN(100,5000)</f>
        <v>2398</v>
      </c>
      <c r="G4" s="230" t="s">
        <v>676</v>
      </c>
      <c r="H4" s="228">
        <v>44935</v>
      </c>
    </row>
    <row r="5" spans="2:8">
      <c r="B5" s="228">
        <v>44928</v>
      </c>
      <c r="C5" s="229">
        <f t="shared" ref="C5:C34" ca="1" si="0">RANDBETWEEN(100,5000)</f>
        <v>3734</v>
      </c>
    </row>
    <row r="6" spans="2:8">
      <c r="B6" s="228">
        <v>44929</v>
      </c>
      <c r="C6" s="229">
        <f t="shared" ca="1" si="0"/>
        <v>850</v>
      </c>
    </row>
    <row r="7" spans="2:8">
      <c r="B7" s="228">
        <v>44930</v>
      </c>
      <c r="C7" s="229">
        <f t="shared" ca="1" si="0"/>
        <v>1193</v>
      </c>
    </row>
    <row r="8" spans="2:8" ht="15" thickBot="1">
      <c r="B8" s="228">
        <v>44931</v>
      </c>
      <c r="C8" s="229">
        <f t="shared" ca="1" si="0"/>
        <v>1824</v>
      </c>
      <c r="G8" s="227" t="s">
        <v>105</v>
      </c>
      <c r="H8" s="227" t="s">
        <v>76</v>
      </c>
    </row>
    <row r="9" spans="2:8">
      <c r="B9" s="228">
        <v>44932</v>
      </c>
      <c r="C9" s="229">
        <f t="shared" ca="1" si="0"/>
        <v>4353</v>
      </c>
      <c r="G9" s="228" cm="1">
        <f t="array" aca="1" ref="G9:H15" ca="1">_xlfn._xlws.FILTER(Bang[],(Bang[Date]&gt;=H3)*(H4&gt;=Bang[Date]))</f>
        <v>44929</v>
      </c>
      <c r="H9">
        <f ca="1"/>
        <v>850</v>
      </c>
    </row>
    <row r="10" spans="2:8">
      <c r="B10" s="228">
        <v>44933</v>
      </c>
      <c r="C10" s="229">
        <f t="shared" ca="1" si="0"/>
        <v>1528</v>
      </c>
      <c r="G10" s="228">
        <f ca="1"/>
        <v>44930</v>
      </c>
      <c r="H10">
        <f ca="1"/>
        <v>1193</v>
      </c>
    </row>
    <row r="11" spans="2:8">
      <c r="B11" s="228">
        <v>44934</v>
      </c>
      <c r="C11" s="229">
        <f t="shared" ca="1" si="0"/>
        <v>2436</v>
      </c>
      <c r="G11" s="228">
        <f ca="1"/>
        <v>44931</v>
      </c>
      <c r="H11">
        <f ca="1"/>
        <v>1824</v>
      </c>
    </row>
    <row r="12" spans="2:8">
      <c r="B12" s="228">
        <v>44935</v>
      </c>
      <c r="C12" s="229">
        <f t="shared" ca="1" si="0"/>
        <v>697</v>
      </c>
      <c r="G12" s="228">
        <f ca="1"/>
        <v>44932</v>
      </c>
      <c r="H12">
        <f ca="1"/>
        <v>4353</v>
      </c>
    </row>
    <row r="13" spans="2:8">
      <c r="B13" s="228">
        <v>44936</v>
      </c>
      <c r="C13" s="229">
        <f t="shared" ca="1" si="0"/>
        <v>2718</v>
      </c>
      <c r="G13" s="228">
        <f ca="1"/>
        <v>44933</v>
      </c>
      <c r="H13">
        <f ca="1"/>
        <v>1528</v>
      </c>
    </row>
    <row r="14" spans="2:8">
      <c r="B14" s="228">
        <v>44937</v>
      </c>
      <c r="C14" s="229">
        <f t="shared" ca="1" si="0"/>
        <v>2202</v>
      </c>
      <c r="G14" s="228">
        <f ca="1"/>
        <v>44934</v>
      </c>
      <c r="H14">
        <f ca="1"/>
        <v>2436</v>
      </c>
    </row>
    <row r="15" spans="2:8">
      <c r="B15" s="228">
        <v>44938</v>
      </c>
      <c r="C15" s="229">
        <f t="shared" ca="1" si="0"/>
        <v>1235</v>
      </c>
      <c r="G15" s="228">
        <f ca="1"/>
        <v>44935</v>
      </c>
      <c r="H15">
        <f ca="1"/>
        <v>697</v>
      </c>
    </row>
    <row r="16" spans="2:8">
      <c r="B16" s="228">
        <v>44939</v>
      </c>
      <c r="C16" s="229">
        <f t="shared" ca="1" si="0"/>
        <v>1769</v>
      </c>
    </row>
    <row r="17" spans="2:3">
      <c r="B17" s="228">
        <v>44940</v>
      </c>
      <c r="C17" s="229">
        <f t="shared" ca="1" si="0"/>
        <v>624</v>
      </c>
    </row>
    <row r="18" spans="2:3">
      <c r="B18" s="228">
        <v>44941</v>
      </c>
      <c r="C18" s="229">
        <f t="shared" ca="1" si="0"/>
        <v>4689</v>
      </c>
    </row>
    <row r="19" spans="2:3">
      <c r="B19" s="228">
        <v>44942</v>
      </c>
      <c r="C19" s="229">
        <f t="shared" ca="1" si="0"/>
        <v>2656</v>
      </c>
    </row>
    <row r="20" spans="2:3">
      <c r="B20" s="228">
        <v>44943</v>
      </c>
      <c r="C20" s="229">
        <f t="shared" ca="1" si="0"/>
        <v>3062</v>
      </c>
    </row>
    <row r="21" spans="2:3">
      <c r="B21" s="228">
        <v>44944</v>
      </c>
      <c r="C21" s="229">
        <f t="shared" ca="1" si="0"/>
        <v>4224</v>
      </c>
    </row>
    <row r="22" spans="2:3">
      <c r="B22" s="228">
        <v>44945</v>
      </c>
      <c r="C22" s="229">
        <f t="shared" ca="1" si="0"/>
        <v>507</v>
      </c>
    </row>
    <row r="23" spans="2:3">
      <c r="B23" s="228">
        <v>44946</v>
      </c>
      <c r="C23" s="229">
        <f t="shared" ca="1" si="0"/>
        <v>4243</v>
      </c>
    </row>
    <row r="24" spans="2:3">
      <c r="B24" s="228">
        <v>44947</v>
      </c>
      <c r="C24" s="229">
        <f t="shared" ca="1" si="0"/>
        <v>2518</v>
      </c>
    </row>
    <row r="25" spans="2:3">
      <c r="B25" s="228">
        <v>44948</v>
      </c>
      <c r="C25" s="229">
        <f t="shared" ca="1" si="0"/>
        <v>501</v>
      </c>
    </row>
    <row r="26" spans="2:3">
      <c r="B26" s="228">
        <v>44949</v>
      </c>
      <c r="C26" s="229">
        <f t="shared" ca="1" si="0"/>
        <v>3636</v>
      </c>
    </row>
    <row r="27" spans="2:3">
      <c r="B27" s="228">
        <v>44950</v>
      </c>
      <c r="C27" s="229">
        <f t="shared" ca="1" si="0"/>
        <v>1621</v>
      </c>
    </row>
    <row r="28" spans="2:3">
      <c r="B28" s="228">
        <v>44951</v>
      </c>
      <c r="C28" s="229">
        <f t="shared" ca="1" si="0"/>
        <v>4757</v>
      </c>
    </row>
    <row r="29" spans="2:3">
      <c r="B29" s="228">
        <v>44952</v>
      </c>
      <c r="C29" s="229">
        <f t="shared" ca="1" si="0"/>
        <v>1343</v>
      </c>
    </row>
    <row r="30" spans="2:3">
      <c r="B30" s="228">
        <v>44953</v>
      </c>
      <c r="C30" s="229">
        <f t="shared" ca="1" si="0"/>
        <v>3220</v>
      </c>
    </row>
    <row r="31" spans="2:3">
      <c r="B31" s="228">
        <v>44954</v>
      </c>
      <c r="C31" s="229">
        <f t="shared" ca="1" si="0"/>
        <v>335</v>
      </c>
    </row>
    <row r="32" spans="2:3">
      <c r="B32" s="228">
        <v>44955</v>
      </c>
      <c r="C32" s="229">
        <f t="shared" ca="1" si="0"/>
        <v>996</v>
      </c>
    </row>
    <row r="33" spans="2:3">
      <c r="B33" s="228">
        <v>44956</v>
      </c>
      <c r="C33" s="229">
        <f t="shared" ca="1" si="0"/>
        <v>240</v>
      </c>
    </row>
    <row r="34" spans="2:3">
      <c r="B34" s="228">
        <v>44957</v>
      </c>
      <c r="C34" s="229">
        <f t="shared" ca="1" si="0"/>
        <v>2153</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36483-4DB2-40F5-8B73-1E3F426940A8}">
  <dimension ref="B2:F12"/>
  <sheetViews>
    <sheetView showGridLines="0" zoomScale="150" workbookViewId="0">
      <selection activeCell="F3" sqref="F3"/>
    </sheetView>
  </sheetViews>
  <sheetFormatPr defaultColWidth="11.6328125" defaultRowHeight="15.5"/>
  <cols>
    <col min="1" max="1" width="4" style="1" customWidth="1"/>
    <col min="2" max="2" width="12.90625" style="1" bestFit="1" customWidth="1"/>
    <col min="3" max="3" width="12.54296875" style="1" bestFit="1" customWidth="1"/>
    <col min="4" max="4" width="6.1796875" style="1" customWidth="1"/>
    <col min="5" max="5" width="5.6328125" style="1" bestFit="1" customWidth="1"/>
    <col min="6" max="6" width="12.54296875" style="1" bestFit="1" customWidth="1"/>
    <col min="7" max="16384" width="11.6328125" style="1"/>
  </cols>
  <sheetData>
    <row r="2" spans="2:6">
      <c r="B2" s="45" t="s">
        <v>64</v>
      </c>
      <c r="C2" s="44" t="s">
        <v>173</v>
      </c>
      <c r="E2" s="44" t="s">
        <v>174</v>
      </c>
      <c r="F2" s="44" t="s">
        <v>173</v>
      </c>
    </row>
    <row r="3" spans="2:6">
      <c r="B3" s="1" t="s">
        <v>172</v>
      </c>
      <c r="C3" s="43">
        <v>14350303</v>
      </c>
      <c r="E3" s="3">
        <v>1</v>
      </c>
      <c r="F3" s="43" cm="1">
        <f t="array" ref="F3:F7">LARGE(C3:C12,E3:E7)</f>
        <v>21010278.622300006</v>
      </c>
    </row>
    <row r="4" spans="2:6">
      <c r="B4" s="1" t="s">
        <v>171</v>
      </c>
      <c r="C4" s="43">
        <v>11480242.4</v>
      </c>
      <c r="E4" s="3">
        <v>2</v>
      </c>
      <c r="F4" s="43">
        <v>19100253.293000005</v>
      </c>
    </row>
    <row r="5" spans="2:6">
      <c r="B5" s="1" t="s">
        <v>170</v>
      </c>
      <c r="C5" s="43">
        <v>15785333.300000001</v>
      </c>
      <c r="E5" s="3">
        <v>3</v>
      </c>
      <c r="F5" s="43">
        <v>17363866.630000003</v>
      </c>
    </row>
    <row r="6" spans="2:6">
      <c r="B6" s="1" t="s">
        <v>169</v>
      </c>
      <c r="C6" s="43">
        <v>12628266.640000001</v>
      </c>
      <c r="E6" s="3">
        <v>4</v>
      </c>
      <c r="F6" s="43">
        <v>16808222.897840004</v>
      </c>
    </row>
    <row r="7" spans="2:6">
      <c r="B7" s="1" t="s">
        <v>168</v>
      </c>
      <c r="C7" s="43">
        <v>17363866.630000003</v>
      </c>
      <c r="E7" s="3">
        <v>5</v>
      </c>
      <c r="F7" s="43">
        <v>15785333.300000001</v>
      </c>
    </row>
    <row r="8" spans="2:6">
      <c r="B8" s="1" t="s">
        <v>167</v>
      </c>
      <c r="C8" s="43">
        <v>13891093.304000003</v>
      </c>
    </row>
    <row r="9" spans="2:6">
      <c r="B9" s="1" t="s">
        <v>166</v>
      </c>
      <c r="C9" s="43">
        <v>19100253.293000005</v>
      </c>
    </row>
    <row r="10" spans="2:6">
      <c r="B10" s="1" t="s">
        <v>165</v>
      </c>
      <c r="C10" s="43">
        <v>15280202.634400005</v>
      </c>
    </row>
    <row r="11" spans="2:6">
      <c r="B11" s="1" t="s">
        <v>164</v>
      </c>
      <c r="C11" s="43">
        <v>21010278.622300006</v>
      </c>
    </row>
    <row r="12" spans="2:6">
      <c r="B12" s="1" t="s">
        <v>163</v>
      </c>
      <c r="C12" s="43">
        <v>16808222.897840004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09148-2590-4650-B57A-1951380A84EA}">
  <dimension ref="C3:E17"/>
  <sheetViews>
    <sheetView workbookViewId="0">
      <selection activeCell="G14" sqref="G14"/>
    </sheetView>
  </sheetViews>
  <sheetFormatPr defaultRowHeight="14.5"/>
  <cols>
    <col min="5" max="5" width="8.90625" bestFit="1" customWidth="1"/>
  </cols>
  <sheetData>
    <row r="3" spans="3:5" ht="15" thickBot="1">
      <c r="C3" s="231" t="s">
        <v>677</v>
      </c>
      <c r="D3" s="231" t="s">
        <v>678</v>
      </c>
      <c r="E3" s="231" t="s">
        <v>679</v>
      </c>
    </row>
    <row r="4" spans="3:5">
      <c r="C4" t="s">
        <v>680</v>
      </c>
      <c r="D4" t="s">
        <v>680</v>
      </c>
      <c r="E4" t="str" cm="1">
        <f t="array" ref="E4:E11">_xlfn._xlws.FILTER(C4:C17,NOT(COUNTIF(D4:D9,C4:C17)))</f>
        <v>fsdaf</v>
      </c>
    </row>
    <row r="5" spans="3:5">
      <c r="C5" t="s">
        <v>681</v>
      </c>
      <c r="D5" t="s">
        <v>681</v>
      </c>
      <c r="E5" t="str">
        <v>ewwq</v>
      </c>
    </row>
    <row r="6" spans="3:5">
      <c r="C6" t="s">
        <v>682</v>
      </c>
      <c r="D6" t="s">
        <v>682</v>
      </c>
      <c r="E6" t="str">
        <v>rewq</v>
      </c>
    </row>
    <row r="7" spans="3:5">
      <c r="C7" t="s">
        <v>683</v>
      </c>
      <c r="D7" t="s">
        <v>683</v>
      </c>
      <c r="E7" t="str">
        <v>vbe</v>
      </c>
    </row>
    <row r="8" spans="3:5">
      <c r="C8" t="s">
        <v>684</v>
      </c>
      <c r="D8" t="s">
        <v>684</v>
      </c>
      <c r="E8" t="str">
        <v>wq</v>
      </c>
    </row>
    <row r="9" spans="3:5">
      <c r="C9" t="s">
        <v>692</v>
      </c>
      <c r="D9" t="s">
        <v>692</v>
      </c>
      <c r="E9" t="str">
        <v>qwer</v>
      </c>
    </row>
    <row r="10" spans="3:5">
      <c r="C10" t="s">
        <v>685</v>
      </c>
      <c r="E10" t="str">
        <v>asdf</v>
      </c>
    </row>
    <row r="11" spans="3:5">
      <c r="C11" t="s">
        <v>686</v>
      </c>
      <c r="E11" t="str">
        <v>vxz</v>
      </c>
    </row>
    <row r="12" spans="3:5">
      <c r="C12" t="s">
        <v>687</v>
      </c>
    </row>
    <row r="13" spans="3:5">
      <c r="C13" t="s">
        <v>688</v>
      </c>
    </row>
    <row r="14" spans="3:5">
      <c r="C14" t="s">
        <v>322</v>
      </c>
    </row>
    <row r="15" spans="3:5">
      <c r="C15" t="s">
        <v>689</v>
      </c>
    </row>
    <row r="16" spans="3:5">
      <c r="C16" t="s">
        <v>690</v>
      </c>
    </row>
    <row r="17" spans="3:3">
      <c r="C17" t="s">
        <v>691</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ACE5C-A725-4546-89D8-1A19E5D83CCE}">
  <dimension ref="C3:G13"/>
  <sheetViews>
    <sheetView workbookViewId="0">
      <selection activeCell="F4" sqref="F4"/>
    </sheetView>
  </sheetViews>
  <sheetFormatPr defaultRowHeight="14.5"/>
  <sheetData>
    <row r="3" spans="3:7">
      <c r="C3" s="233" t="s">
        <v>693</v>
      </c>
      <c r="D3" t="s">
        <v>703</v>
      </c>
      <c r="F3" s="232" t="s">
        <v>694</v>
      </c>
      <c r="G3" s="232" t="s">
        <v>695</v>
      </c>
    </row>
    <row r="4" spans="3:7">
      <c r="F4" t="s">
        <v>696</v>
      </c>
      <c r="G4" t="str" cm="1">
        <f t="array" ref="G4:G11">_xlfn.UNIQUE(_xlfn._xlws.SORT(_xlfn._xlws.FILTER(F4:F21,NOT(ISBLANK(F4:F21)),"NA")))</f>
        <v>apple</v>
      </c>
    </row>
    <row r="5" spans="3:7">
      <c r="F5" t="s">
        <v>697</v>
      </c>
      <c r="G5" t="str">
        <v>date</v>
      </c>
    </row>
    <row r="6" spans="3:7">
      <c r="F6" t="s">
        <v>698</v>
      </c>
      <c r="G6" t="str">
        <v>fig</v>
      </c>
    </row>
    <row r="7" spans="3:7">
      <c r="F7" t="s">
        <v>699</v>
      </c>
      <c r="G7" t="str">
        <v>kiwi</v>
      </c>
    </row>
    <row r="8" spans="3:7">
      <c r="F8" t="s">
        <v>700</v>
      </c>
      <c r="G8" t="str">
        <v>lime</v>
      </c>
    </row>
    <row r="9" spans="3:7">
      <c r="F9" t="s">
        <v>701</v>
      </c>
      <c r="G9" t="str">
        <v>pear</v>
      </c>
    </row>
    <row r="10" spans="3:7">
      <c r="F10" t="s">
        <v>701</v>
      </c>
      <c r="G10" t="str">
        <v>plum</v>
      </c>
    </row>
    <row r="11" spans="3:7">
      <c r="F11" t="s">
        <v>700</v>
      </c>
      <c r="G11" t="str">
        <v>pome</v>
      </c>
    </row>
    <row r="12" spans="3:7">
      <c r="F12" t="s">
        <v>702</v>
      </c>
    </row>
    <row r="13" spans="3:7">
      <c r="F13" t="s">
        <v>703</v>
      </c>
    </row>
  </sheetData>
  <dataValidations count="1">
    <dataValidation type="list" allowBlank="1" showInputMessage="1" showErrorMessage="1" sqref="D3" xr:uid="{E14FD2DB-3ADA-471F-8F4C-D363081D77C3}">
      <formula1>_xlfn.ANCHORARRAY($G$4)</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5534A-9D67-498E-99AC-5EC47D735E3A}">
  <dimension ref="B2:J80"/>
  <sheetViews>
    <sheetView showGridLines="0" zoomScale="108" zoomScaleNormal="108" workbookViewId="0">
      <selection activeCell="D3" sqref="D3"/>
    </sheetView>
  </sheetViews>
  <sheetFormatPr defaultColWidth="11.81640625" defaultRowHeight="14.5"/>
  <cols>
    <col min="1" max="1" width="4.90625" style="234" customWidth="1"/>
    <col min="2" max="2" width="24" style="234" customWidth="1"/>
    <col min="3" max="3" width="4.54296875" style="235" customWidth="1"/>
    <col min="4" max="8" width="9.6328125" style="234" customWidth="1"/>
    <col min="9" max="16384" width="11.81640625" style="234"/>
  </cols>
  <sheetData>
    <row r="2" spans="2:10">
      <c r="B2" s="272"/>
      <c r="C2" s="271"/>
      <c r="D2" s="270">
        <v>2023</v>
      </c>
      <c r="E2" s="270">
        <f>D2+1</f>
        <v>2024</v>
      </c>
      <c r="F2" s="270">
        <f>E2+1</f>
        <v>2025</v>
      </c>
      <c r="G2" s="270">
        <f>F2+1</f>
        <v>2026</v>
      </c>
      <c r="H2" s="270">
        <f>G2+1</f>
        <v>2027</v>
      </c>
    </row>
    <row r="3" spans="2:10">
      <c r="B3" s="269" t="s">
        <v>77</v>
      </c>
      <c r="C3" s="268" t="s">
        <v>734</v>
      </c>
      <c r="D3" s="267" t="s">
        <v>733</v>
      </c>
      <c r="E3" s="266" t="s">
        <v>732</v>
      </c>
      <c r="F3" s="266" t="s">
        <v>731</v>
      </c>
      <c r="G3" s="266" t="s">
        <v>730</v>
      </c>
      <c r="H3" s="266" t="s">
        <v>729</v>
      </c>
    </row>
    <row r="4" spans="2:10">
      <c r="B4" s="264" t="s">
        <v>123</v>
      </c>
      <c r="C4" s="265"/>
      <c r="D4" s="264"/>
      <c r="E4" s="264"/>
      <c r="F4" s="264"/>
      <c r="G4" s="264"/>
      <c r="H4" s="264"/>
      <c r="I4" s="234" t="s">
        <v>728</v>
      </c>
      <c r="J4" s="263">
        <v>1</v>
      </c>
    </row>
    <row r="5" spans="2:10">
      <c r="B5" s="257" t="s">
        <v>162</v>
      </c>
      <c r="C5" s="256" t="s">
        <v>710</v>
      </c>
      <c r="D5" s="255">
        <f>D30*D32</f>
        <v>119850.00000000001</v>
      </c>
      <c r="E5" s="255">
        <f>E30*E32</f>
        <v>239700.00000000003</v>
      </c>
      <c r="F5" s="255">
        <f>F30*F32</f>
        <v>419475.00000000006</v>
      </c>
      <c r="G5" s="255">
        <f>G30*G32</f>
        <v>629212.5</v>
      </c>
      <c r="H5" s="255">
        <f>H30*H32</f>
        <v>849436.87500000012</v>
      </c>
    </row>
    <row r="6" spans="2:10">
      <c r="B6" s="257" t="s">
        <v>727</v>
      </c>
      <c r="D6" s="242"/>
      <c r="E6" s="242"/>
      <c r="F6" s="242"/>
      <c r="G6" s="242"/>
      <c r="H6" s="242"/>
    </row>
    <row r="7" spans="2:10">
      <c r="B7" s="239" t="s">
        <v>715</v>
      </c>
      <c r="C7" s="235" t="s">
        <v>710</v>
      </c>
      <c r="D7" s="242">
        <f t="shared" ref="D7:H8" si="0">D$30*D35</f>
        <v>19500</v>
      </c>
      <c r="E7" s="242">
        <f t="shared" si="0"/>
        <v>39000</v>
      </c>
      <c r="F7" s="242">
        <f t="shared" si="0"/>
        <v>68250</v>
      </c>
      <c r="G7" s="242">
        <f t="shared" si="0"/>
        <v>102375</v>
      </c>
      <c r="H7" s="242">
        <f t="shared" si="0"/>
        <v>138206.25</v>
      </c>
      <c r="J7" s="262"/>
    </row>
    <row r="8" spans="2:10">
      <c r="B8" s="239" t="s">
        <v>714</v>
      </c>
      <c r="C8" s="235" t="s">
        <v>710</v>
      </c>
      <c r="D8" s="242">
        <f t="shared" si="0"/>
        <v>6750</v>
      </c>
      <c r="E8" s="242">
        <f t="shared" si="0"/>
        <v>13500</v>
      </c>
      <c r="F8" s="242">
        <f t="shared" si="0"/>
        <v>23625</v>
      </c>
      <c r="G8" s="242">
        <f t="shared" si="0"/>
        <v>35437.5</v>
      </c>
      <c r="H8" s="242">
        <f t="shared" si="0"/>
        <v>47840.625</v>
      </c>
    </row>
    <row r="9" spans="2:10">
      <c r="B9" s="260" t="s">
        <v>154</v>
      </c>
      <c r="C9" s="259" t="s">
        <v>710</v>
      </c>
      <c r="D9" s="258">
        <f>SUM(D7:D8)</f>
        <v>26250</v>
      </c>
      <c r="E9" s="258">
        <f>SUM(E7:E8)</f>
        <v>52500</v>
      </c>
      <c r="F9" s="258">
        <f>SUM(F7:F8)</f>
        <v>91875</v>
      </c>
      <c r="G9" s="258">
        <f>SUM(G7:G8)</f>
        <v>137812.5</v>
      </c>
      <c r="H9" s="258">
        <f>SUM(H7:H8)</f>
        <v>186046.875</v>
      </c>
    </row>
    <row r="10" spans="2:10">
      <c r="B10" s="239"/>
      <c r="D10" s="242"/>
      <c r="E10" s="242"/>
      <c r="F10" s="242"/>
      <c r="G10" s="242"/>
      <c r="H10" s="242"/>
    </row>
    <row r="11" spans="2:10">
      <c r="B11" s="254" t="s">
        <v>153</v>
      </c>
      <c r="C11" s="253" t="s">
        <v>710</v>
      </c>
      <c r="D11" s="252">
        <f>D5-D9</f>
        <v>93600.000000000015</v>
      </c>
      <c r="E11" s="252">
        <f>E5-E9</f>
        <v>187200.00000000003</v>
      </c>
      <c r="F11" s="252">
        <f>F5-F9</f>
        <v>327600.00000000006</v>
      </c>
      <c r="G11" s="252">
        <f>G5-G9</f>
        <v>491400</v>
      </c>
      <c r="H11" s="252">
        <f>H5-H9</f>
        <v>663390.00000000012</v>
      </c>
    </row>
    <row r="12" spans="2:10">
      <c r="B12" s="251" t="s">
        <v>726</v>
      </c>
      <c r="C12" s="235" t="s">
        <v>709</v>
      </c>
      <c r="D12" s="250">
        <f>D11/D5</f>
        <v>0.78097622027534419</v>
      </c>
      <c r="E12" s="250">
        <f>E11/E5</f>
        <v>0.78097622027534419</v>
      </c>
      <c r="F12" s="250">
        <f>F11/F5</f>
        <v>0.78097622027534419</v>
      </c>
      <c r="G12" s="250">
        <f>G11/G5</f>
        <v>0.78097622027534419</v>
      </c>
      <c r="H12" s="250">
        <f>H11/H5</f>
        <v>0.78097622027534419</v>
      </c>
    </row>
    <row r="14" spans="2:10">
      <c r="B14" s="257" t="s">
        <v>443</v>
      </c>
      <c r="C14" s="256"/>
    </row>
    <row r="15" spans="2:10">
      <c r="B15" s="239" t="s">
        <v>713</v>
      </c>
      <c r="C15" s="261" t="s">
        <v>710</v>
      </c>
      <c r="D15" s="242">
        <f t="shared" ref="D15:H18" si="1">D39</f>
        <v>20000</v>
      </c>
      <c r="E15" s="242">
        <f t="shared" si="1"/>
        <v>20000</v>
      </c>
      <c r="F15" s="242">
        <f t="shared" si="1"/>
        <v>30000</v>
      </c>
      <c r="G15" s="242">
        <f t="shared" si="1"/>
        <v>30000</v>
      </c>
      <c r="H15" s="242">
        <f t="shared" si="1"/>
        <v>30000</v>
      </c>
    </row>
    <row r="16" spans="2:10">
      <c r="B16" s="239" t="s">
        <v>712</v>
      </c>
      <c r="C16" s="261" t="s">
        <v>710</v>
      </c>
      <c r="D16" s="242">
        <f t="shared" si="1"/>
        <v>50000</v>
      </c>
      <c r="E16" s="242">
        <f t="shared" si="1"/>
        <v>50000</v>
      </c>
      <c r="F16" s="242">
        <f t="shared" si="1"/>
        <v>100000</v>
      </c>
      <c r="G16" s="242">
        <f t="shared" si="1"/>
        <v>100000</v>
      </c>
      <c r="H16" s="242">
        <f t="shared" si="1"/>
        <v>100000</v>
      </c>
    </row>
    <row r="17" spans="2:8">
      <c r="B17" s="239" t="s">
        <v>456</v>
      </c>
      <c r="C17" s="235" t="s">
        <v>710</v>
      </c>
      <c r="D17" s="242">
        <f t="shared" si="1"/>
        <v>25000</v>
      </c>
      <c r="E17" s="242">
        <f t="shared" si="1"/>
        <v>25000</v>
      </c>
      <c r="F17" s="242">
        <f t="shared" si="1"/>
        <v>50000</v>
      </c>
      <c r="G17" s="242">
        <f t="shared" si="1"/>
        <v>100000</v>
      </c>
      <c r="H17" s="242">
        <f t="shared" si="1"/>
        <v>100000</v>
      </c>
    </row>
    <row r="18" spans="2:8">
      <c r="B18" s="239" t="s">
        <v>711</v>
      </c>
      <c r="C18" s="235" t="s">
        <v>710</v>
      </c>
      <c r="D18" s="242">
        <f t="shared" si="1"/>
        <v>5000</v>
      </c>
      <c r="E18" s="242">
        <f t="shared" si="1"/>
        <v>5000</v>
      </c>
      <c r="F18" s="242">
        <f t="shared" si="1"/>
        <v>5000</v>
      </c>
      <c r="G18" s="242">
        <f t="shared" si="1"/>
        <v>5000</v>
      </c>
      <c r="H18" s="242">
        <f t="shared" si="1"/>
        <v>5000</v>
      </c>
    </row>
    <row r="19" spans="2:8">
      <c r="B19" s="260" t="s">
        <v>371</v>
      </c>
      <c r="C19" s="259" t="s">
        <v>710</v>
      </c>
      <c r="D19" s="258">
        <f>SUM(D15:D18)</f>
        <v>100000</v>
      </c>
      <c r="E19" s="258">
        <f>SUM(E15:E18)</f>
        <v>100000</v>
      </c>
      <c r="F19" s="258">
        <f>SUM(F15:F18)</f>
        <v>185000</v>
      </c>
      <c r="G19" s="258">
        <f>SUM(G15:G18)</f>
        <v>235000</v>
      </c>
      <c r="H19" s="258">
        <f>SUM(H15:H18)</f>
        <v>235000</v>
      </c>
    </row>
    <row r="20" spans="2:8">
      <c r="B20" s="257"/>
      <c r="C20" s="256"/>
      <c r="D20" s="255"/>
      <c r="E20" s="255"/>
      <c r="F20" s="255"/>
      <c r="G20" s="255"/>
      <c r="H20" s="255"/>
    </row>
    <row r="21" spans="2:8">
      <c r="B21" s="254" t="s">
        <v>725</v>
      </c>
      <c r="C21" s="253" t="s">
        <v>710</v>
      </c>
      <c r="D21" s="252">
        <f>D5-D9-D19</f>
        <v>-6399.9999999999854</v>
      </c>
      <c r="E21" s="252">
        <f>E5-E9-E19</f>
        <v>87200.000000000029</v>
      </c>
      <c r="F21" s="252">
        <f>F5-F9-F19</f>
        <v>142600.00000000006</v>
      </c>
      <c r="G21" s="252">
        <f>G5-G9-G19</f>
        <v>256400</v>
      </c>
      <c r="H21" s="252">
        <f>H5-H9-H19</f>
        <v>428390.00000000012</v>
      </c>
    </row>
    <row r="22" spans="2:8">
      <c r="B22" s="251" t="s">
        <v>724</v>
      </c>
      <c r="C22" s="235" t="s">
        <v>709</v>
      </c>
      <c r="D22" s="250">
        <f>D21/D5</f>
        <v>-5.3400083437630246E-2</v>
      </c>
      <c r="E22" s="250">
        <f>E21/E5</f>
        <v>0.36378806841885697</v>
      </c>
      <c r="F22" s="250">
        <f>F21/F5</f>
        <v>0.33994874545562914</v>
      </c>
      <c r="G22" s="250">
        <f>G21/G5</f>
        <v>0.40749349385144129</v>
      </c>
      <c r="H22" s="250">
        <f>H21/H5</f>
        <v>0.50432234885023097</v>
      </c>
    </row>
    <row r="24" spans="2:8">
      <c r="B24" s="234" t="s">
        <v>723</v>
      </c>
      <c r="C24" s="235" t="s">
        <v>710</v>
      </c>
      <c r="D24" s="249" t="str">
        <f>IF(D21&lt;0,"NA",D21*D44)</f>
        <v>NA</v>
      </c>
      <c r="E24" s="249">
        <f>IF(E21&lt;0,"NA",E21*E44)</f>
        <v>17440.000000000007</v>
      </c>
      <c r="F24" s="249">
        <f>IF(F21&lt;0,"NA",F21*F44)</f>
        <v>28520.000000000015</v>
      </c>
      <c r="G24" s="249">
        <f>IF(G21&lt;0,"NA",G21*G44)</f>
        <v>51280</v>
      </c>
      <c r="H24" s="249">
        <f>IF(H21&lt;0,"NA",H21*H44)</f>
        <v>85678.000000000029</v>
      </c>
    </row>
    <row r="25" spans="2:8">
      <c r="B25" s="248" t="s">
        <v>722</v>
      </c>
      <c r="C25" s="247" t="s">
        <v>710</v>
      </c>
      <c r="D25" s="246">
        <f>IFERROR(D21-D24,D21)</f>
        <v>-6399.9999999999854</v>
      </c>
      <c r="E25" s="246">
        <f>IFERROR(E21-E24,E21)</f>
        <v>69760.000000000029</v>
      </c>
      <c r="F25" s="246">
        <f>IFERROR(F21-F24,F21)</f>
        <v>114080.00000000004</v>
      </c>
      <c r="G25" s="246">
        <f>IFERROR(G21-G24,G21)</f>
        <v>205120</v>
      </c>
      <c r="H25" s="246">
        <f>IFERROR(H21-H24,H21)</f>
        <v>342712.00000000012</v>
      </c>
    </row>
    <row r="28" spans="2:8">
      <c r="B28" s="243" t="s">
        <v>263</v>
      </c>
      <c r="C28" s="244"/>
      <c r="D28" s="243"/>
      <c r="E28" s="243"/>
      <c r="F28" s="243"/>
      <c r="G28" s="243"/>
      <c r="H28" s="243"/>
    </row>
    <row r="29" spans="2:8">
      <c r="B29" s="234" t="s">
        <v>162</v>
      </c>
    </row>
    <row r="30" spans="2:8">
      <c r="B30" s="239" t="s">
        <v>719</v>
      </c>
      <c r="C30" s="235" t="s">
        <v>650</v>
      </c>
      <c r="D30" s="238">
        <f t="shared" ref="D30:H44" si="2">CHOOSE($J$4,D48,D66)</f>
        <v>3000</v>
      </c>
      <c r="E30" s="242">
        <f t="shared" si="2"/>
        <v>6000</v>
      </c>
      <c r="F30" s="242">
        <f t="shared" si="2"/>
        <v>10500</v>
      </c>
      <c r="G30" s="242">
        <f t="shared" si="2"/>
        <v>15750</v>
      </c>
      <c r="H30" s="242">
        <f t="shared" si="2"/>
        <v>21262.5</v>
      </c>
    </row>
    <row r="31" spans="2:8">
      <c r="B31" s="239" t="s">
        <v>718</v>
      </c>
      <c r="C31" s="235" t="s">
        <v>709</v>
      </c>
      <c r="D31" s="238">
        <f t="shared" si="2"/>
        <v>0</v>
      </c>
      <c r="E31" s="241">
        <f t="shared" si="2"/>
        <v>1</v>
      </c>
      <c r="F31" s="241">
        <f t="shared" si="2"/>
        <v>0.75</v>
      </c>
      <c r="G31" s="241">
        <f t="shared" si="2"/>
        <v>0.5</v>
      </c>
      <c r="H31" s="241">
        <f t="shared" si="2"/>
        <v>0.35</v>
      </c>
    </row>
    <row r="32" spans="2:8">
      <c r="B32" s="239" t="s">
        <v>717</v>
      </c>
      <c r="C32" s="235" t="s">
        <v>710</v>
      </c>
      <c r="D32" s="240">
        <f t="shared" si="2"/>
        <v>39.950000000000003</v>
      </c>
      <c r="E32" s="240">
        <f t="shared" si="2"/>
        <v>39.950000000000003</v>
      </c>
      <c r="F32" s="240">
        <f t="shared" si="2"/>
        <v>39.950000000000003</v>
      </c>
      <c r="G32" s="240">
        <f t="shared" si="2"/>
        <v>39.950000000000003</v>
      </c>
      <c r="H32" s="240">
        <f t="shared" si="2"/>
        <v>39.950000000000003</v>
      </c>
    </row>
    <row r="33" spans="2:8">
      <c r="B33" s="239"/>
      <c r="D33" s="238">
        <f t="shared" si="2"/>
        <v>0</v>
      </c>
      <c r="E33" s="238">
        <f t="shared" si="2"/>
        <v>0</v>
      </c>
      <c r="F33" s="238">
        <f t="shared" si="2"/>
        <v>0</v>
      </c>
      <c r="G33" s="238">
        <f t="shared" si="2"/>
        <v>0</v>
      </c>
      <c r="H33" s="238">
        <f t="shared" si="2"/>
        <v>0</v>
      </c>
    </row>
    <row r="34" spans="2:8">
      <c r="B34" s="237" t="s">
        <v>716</v>
      </c>
      <c r="D34" s="238">
        <f t="shared" si="2"/>
        <v>0</v>
      </c>
      <c r="E34" s="238">
        <f t="shared" si="2"/>
        <v>0</v>
      </c>
      <c r="F34" s="238">
        <f t="shared" si="2"/>
        <v>0</v>
      </c>
      <c r="G34" s="238">
        <f t="shared" si="2"/>
        <v>0</v>
      </c>
      <c r="H34" s="238">
        <f t="shared" si="2"/>
        <v>0</v>
      </c>
    </row>
    <row r="35" spans="2:8">
      <c r="B35" s="239" t="s">
        <v>715</v>
      </c>
      <c r="C35" s="235" t="s">
        <v>710</v>
      </c>
      <c r="D35" s="240">
        <f t="shared" si="2"/>
        <v>6.5</v>
      </c>
      <c r="E35" s="240">
        <f t="shared" si="2"/>
        <v>6.5</v>
      </c>
      <c r="F35" s="240">
        <f t="shared" si="2"/>
        <v>6.5</v>
      </c>
      <c r="G35" s="240">
        <f t="shared" si="2"/>
        <v>6.5</v>
      </c>
      <c r="H35" s="240">
        <f t="shared" si="2"/>
        <v>6.5</v>
      </c>
    </row>
    <row r="36" spans="2:8">
      <c r="B36" s="239" t="s">
        <v>714</v>
      </c>
      <c r="C36" s="235" t="s">
        <v>710</v>
      </c>
      <c r="D36" s="240">
        <f t="shared" si="2"/>
        <v>2.25</v>
      </c>
      <c r="E36" s="240">
        <f t="shared" si="2"/>
        <v>2.25</v>
      </c>
      <c r="F36" s="240">
        <f t="shared" si="2"/>
        <v>2.25</v>
      </c>
      <c r="G36" s="240">
        <f t="shared" si="2"/>
        <v>2.25</v>
      </c>
      <c r="H36" s="240">
        <f t="shared" si="2"/>
        <v>2.25</v>
      </c>
    </row>
    <row r="37" spans="2:8">
      <c r="B37" s="239"/>
      <c r="D37" s="238">
        <f t="shared" si="2"/>
        <v>0</v>
      </c>
      <c r="E37" s="238">
        <f t="shared" si="2"/>
        <v>0</v>
      </c>
      <c r="F37" s="238">
        <f t="shared" si="2"/>
        <v>0</v>
      </c>
      <c r="G37" s="238">
        <f t="shared" si="2"/>
        <v>0</v>
      </c>
      <c r="H37" s="238">
        <f t="shared" si="2"/>
        <v>0</v>
      </c>
    </row>
    <row r="38" spans="2:8">
      <c r="B38" s="237" t="s">
        <v>443</v>
      </c>
      <c r="D38" s="238">
        <f t="shared" si="2"/>
        <v>0</v>
      </c>
      <c r="E38" s="238">
        <f t="shared" si="2"/>
        <v>0</v>
      </c>
      <c r="F38" s="238">
        <f t="shared" si="2"/>
        <v>0</v>
      </c>
      <c r="G38" s="238">
        <f t="shared" si="2"/>
        <v>0</v>
      </c>
      <c r="H38" s="238">
        <f t="shared" si="2"/>
        <v>0</v>
      </c>
    </row>
    <row r="39" spans="2:8">
      <c r="B39" s="239" t="s">
        <v>713</v>
      </c>
      <c r="C39" s="235" t="s">
        <v>710</v>
      </c>
      <c r="D39" s="238">
        <f t="shared" si="2"/>
        <v>20000</v>
      </c>
      <c r="E39" s="238">
        <f t="shared" si="2"/>
        <v>20000</v>
      </c>
      <c r="F39" s="238">
        <f t="shared" si="2"/>
        <v>30000</v>
      </c>
      <c r="G39" s="238">
        <f t="shared" si="2"/>
        <v>30000</v>
      </c>
      <c r="H39" s="238">
        <f t="shared" si="2"/>
        <v>30000</v>
      </c>
    </row>
    <row r="40" spans="2:8">
      <c r="B40" s="239" t="s">
        <v>712</v>
      </c>
      <c r="C40" s="235" t="s">
        <v>710</v>
      </c>
      <c r="D40" s="238">
        <f t="shared" si="2"/>
        <v>50000</v>
      </c>
      <c r="E40" s="238">
        <f t="shared" si="2"/>
        <v>50000</v>
      </c>
      <c r="F40" s="238">
        <f t="shared" si="2"/>
        <v>100000</v>
      </c>
      <c r="G40" s="238">
        <f t="shared" si="2"/>
        <v>100000</v>
      </c>
      <c r="H40" s="238">
        <f t="shared" si="2"/>
        <v>100000</v>
      </c>
    </row>
    <row r="41" spans="2:8">
      <c r="B41" s="239" t="s">
        <v>456</v>
      </c>
      <c r="C41" s="235" t="s">
        <v>710</v>
      </c>
      <c r="D41" s="238">
        <f t="shared" si="2"/>
        <v>25000</v>
      </c>
      <c r="E41" s="238">
        <f t="shared" si="2"/>
        <v>25000</v>
      </c>
      <c r="F41" s="238">
        <f t="shared" si="2"/>
        <v>50000</v>
      </c>
      <c r="G41" s="238">
        <f t="shared" si="2"/>
        <v>100000</v>
      </c>
      <c r="H41" s="238">
        <f t="shared" si="2"/>
        <v>100000</v>
      </c>
    </row>
    <row r="42" spans="2:8">
      <c r="B42" s="239" t="s">
        <v>711</v>
      </c>
      <c r="C42" s="235" t="s">
        <v>710</v>
      </c>
      <c r="D42" s="238">
        <f t="shared" si="2"/>
        <v>5000</v>
      </c>
      <c r="E42" s="238">
        <f t="shared" si="2"/>
        <v>5000</v>
      </c>
      <c r="F42" s="238">
        <f t="shared" si="2"/>
        <v>5000</v>
      </c>
      <c r="G42" s="238">
        <f t="shared" si="2"/>
        <v>5000</v>
      </c>
      <c r="H42" s="238">
        <f t="shared" si="2"/>
        <v>5000</v>
      </c>
    </row>
    <row r="43" spans="2:8">
      <c r="B43" s="239"/>
      <c r="D43" s="238">
        <f t="shared" si="2"/>
        <v>0</v>
      </c>
      <c r="E43" s="238">
        <f t="shared" si="2"/>
        <v>0</v>
      </c>
      <c r="F43" s="238">
        <f t="shared" si="2"/>
        <v>0</v>
      </c>
      <c r="G43" s="238">
        <f t="shared" si="2"/>
        <v>0</v>
      </c>
      <c r="H43" s="238">
        <f t="shared" si="2"/>
        <v>0</v>
      </c>
    </row>
    <row r="44" spans="2:8">
      <c r="B44" s="237" t="s">
        <v>442</v>
      </c>
      <c r="C44" s="235" t="s">
        <v>709</v>
      </c>
      <c r="D44" s="236">
        <f t="shared" si="2"/>
        <v>0.2</v>
      </c>
      <c r="E44" s="236">
        <f t="shared" si="2"/>
        <v>0.2</v>
      </c>
      <c r="F44" s="236">
        <f t="shared" si="2"/>
        <v>0.2</v>
      </c>
      <c r="G44" s="236">
        <f t="shared" si="2"/>
        <v>0.2</v>
      </c>
      <c r="H44" s="236">
        <f t="shared" si="2"/>
        <v>0.2</v>
      </c>
    </row>
    <row r="46" spans="2:8">
      <c r="B46" s="245" t="s">
        <v>721</v>
      </c>
      <c r="C46" s="244"/>
      <c r="D46" s="243"/>
      <c r="E46" s="243"/>
      <c r="F46" s="243"/>
      <c r="G46" s="243"/>
      <c r="H46" s="243"/>
    </row>
    <row r="47" spans="2:8">
      <c r="B47" s="234" t="s">
        <v>162</v>
      </c>
    </row>
    <row r="48" spans="2:8">
      <c r="B48" s="239" t="s">
        <v>719</v>
      </c>
      <c r="C48" s="235" t="s">
        <v>650</v>
      </c>
      <c r="D48" s="238">
        <v>3000</v>
      </c>
      <c r="E48" s="242">
        <f>D48*(1+E49)</f>
        <v>6000</v>
      </c>
      <c r="F48" s="242">
        <f>E48*(1+F49)</f>
        <v>10500</v>
      </c>
      <c r="G48" s="242">
        <f>F48*(1+G49)</f>
        <v>15750</v>
      </c>
      <c r="H48" s="242">
        <f>G48*(1+H49)</f>
        <v>21262.5</v>
      </c>
    </row>
    <row r="49" spans="2:8">
      <c r="B49" s="239" t="s">
        <v>718</v>
      </c>
      <c r="C49" s="235" t="s">
        <v>709</v>
      </c>
      <c r="D49" s="238"/>
      <c r="E49" s="241">
        <v>1</v>
      </c>
      <c r="F49" s="241">
        <v>0.75</v>
      </c>
      <c r="G49" s="241">
        <v>0.5</v>
      </c>
      <c r="H49" s="241">
        <v>0.35</v>
      </c>
    </row>
    <row r="50" spans="2:8">
      <c r="B50" s="239" t="s">
        <v>717</v>
      </c>
      <c r="C50" s="235" t="s">
        <v>710</v>
      </c>
      <c r="D50" s="240">
        <v>39.950000000000003</v>
      </c>
      <c r="E50" s="240">
        <v>39.950000000000003</v>
      </c>
      <c r="F50" s="240">
        <v>39.950000000000003</v>
      </c>
      <c r="G50" s="240">
        <v>39.950000000000003</v>
      </c>
      <c r="H50" s="240">
        <v>39.950000000000003</v>
      </c>
    </row>
    <row r="51" spans="2:8">
      <c r="B51" s="239"/>
      <c r="D51" s="238"/>
      <c r="E51" s="238"/>
      <c r="F51" s="238"/>
      <c r="G51" s="238"/>
      <c r="H51" s="238"/>
    </row>
    <row r="52" spans="2:8">
      <c r="B52" s="237" t="s">
        <v>716</v>
      </c>
      <c r="D52" s="238"/>
      <c r="E52" s="238"/>
      <c r="F52" s="238"/>
      <c r="G52" s="238"/>
      <c r="H52" s="238"/>
    </row>
    <row r="53" spans="2:8">
      <c r="B53" s="239" t="s">
        <v>715</v>
      </c>
      <c r="C53" s="235" t="s">
        <v>710</v>
      </c>
      <c r="D53" s="240">
        <v>6.5</v>
      </c>
      <c r="E53" s="240">
        <v>6.5</v>
      </c>
      <c r="F53" s="240">
        <v>6.5</v>
      </c>
      <c r="G53" s="240">
        <v>6.5</v>
      </c>
      <c r="H53" s="240">
        <v>6.5</v>
      </c>
    </row>
    <row r="54" spans="2:8">
      <c r="B54" s="239" t="s">
        <v>714</v>
      </c>
      <c r="C54" s="235" t="s">
        <v>710</v>
      </c>
      <c r="D54" s="240">
        <v>2.25</v>
      </c>
      <c r="E54" s="240">
        <v>2.25</v>
      </c>
      <c r="F54" s="240">
        <v>2.25</v>
      </c>
      <c r="G54" s="240">
        <v>2.25</v>
      </c>
      <c r="H54" s="240">
        <v>2.25</v>
      </c>
    </row>
    <row r="55" spans="2:8">
      <c r="B55" s="239"/>
      <c r="D55" s="238"/>
      <c r="E55" s="238"/>
      <c r="F55" s="238"/>
      <c r="G55" s="238"/>
      <c r="H55" s="238"/>
    </row>
    <row r="56" spans="2:8">
      <c r="B56" s="237" t="s">
        <v>443</v>
      </c>
      <c r="D56" s="238"/>
      <c r="E56" s="238"/>
      <c r="F56" s="238"/>
      <c r="G56" s="238"/>
      <c r="H56" s="238"/>
    </row>
    <row r="57" spans="2:8">
      <c r="B57" s="239" t="s">
        <v>713</v>
      </c>
      <c r="C57" s="235" t="s">
        <v>710</v>
      </c>
      <c r="D57" s="238">
        <v>20000</v>
      </c>
      <c r="E57" s="238">
        <v>20000</v>
      </c>
      <c r="F57" s="238">
        <v>30000</v>
      </c>
      <c r="G57" s="238">
        <v>30000</v>
      </c>
      <c r="H57" s="238">
        <v>30000</v>
      </c>
    </row>
    <row r="58" spans="2:8">
      <c r="B58" s="239" t="s">
        <v>712</v>
      </c>
      <c r="C58" s="235" t="s">
        <v>710</v>
      </c>
      <c r="D58" s="238">
        <v>50000</v>
      </c>
      <c r="E58" s="238">
        <v>50000</v>
      </c>
      <c r="F58" s="238">
        <v>100000</v>
      </c>
      <c r="G58" s="238">
        <v>100000</v>
      </c>
      <c r="H58" s="238">
        <v>100000</v>
      </c>
    </row>
    <row r="59" spans="2:8">
      <c r="B59" s="239" t="s">
        <v>456</v>
      </c>
      <c r="C59" s="235" t="s">
        <v>710</v>
      </c>
      <c r="D59" s="238">
        <v>25000</v>
      </c>
      <c r="E59" s="238">
        <v>25000</v>
      </c>
      <c r="F59" s="238">
        <v>50000</v>
      </c>
      <c r="G59" s="238">
        <v>100000</v>
      </c>
      <c r="H59" s="238">
        <v>100000</v>
      </c>
    </row>
    <row r="60" spans="2:8">
      <c r="B60" s="239" t="s">
        <v>711</v>
      </c>
      <c r="C60" s="235" t="s">
        <v>710</v>
      </c>
      <c r="D60" s="238">
        <v>5000</v>
      </c>
      <c r="E60" s="238">
        <v>5000</v>
      </c>
      <c r="F60" s="238">
        <v>5000</v>
      </c>
      <c r="G60" s="238">
        <v>5000</v>
      </c>
      <c r="H60" s="238">
        <v>5000</v>
      </c>
    </row>
    <row r="61" spans="2:8">
      <c r="B61" s="239"/>
      <c r="D61" s="238"/>
      <c r="E61" s="238"/>
      <c r="F61" s="238"/>
      <c r="G61" s="238"/>
      <c r="H61" s="238"/>
    </row>
    <row r="62" spans="2:8">
      <c r="B62" s="237" t="s">
        <v>442</v>
      </c>
      <c r="C62" s="235" t="s">
        <v>709</v>
      </c>
      <c r="D62" s="236">
        <v>0.2</v>
      </c>
      <c r="E62" s="236">
        <v>0.2</v>
      </c>
      <c r="F62" s="236">
        <v>0.2</v>
      </c>
      <c r="G62" s="236">
        <v>0.2</v>
      </c>
      <c r="H62" s="236">
        <v>0.2</v>
      </c>
    </row>
    <row r="64" spans="2:8">
      <c r="B64" s="243" t="s">
        <v>720</v>
      </c>
      <c r="C64" s="244"/>
      <c r="D64" s="243"/>
      <c r="E64" s="243"/>
      <c r="F64" s="243"/>
      <c r="G64" s="243"/>
      <c r="H64" s="243"/>
    </row>
    <row r="65" spans="2:8">
      <c r="B65" s="234" t="s">
        <v>162</v>
      </c>
    </row>
    <row r="66" spans="2:8">
      <c r="B66" s="239" t="s">
        <v>719</v>
      </c>
      <c r="C66" s="235" t="s">
        <v>650</v>
      </c>
      <c r="D66" s="238">
        <v>2000</v>
      </c>
      <c r="E66" s="242">
        <f>D66*(1+E67)</f>
        <v>4000</v>
      </c>
      <c r="F66" s="242">
        <f>E66*(1+F67)</f>
        <v>7000</v>
      </c>
      <c r="G66" s="242">
        <f>F66*(1+G67)</f>
        <v>10500</v>
      </c>
      <c r="H66" s="242">
        <f>G66*(1+H67)</f>
        <v>14175.000000000002</v>
      </c>
    </row>
    <row r="67" spans="2:8">
      <c r="B67" s="239" t="s">
        <v>718</v>
      </c>
      <c r="C67" s="235" t="s">
        <v>709</v>
      </c>
      <c r="D67" s="238"/>
      <c r="E67" s="241">
        <v>1</v>
      </c>
      <c r="F67" s="241">
        <v>0.75</v>
      </c>
      <c r="G67" s="241">
        <v>0.5</v>
      </c>
      <c r="H67" s="241">
        <v>0.35</v>
      </c>
    </row>
    <row r="68" spans="2:8">
      <c r="B68" s="239" t="s">
        <v>717</v>
      </c>
      <c r="C68" s="235" t="s">
        <v>710</v>
      </c>
      <c r="D68" s="240">
        <v>34.950000000000003</v>
      </c>
      <c r="E68" s="240">
        <v>34.950000000000003</v>
      </c>
      <c r="F68" s="240">
        <v>34.950000000000003</v>
      </c>
      <c r="G68" s="240">
        <v>34.950000000000003</v>
      </c>
      <c r="H68" s="240">
        <v>34.950000000000003</v>
      </c>
    </row>
    <row r="69" spans="2:8">
      <c r="B69" s="239"/>
      <c r="D69" s="238"/>
      <c r="E69" s="238"/>
      <c r="F69" s="238"/>
      <c r="G69" s="238"/>
      <c r="H69" s="238"/>
    </row>
    <row r="70" spans="2:8">
      <c r="B70" s="237" t="s">
        <v>716</v>
      </c>
      <c r="D70" s="238"/>
      <c r="E70" s="238"/>
      <c r="F70" s="238"/>
      <c r="G70" s="238"/>
      <c r="H70" s="238"/>
    </row>
    <row r="71" spans="2:8">
      <c r="B71" s="239" t="s">
        <v>715</v>
      </c>
      <c r="C71" s="235" t="s">
        <v>710</v>
      </c>
      <c r="D71" s="240">
        <v>8</v>
      </c>
      <c r="E71" s="240">
        <v>8</v>
      </c>
      <c r="F71" s="240">
        <v>8</v>
      </c>
      <c r="G71" s="240">
        <v>8</v>
      </c>
      <c r="H71" s="240">
        <v>8</v>
      </c>
    </row>
    <row r="72" spans="2:8">
      <c r="B72" s="239" t="s">
        <v>714</v>
      </c>
      <c r="C72" s="235" t="s">
        <v>710</v>
      </c>
      <c r="D72" s="240">
        <v>2.25</v>
      </c>
      <c r="E72" s="240">
        <v>2.25</v>
      </c>
      <c r="F72" s="240">
        <v>2.25</v>
      </c>
      <c r="G72" s="240">
        <v>2.25</v>
      </c>
      <c r="H72" s="240">
        <v>2.25</v>
      </c>
    </row>
    <row r="73" spans="2:8">
      <c r="B73" s="239"/>
      <c r="D73" s="238"/>
      <c r="E73" s="238"/>
      <c r="F73" s="238"/>
      <c r="G73" s="238"/>
      <c r="H73" s="238"/>
    </row>
    <row r="74" spans="2:8">
      <c r="B74" s="237" t="s">
        <v>443</v>
      </c>
      <c r="D74" s="238"/>
      <c r="E74" s="238"/>
      <c r="F74" s="238"/>
      <c r="G74" s="238"/>
      <c r="H74" s="238"/>
    </row>
    <row r="75" spans="2:8">
      <c r="B75" s="239" t="s">
        <v>713</v>
      </c>
      <c r="C75" s="235" t="s">
        <v>710</v>
      </c>
      <c r="D75" s="238">
        <v>20000</v>
      </c>
      <c r="E75" s="238">
        <v>20000</v>
      </c>
      <c r="F75" s="238">
        <v>30000</v>
      </c>
      <c r="G75" s="238">
        <v>30000</v>
      </c>
      <c r="H75" s="238">
        <v>30000</v>
      </c>
    </row>
    <row r="76" spans="2:8">
      <c r="B76" s="239" t="s">
        <v>712</v>
      </c>
      <c r="C76" s="235" t="s">
        <v>710</v>
      </c>
      <c r="D76" s="238">
        <v>50000</v>
      </c>
      <c r="E76" s="238">
        <v>50000</v>
      </c>
      <c r="F76" s="238">
        <v>100000</v>
      </c>
      <c r="G76" s="238">
        <v>100000</v>
      </c>
      <c r="H76" s="238">
        <v>100000</v>
      </c>
    </row>
    <row r="77" spans="2:8">
      <c r="B77" s="239" t="s">
        <v>456</v>
      </c>
      <c r="C77" s="235" t="s">
        <v>710</v>
      </c>
      <c r="D77" s="238">
        <v>25000</v>
      </c>
      <c r="E77" s="238">
        <v>25000</v>
      </c>
      <c r="F77" s="238">
        <v>50000</v>
      </c>
      <c r="G77" s="238">
        <v>100000</v>
      </c>
      <c r="H77" s="238">
        <v>100000</v>
      </c>
    </row>
    <row r="78" spans="2:8">
      <c r="B78" s="239" t="s">
        <v>711</v>
      </c>
      <c r="C78" s="235" t="s">
        <v>710</v>
      </c>
      <c r="D78" s="238">
        <v>5000</v>
      </c>
      <c r="E78" s="238">
        <v>5000</v>
      </c>
      <c r="F78" s="238">
        <v>5000</v>
      </c>
      <c r="G78" s="238">
        <v>5000</v>
      </c>
      <c r="H78" s="238">
        <v>5000</v>
      </c>
    </row>
    <row r="79" spans="2:8">
      <c r="B79" s="239"/>
      <c r="D79" s="238"/>
      <c r="E79" s="238"/>
      <c r="F79" s="238"/>
      <c r="G79" s="238"/>
      <c r="H79" s="238"/>
    </row>
    <row r="80" spans="2:8">
      <c r="B80" s="237" t="s">
        <v>442</v>
      </c>
      <c r="C80" s="235" t="s">
        <v>709</v>
      </c>
      <c r="D80" s="236">
        <v>0.25</v>
      </c>
      <c r="E80" s="236">
        <v>0.25</v>
      </c>
      <c r="F80" s="236">
        <v>0.25</v>
      </c>
      <c r="G80" s="236">
        <v>0.25</v>
      </c>
      <c r="H80" s="236">
        <v>0.25</v>
      </c>
    </row>
  </sheetData>
  <dataValidations count="1">
    <dataValidation type="list" allowBlank="1" showInputMessage="1" showErrorMessage="1" sqref="J4" xr:uid="{541F7529-54E2-4738-9DCB-82D1CC1D771F}">
      <formula1>"1,2"</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7A9BA-C653-4195-834C-FD64EA4AAD75}">
  <dimension ref="B2:I251"/>
  <sheetViews>
    <sheetView showGridLines="0" workbookViewId="0">
      <pane ySplit="2" topLeftCell="A3" activePane="bottomLeft" state="frozenSplit"/>
      <selection pane="bottomLeft" activeCell="D3" sqref="D3"/>
    </sheetView>
  </sheetViews>
  <sheetFormatPr defaultColWidth="12.1796875" defaultRowHeight="15" customHeight="1"/>
  <cols>
    <col min="1" max="5" width="11.6328125" style="155" customWidth="1"/>
    <col min="6" max="6" width="13.81640625" style="155" customWidth="1"/>
    <col min="7" max="26" width="11.6328125" style="155" customWidth="1"/>
    <col min="27" max="16384" width="12.1796875" style="155"/>
  </cols>
  <sheetData>
    <row r="2" spans="2:9" ht="15" customHeight="1">
      <c r="B2" s="162" t="s">
        <v>441</v>
      </c>
      <c r="C2" s="162" t="s">
        <v>440</v>
      </c>
      <c r="D2" s="162" t="s">
        <v>150</v>
      </c>
      <c r="E2" s="162" t="s">
        <v>63</v>
      </c>
      <c r="F2" s="162" t="s">
        <v>439</v>
      </c>
      <c r="G2" s="162" t="s">
        <v>438</v>
      </c>
      <c r="H2" s="162" t="s">
        <v>340</v>
      </c>
      <c r="I2" s="162" t="s">
        <v>309</v>
      </c>
    </row>
    <row r="3" spans="2:9" ht="15" customHeight="1">
      <c r="B3" s="160">
        <v>1185732</v>
      </c>
      <c r="C3" s="161">
        <v>44210</v>
      </c>
      <c r="D3" s="160" t="s">
        <v>437</v>
      </c>
      <c r="E3" s="160" t="s">
        <v>437</v>
      </c>
      <c r="F3" s="159" t="s">
        <v>397</v>
      </c>
      <c r="G3" s="158">
        <v>0.5</v>
      </c>
      <c r="H3" s="157">
        <v>12000</v>
      </c>
      <c r="I3" s="156">
        <f t="shared" ref="I3:I66" si="0">G3*H3</f>
        <v>6000</v>
      </c>
    </row>
    <row r="4" spans="2:9" ht="15" customHeight="1">
      <c r="B4" s="160">
        <v>1185732</v>
      </c>
      <c r="C4" s="161">
        <v>44210</v>
      </c>
      <c r="D4" s="160" t="s">
        <v>437</v>
      </c>
      <c r="E4" s="160" t="s">
        <v>437</v>
      </c>
      <c r="F4" s="159" t="s">
        <v>396</v>
      </c>
      <c r="G4" s="158">
        <v>0.5</v>
      </c>
      <c r="H4" s="157">
        <v>10000</v>
      </c>
      <c r="I4" s="156">
        <f t="shared" si="0"/>
        <v>5000</v>
      </c>
    </row>
    <row r="5" spans="2:9" ht="15" customHeight="1">
      <c r="B5" s="160">
        <v>1185732</v>
      </c>
      <c r="C5" s="161">
        <v>44210</v>
      </c>
      <c r="D5" s="160" t="s">
        <v>437</v>
      </c>
      <c r="E5" s="160" t="s">
        <v>437</v>
      </c>
      <c r="F5" s="159" t="s">
        <v>395</v>
      </c>
      <c r="G5" s="158">
        <v>0.4</v>
      </c>
      <c r="H5" s="157">
        <v>10000</v>
      </c>
      <c r="I5" s="156">
        <f t="shared" si="0"/>
        <v>4000</v>
      </c>
    </row>
    <row r="6" spans="2:9" ht="15" customHeight="1">
      <c r="B6" s="160">
        <v>1185732</v>
      </c>
      <c r="C6" s="161">
        <v>44210</v>
      </c>
      <c r="D6" s="160" t="s">
        <v>437</v>
      </c>
      <c r="E6" s="160" t="s">
        <v>437</v>
      </c>
      <c r="F6" s="159" t="s">
        <v>394</v>
      </c>
      <c r="G6" s="158">
        <v>0.45</v>
      </c>
      <c r="H6" s="157">
        <v>8500</v>
      </c>
      <c r="I6" s="156">
        <f t="shared" si="0"/>
        <v>3825</v>
      </c>
    </row>
    <row r="7" spans="2:9" ht="15" customHeight="1">
      <c r="B7" s="160">
        <v>1185732</v>
      </c>
      <c r="C7" s="161">
        <v>44210</v>
      </c>
      <c r="D7" s="160" t="s">
        <v>437</v>
      </c>
      <c r="E7" s="160" t="s">
        <v>437</v>
      </c>
      <c r="F7" s="159" t="s">
        <v>391</v>
      </c>
      <c r="G7" s="158">
        <v>0.6</v>
      </c>
      <c r="H7" s="157">
        <v>9000</v>
      </c>
      <c r="I7" s="156">
        <f t="shared" si="0"/>
        <v>5400</v>
      </c>
    </row>
    <row r="8" spans="2:9" ht="15" customHeight="1">
      <c r="B8" s="160">
        <v>1185732</v>
      </c>
      <c r="C8" s="161">
        <v>44210</v>
      </c>
      <c r="D8" s="160" t="s">
        <v>437</v>
      </c>
      <c r="E8" s="160" t="s">
        <v>437</v>
      </c>
      <c r="F8" s="159" t="s">
        <v>434</v>
      </c>
      <c r="G8" s="158">
        <v>0.5</v>
      </c>
      <c r="H8" s="157">
        <v>10000</v>
      </c>
      <c r="I8" s="156">
        <f t="shared" si="0"/>
        <v>5000</v>
      </c>
    </row>
    <row r="9" spans="2:9" ht="15" customHeight="1">
      <c r="B9" s="160">
        <v>1185732</v>
      </c>
      <c r="C9" s="161">
        <v>44239</v>
      </c>
      <c r="D9" s="160" t="s">
        <v>437</v>
      </c>
      <c r="E9" s="160" t="s">
        <v>437</v>
      </c>
      <c r="F9" s="159" t="s">
        <v>397</v>
      </c>
      <c r="G9" s="158">
        <v>0.5</v>
      </c>
      <c r="H9" s="157">
        <v>12500</v>
      </c>
      <c r="I9" s="156">
        <f t="shared" si="0"/>
        <v>6250</v>
      </c>
    </row>
    <row r="10" spans="2:9" ht="15" customHeight="1">
      <c r="B10" s="160">
        <v>1185732</v>
      </c>
      <c r="C10" s="161">
        <v>44239</v>
      </c>
      <c r="D10" s="160" t="s">
        <v>437</v>
      </c>
      <c r="E10" s="160" t="s">
        <v>437</v>
      </c>
      <c r="F10" s="159" t="s">
        <v>396</v>
      </c>
      <c r="G10" s="158">
        <v>0.5</v>
      </c>
      <c r="H10" s="157">
        <v>9000</v>
      </c>
      <c r="I10" s="156">
        <f t="shared" si="0"/>
        <v>4500</v>
      </c>
    </row>
    <row r="11" spans="2:9" ht="15" customHeight="1">
      <c r="B11" s="160">
        <v>1185732</v>
      </c>
      <c r="C11" s="161">
        <v>44239</v>
      </c>
      <c r="D11" s="160" t="s">
        <v>437</v>
      </c>
      <c r="E11" s="160" t="s">
        <v>437</v>
      </c>
      <c r="F11" s="159" t="s">
        <v>395</v>
      </c>
      <c r="G11" s="158">
        <v>0.4</v>
      </c>
      <c r="H11" s="157">
        <v>9500</v>
      </c>
      <c r="I11" s="156">
        <f t="shared" si="0"/>
        <v>3800</v>
      </c>
    </row>
    <row r="12" spans="2:9" ht="15" customHeight="1">
      <c r="B12" s="160">
        <v>1185732</v>
      </c>
      <c r="C12" s="161">
        <v>44239</v>
      </c>
      <c r="D12" s="160" t="s">
        <v>437</v>
      </c>
      <c r="E12" s="160" t="s">
        <v>437</v>
      </c>
      <c r="F12" s="159" t="s">
        <v>394</v>
      </c>
      <c r="G12" s="158">
        <v>0.45</v>
      </c>
      <c r="H12" s="157">
        <v>8250</v>
      </c>
      <c r="I12" s="156">
        <f t="shared" si="0"/>
        <v>3712.5</v>
      </c>
    </row>
    <row r="13" spans="2:9" ht="15" customHeight="1">
      <c r="B13" s="160">
        <v>1185732</v>
      </c>
      <c r="C13" s="161">
        <v>44239</v>
      </c>
      <c r="D13" s="160" t="s">
        <v>437</v>
      </c>
      <c r="E13" s="160" t="s">
        <v>437</v>
      </c>
      <c r="F13" s="159" t="s">
        <v>391</v>
      </c>
      <c r="G13" s="158">
        <v>0.6</v>
      </c>
      <c r="H13" s="157">
        <v>9000</v>
      </c>
      <c r="I13" s="156">
        <f t="shared" si="0"/>
        <v>5400</v>
      </c>
    </row>
    <row r="14" spans="2:9" ht="15" customHeight="1">
      <c r="B14" s="160">
        <v>1185732</v>
      </c>
      <c r="C14" s="161">
        <v>44239</v>
      </c>
      <c r="D14" s="160" t="s">
        <v>437</v>
      </c>
      <c r="E14" s="160" t="s">
        <v>437</v>
      </c>
      <c r="F14" s="159" t="s">
        <v>434</v>
      </c>
      <c r="G14" s="158">
        <v>0.5</v>
      </c>
      <c r="H14" s="157">
        <v>10000</v>
      </c>
      <c r="I14" s="156">
        <f t="shared" si="0"/>
        <v>5000</v>
      </c>
    </row>
    <row r="15" spans="2:9" ht="15" customHeight="1">
      <c r="B15" s="160">
        <v>1185732</v>
      </c>
      <c r="C15" s="161">
        <v>44265</v>
      </c>
      <c r="D15" s="160" t="s">
        <v>437</v>
      </c>
      <c r="E15" s="160" t="s">
        <v>437</v>
      </c>
      <c r="F15" s="159" t="s">
        <v>397</v>
      </c>
      <c r="G15" s="158">
        <v>0.5</v>
      </c>
      <c r="H15" s="157">
        <v>12200</v>
      </c>
      <c r="I15" s="156">
        <f t="shared" si="0"/>
        <v>6100</v>
      </c>
    </row>
    <row r="16" spans="2:9" ht="15" customHeight="1">
      <c r="B16" s="160">
        <v>1185732</v>
      </c>
      <c r="C16" s="161">
        <v>44265</v>
      </c>
      <c r="D16" s="160" t="s">
        <v>437</v>
      </c>
      <c r="E16" s="160" t="s">
        <v>437</v>
      </c>
      <c r="F16" s="159" t="s">
        <v>396</v>
      </c>
      <c r="G16" s="158">
        <v>0.5</v>
      </c>
      <c r="H16" s="157">
        <v>9250</v>
      </c>
      <c r="I16" s="156">
        <f t="shared" si="0"/>
        <v>4625</v>
      </c>
    </row>
    <row r="17" spans="2:9" ht="15" customHeight="1">
      <c r="B17" s="160">
        <v>1185732</v>
      </c>
      <c r="C17" s="161">
        <v>44265</v>
      </c>
      <c r="D17" s="160" t="s">
        <v>437</v>
      </c>
      <c r="E17" s="160" t="s">
        <v>437</v>
      </c>
      <c r="F17" s="159" t="s">
        <v>395</v>
      </c>
      <c r="G17" s="158">
        <v>0.4</v>
      </c>
      <c r="H17" s="157">
        <v>9500</v>
      </c>
      <c r="I17" s="156">
        <f t="shared" si="0"/>
        <v>3800</v>
      </c>
    </row>
    <row r="18" spans="2:9" ht="15" customHeight="1">
      <c r="B18" s="160">
        <v>1185732</v>
      </c>
      <c r="C18" s="161">
        <v>44265</v>
      </c>
      <c r="D18" s="160" t="s">
        <v>437</v>
      </c>
      <c r="E18" s="160" t="s">
        <v>437</v>
      </c>
      <c r="F18" s="159" t="s">
        <v>394</v>
      </c>
      <c r="G18" s="158">
        <v>0.45</v>
      </c>
      <c r="H18" s="157">
        <v>8000</v>
      </c>
      <c r="I18" s="156">
        <f t="shared" si="0"/>
        <v>3600</v>
      </c>
    </row>
    <row r="19" spans="2:9" ht="15" customHeight="1">
      <c r="B19" s="160">
        <v>1185732</v>
      </c>
      <c r="C19" s="161">
        <v>44265</v>
      </c>
      <c r="D19" s="160" t="s">
        <v>437</v>
      </c>
      <c r="E19" s="160" t="s">
        <v>437</v>
      </c>
      <c r="F19" s="159" t="s">
        <v>391</v>
      </c>
      <c r="G19" s="158">
        <v>0.6</v>
      </c>
      <c r="H19" s="157">
        <v>8500</v>
      </c>
      <c r="I19" s="156">
        <f t="shared" si="0"/>
        <v>5100</v>
      </c>
    </row>
    <row r="20" spans="2:9" ht="15" customHeight="1">
      <c r="B20" s="160">
        <v>1185732</v>
      </c>
      <c r="C20" s="161">
        <v>44265</v>
      </c>
      <c r="D20" s="160" t="s">
        <v>437</v>
      </c>
      <c r="E20" s="160" t="s">
        <v>437</v>
      </c>
      <c r="F20" s="159" t="s">
        <v>434</v>
      </c>
      <c r="G20" s="158">
        <v>0.5</v>
      </c>
      <c r="H20" s="157">
        <v>9500</v>
      </c>
      <c r="I20" s="156">
        <f t="shared" si="0"/>
        <v>4750</v>
      </c>
    </row>
    <row r="21" spans="2:9" ht="15" customHeight="1">
      <c r="B21" s="160">
        <v>1185732</v>
      </c>
      <c r="C21" s="161">
        <v>44297</v>
      </c>
      <c r="D21" s="160" t="s">
        <v>437</v>
      </c>
      <c r="E21" s="160" t="s">
        <v>437</v>
      </c>
      <c r="F21" s="159" t="s">
        <v>397</v>
      </c>
      <c r="G21" s="158">
        <v>0.5</v>
      </c>
      <c r="H21" s="157">
        <v>12000</v>
      </c>
      <c r="I21" s="156">
        <f t="shared" si="0"/>
        <v>6000</v>
      </c>
    </row>
    <row r="22" spans="2:9" ht="15" customHeight="1">
      <c r="B22" s="160">
        <v>1185732</v>
      </c>
      <c r="C22" s="161">
        <v>44297</v>
      </c>
      <c r="D22" s="160" t="s">
        <v>437</v>
      </c>
      <c r="E22" s="160" t="s">
        <v>437</v>
      </c>
      <c r="F22" s="159" t="s">
        <v>396</v>
      </c>
      <c r="G22" s="158">
        <v>0.5</v>
      </c>
      <c r="H22" s="157">
        <v>9000</v>
      </c>
      <c r="I22" s="156">
        <f t="shared" si="0"/>
        <v>4500</v>
      </c>
    </row>
    <row r="23" spans="2:9" ht="15" customHeight="1">
      <c r="B23" s="160">
        <v>1185732</v>
      </c>
      <c r="C23" s="161">
        <v>44297</v>
      </c>
      <c r="D23" s="160" t="s">
        <v>437</v>
      </c>
      <c r="E23" s="160" t="s">
        <v>437</v>
      </c>
      <c r="F23" s="159" t="s">
        <v>395</v>
      </c>
      <c r="G23" s="158">
        <v>0.4</v>
      </c>
      <c r="H23" s="157">
        <v>9000</v>
      </c>
      <c r="I23" s="156">
        <f t="shared" si="0"/>
        <v>3600</v>
      </c>
    </row>
    <row r="24" spans="2:9" ht="15" customHeight="1">
      <c r="B24" s="160">
        <v>1185732</v>
      </c>
      <c r="C24" s="161">
        <v>44297</v>
      </c>
      <c r="D24" s="160" t="s">
        <v>437</v>
      </c>
      <c r="E24" s="160" t="s">
        <v>437</v>
      </c>
      <c r="F24" s="159" t="s">
        <v>394</v>
      </c>
      <c r="G24" s="158">
        <v>0.45</v>
      </c>
      <c r="H24" s="157">
        <v>8250</v>
      </c>
      <c r="I24" s="156">
        <f t="shared" si="0"/>
        <v>3712.5</v>
      </c>
    </row>
    <row r="25" spans="2:9" ht="15" customHeight="1">
      <c r="B25" s="160">
        <v>1185732</v>
      </c>
      <c r="C25" s="161">
        <v>44297</v>
      </c>
      <c r="D25" s="160" t="s">
        <v>437</v>
      </c>
      <c r="E25" s="160" t="s">
        <v>437</v>
      </c>
      <c r="F25" s="159" t="s">
        <v>391</v>
      </c>
      <c r="G25" s="158">
        <v>0.6</v>
      </c>
      <c r="H25" s="157">
        <v>8250</v>
      </c>
      <c r="I25" s="156">
        <f t="shared" si="0"/>
        <v>4950</v>
      </c>
    </row>
    <row r="26" spans="2:9" ht="15" customHeight="1">
      <c r="B26" s="160">
        <v>1185732</v>
      </c>
      <c r="C26" s="161">
        <v>44297</v>
      </c>
      <c r="D26" s="160" t="s">
        <v>437</v>
      </c>
      <c r="E26" s="160" t="s">
        <v>437</v>
      </c>
      <c r="F26" s="159" t="s">
        <v>434</v>
      </c>
      <c r="G26" s="158">
        <v>0.5</v>
      </c>
      <c r="H26" s="157">
        <v>9500</v>
      </c>
      <c r="I26" s="156">
        <f t="shared" si="0"/>
        <v>4750</v>
      </c>
    </row>
    <row r="27" spans="2:9" ht="15" customHeight="1">
      <c r="B27" s="160">
        <v>1185732</v>
      </c>
      <c r="C27" s="161">
        <v>44326</v>
      </c>
      <c r="D27" s="160" t="s">
        <v>437</v>
      </c>
      <c r="E27" s="160" t="s">
        <v>437</v>
      </c>
      <c r="F27" s="159" t="s">
        <v>397</v>
      </c>
      <c r="G27" s="158">
        <v>0.6</v>
      </c>
      <c r="H27" s="157">
        <v>12200</v>
      </c>
      <c r="I27" s="156">
        <f t="shared" si="0"/>
        <v>7320</v>
      </c>
    </row>
    <row r="28" spans="2:9" ht="15" customHeight="1">
      <c r="B28" s="160">
        <v>1185732</v>
      </c>
      <c r="C28" s="161">
        <v>44326</v>
      </c>
      <c r="D28" s="160" t="s">
        <v>437</v>
      </c>
      <c r="E28" s="160" t="s">
        <v>437</v>
      </c>
      <c r="F28" s="159" t="s">
        <v>396</v>
      </c>
      <c r="G28" s="158">
        <v>0.55000000000000004</v>
      </c>
      <c r="H28" s="157">
        <v>9250</v>
      </c>
      <c r="I28" s="156">
        <f t="shared" si="0"/>
        <v>5087.5</v>
      </c>
    </row>
    <row r="29" spans="2:9" ht="15" customHeight="1">
      <c r="B29" s="160">
        <v>1185732</v>
      </c>
      <c r="C29" s="161">
        <v>44326</v>
      </c>
      <c r="D29" s="160" t="s">
        <v>437</v>
      </c>
      <c r="E29" s="160" t="s">
        <v>437</v>
      </c>
      <c r="F29" s="159" t="s">
        <v>395</v>
      </c>
      <c r="G29" s="158">
        <v>0.5</v>
      </c>
      <c r="H29" s="157">
        <v>9000</v>
      </c>
      <c r="I29" s="156">
        <f t="shared" si="0"/>
        <v>4500</v>
      </c>
    </row>
    <row r="30" spans="2:9" ht="15" customHeight="1">
      <c r="B30" s="160">
        <v>1185732</v>
      </c>
      <c r="C30" s="161">
        <v>44326</v>
      </c>
      <c r="D30" s="160" t="s">
        <v>437</v>
      </c>
      <c r="E30" s="160" t="s">
        <v>437</v>
      </c>
      <c r="F30" s="159" t="s">
        <v>394</v>
      </c>
      <c r="G30" s="158">
        <v>0.5</v>
      </c>
      <c r="H30" s="157">
        <v>8500</v>
      </c>
      <c r="I30" s="156">
        <f t="shared" si="0"/>
        <v>4250</v>
      </c>
    </row>
    <row r="31" spans="2:9" ht="15" customHeight="1">
      <c r="B31" s="160">
        <v>1185732</v>
      </c>
      <c r="C31" s="161">
        <v>44326</v>
      </c>
      <c r="D31" s="160" t="s">
        <v>437</v>
      </c>
      <c r="E31" s="160" t="s">
        <v>437</v>
      </c>
      <c r="F31" s="159" t="s">
        <v>391</v>
      </c>
      <c r="G31" s="158">
        <v>0.6</v>
      </c>
      <c r="H31" s="157">
        <v>8750</v>
      </c>
      <c r="I31" s="156">
        <f t="shared" si="0"/>
        <v>5250</v>
      </c>
    </row>
    <row r="32" spans="2:9" ht="15" customHeight="1">
      <c r="B32" s="160">
        <v>1185732</v>
      </c>
      <c r="C32" s="161">
        <v>44326</v>
      </c>
      <c r="D32" s="160" t="s">
        <v>437</v>
      </c>
      <c r="E32" s="160" t="s">
        <v>437</v>
      </c>
      <c r="F32" s="159" t="s">
        <v>434</v>
      </c>
      <c r="G32" s="158">
        <v>0.65</v>
      </c>
      <c r="H32" s="157">
        <v>10000</v>
      </c>
      <c r="I32" s="156">
        <f t="shared" si="0"/>
        <v>6500</v>
      </c>
    </row>
    <row r="33" spans="2:9" ht="15" customHeight="1">
      <c r="B33" s="160">
        <v>1185732</v>
      </c>
      <c r="C33" s="161">
        <v>44359</v>
      </c>
      <c r="D33" s="160" t="s">
        <v>437</v>
      </c>
      <c r="E33" s="160" t="s">
        <v>437</v>
      </c>
      <c r="F33" s="159" t="s">
        <v>397</v>
      </c>
      <c r="G33" s="158">
        <v>0.6</v>
      </c>
      <c r="H33" s="157">
        <v>12500</v>
      </c>
      <c r="I33" s="156">
        <f t="shared" si="0"/>
        <v>7500</v>
      </c>
    </row>
    <row r="34" spans="2:9" ht="15" customHeight="1">
      <c r="B34" s="160">
        <v>1185732</v>
      </c>
      <c r="C34" s="161">
        <v>44359</v>
      </c>
      <c r="D34" s="160" t="s">
        <v>437</v>
      </c>
      <c r="E34" s="160" t="s">
        <v>437</v>
      </c>
      <c r="F34" s="159" t="s">
        <v>396</v>
      </c>
      <c r="G34" s="158">
        <v>0.55000000000000004</v>
      </c>
      <c r="H34" s="157">
        <v>10000</v>
      </c>
      <c r="I34" s="156">
        <f t="shared" si="0"/>
        <v>5500</v>
      </c>
    </row>
    <row r="35" spans="2:9" ht="15" customHeight="1">
      <c r="B35" s="160">
        <v>1185732</v>
      </c>
      <c r="C35" s="161">
        <v>44359</v>
      </c>
      <c r="D35" s="160" t="s">
        <v>437</v>
      </c>
      <c r="E35" s="160" t="s">
        <v>437</v>
      </c>
      <c r="F35" s="159" t="s">
        <v>395</v>
      </c>
      <c r="G35" s="158">
        <v>0.5</v>
      </c>
      <c r="H35" s="157">
        <v>9250</v>
      </c>
      <c r="I35" s="156">
        <f t="shared" si="0"/>
        <v>4625</v>
      </c>
    </row>
    <row r="36" spans="2:9" ht="15" customHeight="1">
      <c r="B36" s="160">
        <v>1185732</v>
      </c>
      <c r="C36" s="161">
        <v>44359</v>
      </c>
      <c r="D36" s="160" t="s">
        <v>437</v>
      </c>
      <c r="E36" s="160" t="s">
        <v>437</v>
      </c>
      <c r="F36" s="159" t="s">
        <v>394</v>
      </c>
      <c r="G36" s="158">
        <v>0.5</v>
      </c>
      <c r="H36" s="157">
        <v>9000</v>
      </c>
      <c r="I36" s="156">
        <f t="shared" si="0"/>
        <v>4500</v>
      </c>
    </row>
    <row r="37" spans="2:9" ht="15" customHeight="1">
      <c r="B37" s="160">
        <v>1185732</v>
      </c>
      <c r="C37" s="161">
        <v>44359</v>
      </c>
      <c r="D37" s="160" t="s">
        <v>437</v>
      </c>
      <c r="E37" s="160" t="s">
        <v>437</v>
      </c>
      <c r="F37" s="159" t="s">
        <v>391</v>
      </c>
      <c r="G37" s="158">
        <v>0.6</v>
      </c>
      <c r="H37" s="157">
        <v>9000</v>
      </c>
      <c r="I37" s="156">
        <f t="shared" si="0"/>
        <v>5400</v>
      </c>
    </row>
    <row r="38" spans="2:9" ht="15" customHeight="1">
      <c r="B38" s="160">
        <v>1185732</v>
      </c>
      <c r="C38" s="161">
        <v>44359</v>
      </c>
      <c r="D38" s="160" t="s">
        <v>437</v>
      </c>
      <c r="E38" s="160" t="s">
        <v>437</v>
      </c>
      <c r="F38" s="159" t="s">
        <v>434</v>
      </c>
      <c r="G38" s="158">
        <v>0.65</v>
      </c>
      <c r="H38" s="157">
        <v>10500</v>
      </c>
      <c r="I38" s="156">
        <f t="shared" si="0"/>
        <v>6825</v>
      </c>
    </row>
    <row r="39" spans="2:9" ht="15" customHeight="1">
      <c r="B39" s="160">
        <v>1185732</v>
      </c>
      <c r="C39" s="161">
        <v>44387</v>
      </c>
      <c r="D39" s="160" t="s">
        <v>437</v>
      </c>
      <c r="E39" s="160" t="s">
        <v>437</v>
      </c>
      <c r="F39" s="159" t="s">
        <v>397</v>
      </c>
      <c r="G39" s="158">
        <v>0.6</v>
      </c>
      <c r="H39" s="157">
        <v>12750</v>
      </c>
      <c r="I39" s="156">
        <f t="shared" si="0"/>
        <v>7650</v>
      </c>
    </row>
    <row r="40" spans="2:9" ht="15" customHeight="1">
      <c r="B40" s="160">
        <v>1185732</v>
      </c>
      <c r="C40" s="161">
        <v>44387</v>
      </c>
      <c r="D40" s="160" t="s">
        <v>437</v>
      </c>
      <c r="E40" s="160" t="s">
        <v>437</v>
      </c>
      <c r="F40" s="159" t="s">
        <v>396</v>
      </c>
      <c r="G40" s="158">
        <v>0.55000000000000004</v>
      </c>
      <c r="H40" s="157">
        <v>10250</v>
      </c>
      <c r="I40" s="156">
        <f t="shared" si="0"/>
        <v>5637.5000000000009</v>
      </c>
    </row>
    <row r="41" spans="2:9" ht="15" customHeight="1">
      <c r="B41" s="160">
        <v>1185732</v>
      </c>
      <c r="C41" s="161">
        <v>44387</v>
      </c>
      <c r="D41" s="160" t="s">
        <v>437</v>
      </c>
      <c r="E41" s="160" t="s">
        <v>437</v>
      </c>
      <c r="F41" s="159" t="s">
        <v>395</v>
      </c>
      <c r="G41" s="158">
        <v>0.5</v>
      </c>
      <c r="H41" s="157">
        <v>9500</v>
      </c>
      <c r="I41" s="156">
        <f t="shared" si="0"/>
        <v>4750</v>
      </c>
    </row>
    <row r="42" spans="2:9" ht="15" customHeight="1">
      <c r="B42" s="160">
        <v>1185732</v>
      </c>
      <c r="C42" s="161">
        <v>44387</v>
      </c>
      <c r="D42" s="160" t="s">
        <v>437</v>
      </c>
      <c r="E42" s="160" t="s">
        <v>437</v>
      </c>
      <c r="F42" s="159" t="s">
        <v>394</v>
      </c>
      <c r="G42" s="158">
        <v>0.5</v>
      </c>
      <c r="H42" s="157">
        <v>9000</v>
      </c>
      <c r="I42" s="156">
        <f t="shared" si="0"/>
        <v>4500</v>
      </c>
    </row>
    <row r="43" spans="2:9" ht="15" customHeight="1">
      <c r="B43" s="160">
        <v>1185732</v>
      </c>
      <c r="C43" s="161">
        <v>44387</v>
      </c>
      <c r="D43" s="160" t="s">
        <v>437</v>
      </c>
      <c r="E43" s="160" t="s">
        <v>437</v>
      </c>
      <c r="F43" s="159" t="s">
        <v>391</v>
      </c>
      <c r="G43" s="158">
        <v>0.6</v>
      </c>
      <c r="H43" s="157">
        <v>9250</v>
      </c>
      <c r="I43" s="156">
        <f t="shared" si="0"/>
        <v>5550</v>
      </c>
    </row>
    <row r="44" spans="2:9" ht="15" customHeight="1">
      <c r="B44" s="160">
        <v>1185732</v>
      </c>
      <c r="C44" s="161">
        <v>44387</v>
      </c>
      <c r="D44" s="160" t="s">
        <v>437</v>
      </c>
      <c r="E44" s="160" t="s">
        <v>437</v>
      </c>
      <c r="F44" s="159" t="s">
        <v>434</v>
      </c>
      <c r="G44" s="158">
        <v>0.65</v>
      </c>
      <c r="H44" s="157">
        <v>11000</v>
      </c>
      <c r="I44" s="156">
        <f t="shared" si="0"/>
        <v>7150</v>
      </c>
    </row>
    <row r="45" spans="2:9" ht="15" customHeight="1">
      <c r="B45" s="160">
        <v>1185732</v>
      </c>
      <c r="C45" s="161">
        <v>44419</v>
      </c>
      <c r="D45" s="160" t="s">
        <v>437</v>
      </c>
      <c r="E45" s="160" t="s">
        <v>437</v>
      </c>
      <c r="F45" s="159" t="s">
        <v>397</v>
      </c>
      <c r="G45" s="158">
        <v>0.6</v>
      </c>
      <c r="H45" s="157">
        <v>12500</v>
      </c>
      <c r="I45" s="156">
        <f t="shared" si="0"/>
        <v>7500</v>
      </c>
    </row>
    <row r="46" spans="2:9" ht="15.5">
      <c r="B46" s="160">
        <v>1185732</v>
      </c>
      <c r="C46" s="161">
        <v>44419</v>
      </c>
      <c r="D46" s="160" t="s">
        <v>437</v>
      </c>
      <c r="E46" s="160" t="s">
        <v>437</v>
      </c>
      <c r="F46" s="159" t="s">
        <v>396</v>
      </c>
      <c r="G46" s="158">
        <v>0.55000000000000004</v>
      </c>
      <c r="H46" s="157">
        <v>10250</v>
      </c>
      <c r="I46" s="156">
        <f t="shared" si="0"/>
        <v>5637.5000000000009</v>
      </c>
    </row>
    <row r="47" spans="2:9" ht="15.5">
      <c r="B47" s="160">
        <v>1185732</v>
      </c>
      <c r="C47" s="161">
        <v>44419</v>
      </c>
      <c r="D47" s="160" t="s">
        <v>437</v>
      </c>
      <c r="E47" s="160" t="s">
        <v>437</v>
      </c>
      <c r="F47" s="159" t="s">
        <v>395</v>
      </c>
      <c r="G47" s="158">
        <v>0.5</v>
      </c>
      <c r="H47" s="157">
        <v>9500</v>
      </c>
      <c r="I47" s="156">
        <f t="shared" si="0"/>
        <v>4750</v>
      </c>
    </row>
    <row r="48" spans="2:9" ht="15.5">
      <c r="B48" s="160">
        <v>1185732</v>
      </c>
      <c r="C48" s="161">
        <v>44419</v>
      </c>
      <c r="D48" s="160" t="s">
        <v>437</v>
      </c>
      <c r="E48" s="160" t="s">
        <v>437</v>
      </c>
      <c r="F48" s="159" t="s">
        <v>394</v>
      </c>
      <c r="G48" s="158">
        <v>0.5</v>
      </c>
      <c r="H48" s="157">
        <v>9250</v>
      </c>
      <c r="I48" s="156">
        <f t="shared" si="0"/>
        <v>4625</v>
      </c>
    </row>
    <row r="49" spans="2:9" ht="15.5">
      <c r="B49" s="160">
        <v>1185732</v>
      </c>
      <c r="C49" s="161">
        <v>44419</v>
      </c>
      <c r="D49" s="160" t="s">
        <v>437</v>
      </c>
      <c r="E49" s="160" t="s">
        <v>437</v>
      </c>
      <c r="F49" s="159" t="s">
        <v>391</v>
      </c>
      <c r="G49" s="158">
        <v>0.6</v>
      </c>
      <c r="H49" s="157">
        <v>9000</v>
      </c>
      <c r="I49" s="156">
        <f t="shared" si="0"/>
        <v>5400</v>
      </c>
    </row>
    <row r="50" spans="2:9" ht="15.5">
      <c r="B50" s="160">
        <v>1185732</v>
      </c>
      <c r="C50" s="161">
        <v>44419</v>
      </c>
      <c r="D50" s="160" t="s">
        <v>437</v>
      </c>
      <c r="E50" s="160" t="s">
        <v>437</v>
      </c>
      <c r="F50" s="159" t="s">
        <v>434</v>
      </c>
      <c r="G50" s="158">
        <v>0.65</v>
      </c>
      <c r="H50" s="157">
        <v>10750</v>
      </c>
      <c r="I50" s="156">
        <f t="shared" si="0"/>
        <v>6987.5</v>
      </c>
    </row>
    <row r="51" spans="2:9" ht="15.5">
      <c r="B51" s="160">
        <v>1185732</v>
      </c>
      <c r="C51" s="161">
        <v>44449</v>
      </c>
      <c r="D51" s="160" t="s">
        <v>437</v>
      </c>
      <c r="E51" s="160" t="s">
        <v>437</v>
      </c>
      <c r="F51" s="159" t="s">
        <v>397</v>
      </c>
      <c r="G51" s="158">
        <v>0.6</v>
      </c>
      <c r="H51" s="157">
        <v>12000</v>
      </c>
      <c r="I51" s="156">
        <f t="shared" si="0"/>
        <v>7200</v>
      </c>
    </row>
    <row r="52" spans="2:9" ht="15.5">
      <c r="B52" s="160">
        <v>1185732</v>
      </c>
      <c r="C52" s="161">
        <v>44449</v>
      </c>
      <c r="D52" s="160" t="s">
        <v>437</v>
      </c>
      <c r="E52" s="160" t="s">
        <v>437</v>
      </c>
      <c r="F52" s="159" t="s">
        <v>396</v>
      </c>
      <c r="G52" s="158">
        <v>0.55000000000000004</v>
      </c>
      <c r="H52" s="157">
        <v>10000</v>
      </c>
      <c r="I52" s="156">
        <f t="shared" si="0"/>
        <v>5500</v>
      </c>
    </row>
    <row r="53" spans="2:9" ht="15.5">
      <c r="B53" s="160">
        <v>1185732</v>
      </c>
      <c r="C53" s="161">
        <v>44449</v>
      </c>
      <c r="D53" s="160" t="s">
        <v>437</v>
      </c>
      <c r="E53" s="160" t="s">
        <v>437</v>
      </c>
      <c r="F53" s="159" t="s">
        <v>395</v>
      </c>
      <c r="G53" s="158">
        <v>0.5</v>
      </c>
      <c r="H53" s="157">
        <v>9250</v>
      </c>
      <c r="I53" s="156">
        <f t="shared" si="0"/>
        <v>4625</v>
      </c>
    </row>
    <row r="54" spans="2:9" ht="15.5">
      <c r="B54" s="160">
        <v>1185732</v>
      </c>
      <c r="C54" s="161">
        <v>44449</v>
      </c>
      <c r="D54" s="160" t="s">
        <v>437</v>
      </c>
      <c r="E54" s="160" t="s">
        <v>437</v>
      </c>
      <c r="F54" s="159" t="s">
        <v>394</v>
      </c>
      <c r="G54" s="158">
        <v>0.5</v>
      </c>
      <c r="H54" s="157">
        <v>9000</v>
      </c>
      <c r="I54" s="156">
        <f t="shared" si="0"/>
        <v>4500</v>
      </c>
    </row>
    <row r="55" spans="2:9" ht="15.5">
      <c r="B55" s="160">
        <v>1185732</v>
      </c>
      <c r="C55" s="161">
        <v>44449</v>
      </c>
      <c r="D55" s="160" t="s">
        <v>437</v>
      </c>
      <c r="E55" s="160" t="s">
        <v>437</v>
      </c>
      <c r="F55" s="159" t="s">
        <v>391</v>
      </c>
      <c r="G55" s="158">
        <v>0.6</v>
      </c>
      <c r="H55" s="157">
        <v>9000</v>
      </c>
      <c r="I55" s="156">
        <f t="shared" si="0"/>
        <v>5400</v>
      </c>
    </row>
    <row r="56" spans="2:9" ht="15.5">
      <c r="B56" s="160">
        <v>1185732</v>
      </c>
      <c r="C56" s="161">
        <v>44449</v>
      </c>
      <c r="D56" s="160" t="s">
        <v>437</v>
      </c>
      <c r="E56" s="160" t="s">
        <v>437</v>
      </c>
      <c r="F56" s="159" t="s">
        <v>434</v>
      </c>
      <c r="G56" s="158">
        <v>0.65</v>
      </c>
      <c r="H56" s="157">
        <v>10000</v>
      </c>
      <c r="I56" s="156">
        <f t="shared" si="0"/>
        <v>6500</v>
      </c>
    </row>
    <row r="57" spans="2:9" ht="15.5">
      <c r="B57" s="160">
        <v>1185732</v>
      </c>
      <c r="C57" s="161">
        <v>44481</v>
      </c>
      <c r="D57" s="160" t="s">
        <v>437</v>
      </c>
      <c r="E57" s="160" t="s">
        <v>437</v>
      </c>
      <c r="F57" s="159" t="s">
        <v>397</v>
      </c>
      <c r="G57" s="158">
        <v>0.65</v>
      </c>
      <c r="H57" s="157">
        <v>11750</v>
      </c>
      <c r="I57" s="156">
        <f t="shared" si="0"/>
        <v>7637.5</v>
      </c>
    </row>
    <row r="58" spans="2:9" ht="15.5">
      <c r="B58" s="160">
        <v>1185732</v>
      </c>
      <c r="C58" s="161">
        <v>44481</v>
      </c>
      <c r="D58" s="160" t="s">
        <v>437</v>
      </c>
      <c r="E58" s="160" t="s">
        <v>437</v>
      </c>
      <c r="F58" s="159" t="s">
        <v>396</v>
      </c>
      <c r="G58" s="158">
        <v>0.55000000000000004</v>
      </c>
      <c r="H58" s="157">
        <v>10000</v>
      </c>
      <c r="I58" s="156">
        <f t="shared" si="0"/>
        <v>5500</v>
      </c>
    </row>
    <row r="59" spans="2:9" ht="15.5">
      <c r="B59" s="160">
        <v>1185732</v>
      </c>
      <c r="C59" s="161">
        <v>44481</v>
      </c>
      <c r="D59" s="160" t="s">
        <v>437</v>
      </c>
      <c r="E59" s="160" t="s">
        <v>437</v>
      </c>
      <c r="F59" s="159" t="s">
        <v>395</v>
      </c>
      <c r="G59" s="158">
        <v>0.55000000000000004</v>
      </c>
      <c r="H59" s="157">
        <v>9000</v>
      </c>
      <c r="I59" s="156">
        <f t="shared" si="0"/>
        <v>4950</v>
      </c>
    </row>
    <row r="60" spans="2:9" ht="15.5">
      <c r="B60" s="160">
        <v>1185732</v>
      </c>
      <c r="C60" s="161">
        <v>44481</v>
      </c>
      <c r="D60" s="160" t="s">
        <v>437</v>
      </c>
      <c r="E60" s="160" t="s">
        <v>437</v>
      </c>
      <c r="F60" s="159" t="s">
        <v>394</v>
      </c>
      <c r="G60" s="158">
        <v>0.55000000000000004</v>
      </c>
      <c r="H60" s="157">
        <v>8750</v>
      </c>
      <c r="I60" s="156">
        <f t="shared" si="0"/>
        <v>4812.5</v>
      </c>
    </row>
    <row r="61" spans="2:9" ht="15.5">
      <c r="B61" s="160">
        <v>1185732</v>
      </c>
      <c r="C61" s="161">
        <v>44481</v>
      </c>
      <c r="D61" s="160" t="s">
        <v>437</v>
      </c>
      <c r="E61" s="160" t="s">
        <v>437</v>
      </c>
      <c r="F61" s="159" t="s">
        <v>391</v>
      </c>
      <c r="G61" s="158">
        <v>0.65</v>
      </c>
      <c r="H61" s="157">
        <v>8750</v>
      </c>
      <c r="I61" s="156">
        <f t="shared" si="0"/>
        <v>5687.5</v>
      </c>
    </row>
    <row r="62" spans="2:9" ht="15.5">
      <c r="B62" s="160">
        <v>1185732</v>
      </c>
      <c r="C62" s="161">
        <v>44481</v>
      </c>
      <c r="D62" s="160" t="s">
        <v>437</v>
      </c>
      <c r="E62" s="160" t="s">
        <v>437</v>
      </c>
      <c r="F62" s="159" t="s">
        <v>434</v>
      </c>
      <c r="G62" s="158">
        <v>0.7</v>
      </c>
      <c r="H62" s="157">
        <v>10000</v>
      </c>
      <c r="I62" s="156">
        <f t="shared" si="0"/>
        <v>7000</v>
      </c>
    </row>
    <row r="63" spans="2:9" ht="15.5">
      <c r="B63" s="160">
        <v>1185732</v>
      </c>
      <c r="C63" s="161">
        <v>44511</v>
      </c>
      <c r="D63" s="160" t="s">
        <v>437</v>
      </c>
      <c r="E63" s="160" t="s">
        <v>437</v>
      </c>
      <c r="F63" s="159" t="s">
        <v>397</v>
      </c>
      <c r="G63" s="158">
        <v>0.65</v>
      </c>
      <c r="H63" s="157">
        <v>11500</v>
      </c>
      <c r="I63" s="156">
        <f t="shared" si="0"/>
        <v>7475</v>
      </c>
    </row>
    <row r="64" spans="2:9" ht="15.5">
      <c r="B64" s="160">
        <v>1185732</v>
      </c>
      <c r="C64" s="161">
        <v>44511</v>
      </c>
      <c r="D64" s="160" t="s">
        <v>437</v>
      </c>
      <c r="E64" s="160" t="s">
        <v>437</v>
      </c>
      <c r="F64" s="159" t="s">
        <v>396</v>
      </c>
      <c r="G64" s="158">
        <v>0.55000000000000004</v>
      </c>
      <c r="H64" s="157">
        <v>9750</v>
      </c>
      <c r="I64" s="156">
        <f t="shared" si="0"/>
        <v>5362.5</v>
      </c>
    </row>
    <row r="65" spans="2:9" ht="15.5">
      <c r="B65" s="160">
        <v>1185732</v>
      </c>
      <c r="C65" s="161">
        <v>44511</v>
      </c>
      <c r="D65" s="160" t="s">
        <v>437</v>
      </c>
      <c r="E65" s="160" t="s">
        <v>437</v>
      </c>
      <c r="F65" s="159" t="s">
        <v>395</v>
      </c>
      <c r="G65" s="158">
        <v>0.55000000000000004</v>
      </c>
      <c r="H65" s="157">
        <v>9200</v>
      </c>
      <c r="I65" s="156">
        <f t="shared" si="0"/>
        <v>5060</v>
      </c>
    </row>
    <row r="66" spans="2:9" ht="15.5">
      <c r="B66" s="160">
        <v>1185732</v>
      </c>
      <c r="C66" s="161">
        <v>44511</v>
      </c>
      <c r="D66" s="160" t="s">
        <v>437</v>
      </c>
      <c r="E66" s="160" t="s">
        <v>437</v>
      </c>
      <c r="F66" s="159" t="s">
        <v>394</v>
      </c>
      <c r="G66" s="158">
        <v>0.55000000000000004</v>
      </c>
      <c r="H66" s="157">
        <v>9000</v>
      </c>
      <c r="I66" s="156">
        <f t="shared" si="0"/>
        <v>4950</v>
      </c>
    </row>
    <row r="67" spans="2:9" ht="15.5">
      <c r="B67" s="160">
        <v>1185732</v>
      </c>
      <c r="C67" s="161">
        <v>44511</v>
      </c>
      <c r="D67" s="160" t="s">
        <v>437</v>
      </c>
      <c r="E67" s="160" t="s">
        <v>437</v>
      </c>
      <c r="F67" s="159" t="s">
        <v>391</v>
      </c>
      <c r="G67" s="158">
        <v>0.65</v>
      </c>
      <c r="H67" s="157">
        <v>8750</v>
      </c>
      <c r="I67" s="156">
        <f t="shared" ref="I67:I130" si="1">G67*H67</f>
        <v>5687.5</v>
      </c>
    </row>
    <row r="68" spans="2:9" ht="15.5">
      <c r="B68" s="160">
        <v>1185732</v>
      </c>
      <c r="C68" s="161">
        <v>44511</v>
      </c>
      <c r="D68" s="160" t="s">
        <v>437</v>
      </c>
      <c r="E68" s="160" t="s">
        <v>437</v>
      </c>
      <c r="F68" s="159" t="s">
        <v>434</v>
      </c>
      <c r="G68" s="158">
        <v>0.7</v>
      </c>
      <c r="H68" s="157">
        <v>9750</v>
      </c>
      <c r="I68" s="156">
        <f t="shared" si="1"/>
        <v>6825</v>
      </c>
    </row>
    <row r="69" spans="2:9" ht="15.5">
      <c r="B69" s="160">
        <v>1185732</v>
      </c>
      <c r="C69" s="161">
        <v>44540</v>
      </c>
      <c r="D69" s="160" t="s">
        <v>437</v>
      </c>
      <c r="E69" s="160" t="s">
        <v>437</v>
      </c>
      <c r="F69" s="159" t="s">
        <v>397</v>
      </c>
      <c r="G69" s="158">
        <v>0.65</v>
      </c>
      <c r="H69" s="157">
        <v>12000</v>
      </c>
      <c r="I69" s="156">
        <f t="shared" si="1"/>
        <v>7800</v>
      </c>
    </row>
    <row r="70" spans="2:9" ht="15.5">
      <c r="B70" s="160">
        <v>1185732</v>
      </c>
      <c r="C70" s="161">
        <v>44540</v>
      </c>
      <c r="D70" s="160" t="s">
        <v>437</v>
      </c>
      <c r="E70" s="160" t="s">
        <v>437</v>
      </c>
      <c r="F70" s="159" t="s">
        <v>396</v>
      </c>
      <c r="G70" s="158">
        <v>0.55000000000000004</v>
      </c>
      <c r="H70" s="157">
        <v>10000</v>
      </c>
      <c r="I70" s="156">
        <f t="shared" si="1"/>
        <v>5500</v>
      </c>
    </row>
    <row r="71" spans="2:9" ht="15.5">
      <c r="B71" s="160">
        <v>1185732</v>
      </c>
      <c r="C71" s="161">
        <v>44540</v>
      </c>
      <c r="D71" s="160" t="s">
        <v>437</v>
      </c>
      <c r="E71" s="160" t="s">
        <v>437</v>
      </c>
      <c r="F71" s="159" t="s">
        <v>395</v>
      </c>
      <c r="G71" s="158">
        <v>0.55000000000000004</v>
      </c>
      <c r="H71" s="157">
        <v>9500</v>
      </c>
      <c r="I71" s="156">
        <f t="shared" si="1"/>
        <v>5225</v>
      </c>
    </row>
    <row r="72" spans="2:9" ht="15.5">
      <c r="B72" s="160">
        <v>1185732</v>
      </c>
      <c r="C72" s="161">
        <v>44540</v>
      </c>
      <c r="D72" s="160" t="s">
        <v>437</v>
      </c>
      <c r="E72" s="160" t="s">
        <v>437</v>
      </c>
      <c r="F72" s="159" t="s">
        <v>394</v>
      </c>
      <c r="G72" s="158">
        <v>0.55000000000000004</v>
      </c>
      <c r="H72" s="157">
        <v>9000</v>
      </c>
      <c r="I72" s="156">
        <f t="shared" si="1"/>
        <v>4950</v>
      </c>
    </row>
    <row r="73" spans="2:9" ht="15.5">
      <c r="B73" s="160">
        <v>1185732</v>
      </c>
      <c r="C73" s="161">
        <v>44540</v>
      </c>
      <c r="D73" s="160" t="s">
        <v>437</v>
      </c>
      <c r="E73" s="160" t="s">
        <v>437</v>
      </c>
      <c r="F73" s="159" t="s">
        <v>391</v>
      </c>
      <c r="G73" s="158">
        <v>0.65</v>
      </c>
      <c r="H73" s="157">
        <v>9000</v>
      </c>
      <c r="I73" s="156">
        <f t="shared" si="1"/>
        <v>5850</v>
      </c>
    </row>
    <row r="74" spans="2:9" ht="15.5">
      <c r="B74" s="160">
        <v>1185732</v>
      </c>
      <c r="C74" s="161">
        <v>44540</v>
      </c>
      <c r="D74" s="160" t="s">
        <v>437</v>
      </c>
      <c r="E74" s="160" t="s">
        <v>437</v>
      </c>
      <c r="F74" s="159" t="s">
        <v>434</v>
      </c>
      <c r="G74" s="158">
        <v>0.7</v>
      </c>
      <c r="H74" s="157">
        <v>10000</v>
      </c>
      <c r="I74" s="156">
        <f t="shared" si="1"/>
        <v>7000</v>
      </c>
    </row>
    <row r="75" spans="2:9" ht="15.5">
      <c r="B75" s="160">
        <v>1197831</v>
      </c>
      <c r="C75" s="161">
        <v>44198</v>
      </c>
      <c r="D75" s="160" t="s">
        <v>234</v>
      </c>
      <c r="E75" s="160" t="s">
        <v>436</v>
      </c>
      <c r="F75" s="159" t="s">
        <v>397</v>
      </c>
      <c r="G75" s="158">
        <v>0.25</v>
      </c>
      <c r="H75" s="157">
        <v>9000</v>
      </c>
      <c r="I75" s="156">
        <f t="shared" si="1"/>
        <v>2250</v>
      </c>
    </row>
    <row r="76" spans="2:9" ht="15.5">
      <c r="B76" s="160">
        <v>1197831</v>
      </c>
      <c r="C76" s="161">
        <v>44198</v>
      </c>
      <c r="D76" s="160" t="s">
        <v>234</v>
      </c>
      <c r="E76" s="160" t="s">
        <v>436</v>
      </c>
      <c r="F76" s="159" t="s">
        <v>396</v>
      </c>
      <c r="G76" s="158">
        <v>0.35</v>
      </c>
      <c r="H76" s="157">
        <v>9000</v>
      </c>
      <c r="I76" s="156">
        <f t="shared" si="1"/>
        <v>3150</v>
      </c>
    </row>
    <row r="77" spans="2:9" ht="15.5">
      <c r="B77" s="160">
        <v>1197831</v>
      </c>
      <c r="C77" s="161">
        <v>44198</v>
      </c>
      <c r="D77" s="160" t="s">
        <v>234</v>
      </c>
      <c r="E77" s="160" t="s">
        <v>436</v>
      </c>
      <c r="F77" s="159" t="s">
        <v>395</v>
      </c>
      <c r="G77" s="158">
        <v>0.35</v>
      </c>
      <c r="H77" s="157">
        <v>7000</v>
      </c>
      <c r="I77" s="156">
        <f t="shared" si="1"/>
        <v>2450</v>
      </c>
    </row>
    <row r="78" spans="2:9" ht="15.5">
      <c r="B78" s="160">
        <v>1197831</v>
      </c>
      <c r="C78" s="161">
        <v>44198</v>
      </c>
      <c r="D78" s="160" t="s">
        <v>234</v>
      </c>
      <c r="E78" s="160" t="s">
        <v>436</v>
      </c>
      <c r="F78" s="159" t="s">
        <v>394</v>
      </c>
      <c r="G78" s="158">
        <v>0.35</v>
      </c>
      <c r="H78" s="157">
        <v>7000</v>
      </c>
      <c r="I78" s="156">
        <f t="shared" si="1"/>
        <v>2450</v>
      </c>
    </row>
    <row r="79" spans="2:9" ht="15.5">
      <c r="B79" s="160">
        <v>1197831</v>
      </c>
      <c r="C79" s="161">
        <v>44198</v>
      </c>
      <c r="D79" s="160" t="s">
        <v>234</v>
      </c>
      <c r="E79" s="160" t="s">
        <v>436</v>
      </c>
      <c r="F79" s="159" t="s">
        <v>391</v>
      </c>
      <c r="G79" s="158">
        <v>0.4</v>
      </c>
      <c r="H79" s="157">
        <v>5500</v>
      </c>
      <c r="I79" s="156">
        <f t="shared" si="1"/>
        <v>2200</v>
      </c>
    </row>
    <row r="80" spans="2:9" ht="15.5">
      <c r="B80" s="160">
        <v>1197831</v>
      </c>
      <c r="C80" s="161">
        <v>44198</v>
      </c>
      <c r="D80" s="160" t="s">
        <v>234</v>
      </c>
      <c r="E80" s="160" t="s">
        <v>436</v>
      </c>
      <c r="F80" s="159" t="s">
        <v>434</v>
      </c>
      <c r="G80" s="158">
        <v>0.35</v>
      </c>
      <c r="H80" s="157">
        <v>7000</v>
      </c>
      <c r="I80" s="156">
        <f t="shared" si="1"/>
        <v>2450</v>
      </c>
    </row>
    <row r="81" spans="2:9" ht="15.5">
      <c r="B81" s="160">
        <v>1197831</v>
      </c>
      <c r="C81" s="161">
        <v>44228</v>
      </c>
      <c r="D81" s="160" t="s">
        <v>234</v>
      </c>
      <c r="E81" s="160" t="s">
        <v>436</v>
      </c>
      <c r="F81" s="159" t="s">
        <v>397</v>
      </c>
      <c r="G81" s="158">
        <v>0.25</v>
      </c>
      <c r="H81" s="157">
        <v>8500</v>
      </c>
      <c r="I81" s="156">
        <f t="shared" si="1"/>
        <v>2125</v>
      </c>
    </row>
    <row r="82" spans="2:9" ht="15.5">
      <c r="B82" s="160">
        <v>1197831</v>
      </c>
      <c r="C82" s="161">
        <v>44228</v>
      </c>
      <c r="D82" s="160" t="s">
        <v>234</v>
      </c>
      <c r="E82" s="160" t="s">
        <v>436</v>
      </c>
      <c r="F82" s="159" t="s">
        <v>396</v>
      </c>
      <c r="G82" s="158">
        <v>0.35</v>
      </c>
      <c r="H82" s="157">
        <v>8500</v>
      </c>
      <c r="I82" s="156">
        <f t="shared" si="1"/>
        <v>2975</v>
      </c>
    </row>
    <row r="83" spans="2:9" ht="15.5">
      <c r="B83" s="160">
        <v>1197831</v>
      </c>
      <c r="C83" s="161">
        <v>44228</v>
      </c>
      <c r="D83" s="160" t="s">
        <v>234</v>
      </c>
      <c r="E83" s="160" t="s">
        <v>436</v>
      </c>
      <c r="F83" s="159" t="s">
        <v>395</v>
      </c>
      <c r="G83" s="158">
        <v>0.35</v>
      </c>
      <c r="H83" s="157">
        <v>6750</v>
      </c>
      <c r="I83" s="156">
        <f t="shared" si="1"/>
        <v>2362.5</v>
      </c>
    </row>
    <row r="84" spans="2:9" ht="15.5">
      <c r="B84" s="160">
        <v>1197831</v>
      </c>
      <c r="C84" s="161">
        <v>44228</v>
      </c>
      <c r="D84" s="160" t="s">
        <v>234</v>
      </c>
      <c r="E84" s="160" t="s">
        <v>436</v>
      </c>
      <c r="F84" s="159" t="s">
        <v>394</v>
      </c>
      <c r="G84" s="158">
        <v>0.35</v>
      </c>
      <c r="H84" s="157">
        <v>6250</v>
      </c>
      <c r="I84" s="156">
        <f t="shared" si="1"/>
        <v>2187.5</v>
      </c>
    </row>
    <row r="85" spans="2:9" ht="15.5">
      <c r="B85" s="160">
        <v>1197831</v>
      </c>
      <c r="C85" s="161">
        <v>44228</v>
      </c>
      <c r="D85" s="160" t="s">
        <v>234</v>
      </c>
      <c r="E85" s="160" t="s">
        <v>436</v>
      </c>
      <c r="F85" s="159" t="s">
        <v>391</v>
      </c>
      <c r="G85" s="158">
        <v>0.4</v>
      </c>
      <c r="H85" s="157">
        <v>5000</v>
      </c>
      <c r="I85" s="156">
        <f t="shared" si="1"/>
        <v>2000</v>
      </c>
    </row>
    <row r="86" spans="2:9" ht="15.5">
      <c r="B86" s="160">
        <v>1197831</v>
      </c>
      <c r="C86" s="161">
        <v>44228</v>
      </c>
      <c r="D86" s="160" t="s">
        <v>234</v>
      </c>
      <c r="E86" s="160" t="s">
        <v>436</v>
      </c>
      <c r="F86" s="159" t="s">
        <v>434</v>
      </c>
      <c r="G86" s="158">
        <v>0.35</v>
      </c>
      <c r="H86" s="157">
        <v>7000</v>
      </c>
      <c r="I86" s="156">
        <f t="shared" si="1"/>
        <v>2450</v>
      </c>
    </row>
    <row r="87" spans="2:9" ht="15.5">
      <c r="B87" s="160">
        <v>1197831</v>
      </c>
      <c r="C87" s="161">
        <v>44258</v>
      </c>
      <c r="D87" s="160" t="s">
        <v>234</v>
      </c>
      <c r="E87" s="160" t="s">
        <v>436</v>
      </c>
      <c r="F87" s="159" t="s">
        <v>397</v>
      </c>
      <c r="G87" s="158">
        <v>0.3</v>
      </c>
      <c r="H87" s="157">
        <v>8750</v>
      </c>
      <c r="I87" s="156">
        <f t="shared" si="1"/>
        <v>2625</v>
      </c>
    </row>
    <row r="88" spans="2:9" ht="15.5">
      <c r="B88" s="160">
        <v>1197831</v>
      </c>
      <c r="C88" s="161">
        <v>44258</v>
      </c>
      <c r="D88" s="160" t="s">
        <v>234</v>
      </c>
      <c r="E88" s="160" t="s">
        <v>436</v>
      </c>
      <c r="F88" s="159" t="s">
        <v>396</v>
      </c>
      <c r="G88" s="158">
        <v>0.4</v>
      </c>
      <c r="H88" s="157">
        <v>8750</v>
      </c>
      <c r="I88" s="156">
        <f t="shared" si="1"/>
        <v>3500</v>
      </c>
    </row>
    <row r="89" spans="2:9" ht="15.5">
      <c r="B89" s="160">
        <v>1197831</v>
      </c>
      <c r="C89" s="161">
        <v>44258</v>
      </c>
      <c r="D89" s="160" t="s">
        <v>234</v>
      </c>
      <c r="E89" s="160" t="s">
        <v>436</v>
      </c>
      <c r="F89" s="159" t="s">
        <v>395</v>
      </c>
      <c r="G89" s="158">
        <v>0.35</v>
      </c>
      <c r="H89" s="157">
        <v>7000</v>
      </c>
      <c r="I89" s="156">
        <f t="shared" si="1"/>
        <v>2450</v>
      </c>
    </row>
    <row r="90" spans="2:9" ht="15.5">
      <c r="B90" s="160">
        <v>1197831</v>
      </c>
      <c r="C90" s="161">
        <v>44258</v>
      </c>
      <c r="D90" s="160" t="s">
        <v>234</v>
      </c>
      <c r="E90" s="160" t="s">
        <v>436</v>
      </c>
      <c r="F90" s="159" t="s">
        <v>394</v>
      </c>
      <c r="G90" s="158">
        <v>0.4</v>
      </c>
      <c r="H90" s="157">
        <v>6000</v>
      </c>
      <c r="I90" s="156">
        <f t="shared" si="1"/>
        <v>2400</v>
      </c>
    </row>
    <row r="91" spans="2:9" ht="15.5">
      <c r="B91" s="160">
        <v>1197831</v>
      </c>
      <c r="C91" s="161">
        <v>44258</v>
      </c>
      <c r="D91" s="160" t="s">
        <v>234</v>
      </c>
      <c r="E91" s="160" t="s">
        <v>436</v>
      </c>
      <c r="F91" s="159" t="s">
        <v>391</v>
      </c>
      <c r="G91" s="158">
        <v>0.45</v>
      </c>
      <c r="H91" s="157">
        <v>5000</v>
      </c>
      <c r="I91" s="156">
        <f t="shared" si="1"/>
        <v>2250</v>
      </c>
    </row>
    <row r="92" spans="2:9" ht="15.5">
      <c r="B92" s="160">
        <v>1197831</v>
      </c>
      <c r="C92" s="161">
        <v>44258</v>
      </c>
      <c r="D92" s="160" t="s">
        <v>234</v>
      </c>
      <c r="E92" s="160" t="s">
        <v>436</v>
      </c>
      <c r="F92" s="159" t="s">
        <v>434</v>
      </c>
      <c r="G92" s="158">
        <v>0.4</v>
      </c>
      <c r="H92" s="157">
        <v>6500</v>
      </c>
      <c r="I92" s="156">
        <f t="shared" si="1"/>
        <v>2600</v>
      </c>
    </row>
    <row r="93" spans="2:9" ht="15.5">
      <c r="B93" s="160">
        <v>1197831</v>
      </c>
      <c r="C93" s="161">
        <v>44288</v>
      </c>
      <c r="D93" s="160" t="s">
        <v>234</v>
      </c>
      <c r="E93" s="160" t="s">
        <v>436</v>
      </c>
      <c r="F93" s="159" t="s">
        <v>397</v>
      </c>
      <c r="G93" s="158">
        <v>0.3</v>
      </c>
      <c r="H93" s="157">
        <v>9000</v>
      </c>
      <c r="I93" s="156">
        <f t="shared" si="1"/>
        <v>2700</v>
      </c>
    </row>
    <row r="94" spans="2:9" ht="15.5">
      <c r="B94" s="160">
        <v>1197831</v>
      </c>
      <c r="C94" s="161">
        <v>44288</v>
      </c>
      <c r="D94" s="160" t="s">
        <v>234</v>
      </c>
      <c r="E94" s="160" t="s">
        <v>436</v>
      </c>
      <c r="F94" s="159" t="s">
        <v>396</v>
      </c>
      <c r="G94" s="158">
        <v>0.4</v>
      </c>
      <c r="H94" s="157">
        <v>9000</v>
      </c>
      <c r="I94" s="156">
        <f t="shared" si="1"/>
        <v>3600</v>
      </c>
    </row>
    <row r="95" spans="2:9" ht="15.5">
      <c r="B95" s="160">
        <v>1197831</v>
      </c>
      <c r="C95" s="161">
        <v>44288</v>
      </c>
      <c r="D95" s="160" t="s">
        <v>234</v>
      </c>
      <c r="E95" s="160" t="s">
        <v>436</v>
      </c>
      <c r="F95" s="159" t="s">
        <v>395</v>
      </c>
      <c r="G95" s="158">
        <v>0.35</v>
      </c>
      <c r="H95" s="157">
        <v>7250</v>
      </c>
      <c r="I95" s="156">
        <f t="shared" si="1"/>
        <v>2537.5</v>
      </c>
    </row>
    <row r="96" spans="2:9" ht="15.5">
      <c r="B96" s="160">
        <v>1197831</v>
      </c>
      <c r="C96" s="161">
        <v>44288</v>
      </c>
      <c r="D96" s="160" t="s">
        <v>234</v>
      </c>
      <c r="E96" s="160" t="s">
        <v>436</v>
      </c>
      <c r="F96" s="159" t="s">
        <v>394</v>
      </c>
      <c r="G96" s="158">
        <v>0.4</v>
      </c>
      <c r="H96" s="157">
        <v>6250</v>
      </c>
      <c r="I96" s="156">
        <f t="shared" si="1"/>
        <v>2500</v>
      </c>
    </row>
    <row r="97" spans="2:9" ht="15.5">
      <c r="B97" s="160">
        <v>1197831</v>
      </c>
      <c r="C97" s="161">
        <v>44288</v>
      </c>
      <c r="D97" s="160" t="s">
        <v>234</v>
      </c>
      <c r="E97" s="160" t="s">
        <v>436</v>
      </c>
      <c r="F97" s="159" t="s">
        <v>391</v>
      </c>
      <c r="G97" s="158">
        <v>0.45</v>
      </c>
      <c r="H97" s="157">
        <v>5250</v>
      </c>
      <c r="I97" s="156">
        <f t="shared" si="1"/>
        <v>2362.5</v>
      </c>
    </row>
    <row r="98" spans="2:9" ht="15.5">
      <c r="B98" s="160">
        <v>1197831</v>
      </c>
      <c r="C98" s="161">
        <v>44288</v>
      </c>
      <c r="D98" s="160" t="s">
        <v>234</v>
      </c>
      <c r="E98" s="160" t="s">
        <v>436</v>
      </c>
      <c r="F98" s="159" t="s">
        <v>434</v>
      </c>
      <c r="G98" s="158">
        <v>0.4</v>
      </c>
      <c r="H98" s="157">
        <v>8000</v>
      </c>
      <c r="I98" s="156">
        <f t="shared" si="1"/>
        <v>3200</v>
      </c>
    </row>
    <row r="99" spans="2:9" ht="15.5">
      <c r="B99" s="160">
        <v>1197831</v>
      </c>
      <c r="C99" s="161">
        <v>44318</v>
      </c>
      <c r="D99" s="160" t="s">
        <v>234</v>
      </c>
      <c r="E99" s="160" t="s">
        <v>436</v>
      </c>
      <c r="F99" s="159" t="s">
        <v>397</v>
      </c>
      <c r="G99" s="158">
        <v>0.3</v>
      </c>
      <c r="H99" s="157">
        <v>9250</v>
      </c>
      <c r="I99" s="156">
        <f t="shared" si="1"/>
        <v>2775</v>
      </c>
    </row>
    <row r="100" spans="2:9" ht="15.5">
      <c r="B100" s="160">
        <v>1197831</v>
      </c>
      <c r="C100" s="161">
        <v>44318</v>
      </c>
      <c r="D100" s="160" t="s">
        <v>234</v>
      </c>
      <c r="E100" s="160" t="s">
        <v>436</v>
      </c>
      <c r="F100" s="159" t="s">
        <v>396</v>
      </c>
      <c r="G100" s="158">
        <v>0.4</v>
      </c>
      <c r="H100" s="157">
        <v>9250</v>
      </c>
      <c r="I100" s="156">
        <f t="shared" si="1"/>
        <v>3700</v>
      </c>
    </row>
    <row r="101" spans="2:9" ht="15.5">
      <c r="B101" s="160">
        <v>1197831</v>
      </c>
      <c r="C101" s="161">
        <v>44318</v>
      </c>
      <c r="D101" s="160" t="s">
        <v>234</v>
      </c>
      <c r="E101" s="160" t="s">
        <v>436</v>
      </c>
      <c r="F101" s="159" t="s">
        <v>395</v>
      </c>
      <c r="G101" s="158">
        <v>0.35</v>
      </c>
      <c r="H101" s="157">
        <v>7750</v>
      </c>
      <c r="I101" s="156">
        <f t="shared" si="1"/>
        <v>2712.5</v>
      </c>
    </row>
    <row r="102" spans="2:9" ht="15.5">
      <c r="B102" s="160">
        <v>1197831</v>
      </c>
      <c r="C102" s="161">
        <v>44318</v>
      </c>
      <c r="D102" s="160" t="s">
        <v>234</v>
      </c>
      <c r="E102" s="160" t="s">
        <v>436</v>
      </c>
      <c r="F102" s="159" t="s">
        <v>394</v>
      </c>
      <c r="G102" s="158">
        <v>0.4</v>
      </c>
      <c r="H102" s="157">
        <v>7000</v>
      </c>
      <c r="I102" s="156">
        <f t="shared" si="1"/>
        <v>2800</v>
      </c>
    </row>
    <row r="103" spans="2:9" ht="15.5">
      <c r="B103" s="160">
        <v>1197831</v>
      </c>
      <c r="C103" s="161">
        <v>44318</v>
      </c>
      <c r="D103" s="160" t="s">
        <v>234</v>
      </c>
      <c r="E103" s="160" t="s">
        <v>436</v>
      </c>
      <c r="F103" s="159" t="s">
        <v>391</v>
      </c>
      <c r="G103" s="158">
        <v>0.45</v>
      </c>
      <c r="H103" s="157">
        <v>6000</v>
      </c>
      <c r="I103" s="156">
        <f t="shared" si="1"/>
        <v>2700</v>
      </c>
    </row>
    <row r="104" spans="2:9" ht="15.5">
      <c r="B104" s="160">
        <v>1197831</v>
      </c>
      <c r="C104" s="161">
        <v>44318</v>
      </c>
      <c r="D104" s="160" t="s">
        <v>234</v>
      </c>
      <c r="E104" s="160" t="s">
        <v>436</v>
      </c>
      <c r="F104" s="159" t="s">
        <v>434</v>
      </c>
      <c r="G104" s="158">
        <v>0.4</v>
      </c>
      <c r="H104" s="157">
        <v>9500</v>
      </c>
      <c r="I104" s="156">
        <f t="shared" si="1"/>
        <v>3800</v>
      </c>
    </row>
    <row r="105" spans="2:9" ht="15.5">
      <c r="B105" s="160">
        <v>1197831</v>
      </c>
      <c r="C105" s="161">
        <v>44348</v>
      </c>
      <c r="D105" s="160" t="s">
        <v>234</v>
      </c>
      <c r="E105" s="160" t="s">
        <v>436</v>
      </c>
      <c r="F105" s="159" t="s">
        <v>397</v>
      </c>
      <c r="G105" s="158">
        <v>0.4</v>
      </c>
      <c r="H105" s="157">
        <v>9500</v>
      </c>
      <c r="I105" s="156">
        <f t="shared" si="1"/>
        <v>3800</v>
      </c>
    </row>
    <row r="106" spans="2:9" ht="15.5">
      <c r="B106" s="160">
        <v>1197831</v>
      </c>
      <c r="C106" s="161">
        <v>44348</v>
      </c>
      <c r="D106" s="160" t="s">
        <v>234</v>
      </c>
      <c r="E106" s="160" t="s">
        <v>436</v>
      </c>
      <c r="F106" s="159" t="s">
        <v>396</v>
      </c>
      <c r="G106" s="158">
        <v>0.45</v>
      </c>
      <c r="H106" s="157">
        <v>9500</v>
      </c>
      <c r="I106" s="156">
        <f t="shared" si="1"/>
        <v>4275</v>
      </c>
    </row>
    <row r="107" spans="2:9" ht="15.5">
      <c r="B107" s="160">
        <v>1197831</v>
      </c>
      <c r="C107" s="161">
        <v>44348</v>
      </c>
      <c r="D107" s="160" t="s">
        <v>234</v>
      </c>
      <c r="E107" s="160" t="s">
        <v>436</v>
      </c>
      <c r="F107" s="159" t="s">
        <v>395</v>
      </c>
      <c r="G107" s="158">
        <v>0.4</v>
      </c>
      <c r="H107" s="157">
        <v>8000</v>
      </c>
      <c r="I107" s="156">
        <f t="shared" si="1"/>
        <v>3200</v>
      </c>
    </row>
    <row r="108" spans="2:9" ht="15.5">
      <c r="B108" s="160">
        <v>1197831</v>
      </c>
      <c r="C108" s="161">
        <v>44348</v>
      </c>
      <c r="D108" s="160" t="s">
        <v>234</v>
      </c>
      <c r="E108" s="160" t="s">
        <v>436</v>
      </c>
      <c r="F108" s="159" t="s">
        <v>394</v>
      </c>
      <c r="G108" s="158">
        <v>0.4</v>
      </c>
      <c r="H108" s="157">
        <v>7500</v>
      </c>
      <c r="I108" s="156">
        <f t="shared" si="1"/>
        <v>3000</v>
      </c>
    </row>
    <row r="109" spans="2:9" ht="15.5">
      <c r="B109" s="160">
        <v>1197831</v>
      </c>
      <c r="C109" s="161">
        <v>44348</v>
      </c>
      <c r="D109" s="160" t="s">
        <v>234</v>
      </c>
      <c r="E109" s="160" t="s">
        <v>436</v>
      </c>
      <c r="F109" s="159" t="s">
        <v>391</v>
      </c>
      <c r="G109" s="158">
        <v>0.45</v>
      </c>
      <c r="H109" s="157">
        <v>6500</v>
      </c>
      <c r="I109" s="156">
        <f t="shared" si="1"/>
        <v>2925</v>
      </c>
    </row>
    <row r="110" spans="2:9" ht="15.5">
      <c r="B110" s="160">
        <v>1197831</v>
      </c>
      <c r="C110" s="161">
        <v>44348</v>
      </c>
      <c r="D110" s="160" t="s">
        <v>234</v>
      </c>
      <c r="E110" s="160" t="s">
        <v>436</v>
      </c>
      <c r="F110" s="159" t="s">
        <v>434</v>
      </c>
      <c r="G110" s="158">
        <v>0.5</v>
      </c>
      <c r="H110" s="157">
        <v>10000</v>
      </c>
      <c r="I110" s="156">
        <f t="shared" si="1"/>
        <v>5000</v>
      </c>
    </row>
    <row r="111" spans="2:9" ht="15.5">
      <c r="B111" s="160">
        <v>1197831</v>
      </c>
      <c r="C111" s="161">
        <v>44380</v>
      </c>
      <c r="D111" s="160" t="s">
        <v>234</v>
      </c>
      <c r="E111" s="160" t="s">
        <v>436</v>
      </c>
      <c r="F111" s="159" t="s">
        <v>397</v>
      </c>
      <c r="G111" s="158">
        <v>0.4</v>
      </c>
      <c r="H111" s="157">
        <v>9500</v>
      </c>
      <c r="I111" s="156">
        <f t="shared" si="1"/>
        <v>3800</v>
      </c>
    </row>
    <row r="112" spans="2:9" ht="15.5">
      <c r="B112" s="160">
        <v>1197831</v>
      </c>
      <c r="C112" s="161">
        <v>44380</v>
      </c>
      <c r="D112" s="160" t="s">
        <v>234</v>
      </c>
      <c r="E112" s="160" t="s">
        <v>436</v>
      </c>
      <c r="F112" s="159" t="s">
        <v>396</v>
      </c>
      <c r="G112" s="158">
        <v>0.45</v>
      </c>
      <c r="H112" s="157">
        <v>9500</v>
      </c>
      <c r="I112" s="156">
        <f t="shared" si="1"/>
        <v>4275</v>
      </c>
    </row>
    <row r="113" spans="2:9" ht="15.5">
      <c r="B113" s="160">
        <v>1197831</v>
      </c>
      <c r="C113" s="161">
        <v>44380</v>
      </c>
      <c r="D113" s="160" t="s">
        <v>234</v>
      </c>
      <c r="E113" s="160" t="s">
        <v>436</v>
      </c>
      <c r="F113" s="159" t="s">
        <v>395</v>
      </c>
      <c r="G113" s="158">
        <v>0.4</v>
      </c>
      <c r="H113" s="157">
        <v>11000</v>
      </c>
      <c r="I113" s="156">
        <f t="shared" si="1"/>
        <v>4400</v>
      </c>
    </row>
    <row r="114" spans="2:9" ht="15.5">
      <c r="B114" s="160">
        <v>1197831</v>
      </c>
      <c r="C114" s="161">
        <v>44380</v>
      </c>
      <c r="D114" s="160" t="s">
        <v>234</v>
      </c>
      <c r="E114" s="160" t="s">
        <v>436</v>
      </c>
      <c r="F114" s="159" t="s">
        <v>394</v>
      </c>
      <c r="G114" s="158">
        <v>0.4</v>
      </c>
      <c r="H114" s="157">
        <v>7000</v>
      </c>
      <c r="I114" s="156">
        <f t="shared" si="1"/>
        <v>2800</v>
      </c>
    </row>
    <row r="115" spans="2:9" ht="15.5">
      <c r="B115" s="160">
        <v>1197831</v>
      </c>
      <c r="C115" s="161">
        <v>44380</v>
      </c>
      <c r="D115" s="160" t="s">
        <v>234</v>
      </c>
      <c r="E115" s="160" t="s">
        <v>436</v>
      </c>
      <c r="F115" s="159" t="s">
        <v>391</v>
      </c>
      <c r="G115" s="158">
        <v>0.45</v>
      </c>
      <c r="H115" s="157">
        <v>7000</v>
      </c>
      <c r="I115" s="156">
        <f t="shared" si="1"/>
        <v>3150</v>
      </c>
    </row>
    <row r="116" spans="2:9" ht="15.5">
      <c r="B116" s="160">
        <v>1197831</v>
      </c>
      <c r="C116" s="161">
        <v>44380</v>
      </c>
      <c r="D116" s="160" t="s">
        <v>234</v>
      </c>
      <c r="E116" s="160" t="s">
        <v>436</v>
      </c>
      <c r="F116" s="159" t="s">
        <v>434</v>
      </c>
      <c r="G116" s="158">
        <v>0.5</v>
      </c>
      <c r="H116" s="157">
        <v>9750</v>
      </c>
      <c r="I116" s="156">
        <f t="shared" si="1"/>
        <v>4875</v>
      </c>
    </row>
    <row r="117" spans="2:9" ht="15.5">
      <c r="B117" s="160">
        <v>1197831</v>
      </c>
      <c r="C117" s="161">
        <v>44413</v>
      </c>
      <c r="D117" s="160" t="s">
        <v>234</v>
      </c>
      <c r="E117" s="160" t="s">
        <v>436</v>
      </c>
      <c r="F117" s="159" t="s">
        <v>397</v>
      </c>
      <c r="G117" s="158">
        <v>0.4</v>
      </c>
      <c r="H117" s="157">
        <v>9250</v>
      </c>
      <c r="I117" s="156">
        <f t="shared" si="1"/>
        <v>3700</v>
      </c>
    </row>
    <row r="118" spans="2:9" ht="15.5">
      <c r="B118" s="160">
        <v>1197831</v>
      </c>
      <c r="C118" s="161">
        <v>44413</v>
      </c>
      <c r="D118" s="160" t="s">
        <v>234</v>
      </c>
      <c r="E118" s="160" t="s">
        <v>436</v>
      </c>
      <c r="F118" s="159" t="s">
        <v>396</v>
      </c>
      <c r="G118" s="158">
        <v>0.45</v>
      </c>
      <c r="H118" s="157">
        <v>9250</v>
      </c>
      <c r="I118" s="156">
        <f t="shared" si="1"/>
        <v>4162.5</v>
      </c>
    </row>
    <row r="119" spans="2:9" ht="15.5">
      <c r="B119" s="160">
        <v>1197831</v>
      </c>
      <c r="C119" s="161">
        <v>44413</v>
      </c>
      <c r="D119" s="160" t="s">
        <v>234</v>
      </c>
      <c r="E119" s="160" t="s">
        <v>436</v>
      </c>
      <c r="F119" s="159" t="s">
        <v>395</v>
      </c>
      <c r="G119" s="158">
        <v>0.4</v>
      </c>
      <c r="H119" s="157">
        <v>11000</v>
      </c>
      <c r="I119" s="156">
        <f t="shared" si="1"/>
        <v>4400</v>
      </c>
    </row>
    <row r="120" spans="2:9" ht="15.5">
      <c r="B120" s="160">
        <v>1197831</v>
      </c>
      <c r="C120" s="161">
        <v>44413</v>
      </c>
      <c r="D120" s="160" t="s">
        <v>234</v>
      </c>
      <c r="E120" s="160" t="s">
        <v>436</v>
      </c>
      <c r="F120" s="159" t="s">
        <v>394</v>
      </c>
      <c r="G120" s="158">
        <v>0.4</v>
      </c>
      <c r="H120" s="157">
        <v>6500</v>
      </c>
      <c r="I120" s="156">
        <f t="shared" si="1"/>
        <v>2600</v>
      </c>
    </row>
    <row r="121" spans="2:9" ht="15.5">
      <c r="B121" s="160">
        <v>1197831</v>
      </c>
      <c r="C121" s="161">
        <v>44413</v>
      </c>
      <c r="D121" s="160" t="s">
        <v>234</v>
      </c>
      <c r="E121" s="160" t="s">
        <v>436</v>
      </c>
      <c r="F121" s="159" t="s">
        <v>391</v>
      </c>
      <c r="G121" s="158">
        <v>0.45</v>
      </c>
      <c r="H121" s="157">
        <v>6500</v>
      </c>
      <c r="I121" s="156">
        <f t="shared" si="1"/>
        <v>2925</v>
      </c>
    </row>
    <row r="122" spans="2:9" ht="15.5">
      <c r="B122" s="160">
        <v>1197831</v>
      </c>
      <c r="C122" s="161">
        <v>44413</v>
      </c>
      <c r="D122" s="160" t="s">
        <v>234</v>
      </c>
      <c r="E122" s="160" t="s">
        <v>436</v>
      </c>
      <c r="F122" s="159" t="s">
        <v>434</v>
      </c>
      <c r="G122" s="158">
        <v>0.5</v>
      </c>
      <c r="H122" s="157">
        <v>9000</v>
      </c>
      <c r="I122" s="156">
        <f t="shared" si="1"/>
        <v>4500</v>
      </c>
    </row>
    <row r="123" spans="2:9" ht="15.5">
      <c r="B123" s="160">
        <v>1197831</v>
      </c>
      <c r="C123" s="161">
        <v>44441</v>
      </c>
      <c r="D123" s="160" t="s">
        <v>234</v>
      </c>
      <c r="E123" s="160" t="s">
        <v>436</v>
      </c>
      <c r="F123" s="159" t="s">
        <v>397</v>
      </c>
      <c r="G123" s="158">
        <v>0.45</v>
      </c>
      <c r="H123" s="157">
        <v>8500</v>
      </c>
      <c r="I123" s="156">
        <f t="shared" si="1"/>
        <v>3825</v>
      </c>
    </row>
    <row r="124" spans="2:9" ht="15.5">
      <c r="B124" s="160">
        <v>1197831</v>
      </c>
      <c r="C124" s="161">
        <v>44441</v>
      </c>
      <c r="D124" s="160" t="s">
        <v>234</v>
      </c>
      <c r="E124" s="160" t="s">
        <v>436</v>
      </c>
      <c r="F124" s="159" t="s">
        <v>396</v>
      </c>
      <c r="G124" s="158">
        <v>0.45</v>
      </c>
      <c r="H124" s="157">
        <v>8500</v>
      </c>
      <c r="I124" s="156">
        <f t="shared" si="1"/>
        <v>3825</v>
      </c>
    </row>
    <row r="125" spans="2:9" ht="15.5">
      <c r="B125" s="160">
        <v>1197831</v>
      </c>
      <c r="C125" s="161">
        <v>44441</v>
      </c>
      <c r="D125" s="160" t="s">
        <v>234</v>
      </c>
      <c r="E125" s="160" t="s">
        <v>436</v>
      </c>
      <c r="F125" s="159" t="s">
        <v>395</v>
      </c>
      <c r="G125" s="158">
        <v>0.5</v>
      </c>
      <c r="H125" s="157">
        <v>9000</v>
      </c>
      <c r="I125" s="156">
        <f t="shared" si="1"/>
        <v>4500</v>
      </c>
    </row>
    <row r="126" spans="2:9" ht="15.5">
      <c r="B126" s="160">
        <v>1197831</v>
      </c>
      <c r="C126" s="161">
        <v>44441</v>
      </c>
      <c r="D126" s="160" t="s">
        <v>234</v>
      </c>
      <c r="E126" s="160" t="s">
        <v>436</v>
      </c>
      <c r="F126" s="159" t="s">
        <v>394</v>
      </c>
      <c r="G126" s="158">
        <v>0.5</v>
      </c>
      <c r="H126" s="157">
        <v>6250</v>
      </c>
      <c r="I126" s="156">
        <f t="shared" si="1"/>
        <v>3125</v>
      </c>
    </row>
    <row r="127" spans="2:9" ht="15.5">
      <c r="B127" s="160">
        <v>1197831</v>
      </c>
      <c r="C127" s="161">
        <v>44441</v>
      </c>
      <c r="D127" s="160" t="s">
        <v>234</v>
      </c>
      <c r="E127" s="160" t="s">
        <v>436</v>
      </c>
      <c r="F127" s="159" t="s">
        <v>391</v>
      </c>
      <c r="G127" s="158">
        <v>0.45</v>
      </c>
      <c r="H127" s="157">
        <v>6250</v>
      </c>
      <c r="I127" s="156">
        <f t="shared" si="1"/>
        <v>2812.5</v>
      </c>
    </row>
    <row r="128" spans="2:9" ht="15.5">
      <c r="B128" s="160">
        <v>1197831</v>
      </c>
      <c r="C128" s="161">
        <v>44441</v>
      </c>
      <c r="D128" s="160" t="s">
        <v>234</v>
      </c>
      <c r="E128" s="160" t="s">
        <v>436</v>
      </c>
      <c r="F128" s="159" t="s">
        <v>434</v>
      </c>
      <c r="G128" s="158">
        <v>0.55000000000000004</v>
      </c>
      <c r="H128" s="157">
        <v>8500</v>
      </c>
      <c r="I128" s="156">
        <f t="shared" si="1"/>
        <v>4675</v>
      </c>
    </row>
    <row r="129" spans="2:9" ht="15.5">
      <c r="B129" s="160">
        <v>1197831</v>
      </c>
      <c r="C129" s="161">
        <v>44470</v>
      </c>
      <c r="D129" s="160" t="s">
        <v>234</v>
      </c>
      <c r="E129" s="160" t="s">
        <v>436</v>
      </c>
      <c r="F129" s="159" t="s">
        <v>397</v>
      </c>
      <c r="G129" s="158">
        <v>0.45</v>
      </c>
      <c r="H129" s="157">
        <v>8000</v>
      </c>
      <c r="I129" s="156">
        <f t="shared" si="1"/>
        <v>3600</v>
      </c>
    </row>
    <row r="130" spans="2:9" ht="15.5">
      <c r="B130" s="160">
        <v>1197831</v>
      </c>
      <c r="C130" s="161">
        <v>44470</v>
      </c>
      <c r="D130" s="160" t="s">
        <v>234</v>
      </c>
      <c r="E130" s="160" t="s">
        <v>436</v>
      </c>
      <c r="F130" s="159" t="s">
        <v>396</v>
      </c>
      <c r="G130" s="158">
        <v>0.45</v>
      </c>
      <c r="H130" s="157">
        <v>8000</v>
      </c>
      <c r="I130" s="156">
        <f t="shared" si="1"/>
        <v>3600</v>
      </c>
    </row>
    <row r="131" spans="2:9" ht="15.5">
      <c r="B131" s="160">
        <v>1197831</v>
      </c>
      <c r="C131" s="161">
        <v>44470</v>
      </c>
      <c r="D131" s="160" t="s">
        <v>234</v>
      </c>
      <c r="E131" s="160" t="s">
        <v>436</v>
      </c>
      <c r="F131" s="159" t="s">
        <v>395</v>
      </c>
      <c r="G131" s="158">
        <v>0.5</v>
      </c>
      <c r="H131" s="157">
        <v>7500</v>
      </c>
      <c r="I131" s="156">
        <f t="shared" ref="I131:I194" si="2">G131*H131</f>
        <v>3750</v>
      </c>
    </row>
    <row r="132" spans="2:9" ht="15.5">
      <c r="B132" s="160">
        <v>1197831</v>
      </c>
      <c r="C132" s="161">
        <v>44470</v>
      </c>
      <c r="D132" s="160" t="s">
        <v>234</v>
      </c>
      <c r="E132" s="160" t="s">
        <v>436</v>
      </c>
      <c r="F132" s="159" t="s">
        <v>394</v>
      </c>
      <c r="G132" s="158">
        <v>0.5</v>
      </c>
      <c r="H132" s="157">
        <v>6000</v>
      </c>
      <c r="I132" s="156">
        <f t="shared" si="2"/>
        <v>3000</v>
      </c>
    </row>
    <row r="133" spans="2:9" ht="15.5">
      <c r="B133" s="160">
        <v>1197831</v>
      </c>
      <c r="C133" s="161">
        <v>44470</v>
      </c>
      <c r="D133" s="160" t="s">
        <v>234</v>
      </c>
      <c r="E133" s="160" t="s">
        <v>436</v>
      </c>
      <c r="F133" s="159" t="s">
        <v>391</v>
      </c>
      <c r="G133" s="158">
        <v>0.45</v>
      </c>
      <c r="H133" s="157">
        <v>5750</v>
      </c>
      <c r="I133" s="156">
        <f t="shared" si="2"/>
        <v>2587.5</v>
      </c>
    </row>
    <row r="134" spans="2:9" ht="15.5">
      <c r="B134" s="160">
        <v>1197831</v>
      </c>
      <c r="C134" s="161">
        <v>44470</v>
      </c>
      <c r="D134" s="160" t="s">
        <v>234</v>
      </c>
      <c r="E134" s="160" t="s">
        <v>436</v>
      </c>
      <c r="F134" s="159" t="s">
        <v>434</v>
      </c>
      <c r="G134" s="158">
        <v>0.55000000000000004</v>
      </c>
      <c r="H134" s="157">
        <v>7500</v>
      </c>
      <c r="I134" s="156">
        <f t="shared" si="2"/>
        <v>4125</v>
      </c>
    </row>
    <row r="135" spans="2:9" ht="15.5">
      <c r="B135" s="160">
        <v>1197831</v>
      </c>
      <c r="C135" s="161">
        <v>44502</v>
      </c>
      <c r="D135" s="160" t="s">
        <v>234</v>
      </c>
      <c r="E135" s="160" t="s">
        <v>436</v>
      </c>
      <c r="F135" s="159" t="s">
        <v>397</v>
      </c>
      <c r="G135" s="158">
        <v>0.45</v>
      </c>
      <c r="H135" s="157">
        <v>9000</v>
      </c>
      <c r="I135" s="156">
        <f t="shared" si="2"/>
        <v>4050</v>
      </c>
    </row>
    <row r="136" spans="2:9" ht="15.5">
      <c r="B136" s="160">
        <v>1197831</v>
      </c>
      <c r="C136" s="161">
        <v>44502</v>
      </c>
      <c r="D136" s="160" t="s">
        <v>234</v>
      </c>
      <c r="E136" s="160" t="s">
        <v>436</v>
      </c>
      <c r="F136" s="159" t="s">
        <v>396</v>
      </c>
      <c r="G136" s="158">
        <v>0.45</v>
      </c>
      <c r="H136" s="157">
        <v>9000</v>
      </c>
      <c r="I136" s="156">
        <f t="shared" si="2"/>
        <v>4050</v>
      </c>
    </row>
    <row r="137" spans="2:9" ht="15.5">
      <c r="B137" s="160">
        <v>1197831</v>
      </c>
      <c r="C137" s="161">
        <v>44502</v>
      </c>
      <c r="D137" s="160" t="s">
        <v>234</v>
      </c>
      <c r="E137" s="160" t="s">
        <v>436</v>
      </c>
      <c r="F137" s="159" t="s">
        <v>395</v>
      </c>
      <c r="G137" s="158">
        <v>0.5</v>
      </c>
      <c r="H137" s="157">
        <v>8250</v>
      </c>
      <c r="I137" s="156">
        <f t="shared" si="2"/>
        <v>4125</v>
      </c>
    </row>
    <row r="138" spans="2:9" ht="15.5">
      <c r="B138" s="160">
        <v>1197831</v>
      </c>
      <c r="C138" s="161">
        <v>44502</v>
      </c>
      <c r="D138" s="160" t="s">
        <v>234</v>
      </c>
      <c r="E138" s="160" t="s">
        <v>436</v>
      </c>
      <c r="F138" s="159" t="s">
        <v>394</v>
      </c>
      <c r="G138" s="158">
        <v>0.5</v>
      </c>
      <c r="H138" s="157">
        <v>6750</v>
      </c>
      <c r="I138" s="156">
        <f t="shared" si="2"/>
        <v>3375</v>
      </c>
    </row>
    <row r="139" spans="2:9" ht="15.5">
      <c r="B139" s="160">
        <v>1197831</v>
      </c>
      <c r="C139" s="161">
        <v>44502</v>
      </c>
      <c r="D139" s="160" t="s">
        <v>234</v>
      </c>
      <c r="E139" s="160" t="s">
        <v>436</v>
      </c>
      <c r="F139" s="159" t="s">
        <v>391</v>
      </c>
      <c r="G139" s="158">
        <v>0.45</v>
      </c>
      <c r="H139" s="157">
        <v>6500</v>
      </c>
      <c r="I139" s="156">
        <f t="shared" si="2"/>
        <v>2925</v>
      </c>
    </row>
    <row r="140" spans="2:9" ht="15.5">
      <c r="B140" s="160">
        <v>1197831</v>
      </c>
      <c r="C140" s="161">
        <v>44502</v>
      </c>
      <c r="D140" s="160" t="s">
        <v>234</v>
      </c>
      <c r="E140" s="160" t="s">
        <v>436</v>
      </c>
      <c r="F140" s="159" t="s">
        <v>434</v>
      </c>
      <c r="G140" s="158">
        <v>0.55000000000000004</v>
      </c>
      <c r="H140" s="157">
        <v>8500</v>
      </c>
      <c r="I140" s="156">
        <f t="shared" si="2"/>
        <v>4675</v>
      </c>
    </row>
    <row r="141" spans="2:9" ht="15.5">
      <c r="B141" s="160">
        <v>1197831</v>
      </c>
      <c r="C141" s="161">
        <v>44531</v>
      </c>
      <c r="D141" s="160" t="s">
        <v>234</v>
      </c>
      <c r="E141" s="160" t="s">
        <v>436</v>
      </c>
      <c r="F141" s="159" t="s">
        <v>397</v>
      </c>
      <c r="G141" s="158">
        <v>0.45</v>
      </c>
      <c r="H141" s="157">
        <v>9500</v>
      </c>
      <c r="I141" s="156">
        <f t="shared" si="2"/>
        <v>4275</v>
      </c>
    </row>
    <row r="142" spans="2:9" ht="15.5">
      <c r="B142" s="160">
        <v>1197831</v>
      </c>
      <c r="C142" s="161">
        <v>44531</v>
      </c>
      <c r="D142" s="160" t="s">
        <v>234</v>
      </c>
      <c r="E142" s="160" t="s">
        <v>436</v>
      </c>
      <c r="F142" s="159" t="s">
        <v>396</v>
      </c>
      <c r="G142" s="158">
        <v>0.45</v>
      </c>
      <c r="H142" s="157">
        <v>9500</v>
      </c>
      <c r="I142" s="156">
        <f t="shared" si="2"/>
        <v>4275</v>
      </c>
    </row>
    <row r="143" spans="2:9" ht="15.5">
      <c r="B143" s="160">
        <v>1197831</v>
      </c>
      <c r="C143" s="161">
        <v>44531</v>
      </c>
      <c r="D143" s="160" t="s">
        <v>234</v>
      </c>
      <c r="E143" s="160" t="s">
        <v>436</v>
      </c>
      <c r="F143" s="159" t="s">
        <v>395</v>
      </c>
      <c r="G143" s="158">
        <v>0.5</v>
      </c>
      <c r="H143" s="157">
        <v>8500</v>
      </c>
      <c r="I143" s="156">
        <f t="shared" si="2"/>
        <v>4250</v>
      </c>
    </row>
    <row r="144" spans="2:9" ht="15.5">
      <c r="B144" s="160">
        <v>1197831</v>
      </c>
      <c r="C144" s="161">
        <v>44531</v>
      </c>
      <c r="D144" s="160" t="s">
        <v>234</v>
      </c>
      <c r="E144" s="160" t="s">
        <v>436</v>
      </c>
      <c r="F144" s="159" t="s">
        <v>394</v>
      </c>
      <c r="G144" s="158">
        <v>0.5</v>
      </c>
      <c r="H144" s="157">
        <v>7000</v>
      </c>
      <c r="I144" s="156">
        <f t="shared" si="2"/>
        <v>3500</v>
      </c>
    </row>
    <row r="145" spans="2:9" ht="15.5">
      <c r="B145" s="160">
        <v>1197831</v>
      </c>
      <c r="C145" s="161">
        <v>44531</v>
      </c>
      <c r="D145" s="160" t="s">
        <v>234</v>
      </c>
      <c r="E145" s="160" t="s">
        <v>436</v>
      </c>
      <c r="F145" s="159" t="s">
        <v>391</v>
      </c>
      <c r="G145" s="158">
        <v>0.45</v>
      </c>
      <c r="H145" s="157">
        <v>6500</v>
      </c>
      <c r="I145" s="156">
        <f t="shared" si="2"/>
        <v>2925</v>
      </c>
    </row>
    <row r="146" spans="2:9" ht="15.5">
      <c r="B146" s="160">
        <v>1197831</v>
      </c>
      <c r="C146" s="161">
        <v>44531</v>
      </c>
      <c r="D146" s="160" t="s">
        <v>234</v>
      </c>
      <c r="E146" s="160" t="s">
        <v>436</v>
      </c>
      <c r="F146" s="159" t="s">
        <v>434</v>
      </c>
      <c r="G146" s="158">
        <v>0.55000000000000004</v>
      </c>
      <c r="H146" s="157">
        <v>9000</v>
      </c>
      <c r="I146" s="156">
        <f t="shared" si="2"/>
        <v>4950</v>
      </c>
    </row>
    <row r="147" spans="2:9" ht="15.5">
      <c r="B147" s="160">
        <v>1128299</v>
      </c>
      <c r="C147" s="161">
        <v>44216</v>
      </c>
      <c r="D147" s="160" t="s">
        <v>433</v>
      </c>
      <c r="E147" s="160" t="s">
        <v>435</v>
      </c>
      <c r="F147" s="159" t="s">
        <v>397</v>
      </c>
      <c r="G147" s="158">
        <v>0.39999999999999997</v>
      </c>
      <c r="H147" s="157">
        <v>7750</v>
      </c>
      <c r="I147" s="156">
        <f t="shared" si="2"/>
        <v>3099.9999999999995</v>
      </c>
    </row>
    <row r="148" spans="2:9" ht="15.5">
      <c r="B148" s="160">
        <v>1128299</v>
      </c>
      <c r="C148" s="161">
        <v>44216</v>
      </c>
      <c r="D148" s="160" t="s">
        <v>433</v>
      </c>
      <c r="E148" s="160" t="s">
        <v>435</v>
      </c>
      <c r="F148" s="159" t="s">
        <v>396</v>
      </c>
      <c r="G148" s="158">
        <v>0.5</v>
      </c>
      <c r="H148" s="157">
        <v>7750</v>
      </c>
      <c r="I148" s="156">
        <f t="shared" si="2"/>
        <v>3875</v>
      </c>
    </row>
    <row r="149" spans="2:9" ht="15.5">
      <c r="B149" s="160">
        <v>1128299</v>
      </c>
      <c r="C149" s="161">
        <v>44216</v>
      </c>
      <c r="D149" s="160" t="s">
        <v>433</v>
      </c>
      <c r="E149" s="160" t="s">
        <v>435</v>
      </c>
      <c r="F149" s="159" t="s">
        <v>395</v>
      </c>
      <c r="G149" s="158">
        <v>0.5</v>
      </c>
      <c r="H149" s="157">
        <v>7750</v>
      </c>
      <c r="I149" s="156">
        <f t="shared" si="2"/>
        <v>3875</v>
      </c>
    </row>
    <row r="150" spans="2:9" ht="15.5">
      <c r="B150" s="160">
        <v>1128299</v>
      </c>
      <c r="C150" s="161">
        <v>44216</v>
      </c>
      <c r="D150" s="160" t="s">
        <v>433</v>
      </c>
      <c r="E150" s="160" t="s">
        <v>435</v>
      </c>
      <c r="F150" s="159" t="s">
        <v>394</v>
      </c>
      <c r="G150" s="158">
        <v>0.5</v>
      </c>
      <c r="H150" s="157">
        <v>6250</v>
      </c>
      <c r="I150" s="156">
        <f t="shared" si="2"/>
        <v>3125</v>
      </c>
    </row>
    <row r="151" spans="2:9" ht="15.5">
      <c r="B151" s="160">
        <v>1128299</v>
      </c>
      <c r="C151" s="161">
        <v>44216</v>
      </c>
      <c r="D151" s="160" t="s">
        <v>433</v>
      </c>
      <c r="E151" s="160" t="s">
        <v>435</v>
      </c>
      <c r="F151" s="159" t="s">
        <v>391</v>
      </c>
      <c r="G151" s="158">
        <v>0.55000000000000004</v>
      </c>
      <c r="H151" s="157">
        <v>5750</v>
      </c>
      <c r="I151" s="156">
        <f t="shared" si="2"/>
        <v>3162.5000000000005</v>
      </c>
    </row>
    <row r="152" spans="2:9" ht="15.5">
      <c r="B152" s="160">
        <v>1128299</v>
      </c>
      <c r="C152" s="161">
        <v>44216</v>
      </c>
      <c r="D152" s="160" t="s">
        <v>433</v>
      </c>
      <c r="E152" s="160" t="s">
        <v>435</v>
      </c>
      <c r="F152" s="159" t="s">
        <v>434</v>
      </c>
      <c r="G152" s="158">
        <v>0.5</v>
      </c>
      <c r="H152" s="157">
        <v>7750</v>
      </c>
      <c r="I152" s="156">
        <f t="shared" si="2"/>
        <v>3875</v>
      </c>
    </row>
    <row r="153" spans="2:9" ht="15.5">
      <c r="B153" s="160">
        <v>1128299</v>
      </c>
      <c r="C153" s="161">
        <v>44247</v>
      </c>
      <c r="D153" s="160" t="s">
        <v>433</v>
      </c>
      <c r="E153" s="160" t="s">
        <v>435</v>
      </c>
      <c r="F153" s="159" t="s">
        <v>397</v>
      </c>
      <c r="G153" s="158">
        <v>0.39999999999999997</v>
      </c>
      <c r="H153" s="157">
        <v>8250</v>
      </c>
      <c r="I153" s="156">
        <f t="shared" si="2"/>
        <v>3299.9999999999995</v>
      </c>
    </row>
    <row r="154" spans="2:9" ht="15.5">
      <c r="B154" s="160">
        <v>1128299</v>
      </c>
      <c r="C154" s="161">
        <v>44247</v>
      </c>
      <c r="D154" s="160" t="s">
        <v>433</v>
      </c>
      <c r="E154" s="160" t="s">
        <v>435</v>
      </c>
      <c r="F154" s="159" t="s">
        <v>396</v>
      </c>
      <c r="G154" s="158">
        <v>0.5</v>
      </c>
      <c r="H154" s="157">
        <v>7250</v>
      </c>
      <c r="I154" s="156">
        <f t="shared" si="2"/>
        <v>3625</v>
      </c>
    </row>
    <row r="155" spans="2:9" ht="15.5">
      <c r="B155" s="160">
        <v>1128299</v>
      </c>
      <c r="C155" s="161">
        <v>44247</v>
      </c>
      <c r="D155" s="160" t="s">
        <v>433</v>
      </c>
      <c r="E155" s="160" t="s">
        <v>435</v>
      </c>
      <c r="F155" s="159" t="s">
        <v>395</v>
      </c>
      <c r="G155" s="158">
        <v>0.5</v>
      </c>
      <c r="H155" s="157">
        <v>7250</v>
      </c>
      <c r="I155" s="156">
        <f t="shared" si="2"/>
        <v>3625</v>
      </c>
    </row>
    <row r="156" spans="2:9" ht="15.5">
      <c r="B156" s="160">
        <v>1128299</v>
      </c>
      <c r="C156" s="161">
        <v>44247</v>
      </c>
      <c r="D156" s="160" t="s">
        <v>433</v>
      </c>
      <c r="E156" s="160" t="s">
        <v>435</v>
      </c>
      <c r="F156" s="159" t="s">
        <v>394</v>
      </c>
      <c r="G156" s="158">
        <v>0.5</v>
      </c>
      <c r="H156" s="157">
        <v>5750</v>
      </c>
      <c r="I156" s="156">
        <f t="shared" si="2"/>
        <v>2875</v>
      </c>
    </row>
    <row r="157" spans="2:9" ht="15.5">
      <c r="B157" s="160">
        <v>1128299</v>
      </c>
      <c r="C157" s="161">
        <v>44247</v>
      </c>
      <c r="D157" s="160" t="s">
        <v>433</v>
      </c>
      <c r="E157" s="160" t="s">
        <v>435</v>
      </c>
      <c r="F157" s="159" t="s">
        <v>391</v>
      </c>
      <c r="G157" s="158">
        <v>0.55000000000000004</v>
      </c>
      <c r="H157" s="157">
        <v>5000</v>
      </c>
      <c r="I157" s="156">
        <f t="shared" si="2"/>
        <v>2750</v>
      </c>
    </row>
    <row r="158" spans="2:9" ht="15.5">
      <c r="B158" s="160">
        <v>1128299</v>
      </c>
      <c r="C158" s="161">
        <v>44247</v>
      </c>
      <c r="D158" s="160" t="s">
        <v>433</v>
      </c>
      <c r="E158" s="160" t="s">
        <v>435</v>
      </c>
      <c r="F158" s="159" t="s">
        <v>434</v>
      </c>
      <c r="G158" s="158">
        <v>0.5</v>
      </c>
      <c r="H158" s="157">
        <v>7000</v>
      </c>
      <c r="I158" s="156">
        <f t="shared" si="2"/>
        <v>3500</v>
      </c>
    </row>
    <row r="159" spans="2:9" ht="15.5">
      <c r="B159" s="160">
        <v>1128299</v>
      </c>
      <c r="C159" s="161">
        <v>44274</v>
      </c>
      <c r="D159" s="160" t="s">
        <v>433</v>
      </c>
      <c r="E159" s="160" t="s">
        <v>435</v>
      </c>
      <c r="F159" s="159" t="s">
        <v>397</v>
      </c>
      <c r="G159" s="158">
        <v>0.5</v>
      </c>
      <c r="H159" s="157">
        <v>8500</v>
      </c>
      <c r="I159" s="156">
        <f t="shared" si="2"/>
        <v>4250</v>
      </c>
    </row>
    <row r="160" spans="2:9" ht="15.5">
      <c r="B160" s="160">
        <v>1128299</v>
      </c>
      <c r="C160" s="161">
        <v>44274</v>
      </c>
      <c r="D160" s="160" t="s">
        <v>433</v>
      </c>
      <c r="E160" s="160" t="s">
        <v>435</v>
      </c>
      <c r="F160" s="159" t="s">
        <v>396</v>
      </c>
      <c r="G160" s="158">
        <v>0.6</v>
      </c>
      <c r="H160" s="157">
        <v>7000</v>
      </c>
      <c r="I160" s="156">
        <f t="shared" si="2"/>
        <v>4200</v>
      </c>
    </row>
    <row r="161" spans="2:9" ht="15.5">
      <c r="B161" s="160">
        <v>1128299</v>
      </c>
      <c r="C161" s="161">
        <v>44274</v>
      </c>
      <c r="D161" s="160" t="s">
        <v>433</v>
      </c>
      <c r="E161" s="160" t="s">
        <v>435</v>
      </c>
      <c r="F161" s="159" t="s">
        <v>395</v>
      </c>
      <c r="G161" s="158">
        <v>0.6</v>
      </c>
      <c r="H161" s="157">
        <v>7000</v>
      </c>
      <c r="I161" s="156">
        <f t="shared" si="2"/>
        <v>4200</v>
      </c>
    </row>
    <row r="162" spans="2:9" ht="15.5">
      <c r="B162" s="160">
        <v>1128299</v>
      </c>
      <c r="C162" s="161">
        <v>44274</v>
      </c>
      <c r="D162" s="160" t="s">
        <v>433</v>
      </c>
      <c r="E162" s="160" t="s">
        <v>435</v>
      </c>
      <c r="F162" s="159" t="s">
        <v>394</v>
      </c>
      <c r="G162" s="158">
        <v>0.6</v>
      </c>
      <c r="H162" s="157">
        <v>6000</v>
      </c>
      <c r="I162" s="156">
        <f t="shared" si="2"/>
        <v>3600</v>
      </c>
    </row>
    <row r="163" spans="2:9" ht="15.5">
      <c r="B163" s="160">
        <v>1128299</v>
      </c>
      <c r="C163" s="161">
        <v>44274</v>
      </c>
      <c r="D163" s="160" t="s">
        <v>433</v>
      </c>
      <c r="E163" s="160" t="s">
        <v>435</v>
      </c>
      <c r="F163" s="159" t="s">
        <v>391</v>
      </c>
      <c r="G163" s="158">
        <v>0.65</v>
      </c>
      <c r="H163" s="157">
        <v>5000</v>
      </c>
      <c r="I163" s="156">
        <f t="shared" si="2"/>
        <v>3250</v>
      </c>
    </row>
    <row r="164" spans="2:9" ht="15.5">
      <c r="B164" s="160">
        <v>1128299</v>
      </c>
      <c r="C164" s="161">
        <v>44274</v>
      </c>
      <c r="D164" s="160" t="s">
        <v>433</v>
      </c>
      <c r="E164" s="160" t="s">
        <v>435</v>
      </c>
      <c r="F164" s="159" t="s">
        <v>434</v>
      </c>
      <c r="G164" s="158">
        <v>0.6</v>
      </c>
      <c r="H164" s="157">
        <v>7000</v>
      </c>
      <c r="I164" s="156">
        <f t="shared" si="2"/>
        <v>4200</v>
      </c>
    </row>
    <row r="165" spans="2:9" ht="15.5">
      <c r="B165" s="160">
        <v>1128299</v>
      </c>
      <c r="C165" s="161">
        <v>44306</v>
      </c>
      <c r="D165" s="160" t="s">
        <v>433</v>
      </c>
      <c r="E165" s="160" t="s">
        <v>435</v>
      </c>
      <c r="F165" s="159" t="s">
        <v>397</v>
      </c>
      <c r="G165" s="158">
        <v>0.6</v>
      </c>
      <c r="H165" s="157">
        <v>8750</v>
      </c>
      <c r="I165" s="156">
        <f t="shared" si="2"/>
        <v>5250</v>
      </c>
    </row>
    <row r="166" spans="2:9" ht="15.5">
      <c r="B166" s="160">
        <v>1128299</v>
      </c>
      <c r="C166" s="161">
        <v>44306</v>
      </c>
      <c r="D166" s="160" t="s">
        <v>433</v>
      </c>
      <c r="E166" s="160" t="s">
        <v>435</v>
      </c>
      <c r="F166" s="159" t="s">
        <v>396</v>
      </c>
      <c r="G166" s="158">
        <v>0.65</v>
      </c>
      <c r="H166" s="157">
        <v>6750</v>
      </c>
      <c r="I166" s="156">
        <f t="shared" si="2"/>
        <v>4387.5</v>
      </c>
    </row>
    <row r="167" spans="2:9" ht="15.5">
      <c r="B167" s="160">
        <v>1128299</v>
      </c>
      <c r="C167" s="161">
        <v>44306</v>
      </c>
      <c r="D167" s="160" t="s">
        <v>433</v>
      </c>
      <c r="E167" s="160" t="s">
        <v>435</v>
      </c>
      <c r="F167" s="159" t="s">
        <v>395</v>
      </c>
      <c r="G167" s="158">
        <v>0.65</v>
      </c>
      <c r="H167" s="157">
        <v>7250</v>
      </c>
      <c r="I167" s="156">
        <f t="shared" si="2"/>
        <v>4712.5</v>
      </c>
    </row>
    <row r="168" spans="2:9" ht="15.5">
      <c r="B168" s="160">
        <v>1128299</v>
      </c>
      <c r="C168" s="161">
        <v>44306</v>
      </c>
      <c r="D168" s="160" t="s">
        <v>433</v>
      </c>
      <c r="E168" s="160" t="s">
        <v>435</v>
      </c>
      <c r="F168" s="159" t="s">
        <v>394</v>
      </c>
      <c r="G168" s="158">
        <v>0.6</v>
      </c>
      <c r="H168" s="157">
        <v>6250</v>
      </c>
      <c r="I168" s="156">
        <f t="shared" si="2"/>
        <v>3750</v>
      </c>
    </row>
    <row r="169" spans="2:9" ht="15.5">
      <c r="B169" s="160">
        <v>1128299</v>
      </c>
      <c r="C169" s="161">
        <v>44306</v>
      </c>
      <c r="D169" s="160" t="s">
        <v>433</v>
      </c>
      <c r="E169" s="160" t="s">
        <v>435</v>
      </c>
      <c r="F169" s="159" t="s">
        <v>391</v>
      </c>
      <c r="G169" s="158">
        <v>0.65</v>
      </c>
      <c r="H169" s="157">
        <v>5250</v>
      </c>
      <c r="I169" s="156">
        <f t="shared" si="2"/>
        <v>3412.5</v>
      </c>
    </row>
    <row r="170" spans="2:9" ht="15.5">
      <c r="B170" s="160">
        <v>1128299</v>
      </c>
      <c r="C170" s="161">
        <v>44306</v>
      </c>
      <c r="D170" s="160" t="s">
        <v>433</v>
      </c>
      <c r="E170" s="160" t="s">
        <v>435</v>
      </c>
      <c r="F170" s="159" t="s">
        <v>434</v>
      </c>
      <c r="G170" s="158">
        <v>0.8</v>
      </c>
      <c r="H170" s="157">
        <v>7000</v>
      </c>
      <c r="I170" s="156">
        <f t="shared" si="2"/>
        <v>5600</v>
      </c>
    </row>
    <row r="171" spans="2:9" ht="15.5">
      <c r="B171" s="160">
        <v>1128299</v>
      </c>
      <c r="C171" s="161">
        <v>44337</v>
      </c>
      <c r="D171" s="160" t="s">
        <v>433</v>
      </c>
      <c r="E171" s="160" t="s">
        <v>435</v>
      </c>
      <c r="F171" s="159" t="s">
        <v>397</v>
      </c>
      <c r="G171" s="158">
        <v>0.6</v>
      </c>
      <c r="H171" s="157">
        <v>9000</v>
      </c>
      <c r="I171" s="156">
        <f t="shared" si="2"/>
        <v>5400</v>
      </c>
    </row>
    <row r="172" spans="2:9" ht="15.5">
      <c r="B172" s="160">
        <v>1128299</v>
      </c>
      <c r="C172" s="161">
        <v>44337</v>
      </c>
      <c r="D172" s="160" t="s">
        <v>433</v>
      </c>
      <c r="E172" s="160" t="s">
        <v>435</v>
      </c>
      <c r="F172" s="159" t="s">
        <v>396</v>
      </c>
      <c r="G172" s="158">
        <v>0.65</v>
      </c>
      <c r="H172" s="157">
        <v>7500</v>
      </c>
      <c r="I172" s="156">
        <f t="shared" si="2"/>
        <v>4875</v>
      </c>
    </row>
    <row r="173" spans="2:9" ht="15.5">
      <c r="B173" s="160">
        <v>1128299</v>
      </c>
      <c r="C173" s="161">
        <v>44337</v>
      </c>
      <c r="D173" s="160" t="s">
        <v>433</v>
      </c>
      <c r="E173" s="160" t="s">
        <v>435</v>
      </c>
      <c r="F173" s="159" t="s">
        <v>395</v>
      </c>
      <c r="G173" s="158">
        <v>0.65</v>
      </c>
      <c r="H173" s="157">
        <v>7500</v>
      </c>
      <c r="I173" s="156">
        <f t="shared" si="2"/>
        <v>4875</v>
      </c>
    </row>
    <row r="174" spans="2:9" ht="15.5">
      <c r="B174" s="160">
        <v>1128299</v>
      </c>
      <c r="C174" s="161">
        <v>44337</v>
      </c>
      <c r="D174" s="160" t="s">
        <v>433</v>
      </c>
      <c r="E174" s="160" t="s">
        <v>435</v>
      </c>
      <c r="F174" s="159" t="s">
        <v>394</v>
      </c>
      <c r="G174" s="158">
        <v>0.6</v>
      </c>
      <c r="H174" s="157">
        <v>6500</v>
      </c>
      <c r="I174" s="156">
        <f t="shared" si="2"/>
        <v>3900</v>
      </c>
    </row>
    <row r="175" spans="2:9" ht="15.5">
      <c r="B175" s="160">
        <v>1128299</v>
      </c>
      <c r="C175" s="161">
        <v>44337</v>
      </c>
      <c r="D175" s="160" t="s">
        <v>433</v>
      </c>
      <c r="E175" s="160" t="s">
        <v>435</v>
      </c>
      <c r="F175" s="159" t="s">
        <v>391</v>
      </c>
      <c r="G175" s="158">
        <v>0.65</v>
      </c>
      <c r="H175" s="157">
        <v>5500</v>
      </c>
      <c r="I175" s="156">
        <f t="shared" si="2"/>
        <v>3575</v>
      </c>
    </row>
    <row r="176" spans="2:9" ht="15.5">
      <c r="B176" s="160">
        <v>1128299</v>
      </c>
      <c r="C176" s="161">
        <v>44337</v>
      </c>
      <c r="D176" s="160" t="s">
        <v>433</v>
      </c>
      <c r="E176" s="160" t="s">
        <v>435</v>
      </c>
      <c r="F176" s="159" t="s">
        <v>434</v>
      </c>
      <c r="G176" s="158">
        <v>0.8</v>
      </c>
      <c r="H176" s="157">
        <v>7250</v>
      </c>
      <c r="I176" s="156">
        <f t="shared" si="2"/>
        <v>5800</v>
      </c>
    </row>
    <row r="177" spans="2:9" ht="15.5">
      <c r="B177" s="160">
        <v>1128299</v>
      </c>
      <c r="C177" s="161">
        <v>44367</v>
      </c>
      <c r="D177" s="160" t="s">
        <v>433</v>
      </c>
      <c r="E177" s="160" t="s">
        <v>435</v>
      </c>
      <c r="F177" s="159" t="s">
        <v>397</v>
      </c>
      <c r="G177" s="158">
        <v>0.6</v>
      </c>
      <c r="H177" s="157">
        <v>9750</v>
      </c>
      <c r="I177" s="156">
        <f t="shared" si="2"/>
        <v>5850</v>
      </c>
    </row>
    <row r="178" spans="2:9" ht="15.5">
      <c r="B178" s="160">
        <v>1128299</v>
      </c>
      <c r="C178" s="161">
        <v>44367</v>
      </c>
      <c r="D178" s="160" t="s">
        <v>433</v>
      </c>
      <c r="E178" s="160" t="s">
        <v>435</v>
      </c>
      <c r="F178" s="159" t="s">
        <v>396</v>
      </c>
      <c r="G178" s="158">
        <v>0.65</v>
      </c>
      <c r="H178" s="157">
        <v>8250</v>
      </c>
      <c r="I178" s="156">
        <f t="shared" si="2"/>
        <v>5362.5</v>
      </c>
    </row>
    <row r="179" spans="2:9" ht="15.5">
      <c r="B179" s="160">
        <v>1128299</v>
      </c>
      <c r="C179" s="161">
        <v>44367</v>
      </c>
      <c r="D179" s="160" t="s">
        <v>433</v>
      </c>
      <c r="E179" s="160" t="s">
        <v>435</v>
      </c>
      <c r="F179" s="159" t="s">
        <v>395</v>
      </c>
      <c r="G179" s="158">
        <v>0.65</v>
      </c>
      <c r="H179" s="157">
        <v>8250</v>
      </c>
      <c r="I179" s="156">
        <f t="shared" si="2"/>
        <v>5362.5</v>
      </c>
    </row>
    <row r="180" spans="2:9" ht="15.5">
      <c r="B180" s="160">
        <v>1128299</v>
      </c>
      <c r="C180" s="161">
        <v>44367</v>
      </c>
      <c r="D180" s="160" t="s">
        <v>433</v>
      </c>
      <c r="E180" s="160" t="s">
        <v>435</v>
      </c>
      <c r="F180" s="159" t="s">
        <v>394</v>
      </c>
      <c r="G180" s="158">
        <v>0.6</v>
      </c>
      <c r="H180" s="157">
        <v>7000</v>
      </c>
      <c r="I180" s="156">
        <f t="shared" si="2"/>
        <v>4200</v>
      </c>
    </row>
    <row r="181" spans="2:9" ht="15.5">
      <c r="B181" s="160">
        <v>1128299</v>
      </c>
      <c r="C181" s="161">
        <v>44367</v>
      </c>
      <c r="D181" s="160" t="s">
        <v>433</v>
      </c>
      <c r="E181" s="160" t="s">
        <v>435</v>
      </c>
      <c r="F181" s="159" t="s">
        <v>391</v>
      </c>
      <c r="G181" s="158">
        <v>0.65</v>
      </c>
      <c r="H181" s="157">
        <v>5750</v>
      </c>
      <c r="I181" s="156">
        <f t="shared" si="2"/>
        <v>3737.5</v>
      </c>
    </row>
    <row r="182" spans="2:9" ht="15.5">
      <c r="B182" s="160">
        <v>1128299</v>
      </c>
      <c r="C182" s="161">
        <v>44367</v>
      </c>
      <c r="D182" s="160" t="s">
        <v>433</v>
      </c>
      <c r="E182" s="160" t="s">
        <v>435</v>
      </c>
      <c r="F182" s="159" t="s">
        <v>434</v>
      </c>
      <c r="G182" s="158">
        <v>0.8</v>
      </c>
      <c r="H182" s="157">
        <v>8750</v>
      </c>
      <c r="I182" s="156">
        <f t="shared" si="2"/>
        <v>7000</v>
      </c>
    </row>
    <row r="183" spans="2:9" ht="15.5">
      <c r="B183" s="160">
        <v>1128299</v>
      </c>
      <c r="C183" s="161">
        <v>44396</v>
      </c>
      <c r="D183" s="160" t="s">
        <v>433</v>
      </c>
      <c r="E183" s="160" t="s">
        <v>435</v>
      </c>
      <c r="F183" s="159" t="s">
        <v>397</v>
      </c>
      <c r="G183" s="158">
        <v>0.6</v>
      </c>
      <c r="H183" s="157">
        <v>10250</v>
      </c>
      <c r="I183" s="156">
        <f t="shared" si="2"/>
        <v>6150</v>
      </c>
    </row>
    <row r="184" spans="2:9" ht="15.5">
      <c r="B184" s="160">
        <v>1128299</v>
      </c>
      <c r="C184" s="161">
        <v>44396</v>
      </c>
      <c r="D184" s="160" t="s">
        <v>433</v>
      </c>
      <c r="E184" s="160" t="s">
        <v>435</v>
      </c>
      <c r="F184" s="159" t="s">
        <v>396</v>
      </c>
      <c r="G184" s="158">
        <v>0.65</v>
      </c>
      <c r="H184" s="157">
        <v>8750</v>
      </c>
      <c r="I184" s="156">
        <f t="shared" si="2"/>
        <v>5687.5</v>
      </c>
    </row>
    <row r="185" spans="2:9" ht="15.5">
      <c r="B185" s="160">
        <v>1128299</v>
      </c>
      <c r="C185" s="161">
        <v>44396</v>
      </c>
      <c r="D185" s="160" t="s">
        <v>433</v>
      </c>
      <c r="E185" s="160" t="s">
        <v>435</v>
      </c>
      <c r="F185" s="159" t="s">
        <v>395</v>
      </c>
      <c r="G185" s="158">
        <v>0.65</v>
      </c>
      <c r="H185" s="157">
        <v>8250</v>
      </c>
      <c r="I185" s="156">
        <f t="shared" si="2"/>
        <v>5362.5</v>
      </c>
    </row>
    <row r="186" spans="2:9" ht="15.5">
      <c r="B186" s="160">
        <v>1128299</v>
      </c>
      <c r="C186" s="161">
        <v>44396</v>
      </c>
      <c r="D186" s="160" t="s">
        <v>433</v>
      </c>
      <c r="E186" s="160" t="s">
        <v>435</v>
      </c>
      <c r="F186" s="159" t="s">
        <v>394</v>
      </c>
      <c r="G186" s="158">
        <v>0.6</v>
      </c>
      <c r="H186" s="157">
        <v>7250</v>
      </c>
      <c r="I186" s="156">
        <f t="shared" si="2"/>
        <v>4350</v>
      </c>
    </row>
    <row r="187" spans="2:9" ht="15.5">
      <c r="B187" s="160">
        <v>1128299</v>
      </c>
      <c r="C187" s="161">
        <v>44396</v>
      </c>
      <c r="D187" s="160" t="s">
        <v>433</v>
      </c>
      <c r="E187" s="160" t="s">
        <v>435</v>
      </c>
      <c r="F187" s="159" t="s">
        <v>391</v>
      </c>
      <c r="G187" s="158">
        <v>0.65</v>
      </c>
      <c r="H187" s="157">
        <v>7750</v>
      </c>
      <c r="I187" s="156">
        <f t="shared" si="2"/>
        <v>5037.5</v>
      </c>
    </row>
    <row r="188" spans="2:9" ht="15.5">
      <c r="B188" s="160">
        <v>1128299</v>
      </c>
      <c r="C188" s="161">
        <v>44396</v>
      </c>
      <c r="D188" s="160" t="s">
        <v>433</v>
      </c>
      <c r="E188" s="160" t="s">
        <v>435</v>
      </c>
      <c r="F188" s="159" t="s">
        <v>434</v>
      </c>
      <c r="G188" s="158">
        <v>0.8</v>
      </c>
      <c r="H188" s="157">
        <v>7750</v>
      </c>
      <c r="I188" s="156">
        <f t="shared" si="2"/>
        <v>6200</v>
      </c>
    </row>
    <row r="189" spans="2:9" ht="15.5">
      <c r="B189" s="160">
        <v>1128299</v>
      </c>
      <c r="C189" s="161">
        <v>44428</v>
      </c>
      <c r="D189" s="160" t="s">
        <v>433</v>
      </c>
      <c r="E189" s="160" t="s">
        <v>435</v>
      </c>
      <c r="F189" s="159" t="s">
        <v>397</v>
      </c>
      <c r="G189" s="158">
        <v>0.65</v>
      </c>
      <c r="H189" s="157">
        <v>9750</v>
      </c>
      <c r="I189" s="156">
        <f t="shared" si="2"/>
        <v>6337.5</v>
      </c>
    </row>
    <row r="190" spans="2:9" ht="15.5">
      <c r="B190" s="160">
        <v>1128299</v>
      </c>
      <c r="C190" s="161">
        <v>44428</v>
      </c>
      <c r="D190" s="160" t="s">
        <v>433</v>
      </c>
      <c r="E190" s="160" t="s">
        <v>435</v>
      </c>
      <c r="F190" s="159" t="s">
        <v>396</v>
      </c>
      <c r="G190" s="158">
        <v>0.70000000000000007</v>
      </c>
      <c r="H190" s="157">
        <v>9250</v>
      </c>
      <c r="I190" s="156">
        <f t="shared" si="2"/>
        <v>6475.0000000000009</v>
      </c>
    </row>
    <row r="191" spans="2:9" ht="15.5">
      <c r="B191" s="160">
        <v>1128299</v>
      </c>
      <c r="C191" s="161">
        <v>44428</v>
      </c>
      <c r="D191" s="160" t="s">
        <v>433</v>
      </c>
      <c r="E191" s="160" t="s">
        <v>435</v>
      </c>
      <c r="F191" s="159" t="s">
        <v>395</v>
      </c>
      <c r="G191" s="158">
        <v>0.65</v>
      </c>
      <c r="H191" s="157">
        <v>8000</v>
      </c>
      <c r="I191" s="156">
        <f t="shared" si="2"/>
        <v>5200</v>
      </c>
    </row>
    <row r="192" spans="2:9" ht="15.5">
      <c r="B192" s="160">
        <v>1128299</v>
      </c>
      <c r="C192" s="161">
        <v>44428</v>
      </c>
      <c r="D192" s="160" t="s">
        <v>433</v>
      </c>
      <c r="E192" s="160" t="s">
        <v>435</v>
      </c>
      <c r="F192" s="159" t="s">
        <v>394</v>
      </c>
      <c r="G192" s="158">
        <v>0.65</v>
      </c>
      <c r="H192" s="157">
        <v>7500</v>
      </c>
      <c r="I192" s="156">
        <f t="shared" si="2"/>
        <v>4875</v>
      </c>
    </row>
    <row r="193" spans="2:9" ht="15.5">
      <c r="B193" s="160">
        <v>1128299</v>
      </c>
      <c r="C193" s="161">
        <v>44428</v>
      </c>
      <c r="D193" s="160" t="s">
        <v>433</v>
      </c>
      <c r="E193" s="160" t="s">
        <v>435</v>
      </c>
      <c r="F193" s="159" t="s">
        <v>391</v>
      </c>
      <c r="G193" s="158">
        <v>0.75</v>
      </c>
      <c r="H193" s="157">
        <v>7500</v>
      </c>
      <c r="I193" s="156">
        <f t="shared" si="2"/>
        <v>5625</v>
      </c>
    </row>
    <row r="194" spans="2:9" ht="15.5">
      <c r="B194" s="160">
        <v>1128299</v>
      </c>
      <c r="C194" s="161">
        <v>44428</v>
      </c>
      <c r="D194" s="160" t="s">
        <v>433</v>
      </c>
      <c r="E194" s="160" t="s">
        <v>435</v>
      </c>
      <c r="F194" s="159" t="s">
        <v>434</v>
      </c>
      <c r="G194" s="158">
        <v>0.8</v>
      </c>
      <c r="H194" s="157">
        <v>7250</v>
      </c>
      <c r="I194" s="156">
        <f t="shared" si="2"/>
        <v>5800</v>
      </c>
    </row>
    <row r="195" spans="2:9" ht="15.5">
      <c r="B195" s="160">
        <v>1128299</v>
      </c>
      <c r="C195" s="161">
        <v>44460</v>
      </c>
      <c r="D195" s="160" t="s">
        <v>433</v>
      </c>
      <c r="E195" s="160" t="s">
        <v>435</v>
      </c>
      <c r="F195" s="159" t="s">
        <v>397</v>
      </c>
      <c r="G195" s="158">
        <v>0.55000000000000004</v>
      </c>
      <c r="H195" s="157">
        <v>9250</v>
      </c>
      <c r="I195" s="156">
        <f t="shared" ref="I195:I251" si="3">G195*H195</f>
        <v>5087.5</v>
      </c>
    </row>
    <row r="196" spans="2:9" ht="15.5">
      <c r="B196" s="160">
        <v>1128299</v>
      </c>
      <c r="C196" s="161">
        <v>44460</v>
      </c>
      <c r="D196" s="160" t="s">
        <v>433</v>
      </c>
      <c r="E196" s="160" t="s">
        <v>435</v>
      </c>
      <c r="F196" s="159" t="s">
        <v>396</v>
      </c>
      <c r="G196" s="158">
        <v>0.60000000000000009</v>
      </c>
      <c r="H196" s="157">
        <v>9250</v>
      </c>
      <c r="I196" s="156">
        <f t="shared" si="3"/>
        <v>5550.0000000000009</v>
      </c>
    </row>
    <row r="197" spans="2:9" ht="15.5">
      <c r="B197" s="160">
        <v>1128299</v>
      </c>
      <c r="C197" s="161">
        <v>44460</v>
      </c>
      <c r="D197" s="160" t="s">
        <v>433</v>
      </c>
      <c r="E197" s="160" t="s">
        <v>435</v>
      </c>
      <c r="F197" s="159" t="s">
        <v>395</v>
      </c>
      <c r="G197" s="158">
        <v>0.55000000000000004</v>
      </c>
      <c r="H197" s="157">
        <v>7750</v>
      </c>
      <c r="I197" s="156">
        <f t="shared" si="3"/>
        <v>4262.5</v>
      </c>
    </row>
    <row r="198" spans="2:9" ht="15.5">
      <c r="B198" s="160">
        <v>1128299</v>
      </c>
      <c r="C198" s="161">
        <v>44460</v>
      </c>
      <c r="D198" s="160" t="s">
        <v>433</v>
      </c>
      <c r="E198" s="160" t="s">
        <v>435</v>
      </c>
      <c r="F198" s="159" t="s">
        <v>394</v>
      </c>
      <c r="G198" s="158">
        <v>0.55000000000000004</v>
      </c>
      <c r="H198" s="157">
        <v>7250</v>
      </c>
      <c r="I198" s="156">
        <f t="shared" si="3"/>
        <v>3987.5000000000005</v>
      </c>
    </row>
    <row r="199" spans="2:9" ht="15.5">
      <c r="B199" s="160">
        <v>1128299</v>
      </c>
      <c r="C199" s="161">
        <v>44460</v>
      </c>
      <c r="D199" s="160" t="s">
        <v>433</v>
      </c>
      <c r="E199" s="160" t="s">
        <v>435</v>
      </c>
      <c r="F199" s="159" t="s">
        <v>391</v>
      </c>
      <c r="G199" s="158">
        <v>0.65</v>
      </c>
      <c r="H199" s="157">
        <v>7250</v>
      </c>
      <c r="I199" s="156">
        <f t="shared" si="3"/>
        <v>4712.5</v>
      </c>
    </row>
    <row r="200" spans="2:9" ht="15.5">
      <c r="B200" s="160">
        <v>1128299</v>
      </c>
      <c r="C200" s="161">
        <v>44460</v>
      </c>
      <c r="D200" s="160" t="s">
        <v>433</v>
      </c>
      <c r="E200" s="160" t="s">
        <v>435</v>
      </c>
      <c r="F200" s="159" t="s">
        <v>434</v>
      </c>
      <c r="G200" s="158">
        <v>0.70000000000000007</v>
      </c>
      <c r="H200" s="157">
        <v>7750</v>
      </c>
      <c r="I200" s="156">
        <f t="shared" si="3"/>
        <v>5425.0000000000009</v>
      </c>
    </row>
    <row r="201" spans="2:9" ht="15.5">
      <c r="B201" s="160">
        <v>1128299</v>
      </c>
      <c r="C201" s="161">
        <v>44489</v>
      </c>
      <c r="D201" s="160" t="s">
        <v>433</v>
      </c>
      <c r="E201" s="160" t="s">
        <v>435</v>
      </c>
      <c r="F201" s="159" t="s">
        <v>397</v>
      </c>
      <c r="G201" s="158">
        <v>0.55000000000000004</v>
      </c>
      <c r="H201" s="157">
        <v>8750</v>
      </c>
      <c r="I201" s="156">
        <f t="shared" si="3"/>
        <v>4812.5</v>
      </c>
    </row>
    <row r="202" spans="2:9" ht="15.5">
      <c r="B202" s="160">
        <v>1128299</v>
      </c>
      <c r="C202" s="161">
        <v>44489</v>
      </c>
      <c r="D202" s="160" t="s">
        <v>433</v>
      </c>
      <c r="E202" s="160" t="s">
        <v>435</v>
      </c>
      <c r="F202" s="159" t="s">
        <v>396</v>
      </c>
      <c r="G202" s="158">
        <v>0.60000000000000009</v>
      </c>
      <c r="H202" s="157">
        <v>8750</v>
      </c>
      <c r="I202" s="156">
        <f t="shared" si="3"/>
        <v>5250.0000000000009</v>
      </c>
    </row>
    <row r="203" spans="2:9" ht="15.5">
      <c r="B203" s="160">
        <v>1128299</v>
      </c>
      <c r="C203" s="161">
        <v>44489</v>
      </c>
      <c r="D203" s="160" t="s">
        <v>433</v>
      </c>
      <c r="E203" s="160" t="s">
        <v>435</v>
      </c>
      <c r="F203" s="159" t="s">
        <v>395</v>
      </c>
      <c r="G203" s="158">
        <v>0.55000000000000004</v>
      </c>
      <c r="H203" s="157">
        <v>7000</v>
      </c>
      <c r="I203" s="156">
        <f t="shared" si="3"/>
        <v>3850.0000000000005</v>
      </c>
    </row>
    <row r="204" spans="2:9" ht="15.5">
      <c r="B204" s="160">
        <v>1128299</v>
      </c>
      <c r="C204" s="161">
        <v>44489</v>
      </c>
      <c r="D204" s="160" t="s">
        <v>433</v>
      </c>
      <c r="E204" s="160" t="s">
        <v>435</v>
      </c>
      <c r="F204" s="159" t="s">
        <v>394</v>
      </c>
      <c r="G204" s="158">
        <v>0.55000000000000004</v>
      </c>
      <c r="H204" s="157">
        <v>6750</v>
      </c>
      <c r="I204" s="156">
        <f t="shared" si="3"/>
        <v>3712.5000000000005</v>
      </c>
    </row>
    <row r="205" spans="2:9" ht="15.5">
      <c r="B205" s="160">
        <v>1128299</v>
      </c>
      <c r="C205" s="161">
        <v>44489</v>
      </c>
      <c r="D205" s="160" t="s">
        <v>433</v>
      </c>
      <c r="E205" s="160" t="s">
        <v>435</v>
      </c>
      <c r="F205" s="159" t="s">
        <v>391</v>
      </c>
      <c r="G205" s="158">
        <v>0.65</v>
      </c>
      <c r="H205" s="157">
        <v>6500</v>
      </c>
      <c r="I205" s="156">
        <f t="shared" si="3"/>
        <v>4225</v>
      </c>
    </row>
    <row r="206" spans="2:9" ht="15.5">
      <c r="B206" s="160">
        <v>1128299</v>
      </c>
      <c r="C206" s="161">
        <v>44489</v>
      </c>
      <c r="D206" s="160" t="s">
        <v>433</v>
      </c>
      <c r="E206" s="160" t="s">
        <v>435</v>
      </c>
      <c r="F206" s="159" t="s">
        <v>434</v>
      </c>
      <c r="G206" s="158">
        <v>0.70000000000000007</v>
      </c>
      <c r="H206" s="157">
        <v>7000</v>
      </c>
      <c r="I206" s="156">
        <f t="shared" si="3"/>
        <v>4900.0000000000009</v>
      </c>
    </row>
    <row r="207" spans="2:9" ht="15.5">
      <c r="B207" s="160">
        <v>1128299</v>
      </c>
      <c r="C207" s="161">
        <v>44520</v>
      </c>
      <c r="D207" s="160" t="s">
        <v>433</v>
      </c>
      <c r="E207" s="160" t="s">
        <v>435</v>
      </c>
      <c r="F207" s="159" t="s">
        <v>397</v>
      </c>
      <c r="G207" s="158">
        <v>0.55000000000000004</v>
      </c>
      <c r="H207" s="157">
        <v>8750</v>
      </c>
      <c r="I207" s="156">
        <f t="shared" si="3"/>
        <v>4812.5</v>
      </c>
    </row>
    <row r="208" spans="2:9" ht="15.5">
      <c r="B208" s="160">
        <v>1128299</v>
      </c>
      <c r="C208" s="161">
        <v>44520</v>
      </c>
      <c r="D208" s="160" t="s">
        <v>433</v>
      </c>
      <c r="E208" s="160" t="s">
        <v>435</v>
      </c>
      <c r="F208" s="159" t="s">
        <v>396</v>
      </c>
      <c r="G208" s="158">
        <v>0.60000000000000009</v>
      </c>
      <c r="H208" s="157">
        <v>8750</v>
      </c>
      <c r="I208" s="156">
        <f t="shared" si="3"/>
        <v>5250.0000000000009</v>
      </c>
    </row>
    <row r="209" spans="2:9" ht="15.5">
      <c r="B209" s="160">
        <v>1128299</v>
      </c>
      <c r="C209" s="161">
        <v>44520</v>
      </c>
      <c r="D209" s="160" t="s">
        <v>433</v>
      </c>
      <c r="E209" s="160" t="s">
        <v>435</v>
      </c>
      <c r="F209" s="159" t="s">
        <v>395</v>
      </c>
      <c r="G209" s="158">
        <v>0.55000000000000004</v>
      </c>
      <c r="H209" s="157">
        <v>7250</v>
      </c>
      <c r="I209" s="156">
        <f t="shared" si="3"/>
        <v>3987.5000000000005</v>
      </c>
    </row>
    <row r="210" spans="2:9" ht="15.5">
      <c r="B210" s="160">
        <v>1128299</v>
      </c>
      <c r="C210" s="161">
        <v>44520</v>
      </c>
      <c r="D210" s="160" t="s">
        <v>433</v>
      </c>
      <c r="E210" s="160" t="s">
        <v>435</v>
      </c>
      <c r="F210" s="159" t="s">
        <v>394</v>
      </c>
      <c r="G210" s="158">
        <v>0.55000000000000004</v>
      </c>
      <c r="H210" s="157">
        <v>7000</v>
      </c>
      <c r="I210" s="156">
        <f t="shared" si="3"/>
        <v>3850.0000000000005</v>
      </c>
    </row>
    <row r="211" spans="2:9" ht="15.5">
      <c r="B211" s="160">
        <v>1128299</v>
      </c>
      <c r="C211" s="161">
        <v>44520</v>
      </c>
      <c r="D211" s="160" t="s">
        <v>433</v>
      </c>
      <c r="E211" s="160" t="s">
        <v>435</v>
      </c>
      <c r="F211" s="159" t="s">
        <v>391</v>
      </c>
      <c r="G211" s="158">
        <v>0.65</v>
      </c>
      <c r="H211" s="157">
        <v>6500</v>
      </c>
      <c r="I211" s="156">
        <f t="shared" si="3"/>
        <v>4225</v>
      </c>
    </row>
    <row r="212" spans="2:9" ht="15.5">
      <c r="B212" s="160">
        <v>1128299</v>
      </c>
      <c r="C212" s="161">
        <v>44520</v>
      </c>
      <c r="D212" s="160" t="s">
        <v>433</v>
      </c>
      <c r="E212" s="160" t="s">
        <v>435</v>
      </c>
      <c r="F212" s="159" t="s">
        <v>434</v>
      </c>
      <c r="G212" s="158">
        <v>0.70000000000000007</v>
      </c>
      <c r="H212" s="157">
        <v>7750</v>
      </c>
      <c r="I212" s="156">
        <f t="shared" si="3"/>
        <v>5425.0000000000009</v>
      </c>
    </row>
    <row r="213" spans="2:9" ht="15.5">
      <c r="B213" s="160">
        <v>1128299</v>
      </c>
      <c r="C213" s="161">
        <v>44549</v>
      </c>
      <c r="D213" s="160" t="s">
        <v>433</v>
      </c>
      <c r="E213" s="160" t="s">
        <v>435</v>
      </c>
      <c r="F213" s="159" t="s">
        <v>397</v>
      </c>
      <c r="G213" s="158">
        <v>0.55000000000000004</v>
      </c>
      <c r="H213" s="157">
        <v>9750</v>
      </c>
      <c r="I213" s="156">
        <f t="shared" si="3"/>
        <v>5362.5</v>
      </c>
    </row>
    <row r="214" spans="2:9" ht="15.5">
      <c r="B214" s="160">
        <v>1128299</v>
      </c>
      <c r="C214" s="161">
        <v>44549</v>
      </c>
      <c r="D214" s="160" t="s">
        <v>433</v>
      </c>
      <c r="E214" s="160" t="s">
        <v>435</v>
      </c>
      <c r="F214" s="159" t="s">
        <v>396</v>
      </c>
      <c r="G214" s="158">
        <v>0.60000000000000009</v>
      </c>
      <c r="H214" s="157">
        <v>9750</v>
      </c>
      <c r="I214" s="156">
        <f t="shared" si="3"/>
        <v>5850.0000000000009</v>
      </c>
    </row>
    <row r="215" spans="2:9" ht="15.5">
      <c r="B215" s="160">
        <v>1128299</v>
      </c>
      <c r="C215" s="161">
        <v>44549</v>
      </c>
      <c r="D215" s="160" t="s">
        <v>433</v>
      </c>
      <c r="E215" s="160" t="s">
        <v>435</v>
      </c>
      <c r="F215" s="159" t="s">
        <v>395</v>
      </c>
      <c r="G215" s="158">
        <v>0.55000000000000004</v>
      </c>
      <c r="H215" s="157">
        <v>7750</v>
      </c>
      <c r="I215" s="156">
        <f t="shared" si="3"/>
        <v>4262.5</v>
      </c>
    </row>
    <row r="216" spans="2:9" ht="15.5">
      <c r="B216" s="160">
        <v>1128299</v>
      </c>
      <c r="C216" s="161">
        <v>44549</v>
      </c>
      <c r="D216" s="160" t="s">
        <v>433</v>
      </c>
      <c r="E216" s="160" t="s">
        <v>435</v>
      </c>
      <c r="F216" s="159" t="s">
        <v>394</v>
      </c>
      <c r="G216" s="158">
        <v>0.55000000000000004</v>
      </c>
      <c r="H216" s="157">
        <v>7750</v>
      </c>
      <c r="I216" s="156">
        <f t="shared" si="3"/>
        <v>4262.5</v>
      </c>
    </row>
    <row r="217" spans="2:9" ht="15.5">
      <c r="B217" s="160">
        <v>1128299</v>
      </c>
      <c r="C217" s="161">
        <v>44549</v>
      </c>
      <c r="D217" s="160" t="s">
        <v>433</v>
      </c>
      <c r="E217" s="160" t="s">
        <v>435</v>
      </c>
      <c r="F217" s="159" t="s">
        <v>391</v>
      </c>
      <c r="G217" s="158">
        <v>0.65</v>
      </c>
      <c r="H217" s="157">
        <v>7000</v>
      </c>
      <c r="I217" s="156">
        <f t="shared" si="3"/>
        <v>4550</v>
      </c>
    </row>
    <row r="218" spans="2:9" ht="15.5">
      <c r="B218" s="160">
        <v>1128299</v>
      </c>
      <c r="C218" s="161">
        <v>44549</v>
      </c>
      <c r="D218" s="160" t="s">
        <v>433</v>
      </c>
      <c r="E218" s="160" t="s">
        <v>435</v>
      </c>
      <c r="F218" s="159" t="s">
        <v>434</v>
      </c>
      <c r="G218" s="158">
        <v>0.70000000000000007</v>
      </c>
      <c r="H218" s="157">
        <v>8000</v>
      </c>
      <c r="I218" s="156">
        <f t="shared" si="3"/>
        <v>5600.0000000000009</v>
      </c>
    </row>
    <row r="219" spans="2:9" ht="15.5">
      <c r="B219" s="160">
        <v>1189833</v>
      </c>
      <c r="C219" s="161">
        <v>44211</v>
      </c>
      <c r="D219" s="160" t="s">
        <v>433</v>
      </c>
      <c r="E219" s="160" t="s">
        <v>432</v>
      </c>
      <c r="F219" s="159" t="s">
        <v>397</v>
      </c>
      <c r="G219" s="158">
        <v>0.35</v>
      </c>
      <c r="H219" s="157">
        <v>7000</v>
      </c>
      <c r="I219" s="156">
        <f t="shared" si="3"/>
        <v>2450</v>
      </c>
    </row>
    <row r="220" spans="2:9" ht="15.5">
      <c r="B220" s="160">
        <v>1189833</v>
      </c>
      <c r="C220" s="161">
        <v>44211</v>
      </c>
      <c r="D220" s="160" t="s">
        <v>433</v>
      </c>
      <c r="E220" s="160" t="s">
        <v>432</v>
      </c>
      <c r="F220" s="159" t="s">
        <v>396</v>
      </c>
      <c r="G220" s="158">
        <v>0.45</v>
      </c>
      <c r="H220" s="157">
        <v>7000</v>
      </c>
      <c r="I220" s="156">
        <f t="shared" si="3"/>
        <v>3150</v>
      </c>
    </row>
    <row r="221" spans="2:9" ht="15.5">
      <c r="B221" s="160">
        <v>1189833</v>
      </c>
      <c r="C221" s="161">
        <v>44211</v>
      </c>
      <c r="D221" s="160" t="s">
        <v>433</v>
      </c>
      <c r="E221" s="160" t="s">
        <v>432</v>
      </c>
      <c r="F221" s="159" t="s">
        <v>395</v>
      </c>
      <c r="G221" s="158">
        <v>0.45</v>
      </c>
      <c r="H221" s="157">
        <v>7000</v>
      </c>
      <c r="I221" s="156">
        <f t="shared" si="3"/>
        <v>3150</v>
      </c>
    </row>
    <row r="222" spans="2:9" ht="15.5">
      <c r="B222" s="160">
        <v>1189833</v>
      </c>
      <c r="C222" s="161">
        <v>44211</v>
      </c>
      <c r="D222" s="160" t="s">
        <v>433</v>
      </c>
      <c r="E222" s="160" t="s">
        <v>432</v>
      </c>
      <c r="F222" s="159" t="s">
        <v>394</v>
      </c>
      <c r="G222" s="158">
        <v>0.45</v>
      </c>
      <c r="H222" s="157">
        <v>5500</v>
      </c>
      <c r="I222" s="156">
        <f t="shared" si="3"/>
        <v>2475</v>
      </c>
    </row>
    <row r="223" spans="2:9" ht="15.5">
      <c r="B223" s="160">
        <v>1189833</v>
      </c>
      <c r="C223" s="161">
        <v>44211</v>
      </c>
      <c r="D223" s="160" t="s">
        <v>433</v>
      </c>
      <c r="E223" s="160" t="s">
        <v>432</v>
      </c>
      <c r="F223" s="159" t="s">
        <v>391</v>
      </c>
      <c r="G223" s="158">
        <v>0.5</v>
      </c>
      <c r="H223" s="157">
        <v>5000</v>
      </c>
      <c r="I223" s="156">
        <f t="shared" si="3"/>
        <v>2500</v>
      </c>
    </row>
    <row r="224" spans="2:9" ht="15.5">
      <c r="B224" s="160">
        <v>1189833</v>
      </c>
      <c r="C224" s="161">
        <v>44211</v>
      </c>
      <c r="D224" s="160" t="s">
        <v>433</v>
      </c>
      <c r="E224" s="160" t="s">
        <v>432</v>
      </c>
      <c r="F224" s="159" t="s">
        <v>434</v>
      </c>
      <c r="G224" s="158">
        <v>0.45</v>
      </c>
      <c r="H224" s="157">
        <v>7000</v>
      </c>
      <c r="I224" s="156">
        <f t="shared" si="3"/>
        <v>3150</v>
      </c>
    </row>
    <row r="225" spans="2:9" ht="15.5">
      <c r="B225" s="160">
        <v>1189833</v>
      </c>
      <c r="C225" s="161">
        <v>44242</v>
      </c>
      <c r="D225" s="160" t="s">
        <v>433</v>
      </c>
      <c r="E225" s="160" t="s">
        <v>432</v>
      </c>
      <c r="F225" s="159" t="s">
        <v>397</v>
      </c>
      <c r="G225" s="158">
        <v>0.35</v>
      </c>
      <c r="H225" s="157">
        <v>7500</v>
      </c>
      <c r="I225" s="156">
        <f t="shared" si="3"/>
        <v>2625</v>
      </c>
    </row>
    <row r="226" spans="2:9" ht="15.5">
      <c r="B226" s="160">
        <v>1189833</v>
      </c>
      <c r="C226" s="161">
        <v>44242</v>
      </c>
      <c r="D226" s="160" t="s">
        <v>433</v>
      </c>
      <c r="E226" s="160" t="s">
        <v>432</v>
      </c>
      <c r="F226" s="159" t="s">
        <v>396</v>
      </c>
      <c r="G226" s="158">
        <v>0.45</v>
      </c>
      <c r="H226" s="157">
        <v>6500</v>
      </c>
      <c r="I226" s="156">
        <f t="shared" si="3"/>
        <v>2925</v>
      </c>
    </row>
    <row r="227" spans="2:9" ht="15.5">
      <c r="B227" s="160">
        <v>1189833</v>
      </c>
      <c r="C227" s="161">
        <v>44242</v>
      </c>
      <c r="D227" s="160" t="s">
        <v>433</v>
      </c>
      <c r="E227" s="160" t="s">
        <v>432</v>
      </c>
      <c r="F227" s="159" t="s">
        <v>395</v>
      </c>
      <c r="G227" s="158">
        <v>0.45</v>
      </c>
      <c r="H227" s="157">
        <v>6750</v>
      </c>
      <c r="I227" s="156">
        <f t="shared" si="3"/>
        <v>3037.5</v>
      </c>
    </row>
    <row r="228" spans="2:9" ht="15.5">
      <c r="B228" s="160">
        <v>1189833</v>
      </c>
      <c r="C228" s="161">
        <v>44242</v>
      </c>
      <c r="D228" s="160" t="s">
        <v>433</v>
      </c>
      <c r="E228" s="160" t="s">
        <v>432</v>
      </c>
      <c r="F228" s="159" t="s">
        <v>394</v>
      </c>
      <c r="G228" s="158">
        <v>0.45</v>
      </c>
      <c r="H228" s="157">
        <v>5250</v>
      </c>
      <c r="I228" s="156">
        <f t="shared" si="3"/>
        <v>2362.5</v>
      </c>
    </row>
    <row r="229" spans="2:9" ht="15.5">
      <c r="B229" s="160">
        <v>1189833</v>
      </c>
      <c r="C229" s="161">
        <v>44242</v>
      </c>
      <c r="D229" s="160" t="s">
        <v>433</v>
      </c>
      <c r="E229" s="160" t="s">
        <v>432</v>
      </c>
      <c r="F229" s="159" t="s">
        <v>391</v>
      </c>
      <c r="G229" s="158">
        <v>0.5</v>
      </c>
      <c r="H229" s="157">
        <v>4500</v>
      </c>
      <c r="I229" s="156">
        <f t="shared" si="3"/>
        <v>2250</v>
      </c>
    </row>
    <row r="230" spans="2:9" ht="15.5">
      <c r="B230" s="160">
        <v>1189833</v>
      </c>
      <c r="C230" s="161">
        <v>44242</v>
      </c>
      <c r="D230" s="160" t="s">
        <v>433</v>
      </c>
      <c r="E230" s="160" t="s">
        <v>432</v>
      </c>
      <c r="F230" s="159" t="s">
        <v>434</v>
      </c>
      <c r="G230" s="158">
        <v>0.45</v>
      </c>
      <c r="H230" s="157">
        <v>6500</v>
      </c>
      <c r="I230" s="156">
        <f t="shared" si="3"/>
        <v>2925</v>
      </c>
    </row>
    <row r="231" spans="2:9" ht="15.5">
      <c r="B231" s="160">
        <v>1189833</v>
      </c>
      <c r="C231" s="161">
        <v>44269</v>
      </c>
      <c r="D231" s="160" t="s">
        <v>433</v>
      </c>
      <c r="E231" s="160" t="s">
        <v>432</v>
      </c>
      <c r="F231" s="159" t="s">
        <v>397</v>
      </c>
      <c r="G231" s="158">
        <v>0.35</v>
      </c>
      <c r="H231" s="157">
        <v>8000</v>
      </c>
      <c r="I231" s="156">
        <f t="shared" si="3"/>
        <v>2800</v>
      </c>
    </row>
    <row r="232" spans="2:9" ht="15.5">
      <c r="B232" s="160">
        <v>1189833</v>
      </c>
      <c r="C232" s="161">
        <v>44269</v>
      </c>
      <c r="D232" s="160" t="s">
        <v>433</v>
      </c>
      <c r="E232" s="160" t="s">
        <v>432</v>
      </c>
      <c r="F232" s="159" t="s">
        <v>396</v>
      </c>
      <c r="G232" s="158">
        <v>0.45</v>
      </c>
      <c r="H232" s="157">
        <v>6500</v>
      </c>
      <c r="I232" s="156">
        <f t="shared" si="3"/>
        <v>2925</v>
      </c>
    </row>
    <row r="233" spans="2:9" ht="15.5">
      <c r="B233" s="160">
        <v>1189833</v>
      </c>
      <c r="C233" s="161">
        <v>44269</v>
      </c>
      <c r="D233" s="160" t="s">
        <v>433</v>
      </c>
      <c r="E233" s="160" t="s">
        <v>432</v>
      </c>
      <c r="F233" s="159" t="s">
        <v>395</v>
      </c>
      <c r="G233" s="158">
        <v>0.45</v>
      </c>
      <c r="H233" s="157">
        <v>6500</v>
      </c>
      <c r="I233" s="156">
        <f t="shared" si="3"/>
        <v>2925</v>
      </c>
    </row>
    <row r="234" spans="2:9" ht="15.5">
      <c r="B234" s="160">
        <v>1189833</v>
      </c>
      <c r="C234" s="161">
        <v>44269</v>
      </c>
      <c r="D234" s="160" t="s">
        <v>433</v>
      </c>
      <c r="E234" s="160" t="s">
        <v>432</v>
      </c>
      <c r="F234" s="159" t="s">
        <v>394</v>
      </c>
      <c r="G234" s="158">
        <v>0.45</v>
      </c>
      <c r="H234" s="157">
        <v>5500</v>
      </c>
      <c r="I234" s="156">
        <f t="shared" si="3"/>
        <v>2475</v>
      </c>
    </row>
    <row r="235" spans="2:9" ht="15.5">
      <c r="B235" s="160">
        <v>1189833</v>
      </c>
      <c r="C235" s="161">
        <v>44269</v>
      </c>
      <c r="D235" s="160" t="s">
        <v>433</v>
      </c>
      <c r="E235" s="160" t="s">
        <v>432</v>
      </c>
      <c r="F235" s="159" t="s">
        <v>391</v>
      </c>
      <c r="G235" s="158">
        <v>0.5</v>
      </c>
      <c r="H235" s="157">
        <v>4250</v>
      </c>
      <c r="I235" s="156">
        <f t="shared" si="3"/>
        <v>2125</v>
      </c>
    </row>
    <row r="236" spans="2:9" ht="15.5">
      <c r="B236" s="160">
        <v>1189833</v>
      </c>
      <c r="C236" s="161">
        <v>44269</v>
      </c>
      <c r="D236" s="160" t="s">
        <v>433</v>
      </c>
      <c r="E236" s="160" t="s">
        <v>432</v>
      </c>
      <c r="F236" s="159" t="s">
        <v>434</v>
      </c>
      <c r="G236" s="158">
        <v>0.45</v>
      </c>
      <c r="H236" s="157">
        <v>6250</v>
      </c>
      <c r="I236" s="156">
        <f t="shared" si="3"/>
        <v>2812.5</v>
      </c>
    </row>
    <row r="237" spans="2:9" ht="15.5">
      <c r="B237" s="160">
        <v>1189833</v>
      </c>
      <c r="C237" s="161">
        <v>44301</v>
      </c>
      <c r="D237" s="160" t="s">
        <v>433</v>
      </c>
      <c r="E237" s="160" t="s">
        <v>432</v>
      </c>
      <c r="F237" s="159" t="s">
        <v>397</v>
      </c>
      <c r="G237" s="158">
        <v>0.45</v>
      </c>
      <c r="H237" s="157">
        <v>8000</v>
      </c>
      <c r="I237" s="156">
        <f t="shared" si="3"/>
        <v>3600</v>
      </c>
    </row>
    <row r="238" spans="2:9" ht="15.5">
      <c r="B238" s="160">
        <v>1189833</v>
      </c>
      <c r="C238" s="161">
        <v>44301</v>
      </c>
      <c r="D238" s="160" t="s">
        <v>433</v>
      </c>
      <c r="E238" s="160" t="s">
        <v>432</v>
      </c>
      <c r="F238" s="159" t="s">
        <v>396</v>
      </c>
      <c r="G238" s="158">
        <v>0.5</v>
      </c>
      <c r="H238" s="157">
        <v>6000</v>
      </c>
      <c r="I238" s="156">
        <f t="shared" si="3"/>
        <v>3000</v>
      </c>
    </row>
    <row r="239" spans="2:9" ht="15.5">
      <c r="B239" s="160">
        <v>1189833</v>
      </c>
      <c r="C239" s="161">
        <v>44301</v>
      </c>
      <c r="D239" s="160" t="s">
        <v>433</v>
      </c>
      <c r="E239" s="160" t="s">
        <v>432</v>
      </c>
      <c r="F239" s="159" t="s">
        <v>395</v>
      </c>
      <c r="G239" s="158">
        <v>0.5</v>
      </c>
      <c r="H239" s="157">
        <v>6250</v>
      </c>
      <c r="I239" s="156">
        <f t="shared" si="3"/>
        <v>3125</v>
      </c>
    </row>
    <row r="240" spans="2:9" ht="15.5">
      <c r="B240" s="160">
        <v>1189833</v>
      </c>
      <c r="C240" s="161">
        <v>44301</v>
      </c>
      <c r="D240" s="160" t="s">
        <v>433</v>
      </c>
      <c r="E240" s="160" t="s">
        <v>432</v>
      </c>
      <c r="F240" s="159" t="s">
        <v>394</v>
      </c>
      <c r="G240" s="158">
        <v>0.45</v>
      </c>
      <c r="H240" s="157">
        <v>5250</v>
      </c>
      <c r="I240" s="156">
        <f t="shared" si="3"/>
        <v>2362.5</v>
      </c>
    </row>
    <row r="241" spans="2:9" ht="15.5">
      <c r="B241" s="160">
        <v>1189833</v>
      </c>
      <c r="C241" s="161">
        <v>44301</v>
      </c>
      <c r="D241" s="160" t="s">
        <v>433</v>
      </c>
      <c r="E241" s="160" t="s">
        <v>432</v>
      </c>
      <c r="F241" s="159" t="s">
        <v>391</v>
      </c>
      <c r="G241" s="158">
        <v>0.5</v>
      </c>
      <c r="H241" s="157">
        <v>4250</v>
      </c>
      <c r="I241" s="156">
        <f t="shared" si="3"/>
        <v>2125</v>
      </c>
    </row>
    <row r="242" spans="2:9" ht="15.5">
      <c r="B242" s="160">
        <v>1189833</v>
      </c>
      <c r="C242" s="161">
        <v>44301</v>
      </c>
      <c r="D242" s="160" t="s">
        <v>433</v>
      </c>
      <c r="E242" s="160" t="s">
        <v>432</v>
      </c>
      <c r="F242" s="159" t="s">
        <v>434</v>
      </c>
      <c r="G242" s="158">
        <v>0.65</v>
      </c>
      <c r="H242" s="157">
        <v>6000</v>
      </c>
      <c r="I242" s="156">
        <f t="shared" si="3"/>
        <v>3900</v>
      </c>
    </row>
    <row r="243" spans="2:9" ht="15.5">
      <c r="B243" s="160">
        <v>1189833</v>
      </c>
      <c r="C243" s="161">
        <v>44332</v>
      </c>
      <c r="D243" s="160" t="s">
        <v>433</v>
      </c>
      <c r="E243" s="160" t="s">
        <v>432</v>
      </c>
      <c r="F243" s="159" t="s">
        <v>397</v>
      </c>
      <c r="G243" s="158">
        <v>0.45</v>
      </c>
      <c r="H243" s="157">
        <v>8000</v>
      </c>
      <c r="I243" s="156">
        <f t="shared" si="3"/>
        <v>3600</v>
      </c>
    </row>
    <row r="244" spans="2:9" ht="15.5">
      <c r="B244" s="160">
        <v>1189833</v>
      </c>
      <c r="C244" s="161">
        <v>44332</v>
      </c>
      <c r="D244" s="160" t="s">
        <v>433</v>
      </c>
      <c r="E244" s="160" t="s">
        <v>432</v>
      </c>
      <c r="F244" s="159" t="s">
        <v>396</v>
      </c>
      <c r="G244" s="158">
        <v>0.5</v>
      </c>
      <c r="H244" s="157">
        <v>6500</v>
      </c>
      <c r="I244" s="156">
        <f t="shared" si="3"/>
        <v>3250</v>
      </c>
    </row>
    <row r="245" spans="2:9" ht="15.5">
      <c r="B245" s="160">
        <v>1189833</v>
      </c>
      <c r="C245" s="161">
        <v>44332</v>
      </c>
      <c r="D245" s="160" t="s">
        <v>433</v>
      </c>
      <c r="E245" s="160" t="s">
        <v>432</v>
      </c>
      <c r="F245" s="159" t="s">
        <v>395</v>
      </c>
      <c r="G245" s="158">
        <v>0.5</v>
      </c>
      <c r="H245" s="157">
        <v>6500</v>
      </c>
      <c r="I245" s="156">
        <f t="shared" si="3"/>
        <v>3250</v>
      </c>
    </row>
    <row r="246" spans="2:9" ht="15.5">
      <c r="B246" s="160">
        <v>1189833</v>
      </c>
      <c r="C246" s="161">
        <v>44332</v>
      </c>
      <c r="D246" s="160" t="s">
        <v>433</v>
      </c>
      <c r="E246" s="160" t="s">
        <v>432</v>
      </c>
      <c r="F246" s="159" t="s">
        <v>394</v>
      </c>
      <c r="G246" s="158">
        <v>0.45</v>
      </c>
      <c r="H246" s="157">
        <v>5500</v>
      </c>
      <c r="I246" s="156">
        <f t="shared" si="3"/>
        <v>2475</v>
      </c>
    </row>
    <row r="247" spans="2:9" ht="15.5">
      <c r="B247" s="160">
        <v>1189833</v>
      </c>
      <c r="C247" s="161">
        <v>44332</v>
      </c>
      <c r="D247" s="160" t="s">
        <v>433</v>
      </c>
      <c r="E247" s="160" t="s">
        <v>432</v>
      </c>
      <c r="F247" s="159" t="s">
        <v>391</v>
      </c>
      <c r="G247" s="158">
        <v>0.5</v>
      </c>
      <c r="H247" s="157">
        <v>4500</v>
      </c>
      <c r="I247" s="156">
        <f t="shared" si="3"/>
        <v>2250</v>
      </c>
    </row>
    <row r="248" spans="2:9" ht="15.5">
      <c r="B248" s="160">
        <v>1189833</v>
      </c>
      <c r="C248" s="161">
        <v>44332</v>
      </c>
      <c r="D248" s="160" t="s">
        <v>433</v>
      </c>
      <c r="E248" s="160" t="s">
        <v>432</v>
      </c>
      <c r="F248" s="159" t="s">
        <v>434</v>
      </c>
      <c r="G248" s="158">
        <v>0.65</v>
      </c>
      <c r="H248" s="157">
        <v>6250</v>
      </c>
      <c r="I248" s="156">
        <f t="shared" si="3"/>
        <v>4062.5</v>
      </c>
    </row>
    <row r="249" spans="2:9" ht="15.5">
      <c r="B249" s="160">
        <v>1189833</v>
      </c>
      <c r="C249" s="161">
        <v>44362</v>
      </c>
      <c r="D249" s="160" t="s">
        <v>433</v>
      </c>
      <c r="E249" s="160" t="s">
        <v>432</v>
      </c>
      <c r="F249" s="159" t="s">
        <v>397</v>
      </c>
      <c r="G249" s="158">
        <v>0.45</v>
      </c>
      <c r="H249" s="157">
        <v>9000</v>
      </c>
      <c r="I249" s="156">
        <f t="shared" si="3"/>
        <v>4050</v>
      </c>
    </row>
    <row r="250" spans="2:9" ht="15.5">
      <c r="B250" s="160">
        <v>1189833</v>
      </c>
      <c r="C250" s="161">
        <v>44362</v>
      </c>
      <c r="D250" s="160" t="s">
        <v>433</v>
      </c>
      <c r="E250" s="160" t="s">
        <v>432</v>
      </c>
      <c r="F250" s="159" t="s">
        <v>396</v>
      </c>
      <c r="G250" s="158">
        <v>0.5</v>
      </c>
      <c r="H250" s="157">
        <v>7500</v>
      </c>
      <c r="I250" s="156">
        <f t="shared" si="3"/>
        <v>3750</v>
      </c>
    </row>
    <row r="251" spans="2:9" ht="15.5">
      <c r="B251" s="160">
        <v>1189833</v>
      </c>
      <c r="C251" s="161">
        <v>44362</v>
      </c>
      <c r="D251" s="160" t="s">
        <v>433</v>
      </c>
      <c r="E251" s="160" t="s">
        <v>432</v>
      </c>
      <c r="F251" s="159" t="s">
        <v>395</v>
      </c>
      <c r="G251" s="158">
        <v>0.5</v>
      </c>
      <c r="H251" s="157">
        <v>7500</v>
      </c>
      <c r="I251" s="156">
        <f t="shared" si="3"/>
        <v>3750</v>
      </c>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B8AC9-8DC5-4A94-86E9-FF005B4C7C2A}">
  <dimension ref="C2:L16"/>
  <sheetViews>
    <sheetView workbookViewId="0">
      <selection activeCell="L11" sqref="L11"/>
    </sheetView>
  </sheetViews>
  <sheetFormatPr defaultRowHeight="14.5"/>
  <sheetData>
    <row r="2" spans="3:12">
      <c r="H2">
        <v>4</v>
      </c>
      <c r="I2">
        <v>3</v>
      </c>
      <c r="K2" cm="1">
        <f t="array" ref="K2:K4">_xlfn._xlws.SORT((_xlfn.UNIQUE((_xlfn._xlws.FILTER($H$2:$H$6,COUNTIF($I$2:$I$6,$H$2:$H$6)&gt;0)))),,-1)</f>
        <v>4</v>
      </c>
      <c r="L2" cm="1">
        <f t="array" ref="L2">_xlfn._xlws.SORT((_xlfn.UNIQUE((_xlfn._xlws.FILTER($H$2:$H$6,COUNTIF($I$2:$I$6,$H$2:$H$6)=0)))),,-1)</f>
        <v>2</v>
      </c>
    </row>
    <row r="3" spans="3:12">
      <c r="C3" t="s">
        <v>704</v>
      </c>
      <c r="D3" t="str">
        <f>IF(COUNTIF(C3:C11,C3)&gt;1,C3,"")</f>
        <v/>
      </c>
      <c r="H3">
        <v>2</v>
      </c>
      <c r="I3">
        <v>1</v>
      </c>
      <c r="K3">
        <v>3</v>
      </c>
    </row>
    <row r="4" spans="3:12">
      <c r="C4" t="s">
        <v>621</v>
      </c>
      <c r="D4" t="str">
        <f t="shared" ref="D4:D11" si="0">IF(COUNTIF(C4:C12,C4)&gt;1,C4,"")</f>
        <v>kuba</v>
      </c>
      <c r="H4">
        <v>3</v>
      </c>
      <c r="I4">
        <v>3</v>
      </c>
      <c r="K4">
        <v>1</v>
      </c>
    </row>
    <row r="5" spans="3:12">
      <c r="C5" t="s">
        <v>621</v>
      </c>
      <c r="D5" t="str">
        <f t="shared" si="0"/>
        <v/>
      </c>
      <c r="H5">
        <v>1</v>
      </c>
      <c r="I5">
        <v>4</v>
      </c>
    </row>
    <row r="6" spans="3:12">
      <c r="C6" t="s">
        <v>705</v>
      </c>
      <c r="D6" t="str">
        <f t="shared" si="0"/>
        <v/>
      </c>
      <c r="H6">
        <v>4</v>
      </c>
      <c r="I6">
        <v>1</v>
      </c>
    </row>
    <row r="7" spans="3:12">
      <c r="C7" t="s">
        <v>622</v>
      </c>
      <c r="D7" t="str">
        <f t="shared" si="0"/>
        <v/>
      </c>
    </row>
    <row r="8" spans="3:12">
      <c r="C8" t="s">
        <v>706</v>
      </c>
      <c r="D8" t="str">
        <f t="shared" si="0"/>
        <v/>
      </c>
    </row>
    <row r="9" spans="3:12">
      <c r="C9" t="s">
        <v>707</v>
      </c>
      <c r="D9" t="str">
        <f t="shared" si="0"/>
        <v>maciej</v>
      </c>
    </row>
    <row r="10" spans="3:12">
      <c r="C10" t="s">
        <v>708</v>
      </c>
      <c r="D10" t="str">
        <f t="shared" si="0"/>
        <v/>
      </c>
    </row>
    <row r="11" spans="3:12">
      <c r="C11" t="s">
        <v>707</v>
      </c>
      <c r="D11" t="str">
        <f t="shared" si="0"/>
        <v/>
      </c>
      <c r="H11">
        <v>1</v>
      </c>
      <c r="I11">
        <v>11</v>
      </c>
      <c r="L11" cm="1">
        <f t="array" ref="L11:L12">_xlfn._xlws.FILTER(H11:H16,COUNTIF(I11:I16,H11:H16))</f>
        <v>3</v>
      </c>
    </row>
    <row r="12" spans="3:12">
      <c r="H12">
        <v>2</v>
      </c>
      <c r="I12">
        <v>22</v>
      </c>
      <c r="L12">
        <v>4</v>
      </c>
    </row>
    <row r="13" spans="3:12">
      <c r="H13">
        <v>3</v>
      </c>
      <c r="I13">
        <v>3</v>
      </c>
    </row>
    <row r="14" spans="3:12">
      <c r="H14">
        <v>4</v>
      </c>
      <c r="I14">
        <v>12</v>
      </c>
    </row>
    <row r="15" spans="3:12">
      <c r="H15">
        <v>5</v>
      </c>
      <c r="I15">
        <v>4</v>
      </c>
    </row>
    <row r="16" spans="3:12">
      <c r="H16">
        <v>6</v>
      </c>
      <c r="I16">
        <v>12</v>
      </c>
    </row>
  </sheetData>
  <conditionalFormatting sqref="H11:I16">
    <cfRule type="duplicateValues" dxfId="7"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5A00F-8EFD-4BB9-AC1A-B420DC4B47F7}">
  <dimension ref="A1:K8"/>
  <sheetViews>
    <sheetView workbookViewId="0">
      <selection activeCell="F10" sqref="F10"/>
    </sheetView>
  </sheetViews>
  <sheetFormatPr defaultRowHeight="14.5"/>
  <sheetData>
    <row r="1" spans="1:11">
      <c r="A1">
        <v>1</v>
      </c>
    </row>
    <row r="2" spans="1:11">
      <c r="A2">
        <v>2</v>
      </c>
    </row>
    <row r="3" spans="1:11">
      <c r="A3">
        <v>3</v>
      </c>
      <c r="D3" cm="1">
        <f t="array" ref="D3:K3">TRANSPOSE(A1:A8)</f>
        <v>1</v>
      </c>
      <c r="E3">
        <v>2</v>
      </c>
      <c r="F3">
        <v>3</v>
      </c>
      <c r="G3">
        <v>4</v>
      </c>
      <c r="H3">
        <v>5</v>
      </c>
      <c r="I3">
        <v>6</v>
      </c>
      <c r="J3">
        <v>7</v>
      </c>
      <c r="K3">
        <v>0.5</v>
      </c>
    </row>
    <row r="4" spans="1:11">
      <c r="A4">
        <v>4</v>
      </c>
      <c r="D4">
        <f>6-D3</f>
        <v>5</v>
      </c>
      <c r="E4">
        <f t="shared" ref="E4:J4" si="0">6-E3</f>
        <v>4</v>
      </c>
      <c r="F4">
        <f t="shared" si="0"/>
        <v>3</v>
      </c>
      <c r="G4">
        <f t="shared" si="0"/>
        <v>2</v>
      </c>
      <c r="H4">
        <f t="shared" si="0"/>
        <v>1</v>
      </c>
      <c r="I4">
        <f t="shared" si="0"/>
        <v>0</v>
      </c>
      <c r="J4">
        <f t="shared" si="0"/>
        <v>-1</v>
      </c>
    </row>
    <row r="5" spans="1:11">
      <c r="A5">
        <v>5</v>
      </c>
    </row>
    <row r="6" spans="1:11">
      <c r="A6">
        <v>6</v>
      </c>
    </row>
    <row r="7" spans="1:11">
      <c r="A7">
        <v>7</v>
      </c>
    </row>
    <row r="8" spans="1:11">
      <c r="A8">
        <v>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E52FC-2F98-4B8E-8668-5A23ECC38FC5}">
  <dimension ref="B2:C22"/>
  <sheetViews>
    <sheetView zoomScale="150" workbookViewId="0">
      <selection activeCell="C2" sqref="C2"/>
    </sheetView>
  </sheetViews>
  <sheetFormatPr defaultColWidth="11.6328125" defaultRowHeight="15.5"/>
  <cols>
    <col min="1" max="1" width="11.6328125" style="1"/>
    <col min="2" max="2" width="14" style="1" bestFit="1" customWidth="1"/>
    <col min="3" max="16384" width="11.6328125" style="1"/>
  </cols>
  <sheetData>
    <row r="2" spans="2:3" s="145" customFormat="1">
      <c r="B2" s="145" t="s">
        <v>271</v>
      </c>
      <c r="C2" s="358">
        <f>_xlfn.AGGREGATE(9,6,C5:C22)</f>
        <v>1271822.9238399998</v>
      </c>
    </row>
    <row r="4" spans="2:3">
      <c r="B4" s="310" t="s">
        <v>62</v>
      </c>
      <c r="C4" s="310" t="s">
        <v>76</v>
      </c>
    </row>
    <row r="5" spans="2:3">
      <c r="B5" s="30" t="s">
        <v>0</v>
      </c>
      <c r="C5" s="29">
        <v>92799</v>
      </c>
    </row>
    <row r="6" spans="2:3">
      <c r="B6" s="30" t="s">
        <v>74</v>
      </c>
      <c r="C6" s="29">
        <v>666566</v>
      </c>
    </row>
    <row r="7" spans="2:3">
      <c r="B7" s="30" t="s">
        <v>17</v>
      </c>
      <c r="C7" s="29">
        <v>99127</v>
      </c>
    </row>
    <row r="8" spans="2:3">
      <c r="B8" s="30" t="s">
        <v>73</v>
      </c>
      <c r="C8" s="29">
        <v>65468</v>
      </c>
    </row>
    <row r="9" spans="2:3">
      <c r="B9" s="30" t="s">
        <v>72</v>
      </c>
      <c r="C9" s="29" t="e">
        <f>1/0</f>
        <v>#DIV/0!</v>
      </c>
    </row>
    <row r="10" spans="2:3">
      <c r="B10" s="30" t="s">
        <v>71</v>
      </c>
      <c r="C10" s="29">
        <v>7648</v>
      </c>
    </row>
    <row r="11" spans="2:3">
      <c r="B11" s="30" t="s">
        <v>70</v>
      </c>
      <c r="C11" s="29">
        <v>9865</v>
      </c>
    </row>
    <row r="12" spans="2:3">
      <c r="B12" s="30" t="s">
        <v>69</v>
      </c>
      <c r="C12" s="29">
        <v>11061</v>
      </c>
    </row>
    <row r="13" spans="2:3">
      <c r="B13" s="30" t="s">
        <v>32</v>
      </c>
      <c r="C13" s="29">
        <v>78305</v>
      </c>
    </row>
    <row r="14" spans="2:3">
      <c r="B14" s="30" t="s">
        <v>874</v>
      </c>
      <c r="C14" s="29" t="e">
        <f>1/0</f>
        <v>#DIV/0!</v>
      </c>
    </row>
    <row r="15" spans="2:3">
      <c r="B15" s="30" t="s">
        <v>873</v>
      </c>
      <c r="C15" s="29">
        <v>80887.023360000007</v>
      </c>
    </row>
    <row r="16" spans="2:3">
      <c r="B16" s="30" t="s">
        <v>872</v>
      </c>
      <c r="C16" s="29">
        <v>23296.965120000001</v>
      </c>
    </row>
    <row r="17" spans="2:3">
      <c r="B17" s="30" t="s">
        <v>871</v>
      </c>
      <c r="C17" s="29">
        <v>9449.2569600000006</v>
      </c>
    </row>
    <row r="18" spans="2:3">
      <c r="B18" s="30" t="s">
        <v>870</v>
      </c>
      <c r="C18" s="29">
        <v>12188.4048</v>
      </c>
    </row>
    <row r="19" spans="2:3">
      <c r="B19" s="30" t="s">
        <v>869</v>
      </c>
      <c r="C19" s="29" t="e">
        <f>1/0</f>
        <v>#DIV/0!</v>
      </c>
    </row>
    <row r="20" spans="2:3">
      <c r="B20" s="30" t="s">
        <v>868</v>
      </c>
      <c r="C20" s="29">
        <v>96747.39360000001</v>
      </c>
    </row>
    <row r="21" spans="2:3">
      <c r="B21" s="30" t="s">
        <v>867</v>
      </c>
      <c r="C21" s="29">
        <v>8681.2000000000007</v>
      </c>
    </row>
    <row r="22" spans="2:3">
      <c r="B22" s="30" t="s">
        <v>866</v>
      </c>
      <c r="C22" s="29">
        <v>9733.68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23724-CE9D-47E2-9848-BE2C2AA61735}">
  <dimension ref="B2:C209"/>
  <sheetViews>
    <sheetView zoomScale="163" workbookViewId="0">
      <selection activeCell="B7" sqref="B7"/>
    </sheetView>
  </sheetViews>
  <sheetFormatPr defaultColWidth="11.6328125" defaultRowHeight="15.5"/>
  <cols>
    <col min="1" max="16384" width="11.6328125" style="1"/>
  </cols>
  <sheetData>
    <row r="2" spans="2:3">
      <c r="B2" s="423" t="s">
        <v>855</v>
      </c>
      <c r="C2" s="423"/>
    </row>
    <row r="3" spans="2:3">
      <c r="B3" s="349"/>
      <c r="C3" s="349"/>
    </row>
    <row r="4" spans="2:3">
      <c r="B4" s="348" t="s">
        <v>854</v>
      </c>
      <c r="C4" s="347" t="s">
        <v>853</v>
      </c>
    </row>
    <row r="6" spans="2:3">
      <c r="B6" s="346" t="str" cm="1">
        <f t="array" aca="1" ref="B6:C209" ca="1">_xlfn.STOCKHISTORY(C4,"1/1/2023",TODAY())</f>
        <v>Date</v>
      </c>
      <c r="C6" s="346" t="str">
        <f ca="1"/>
        <v>Close</v>
      </c>
    </row>
    <row r="7" spans="2:3">
      <c r="B7" s="1" vm="1">
        <f ca="1"/>
        <v>44929</v>
      </c>
      <c r="C7" s="1" vm="2">
        <f ca="1"/>
        <v>125.07</v>
      </c>
    </row>
    <row r="8" spans="2:3">
      <c r="B8" s="1" vm="3">
        <f ca="1"/>
        <v>44930</v>
      </c>
      <c r="C8" s="1" vm="4">
        <f ca="1"/>
        <v>126.36</v>
      </c>
    </row>
    <row r="9" spans="2:3">
      <c r="B9" s="1" vm="5">
        <f ca="1"/>
        <v>44931</v>
      </c>
      <c r="C9" s="1" vm="6">
        <f ca="1"/>
        <v>125.02</v>
      </c>
    </row>
    <row r="10" spans="2:3">
      <c r="B10" s="1" vm="7">
        <f ca="1"/>
        <v>44932</v>
      </c>
      <c r="C10" s="1" vm="8">
        <f ca="1"/>
        <v>129.62</v>
      </c>
    </row>
    <row r="11" spans="2:3">
      <c r="B11" s="1" vm="9">
        <f ca="1"/>
        <v>44935</v>
      </c>
      <c r="C11" s="1" vm="10">
        <f ca="1"/>
        <v>130.15</v>
      </c>
    </row>
    <row r="12" spans="2:3">
      <c r="B12" s="1" vm="11">
        <f ca="1"/>
        <v>44936</v>
      </c>
      <c r="C12" s="1" vm="12">
        <f ca="1"/>
        <v>130.72999999999999</v>
      </c>
    </row>
    <row r="13" spans="2:3">
      <c r="B13" s="1" vm="13">
        <f ca="1"/>
        <v>44937</v>
      </c>
      <c r="C13" s="1" vm="14">
        <f ca="1"/>
        <v>133.49</v>
      </c>
    </row>
    <row r="14" spans="2:3">
      <c r="B14" s="1" vm="15">
        <f ca="1"/>
        <v>44938</v>
      </c>
      <c r="C14" s="1" vm="16">
        <f ca="1"/>
        <v>133.41</v>
      </c>
    </row>
    <row r="15" spans="2:3">
      <c r="B15" s="1" vm="17">
        <f ca="1"/>
        <v>44939</v>
      </c>
      <c r="C15" s="1" vm="18">
        <f ca="1"/>
        <v>134.76</v>
      </c>
    </row>
    <row r="16" spans="2:3">
      <c r="B16" s="1" vm="19">
        <f ca="1"/>
        <v>44943</v>
      </c>
      <c r="C16" s="1" vm="20">
        <f ca="1"/>
        <v>135.94</v>
      </c>
    </row>
    <row r="17" spans="2:3">
      <c r="B17" s="1" vm="21">
        <f ca="1"/>
        <v>44944</v>
      </c>
      <c r="C17" s="1" vm="22">
        <f ca="1"/>
        <v>135.21</v>
      </c>
    </row>
    <row r="18" spans="2:3">
      <c r="B18" s="1" vm="23">
        <f ca="1"/>
        <v>44945</v>
      </c>
      <c r="C18" s="1" vm="24">
        <f ca="1"/>
        <v>135.27000000000001</v>
      </c>
    </row>
    <row r="19" spans="2:3">
      <c r="B19" s="1" vm="25">
        <f ca="1"/>
        <v>44946</v>
      </c>
      <c r="C19" s="1" vm="26">
        <f ca="1"/>
        <v>137.87</v>
      </c>
    </row>
    <row r="20" spans="2:3">
      <c r="B20" s="1" vm="27">
        <f ca="1"/>
        <v>44949</v>
      </c>
      <c r="C20" s="1" vm="28">
        <f ca="1"/>
        <v>141.11000000000001</v>
      </c>
    </row>
    <row r="21" spans="2:3">
      <c r="B21" s="1" vm="29">
        <f ca="1"/>
        <v>44950</v>
      </c>
      <c r="C21" s="1" vm="30">
        <f ca="1"/>
        <v>142.53</v>
      </c>
    </row>
    <row r="22" spans="2:3">
      <c r="B22" s="1" vm="31">
        <f ca="1"/>
        <v>44951</v>
      </c>
      <c r="C22" s="1" vm="32">
        <f ca="1"/>
        <v>141.86000000000001</v>
      </c>
    </row>
    <row r="23" spans="2:3">
      <c r="B23" s="1" vm="33">
        <f ca="1"/>
        <v>44952</v>
      </c>
      <c r="C23" s="1" vm="34">
        <f ca="1"/>
        <v>143.96</v>
      </c>
    </row>
    <row r="24" spans="2:3">
      <c r="B24" s="1" vm="35">
        <f ca="1"/>
        <v>44953</v>
      </c>
      <c r="C24" s="1" vm="36">
        <f ca="1"/>
        <v>145.93</v>
      </c>
    </row>
    <row r="25" spans="2:3">
      <c r="B25" s="1" vm="37">
        <f ca="1"/>
        <v>44956</v>
      </c>
      <c r="C25" s="1" vm="38">
        <f ca="1"/>
        <v>143</v>
      </c>
    </row>
    <row r="26" spans="2:3">
      <c r="B26" s="1" vm="39">
        <f ca="1"/>
        <v>44957</v>
      </c>
      <c r="C26" s="1" vm="40">
        <f ca="1"/>
        <v>144.29</v>
      </c>
    </row>
    <row r="27" spans="2:3">
      <c r="B27" s="1" vm="41">
        <f ca="1"/>
        <v>44958</v>
      </c>
      <c r="C27" s="1" vm="42">
        <f ca="1"/>
        <v>145.43</v>
      </c>
    </row>
    <row r="28" spans="2:3">
      <c r="B28" s="1" vm="43">
        <f ca="1"/>
        <v>44959</v>
      </c>
      <c r="C28" s="1" vm="44">
        <f ca="1"/>
        <v>150.82</v>
      </c>
    </row>
    <row r="29" spans="2:3">
      <c r="B29" s="1" vm="45">
        <f ca="1"/>
        <v>44960</v>
      </c>
      <c r="C29" s="1" vm="46">
        <f ca="1"/>
        <v>154.5</v>
      </c>
    </row>
    <row r="30" spans="2:3">
      <c r="B30" s="1" vm="47">
        <f ca="1"/>
        <v>44963</v>
      </c>
      <c r="C30" s="1" vm="48">
        <f ca="1"/>
        <v>151.72999999999999</v>
      </c>
    </row>
    <row r="31" spans="2:3">
      <c r="B31" s="1" vm="49">
        <f ca="1"/>
        <v>44964</v>
      </c>
      <c r="C31" s="1" vm="50">
        <f ca="1"/>
        <v>154.65</v>
      </c>
    </row>
    <row r="32" spans="2:3">
      <c r="B32" s="1" vm="51">
        <f ca="1"/>
        <v>44965</v>
      </c>
      <c r="C32" s="1" vm="52">
        <f ca="1"/>
        <v>151.91999999999999</v>
      </c>
    </row>
    <row r="33" spans="2:3">
      <c r="B33" s="1" vm="53">
        <f ca="1"/>
        <v>44966</v>
      </c>
      <c r="C33" s="1" vm="54">
        <f ca="1"/>
        <v>150.87</v>
      </c>
    </row>
    <row r="34" spans="2:3">
      <c r="B34" s="1" vm="55">
        <f ca="1"/>
        <v>44967</v>
      </c>
      <c r="C34" s="1" vm="56">
        <f ca="1"/>
        <v>151.01</v>
      </c>
    </row>
    <row r="35" spans="2:3">
      <c r="B35" s="1" vm="57">
        <f ca="1"/>
        <v>44970</v>
      </c>
      <c r="C35" s="1" vm="58">
        <f ca="1"/>
        <v>153.85</v>
      </c>
    </row>
    <row r="36" spans="2:3">
      <c r="B36" s="1" vm="59">
        <f ca="1"/>
        <v>44971</v>
      </c>
      <c r="C36" s="1" vm="60">
        <f ca="1"/>
        <v>153.19999999999999</v>
      </c>
    </row>
    <row r="37" spans="2:3">
      <c r="B37" s="1" vm="61">
        <f ca="1"/>
        <v>44972</v>
      </c>
      <c r="C37" s="1" vm="62">
        <f ca="1"/>
        <v>155.33000000000001</v>
      </c>
    </row>
    <row r="38" spans="2:3">
      <c r="B38" s="1" vm="63">
        <f ca="1"/>
        <v>44973</v>
      </c>
      <c r="C38" s="1" vm="64">
        <f ca="1"/>
        <v>153.71</v>
      </c>
    </row>
    <row r="39" spans="2:3">
      <c r="B39" s="1" vm="65">
        <f ca="1"/>
        <v>44974</v>
      </c>
      <c r="C39" s="1" vm="66">
        <f ca="1"/>
        <v>152.55000000000001</v>
      </c>
    </row>
    <row r="40" spans="2:3">
      <c r="B40" s="1" vm="67">
        <f ca="1"/>
        <v>44978</v>
      </c>
      <c r="C40" s="1" vm="68">
        <f ca="1"/>
        <v>148.47999999999999</v>
      </c>
    </row>
    <row r="41" spans="2:3">
      <c r="B41" s="1" vm="69">
        <f ca="1"/>
        <v>44979</v>
      </c>
      <c r="C41" s="1" vm="70">
        <f ca="1"/>
        <v>148.91</v>
      </c>
    </row>
    <row r="42" spans="2:3">
      <c r="B42" s="1" vm="71">
        <f ca="1"/>
        <v>44980</v>
      </c>
      <c r="C42" s="1" vm="72">
        <f ca="1"/>
        <v>149.4</v>
      </c>
    </row>
    <row r="43" spans="2:3">
      <c r="B43" s="1" vm="73">
        <f ca="1"/>
        <v>44981</v>
      </c>
      <c r="C43" s="1" vm="74">
        <f ca="1"/>
        <v>146.71</v>
      </c>
    </row>
    <row r="44" spans="2:3">
      <c r="B44" s="1" vm="75">
        <f ca="1"/>
        <v>44984</v>
      </c>
      <c r="C44" s="1" vm="76">
        <f ca="1"/>
        <v>147.91999999999999</v>
      </c>
    </row>
    <row r="45" spans="2:3">
      <c r="B45" s="1" vm="77">
        <f ca="1"/>
        <v>44985</v>
      </c>
      <c r="C45" s="1" vm="78">
        <f ca="1"/>
        <v>147.41</v>
      </c>
    </row>
    <row r="46" spans="2:3">
      <c r="B46" s="1" vm="79">
        <f ca="1"/>
        <v>44986</v>
      </c>
      <c r="C46" s="1" vm="80">
        <f ca="1"/>
        <v>145.31</v>
      </c>
    </row>
    <row r="47" spans="2:3">
      <c r="B47" s="1" vm="81">
        <f ca="1"/>
        <v>44987</v>
      </c>
      <c r="C47" s="1" vm="82">
        <f ca="1"/>
        <v>145.91</v>
      </c>
    </row>
    <row r="48" spans="2:3">
      <c r="B48" s="1" vm="83">
        <f ca="1"/>
        <v>44988</v>
      </c>
      <c r="C48" s="1" vm="84">
        <f ca="1"/>
        <v>151.03</v>
      </c>
    </row>
    <row r="49" spans="2:3">
      <c r="B49" s="1" vm="85">
        <f ca="1"/>
        <v>44991</v>
      </c>
      <c r="C49" s="1" vm="86">
        <f ca="1"/>
        <v>153.83000000000001</v>
      </c>
    </row>
    <row r="50" spans="2:3">
      <c r="B50" s="1" vm="87">
        <f ca="1"/>
        <v>44992</v>
      </c>
      <c r="C50" s="1" vm="88">
        <f ca="1"/>
        <v>151.6</v>
      </c>
    </row>
    <row r="51" spans="2:3">
      <c r="B51" s="1" vm="89">
        <f ca="1"/>
        <v>44993</v>
      </c>
      <c r="C51" s="1" vm="90">
        <f ca="1"/>
        <v>152.87</v>
      </c>
    </row>
    <row r="52" spans="2:3">
      <c r="B52" s="1" vm="91">
        <f ca="1"/>
        <v>44994</v>
      </c>
      <c r="C52" s="1" vm="92">
        <f ca="1"/>
        <v>150.59</v>
      </c>
    </row>
    <row r="53" spans="2:3">
      <c r="B53" s="1" vm="93">
        <f ca="1"/>
        <v>44995</v>
      </c>
      <c r="C53" s="1" vm="94">
        <f ca="1"/>
        <v>148.5</v>
      </c>
    </row>
    <row r="54" spans="2:3">
      <c r="B54" s="1" vm="95">
        <f ca="1"/>
        <v>44998</v>
      </c>
      <c r="C54" s="1" vm="96">
        <f ca="1"/>
        <v>150.47</v>
      </c>
    </row>
    <row r="55" spans="2:3">
      <c r="B55" s="1" vm="97">
        <f ca="1"/>
        <v>44999</v>
      </c>
      <c r="C55" s="1" vm="98">
        <f ca="1"/>
        <v>152.59</v>
      </c>
    </row>
    <row r="56" spans="2:3">
      <c r="B56" s="1" vm="99">
        <f ca="1"/>
        <v>45000</v>
      </c>
      <c r="C56" s="1" vm="100">
        <f ca="1"/>
        <v>152.99</v>
      </c>
    </row>
    <row r="57" spans="2:3">
      <c r="B57" s="1" vm="101">
        <f ca="1"/>
        <v>45001</v>
      </c>
      <c r="C57" s="1" vm="102">
        <f ca="1"/>
        <v>155.85</v>
      </c>
    </row>
    <row r="58" spans="2:3">
      <c r="B58" s="1" vm="103">
        <f ca="1"/>
        <v>45002</v>
      </c>
      <c r="C58" s="1" vm="104">
        <f ca="1"/>
        <v>155</v>
      </c>
    </row>
    <row r="59" spans="2:3">
      <c r="B59" s="1" vm="105">
        <f ca="1"/>
        <v>45005</v>
      </c>
      <c r="C59" s="1" vm="106">
        <f ca="1"/>
        <v>157.4</v>
      </c>
    </row>
    <row r="60" spans="2:3">
      <c r="B60" s="1" vm="107">
        <f ca="1"/>
        <v>45006</v>
      </c>
      <c r="C60" s="1" vm="108">
        <f ca="1"/>
        <v>159.28</v>
      </c>
    </row>
    <row r="61" spans="2:3">
      <c r="B61" s="1" vm="109">
        <f ca="1"/>
        <v>45007</v>
      </c>
      <c r="C61" s="1" vm="110">
        <f ca="1"/>
        <v>157.83000000000001</v>
      </c>
    </row>
    <row r="62" spans="2:3">
      <c r="B62" s="1" vm="111">
        <f ca="1"/>
        <v>45008</v>
      </c>
      <c r="C62" s="1" vm="112">
        <f ca="1"/>
        <v>158.93</v>
      </c>
    </row>
    <row r="63" spans="2:3">
      <c r="B63" s="1" vm="113">
        <f ca="1"/>
        <v>45009</v>
      </c>
      <c r="C63" s="1" vm="114">
        <f ca="1"/>
        <v>160.25</v>
      </c>
    </row>
    <row r="64" spans="2:3">
      <c r="B64" s="1" vm="115">
        <f ca="1"/>
        <v>45012</v>
      </c>
      <c r="C64" s="1" vm="116">
        <f ca="1"/>
        <v>158.28</v>
      </c>
    </row>
    <row r="65" spans="2:3">
      <c r="B65" s="1" vm="117">
        <f ca="1"/>
        <v>45013</v>
      </c>
      <c r="C65" s="1" vm="118">
        <f ca="1"/>
        <v>157.65</v>
      </c>
    </row>
    <row r="66" spans="2:3">
      <c r="B66" s="1" vm="119">
        <f ca="1"/>
        <v>45014</v>
      </c>
      <c r="C66" s="1" vm="120">
        <f ca="1"/>
        <v>160.77000000000001</v>
      </c>
    </row>
    <row r="67" spans="2:3">
      <c r="B67" s="1" vm="121">
        <f ca="1"/>
        <v>45015</v>
      </c>
      <c r="C67" s="1" vm="122">
        <f ca="1"/>
        <v>162.36000000000001</v>
      </c>
    </row>
    <row r="68" spans="2:3">
      <c r="B68" s="1" vm="123">
        <f ca="1"/>
        <v>45016</v>
      </c>
      <c r="C68" s="1" vm="124">
        <f ca="1"/>
        <v>164.9</v>
      </c>
    </row>
    <row r="69" spans="2:3">
      <c r="B69" s="1" vm="125">
        <f ca="1"/>
        <v>45019</v>
      </c>
      <c r="C69" s="1" vm="126">
        <f ca="1"/>
        <v>166.17</v>
      </c>
    </row>
    <row r="70" spans="2:3">
      <c r="B70" s="1" vm="127">
        <f ca="1"/>
        <v>45020</v>
      </c>
      <c r="C70" s="1" vm="128">
        <f ca="1"/>
        <v>165.63</v>
      </c>
    </row>
    <row r="71" spans="2:3">
      <c r="B71" s="1" vm="129">
        <f ca="1"/>
        <v>45021</v>
      </c>
      <c r="C71" s="1" vm="130">
        <f ca="1"/>
        <v>163.76</v>
      </c>
    </row>
    <row r="72" spans="2:3">
      <c r="B72" s="1" vm="131">
        <f ca="1"/>
        <v>45022</v>
      </c>
      <c r="C72" s="1" vm="132">
        <f ca="1"/>
        <v>164.66</v>
      </c>
    </row>
    <row r="73" spans="2:3">
      <c r="B73" s="1" vm="133">
        <f ca="1"/>
        <v>45026</v>
      </c>
      <c r="C73" s="1" vm="134">
        <f ca="1"/>
        <v>162.03</v>
      </c>
    </row>
    <row r="74" spans="2:3">
      <c r="B74" s="1" vm="135">
        <f ca="1"/>
        <v>45027</v>
      </c>
      <c r="C74" s="1" vm="136">
        <f ca="1"/>
        <v>160.80000000000001</v>
      </c>
    </row>
    <row r="75" spans="2:3">
      <c r="B75" s="1" vm="137">
        <f ca="1"/>
        <v>45028</v>
      </c>
      <c r="C75" s="1" vm="138">
        <f ca="1"/>
        <v>160.1</v>
      </c>
    </row>
    <row r="76" spans="2:3">
      <c r="B76" s="1" vm="139">
        <f ca="1"/>
        <v>45029</v>
      </c>
      <c r="C76" s="1" vm="140">
        <f ca="1"/>
        <v>165.56</v>
      </c>
    </row>
    <row r="77" spans="2:3">
      <c r="B77" s="1" vm="141">
        <f ca="1"/>
        <v>45030</v>
      </c>
      <c r="C77" s="1" vm="142">
        <f ca="1"/>
        <v>165.21</v>
      </c>
    </row>
    <row r="78" spans="2:3">
      <c r="B78" s="1" vm="143">
        <f ca="1"/>
        <v>45033</v>
      </c>
      <c r="C78" s="1" vm="144">
        <f ca="1"/>
        <v>165.23</v>
      </c>
    </row>
    <row r="79" spans="2:3">
      <c r="B79" s="1" vm="145">
        <f ca="1"/>
        <v>45034</v>
      </c>
      <c r="C79" s="1" vm="146">
        <f ca="1"/>
        <v>166.47</v>
      </c>
    </row>
    <row r="80" spans="2:3">
      <c r="B80" s="1" vm="147">
        <f ca="1"/>
        <v>45035</v>
      </c>
      <c r="C80" s="1" vm="148">
        <f ca="1"/>
        <v>167.63</v>
      </c>
    </row>
    <row r="81" spans="2:3">
      <c r="B81" s="1" vm="149">
        <f ca="1"/>
        <v>45036</v>
      </c>
      <c r="C81" s="1" vm="150">
        <f ca="1"/>
        <v>166.65</v>
      </c>
    </row>
    <row r="82" spans="2:3">
      <c r="B82" s="1" vm="151">
        <f ca="1"/>
        <v>45037</v>
      </c>
      <c r="C82" s="1" vm="152">
        <f ca="1"/>
        <v>165.02</v>
      </c>
    </row>
    <row r="83" spans="2:3">
      <c r="B83" s="1" vm="153">
        <f ca="1"/>
        <v>45040</v>
      </c>
      <c r="C83" s="1" vm="154">
        <f ca="1"/>
        <v>165.33</v>
      </c>
    </row>
    <row r="84" spans="2:3">
      <c r="B84" s="1" vm="155">
        <f ca="1"/>
        <v>45041</v>
      </c>
      <c r="C84" s="1" vm="156">
        <f ca="1"/>
        <v>163.77000000000001</v>
      </c>
    </row>
    <row r="85" spans="2:3">
      <c r="B85" s="1" vm="157">
        <f ca="1"/>
        <v>45042</v>
      </c>
      <c r="C85" s="1" vm="130">
        <f ca="1"/>
        <v>163.76</v>
      </c>
    </row>
    <row r="86" spans="2:3">
      <c r="B86" s="1" vm="158">
        <f ca="1"/>
        <v>45043</v>
      </c>
      <c r="C86" s="1" vm="159">
        <f ca="1"/>
        <v>168.41</v>
      </c>
    </row>
    <row r="87" spans="2:3">
      <c r="B87" s="1" vm="160">
        <f ca="1"/>
        <v>45044</v>
      </c>
      <c r="C87" s="1" vm="161">
        <f ca="1"/>
        <v>169.68</v>
      </c>
    </row>
    <row r="88" spans="2:3">
      <c r="B88" s="1" vm="162">
        <f ca="1"/>
        <v>45047</v>
      </c>
      <c r="C88" s="1" vm="163">
        <f ca="1"/>
        <v>169.59</v>
      </c>
    </row>
    <row r="89" spans="2:3">
      <c r="B89" s="1" vm="164">
        <f ca="1"/>
        <v>45048</v>
      </c>
      <c r="C89" s="1" vm="165">
        <f ca="1"/>
        <v>168.54</v>
      </c>
    </row>
    <row r="90" spans="2:3">
      <c r="B90" s="1" vm="166">
        <f ca="1"/>
        <v>45049</v>
      </c>
      <c r="C90" s="1" vm="167">
        <f ca="1"/>
        <v>167.45</v>
      </c>
    </row>
    <row r="91" spans="2:3">
      <c r="B91" s="1" vm="168">
        <f ca="1"/>
        <v>45050</v>
      </c>
      <c r="C91" s="1" vm="169">
        <f ca="1"/>
        <v>165.79</v>
      </c>
    </row>
    <row r="92" spans="2:3">
      <c r="B92" s="1" vm="170">
        <f ca="1"/>
        <v>45051</v>
      </c>
      <c r="C92" s="1" vm="171">
        <f ca="1"/>
        <v>173.57</v>
      </c>
    </row>
    <row r="93" spans="2:3">
      <c r="B93" s="1" vm="172">
        <f ca="1"/>
        <v>45054</v>
      </c>
      <c r="C93" s="1" vm="173">
        <f ca="1"/>
        <v>173.5</v>
      </c>
    </row>
    <row r="94" spans="2:3">
      <c r="B94" s="1" vm="174">
        <f ca="1"/>
        <v>45055</v>
      </c>
      <c r="C94" s="1" vm="175">
        <f ca="1"/>
        <v>171.77</v>
      </c>
    </row>
    <row r="95" spans="2:3">
      <c r="B95" s="1" vm="176">
        <f ca="1"/>
        <v>45056</v>
      </c>
      <c r="C95" s="1" vm="177">
        <f ca="1"/>
        <v>173.55500000000001</v>
      </c>
    </row>
    <row r="96" spans="2:3">
      <c r="B96" s="1" vm="178">
        <f ca="1"/>
        <v>45057</v>
      </c>
      <c r="C96" s="1" vm="179">
        <f ca="1"/>
        <v>173.75</v>
      </c>
    </row>
    <row r="97" spans="2:3">
      <c r="B97" s="1" vm="180">
        <f ca="1"/>
        <v>45058</v>
      </c>
      <c r="C97" s="1" vm="181">
        <f ca="1"/>
        <v>172.57</v>
      </c>
    </row>
    <row r="98" spans="2:3">
      <c r="B98" s="1" vm="182">
        <f ca="1"/>
        <v>45061</v>
      </c>
      <c r="C98" s="1" vm="183">
        <f ca="1"/>
        <v>172.07</v>
      </c>
    </row>
    <row r="99" spans="2:3">
      <c r="B99" s="1" vm="184">
        <f ca="1"/>
        <v>45062</v>
      </c>
      <c r="C99" s="1" vm="183">
        <f ca="1"/>
        <v>172.07</v>
      </c>
    </row>
    <row r="100" spans="2:3">
      <c r="B100" s="1" vm="185">
        <f ca="1"/>
        <v>45063</v>
      </c>
      <c r="C100" s="1" vm="186">
        <f ca="1"/>
        <v>172.69</v>
      </c>
    </row>
    <row r="101" spans="2:3">
      <c r="B101" s="1" vm="187">
        <f ca="1"/>
        <v>45064</v>
      </c>
      <c r="C101" s="1" vm="188">
        <f ca="1"/>
        <v>175.05</v>
      </c>
    </row>
    <row r="102" spans="2:3">
      <c r="B102" s="1" vm="189">
        <f ca="1"/>
        <v>45065</v>
      </c>
      <c r="C102" s="1" vm="190">
        <f ca="1"/>
        <v>175.16</v>
      </c>
    </row>
    <row r="103" spans="2:3">
      <c r="B103" s="1" vm="191">
        <f ca="1"/>
        <v>45068</v>
      </c>
      <c r="C103" s="1" vm="192">
        <f ca="1"/>
        <v>174.2</v>
      </c>
    </row>
    <row r="104" spans="2:3">
      <c r="B104" s="1" vm="193">
        <f ca="1"/>
        <v>45069</v>
      </c>
      <c r="C104" s="1" vm="194">
        <f ca="1"/>
        <v>171.56</v>
      </c>
    </row>
    <row r="105" spans="2:3">
      <c r="B105" s="1" vm="195">
        <f ca="1"/>
        <v>45070</v>
      </c>
      <c r="C105" s="1" vm="196">
        <f ca="1"/>
        <v>171.84</v>
      </c>
    </row>
    <row r="106" spans="2:3">
      <c r="B106" s="1" vm="197">
        <f ca="1"/>
        <v>45071</v>
      </c>
      <c r="C106" s="1" vm="198">
        <f ca="1"/>
        <v>172.99</v>
      </c>
    </row>
    <row r="107" spans="2:3">
      <c r="B107" s="1" vm="199">
        <f ca="1"/>
        <v>45072</v>
      </c>
      <c r="C107" s="1" vm="200">
        <f ca="1"/>
        <v>175.43</v>
      </c>
    </row>
    <row r="108" spans="2:3">
      <c r="B108" s="1" vm="201">
        <f ca="1"/>
        <v>45076</v>
      </c>
      <c r="C108" s="1" vm="202">
        <f ca="1"/>
        <v>177.3</v>
      </c>
    </row>
    <row r="109" spans="2:3">
      <c r="B109" s="1" vm="203">
        <f ca="1"/>
        <v>45077</v>
      </c>
      <c r="C109" s="1" vm="204">
        <f ca="1"/>
        <v>177.25</v>
      </c>
    </row>
    <row r="110" spans="2:3">
      <c r="B110" s="1" vm="205">
        <f ca="1"/>
        <v>45078</v>
      </c>
      <c r="C110" s="1" vm="206">
        <f ca="1"/>
        <v>180.09</v>
      </c>
    </row>
    <row r="111" spans="2:3">
      <c r="B111" s="1" vm="207">
        <f ca="1"/>
        <v>45079</v>
      </c>
      <c r="C111" s="1" vm="208">
        <f ca="1"/>
        <v>180.95</v>
      </c>
    </row>
    <row r="112" spans="2:3">
      <c r="B112" s="1" vm="209">
        <f ca="1"/>
        <v>45082</v>
      </c>
      <c r="C112" s="1" vm="210">
        <f ca="1"/>
        <v>179.58</v>
      </c>
    </row>
    <row r="113" spans="2:3">
      <c r="B113" s="1" vm="211">
        <f ca="1"/>
        <v>45083</v>
      </c>
      <c r="C113" s="1" vm="212">
        <f ca="1"/>
        <v>179.21</v>
      </c>
    </row>
    <row r="114" spans="2:3">
      <c r="B114" s="1" vm="213">
        <f ca="1"/>
        <v>45084</v>
      </c>
      <c r="C114" s="1" vm="214">
        <f ca="1"/>
        <v>177.82</v>
      </c>
    </row>
    <row r="115" spans="2:3">
      <c r="B115" s="1" vm="215">
        <f ca="1"/>
        <v>45085</v>
      </c>
      <c r="C115" s="1" vm="216">
        <f ca="1"/>
        <v>180.57</v>
      </c>
    </row>
    <row r="116" spans="2:3">
      <c r="B116" s="1" vm="217">
        <f ca="1"/>
        <v>45086</v>
      </c>
      <c r="C116" s="1" vm="218">
        <f ca="1"/>
        <v>180.96</v>
      </c>
    </row>
    <row r="117" spans="2:3">
      <c r="B117" s="1" vm="219">
        <f ca="1"/>
        <v>45089</v>
      </c>
      <c r="C117" s="1" vm="220">
        <f ca="1"/>
        <v>183.79</v>
      </c>
    </row>
    <row r="118" spans="2:3">
      <c r="B118" s="1" vm="221">
        <f ca="1"/>
        <v>45090</v>
      </c>
      <c r="C118" s="1" vm="222">
        <f ca="1"/>
        <v>183.31</v>
      </c>
    </row>
    <row r="119" spans="2:3">
      <c r="B119" s="1" vm="223">
        <f ca="1"/>
        <v>45091</v>
      </c>
      <c r="C119" s="1" vm="224">
        <f ca="1"/>
        <v>183.95</v>
      </c>
    </row>
    <row r="120" spans="2:3">
      <c r="B120" s="1" vm="225">
        <f ca="1"/>
        <v>45092</v>
      </c>
      <c r="C120" s="1" vm="226">
        <f ca="1"/>
        <v>186.01</v>
      </c>
    </row>
    <row r="121" spans="2:3">
      <c r="B121" s="1" vm="227">
        <f ca="1"/>
        <v>45093</v>
      </c>
      <c r="C121" s="1" vm="228">
        <f ca="1"/>
        <v>184.92</v>
      </c>
    </row>
    <row r="122" spans="2:3">
      <c r="B122" s="1" vm="229">
        <f ca="1"/>
        <v>45097</v>
      </c>
      <c r="C122" s="1" vm="230">
        <f ca="1"/>
        <v>185.01</v>
      </c>
    </row>
    <row r="123" spans="2:3">
      <c r="B123" s="1" vm="231">
        <f ca="1"/>
        <v>45098</v>
      </c>
      <c r="C123" s="1" vm="232">
        <f ca="1"/>
        <v>183.96</v>
      </c>
    </row>
    <row r="124" spans="2:3">
      <c r="B124" s="1" vm="233">
        <f ca="1"/>
        <v>45099</v>
      </c>
      <c r="C124" s="1" vm="234">
        <f ca="1"/>
        <v>187</v>
      </c>
    </row>
    <row r="125" spans="2:3">
      <c r="B125" s="1" vm="235">
        <f ca="1"/>
        <v>45100</v>
      </c>
      <c r="C125" s="1" vm="236">
        <f ca="1"/>
        <v>186.68</v>
      </c>
    </row>
    <row r="126" spans="2:3">
      <c r="B126" s="1" vm="237">
        <f ca="1"/>
        <v>45103</v>
      </c>
      <c r="C126" s="1" vm="238">
        <f ca="1"/>
        <v>185.27</v>
      </c>
    </row>
    <row r="127" spans="2:3">
      <c r="B127" s="1" vm="239">
        <f ca="1"/>
        <v>45104</v>
      </c>
      <c r="C127" s="1" vm="240">
        <f ca="1"/>
        <v>188.06</v>
      </c>
    </row>
    <row r="128" spans="2:3">
      <c r="B128" s="1" vm="241">
        <f ca="1"/>
        <v>45105</v>
      </c>
      <c r="C128" s="1" vm="242">
        <f ca="1"/>
        <v>189.25</v>
      </c>
    </row>
    <row r="129" spans="2:3">
      <c r="B129" s="1" vm="243">
        <f ca="1"/>
        <v>45106</v>
      </c>
      <c r="C129" s="1" vm="244">
        <f ca="1"/>
        <v>189.59</v>
      </c>
    </row>
    <row r="130" spans="2:3">
      <c r="B130" s="1" vm="245">
        <f ca="1"/>
        <v>45107</v>
      </c>
      <c r="C130" s="1" vm="246">
        <f ca="1"/>
        <v>193.97</v>
      </c>
    </row>
    <row r="131" spans="2:3">
      <c r="B131" s="1" vm="247">
        <f ca="1"/>
        <v>45110</v>
      </c>
      <c r="C131" s="1" vm="248">
        <f ca="1"/>
        <v>192.46</v>
      </c>
    </row>
    <row r="132" spans="2:3">
      <c r="B132" s="1" vm="249">
        <f ca="1"/>
        <v>45112</v>
      </c>
      <c r="C132" s="1" vm="250">
        <f ca="1"/>
        <v>191.33</v>
      </c>
    </row>
    <row r="133" spans="2:3">
      <c r="B133" s="1" vm="251">
        <f ca="1"/>
        <v>45113</v>
      </c>
      <c r="C133" s="1" vm="252">
        <f ca="1"/>
        <v>191.81</v>
      </c>
    </row>
    <row r="134" spans="2:3">
      <c r="B134" s="1" vm="253">
        <f ca="1"/>
        <v>45114</v>
      </c>
      <c r="C134" s="1" vm="254">
        <f ca="1"/>
        <v>190.68</v>
      </c>
    </row>
    <row r="135" spans="2:3">
      <c r="B135" s="1" vm="255">
        <f ca="1"/>
        <v>45117</v>
      </c>
      <c r="C135" s="1" vm="256">
        <f ca="1"/>
        <v>188.61</v>
      </c>
    </row>
    <row r="136" spans="2:3">
      <c r="B136" s="1" vm="257">
        <f ca="1"/>
        <v>45118</v>
      </c>
      <c r="C136" s="1" vm="258">
        <f ca="1"/>
        <v>188.08</v>
      </c>
    </row>
    <row r="137" spans="2:3">
      <c r="B137" s="1" vm="259">
        <f ca="1"/>
        <v>45119</v>
      </c>
      <c r="C137" s="1" vm="260">
        <f ca="1"/>
        <v>189.77</v>
      </c>
    </row>
    <row r="138" spans="2:3">
      <c r="B138" s="1" vm="261">
        <f ca="1"/>
        <v>45120</v>
      </c>
      <c r="C138" s="1" vm="262">
        <f ca="1"/>
        <v>190.54</v>
      </c>
    </row>
    <row r="139" spans="2:3">
      <c r="B139" s="1" vm="263">
        <f ca="1"/>
        <v>45121</v>
      </c>
      <c r="C139" s="1" vm="264">
        <f ca="1"/>
        <v>190.69</v>
      </c>
    </row>
    <row r="140" spans="2:3">
      <c r="B140" s="1" vm="265">
        <f ca="1"/>
        <v>45124</v>
      </c>
      <c r="C140" s="1" vm="266">
        <f ca="1"/>
        <v>193.99</v>
      </c>
    </row>
    <row r="141" spans="2:3">
      <c r="B141" s="1" vm="267">
        <f ca="1"/>
        <v>45125</v>
      </c>
      <c r="C141" s="1" vm="268">
        <f ca="1"/>
        <v>193.73</v>
      </c>
    </row>
    <row r="142" spans="2:3">
      <c r="B142" s="1" vm="269">
        <f ca="1"/>
        <v>45126</v>
      </c>
      <c r="C142" s="1" vm="270">
        <f ca="1"/>
        <v>195.1</v>
      </c>
    </row>
    <row r="143" spans="2:3">
      <c r="B143" s="1" vm="271">
        <f ca="1"/>
        <v>45127</v>
      </c>
      <c r="C143" s="1" vm="272">
        <f ca="1"/>
        <v>193.13</v>
      </c>
    </row>
    <row r="144" spans="2:3">
      <c r="B144" s="1" vm="273">
        <f ca="1"/>
        <v>45128</v>
      </c>
      <c r="C144" s="1" vm="274">
        <f ca="1"/>
        <v>191.94</v>
      </c>
    </row>
    <row r="145" spans="2:3">
      <c r="B145" s="1" vm="275">
        <f ca="1"/>
        <v>45131</v>
      </c>
      <c r="C145" s="1" vm="276">
        <f ca="1"/>
        <v>192.75</v>
      </c>
    </row>
    <row r="146" spans="2:3">
      <c r="B146" s="1" vm="277">
        <f ca="1"/>
        <v>45132</v>
      </c>
      <c r="C146" s="1" vm="278">
        <f ca="1"/>
        <v>193.62</v>
      </c>
    </row>
    <row r="147" spans="2:3">
      <c r="B147" s="1" vm="279">
        <f ca="1"/>
        <v>45133</v>
      </c>
      <c r="C147" s="1" vm="280">
        <f ca="1"/>
        <v>194.5</v>
      </c>
    </row>
    <row r="148" spans="2:3">
      <c r="B148" s="1" vm="281">
        <f ca="1"/>
        <v>45134</v>
      </c>
      <c r="C148" s="1" vm="282">
        <f ca="1"/>
        <v>193.22</v>
      </c>
    </row>
    <row r="149" spans="2:3">
      <c r="B149" s="1" vm="283">
        <f ca="1"/>
        <v>45135</v>
      </c>
      <c r="C149" s="1" vm="284">
        <f ca="1"/>
        <v>195.83</v>
      </c>
    </row>
    <row r="150" spans="2:3">
      <c r="B150" s="1" vm="285">
        <f ca="1"/>
        <v>45138</v>
      </c>
      <c r="C150" s="1" vm="286">
        <f ca="1"/>
        <v>196.45</v>
      </c>
    </row>
    <row r="151" spans="2:3">
      <c r="B151" s="1" vm="287">
        <f ca="1"/>
        <v>45139</v>
      </c>
      <c r="C151" s="1" vm="288">
        <f ca="1"/>
        <v>195.60499999999999</v>
      </c>
    </row>
    <row r="152" spans="2:3">
      <c r="B152" s="1" vm="289">
        <f ca="1"/>
        <v>45140</v>
      </c>
      <c r="C152" s="1" vm="290">
        <f ca="1"/>
        <v>192.58</v>
      </c>
    </row>
    <row r="153" spans="2:3">
      <c r="B153" s="1" vm="291">
        <f ca="1"/>
        <v>45141</v>
      </c>
      <c r="C153" s="1" vm="292">
        <f ca="1"/>
        <v>191.17</v>
      </c>
    </row>
    <row r="154" spans="2:3">
      <c r="B154" s="1" vm="293">
        <f ca="1"/>
        <v>45142</v>
      </c>
      <c r="C154" s="1" vm="294">
        <f ca="1"/>
        <v>181.99</v>
      </c>
    </row>
    <row r="155" spans="2:3">
      <c r="B155" s="1" vm="295">
        <f ca="1"/>
        <v>45145</v>
      </c>
      <c r="C155" s="1" vm="296">
        <f ca="1"/>
        <v>178.85</v>
      </c>
    </row>
    <row r="156" spans="2:3">
      <c r="B156" s="1" vm="297">
        <f ca="1"/>
        <v>45146</v>
      </c>
      <c r="C156" s="1" vm="298">
        <f ca="1"/>
        <v>179.8</v>
      </c>
    </row>
    <row r="157" spans="2:3">
      <c r="B157" s="1" vm="299">
        <f ca="1"/>
        <v>45147</v>
      </c>
      <c r="C157" s="1" vm="300">
        <f ca="1"/>
        <v>178.19</v>
      </c>
    </row>
    <row r="158" spans="2:3">
      <c r="B158" s="1" vm="301">
        <f ca="1"/>
        <v>45148</v>
      </c>
      <c r="C158" s="1" vm="302">
        <f ca="1"/>
        <v>177.97</v>
      </c>
    </row>
    <row r="159" spans="2:3">
      <c r="B159" s="1" vm="303">
        <f ca="1"/>
        <v>45149</v>
      </c>
      <c r="C159" s="1" vm="304">
        <f ca="1"/>
        <v>177.79</v>
      </c>
    </row>
    <row r="160" spans="2:3">
      <c r="B160" s="1" vm="305">
        <f ca="1"/>
        <v>45152</v>
      </c>
      <c r="C160" s="1" vm="306">
        <f ca="1"/>
        <v>179.46</v>
      </c>
    </row>
    <row r="161" spans="2:3">
      <c r="B161" s="1" vm="307">
        <f ca="1"/>
        <v>45153</v>
      </c>
      <c r="C161" s="1" vm="308">
        <f ca="1"/>
        <v>177.45</v>
      </c>
    </row>
    <row r="162" spans="2:3">
      <c r="B162" s="1" vm="309">
        <f ca="1"/>
        <v>45154</v>
      </c>
      <c r="C162" s="1" vm="310">
        <f ca="1"/>
        <v>176.57</v>
      </c>
    </row>
    <row r="163" spans="2:3">
      <c r="B163" s="1" vm="311">
        <f ca="1"/>
        <v>45155</v>
      </c>
      <c r="C163" s="1" vm="312">
        <f ca="1"/>
        <v>174</v>
      </c>
    </row>
    <row r="164" spans="2:3">
      <c r="B164" s="1" vm="313">
        <f ca="1"/>
        <v>45156</v>
      </c>
      <c r="C164" s="1" vm="314">
        <f ca="1"/>
        <v>174.49</v>
      </c>
    </row>
    <row r="165" spans="2:3">
      <c r="B165" s="1" vm="315">
        <f ca="1"/>
        <v>45159</v>
      </c>
      <c r="C165" s="1" vm="316">
        <f ca="1"/>
        <v>175.84</v>
      </c>
    </row>
    <row r="166" spans="2:3">
      <c r="B166" s="1" vm="317">
        <f ca="1"/>
        <v>45160</v>
      </c>
      <c r="C166" s="1" vm="318">
        <f ca="1"/>
        <v>177.23</v>
      </c>
    </row>
    <row r="167" spans="2:3">
      <c r="B167" s="1" vm="319">
        <f ca="1"/>
        <v>45161</v>
      </c>
      <c r="C167" s="1" vm="320">
        <f ca="1"/>
        <v>181.12</v>
      </c>
    </row>
    <row r="168" spans="2:3">
      <c r="B168" s="1" vm="321">
        <f ca="1"/>
        <v>45162</v>
      </c>
      <c r="C168" s="1" vm="322">
        <f ca="1"/>
        <v>176.38</v>
      </c>
    </row>
    <row r="169" spans="2:3">
      <c r="B169" s="1" vm="323">
        <f ca="1"/>
        <v>45163</v>
      </c>
      <c r="C169" s="1" vm="324">
        <f ca="1"/>
        <v>178.61</v>
      </c>
    </row>
    <row r="170" spans="2:3">
      <c r="B170" s="1" vm="325">
        <f ca="1"/>
        <v>45166</v>
      </c>
      <c r="C170" s="1" vm="326">
        <f ca="1"/>
        <v>180.19</v>
      </c>
    </row>
    <row r="171" spans="2:3">
      <c r="B171" s="1" vm="327">
        <f ca="1"/>
        <v>45167</v>
      </c>
      <c r="C171" s="1" vm="328">
        <f ca="1"/>
        <v>184.12</v>
      </c>
    </row>
    <row r="172" spans="2:3">
      <c r="B172" s="1" vm="329">
        <f ca="1"/>
        <v>45168</v>
      </c>
      <c r="C172" s="1" vm="330">
        <f ca="1"/>
        <v>187.65</v>
      </c>
    </row>
    <row r="173" spans="2:3">
      <c r="B173" s="1" vm="331">
        <f ca="1"/>
        <v>45169</v>
      </c>
      <c r="C173" s="1" vm="332">
        <f ca="1"/>
        <v>187.87</v>
      </c>
    </row>
    <row r="174" spans="2:3">
      <c r="B174" s="1" vm="333">
        <f ca="1"/>
        <v>45170</v>
      </c>
      <c r="C174" s="1" vm="334">
        <f ca="1"/>
        <v>189.46</v>
      </c>
    </row>
    <row r="175" spans="2:3">
      <c r="B175" s="1" vm="335">
        <f ca="1"/>
        <v>45174</v>
      </c>
      <c r="C175" s="1" vm="336">
        <f ca="1"/>
        <v>189.7</v>
      </c>
    </row>
    <row r="176" spans="2:3">
      <c r="B176" s="1" vm="337">
        <f ca="1"/>
        <v>45175</v>
      </c>
      <c r="C176" s="1" vm="338">
        <f ca="1"/>
        <v>182.91</v>
      </c>
    </row>
    <row r="177" spans="2:3">
      <c r="B177" s="1" vm="339">
        <f ca="1"/>
        <v>45176</v>
      </c>
      <c r="C177" s="1" vm="340">
        <f ca="1"/>
        <v>177.56</v>
      </c>
    </row>
    <row r="178" spans="2:3">
      <c r="B178" s="1" vm="341">
        <f ca="1"/>
        <v>45177</v>
      </c>
      <c r="C178" s="1" vm="342">
        <f ca="1"/>
        <v>178.18</v>
      </c>
    </row>
    <row r="179" spans="2:3">
      <c r="B179" s="1" vm="343">
        <f ca="1"/>
        <v>45180</v>
      </c>
      <c r="C179" s="1" vm="344">
        <f ca="1"/>
        <v>179.36</v>
      </c>
    </row>
    <row r="180" spans="2:3">
      <c r="B180" s="1" vm="345">
        <f ca="1"/>
        <v>45181</v>
      </c>
      <c r="C180" s="1" vm="346">
        <f ca="1"/>
        <v>176.3</v>
      </c>
    </row>
    <row r="181" spans="2:3">
      <c r="B181" s="1" vm="347">
        <f ca="1"/>
        <v>45182</v>
      </c>
      <c r="C181" s="1" vm="348">
        <f ca="1"/>
        <v>174.21</v>
      </c>
    </row>
    <row r="182" spans="2:3">
      <c r="B182" s="1" vm="349">
        <f ca="1"/>
        <v>45183</v>
      </c>
      <c r="C182" s="1" vm="350">
        <f ca="1"/>
        <v>175.74</v>
      </c>
    </row>
    <row r="183" spans="2:3">
      <c r="B183" s="1" vm="351">
        <f ca="1"/>
        <v>45184</v>
      </c>
      <c r="C183" s="1" vm="352">
        <f ca="1"/>
        <v>175.01</v>
      </c>
    </row>
    <row r="184" spans="2:3">
      <c r="B184" s="1" vm="353">
        <f ca="1"/>
        <v>45187</v>
      </c>
      <c r="C184" s="1" vm="302">
        <f ca="1"/>
        <v>177.97</v>
      </c>
    </row>
    <row r="185" spans="2:3">
      <c r="B185" s="1" vm="354">
        <f ca="1"/>
        <v>45188</v>
      </c>
      <c r="C185" s="1" vm="355">
        <f ca="1"/>
        <v>179.07</v>
      </c>
    </row>
    <row r="186" spans="2:3">
      <c r="B186" s="1" vm="356">
        <f ca="1"/>
        <v>45189</v>
      </c>
      <c r="C186" s="1" vm="357">
        <f ca="1"/>
        <v>175.49</v>
      </c>
    </row>
    <row r="187" spans="2:3">
      <c r="B187" s="1" vm="358">
        <f ca="1"/>
        <v>45190</v>
      </c>
      <c r="C187" s="1" vm="359">
        <f ca="1"/>
        <v>173.93</v>
      </c>
    </row>
    <row r="188" spans="2:3">
      <c r="B188" s="1" vm="360">
        <f ca="1"/>
        <v>45191</v>
      </c>
      <c r="C188" s="1" vm="361">
        <f ca="1"/>
        <v>174.79</v>
      </c>
    </row>
    <row r="189" spans="2:3">
      <c r="B189" s="1" vm="362">
        <f ca="1"/>
        <v>45194</v>
      </c>
      <c r="C189" s="1" vm="363">
        <f ca="1"/>
        <v>176.08</v>
      </c>
    </row>
    <row r="190" spans="2:3">
      <c r="B190" s="1" vm="364">
        <f ca="1"/>
        <v>45195</v>
      </c>
      <c r="C190" s="1" vm="365">
        <f ca="1"/>
        <v>171.96</v>
      </c>
    </row>
    <row r="191" spans="2:3">
      <c r="B191" s="1" vm="366">
        <f ca="1"/>
        <v>45196</v>
      </c>
      <c r="C191" s="1" vm="367">
        <f ca="1"/>
        <v>170.43</v>
      </c>
    </row>
    <row r="192" spans="2:3">
      <c r="B192" s="1" vm="368">
        <f ca="1"/>
        <v>45197</v>
      </c>
      <c r="C192" s="1" vm="369">
        <f ca="1"/>
        <v>170.69</v>
      </c>
    </row>
    <row r="193" spans="2:3">
      <c r="B193" s="1" vm="370">
        <f ca="1"/>
        <v>45198</v>
      </c>
      <c r="C193" s="1" vm="371">
        <f ca="1"/>
        <v>171.21</v>
      </c>
    </row>
    <row r="194" spans="2:3">
      <c r="B194" s="1" vm="372">
        <f ca="1"/>
        <v>45201</v>
      </c>
      <c r="C194" s="1" vm="179">
        <f ca="1"/>
        <v>173.75</v>
      </c>
    </row>
    <row r="195" spans="2:3">
      <c r="B195" s="1" vm="373">
        <f ca="1"/>
        <v>45202</v>
      </c>
      <c r="C195" s="1" vm="374">
        <f ca="1"/>
        <v>172.4</v>
      </c>
    </row>
    <row r="196" spans="2:3">
      <c r="B196" s="1" vm="375">
        <f ca="1"/>
        <v>45203</v>
      </c>
      <c r="C196" s="1" vm="376">
        <f ca="1"/>
        <v>173.66</v>
      </c>
    </row>
    <row r="197" spans="2:3">
      <c r="B197" s="1" vm="377">
        <f ca="1"/>
        <v>45204</v>
      </c>
      <c r="C197" s="1" vm="378">
        <f ca="1"/>
        <v>174.91</v>
      </c>
    </row>
    <row r="198" spans="2:3">
      <c r="B198" s="1" vm="379">
        <f ca="1"/>
        <v>45205</v>
      </c>
      <c r="C198" s="1" vm="380">
        <f ca="1"/>
        <v>177.49</v>
      </c>
    </row>
    <row r="199" spans="2:3">
      <c r="B199" s="1" vm="381">
        <f ca="1"/>
        <v>45208</v>
      </c>
      <c r="C199" s="1" vm="382">
        <f ca="1"/>
        <v>178.99</v>
      </c>
    </row>
    <row r="200" spans="2:3">
      <c r="B200" s="1" vm="383">
        <f ca="1"/>
        <v>45209</v>
      </c>
      <c r="C200" s="1" vm="384">
        <f ca="1"/>
        <v>178.39</v>
      </c>
    </row>
    <row r="201" spans="2:3">
      <c r="B201" s="1" vm="385">
        <f ca="1"/>
        <v>45210</v>
      </c>
      <c r="C201" s="1" vm="298">
        <f ca="1"/>
        <v>179.8</v>
      </c>
    </row>
    <row r="202" spans="2:3">
      <c r="B202" s="1" vm="386">
        <f ca="1"/>
        <v>45211</v>
      </c>
      <c r="C202" s="1" vm="387">
        <f ca="1"/>
        <v>180.71</v>
      </c>
    </row>
    <row r="203" spans="2:3">
      <c r="B203" s="1" vm="388">
        <f ca="1"/>
        <v>45212</v>
      </c>
      <c r="C203" s="1" vm="296">
        <f ca="1"/>
        <v>178.85</v>
      </c>
    </row>
    <row r="204" spans="2:3">
      <c r="B204" s="1" vm="389">
        <f ca="1"/>
        <v>45215</v>
      </c>
      <c r="C204" s="1" vm="390">
        <f ca="1"/>
        <v>178.72</v>
      </c>
    </row>
    <row r="205" spans="2:3">
      <c r="B205" s="1" vm="391">
        <f ca="1"/>
        <v>45216</v>
      </c>
      <c r="C205" s="1" vm="392">
        <f ca="1"/>
        <v>177.15</v>
      </c>
    </row>
    <row r="206" spans="2:3">
      <c r="B206" s="1" vm="393">
        <f ca="1"/>
        <v>45217</v>
      </c>
      <c r="C206" s="1" vm="316">
        <f ca="1"/>
        <v>175.84</v>
      </c>
    </row>
    <row r="207" spans="2:3">
      <c r="B207" s="1" vm="394">
        <f ca="1"/>
        <v>45218</v>
      </c>
      <c r="C207" s="1" vm="395">
        <f ca="1"/>
        <v>175.46</v>
      </c>
    </row>
    <row r="208" spans="2:3">
      <c r="B208" s="1" vm="396">
        <f ca="1"/>
        <v>45219</v>
      </c>
      <c r="C208" s="1" vm="397">
        <f ca="1"/>
        <v>172.88</v>
      </c>
    </row>
    <row r="209" spans="2:3">
      <c r="B209" s="1" vm="398">
        <f ca="1"/>
        <v>45222</v>
      </c>
      <c r="C209" s="1" vm="399">
        <f ca="1"/>
        <v>173</v>
      </c>
    </row>
  </sheetData>
  <mergeCells count="1">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F8BD2-1174-4A1E-9A0B-719A176B6888}">
  <dimension ref="B2:C12"/>
  <sheetViews>
    <sheetView topLeftCell="A4" zoomScale="130" zoomScaleNormal="130" workbookViewId="0">
      <selection activeCell="D3" sqref="D3"/>
    </sheetView>
  </sheetViews>
  <sheetFormatPr defaultColWidth="11.6328125" defaultRowHeight="15.5"/>
  <cols>
    <col min="1" max="1" width="11.6328125" style="1"/>
    <col min="2" max="2" width="15.6328125" style="1" customWidth="1"/>
    <col min="3" max="3" width="11.08984375" style="1" customWidth="1"/>
    <col min="4" max="16384" width="11.6328125" style="1"/>
  </cols>
  <sheetData>
    <row r="2" spans="2:3">
      <c r="B2" s="424" t="s">
        <v>263</v>
      </c>
      <c r="C2" s="424"/>
    </row>
    <row r="3" spans="2:3">
      <c r="B3" s="82" t="s">
        <v>368</v>
      </c>
      <c r="C3" s="357">
        <f>ROUNDUP(2670.22696929239,0)</f>
        <v>2671</v>
      </c>
    </row>
    <row r="4" spans="2:3">
      <c r="B4" s="82" t="s">
        <v>438</v>
      </c>
      <c r="C4" s="357">
        <v>9.99</v>
      </c>
    </row>
    <row r="5" spans="2:3">
      <c r="B5" s="82" t="s">
        <v>865</v>
      </c>
      <c r="C5" s="357">
        <v>2.5</v>
      </c>
    </row>
    <row r="6" spans="2:3">
      <c r="B6" s="82" t="s">
        <v>337</v>
      </c>
      <c r="C6" s="356">
        <v>10000</v>
      </c>
    </row>
    <row r="7" spans="2:3">
      <c r="B7" s="82"/>
      <c r="C7" s="354"/>
    </row>
    <row r="8" spans="2:3">
      <c r="B8" s="424" t="s">
        <v>123</v>
      </c>
      <c r="C8" s="424"/>
    </row>
    <row r="9" spans="2:3">
      <c r="B9" s="82" t="s">
        <v>271</v>
      </c>
      <c r="C9" s="354">
        <f>C3*C4</f>
        <v>26683.29</v>
      </c>
    </row>
    <row r="10" spans="2:3">
      <c r="B10" s="82" t="s">
        <v>864</v>
      </c>
      <c r="C10" s="354">
        <f>-C5*C3</f>
        <v>-6677.5</v>
      </c>
    </row>
    <row r="11" spans="2:3">
      <c r="B11" s="82" t="s">
        <v>863</v>
      </c>
      <c r="C11" s="354">
        <f>-C6</f>
        <v>-10000</v>
      </c>
    </row>
    <row r="12" spans="2:3">
      <c r="B12" s="89" t="s">
        <v>257</v>
      </c>
      <c r="C12" s="355">
        <f>SUM(C9:C11)</f>
        <v>10005.790000000001</v>
      </c>
    </row>
  </sheetData>
  <mergeCells count="2">
    <mergeCell ref="B2:C2"/>
    <mergeCell ref="B8:C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B91D8-12E8-4A25-909E-77D8C3373D4E}">
  <dimension ref="B2:F8"/>
  <sheetViews>
    <sheetView zoomScale="185" workbookViewId="0">
      <selection activeCell="G6" sqref="G6"/>
    </sheetView>
  </sheetViews>
  <sheetFormatPr defaultColWidth="11.6328125" defaultRowHeight="15.5"/>
  <cols>
    <col min="1" max="1" width="6.36328125" style="1" customWidth="1"/>
    <col min="2" max="2" width="15.26953125" style="1" customWidth="1"/>
    <col min="3" max="3" width="9.81640625" style="1" bestFit="1" customWidth="1"/>
    <col min="4" max="4" width="6.7265625" style="1" customWidth="1"/>
    <col min="5" max="5" width="15.81640625" style="1" bestFit="1" customWidth="1"/>
    <col min="6" max="6" width="9.08984375" style="1" bestFit="1" customWidth="1"/>
    <col min="7" max="16384" width="11.6328125" style="1"/>
  </cols>
  <sheetData>
    <row r="2" spans="2:6">
      <c r="B2" s="425" t="s">
        <v>861</v>
      </c>
      <c r="C2" s="425"/>
      <c r="E2" s="425" t="s">
        <v>862</v>
      </c>
      <c r="F2" s="425"/>
    </row>
    <row r="3" spans="2:6">
      <c r="B3" s="1" t="s">
        <v>862</v>
      </c>
      <c r="C3" s="354">
        <v>-10000</v>
      </c>
      <c r="E3" s="1" t="s">
        <v>861</v>
      </c>
      <c r="F3" s="354">
        <f>C8</f>
        <v>275419.3929290747</v>
      </c>
    </row>
    <row r="4" spans="2:6">
      <c r="B4" s="1" t="s">
        <v>860</v>
      </c>
      <c r="C4" s="354">
        <v>-5000</v>
      </c>
      <c r="E4" s="1" t="s">
        <v>860</v>
      </c>
      <c r="F4" s="354">
        <v>-5000</v>
      </c>
    </row>
    <row r="5" spans="2:6">
      <c r="B5" s="1" t="s">
        <v>859</v>
      </c>
      <c r="C5" s="1">
        <v>20</v>
      </c>
      <c r="E5" s="1" t="s">
        <v>859</v>
      </c>
      <c r="F5" s="1">
        <v>20</v>
      </c>
    </row>
    <row r="6" spans="2:6">
      <c r="B6" s="1" t="s">
        <v>858</v>
      </c>
      <c r="C6" s="353">
        <v>0.08</v>
      </c>
      <c r="E6" s="1" t="s">
        <v>858</v>
      </c>
      <c r="F6" s="353">
        <v>0.08</v>
      </c>
    </row>
    <row r="7" spans="2:6">
      <c r="C7" s="352"/>
      <c r="F7" s="352"/>
    </row>
    <row r="8" spans="2:6">
      <c r="B8" s="336" t="s">
        <v>857</v>
      </c>
      <c r="C8" s="351">
        <f>FV(C6,C5,C4,C3)</f>
        <v>275419.3929290747</v>
      </c>
      <c r="E8" s="336" t="s">
        <v>856</v>
      </c>
      <c r="F8" s="350">
        <f>PV(F6,F5,F4,F3)</f>
        <v>-9999.9999999999927</v>
      </c>
    </row>
  </sheetData>
  <mergeCells count="2">
    <mergeCell ref="B2:C2"/>
    <mergeCell ref="E2:F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49E98-112D-4C29-8675-F98E63885BA1}">
  <dimension ref="B2:G45"/>
  <sheetViews>
    <sheetView showGridLines="0" workbookViewId="0">
      <selection activeCell="C5" sqref="C5"/>
    </sheetView>
  </sheetViews>
  <sheetFormatPr defaultColWidth="12.1796875" defaultRowHeight="15" customHeight="1" outlineLevelRow="2"/>
  <cols>
    <col min="1" max="1" width="11.6328125" style="155" customWidth="1"/>
    <col min="2" max="2" width="30.7265625" style="155" customWidth="1"/>
    <col min="3" max="26" width="11.6328125" style="155" customWidth="1"/>
    <col min="27" max="16384" width="12.1796875" style="155"/>
  </cols>
  <sheetData>
    <row r="2" spans="2:7" ht="15" customHeight="1">
      <c r="B2" s="186" t="s">
        <v>123</v>
      </c>
      <c r="C2" s="186"/>
      <c r="D2" s="186"/>
      <c r="E2" s="186"/>
      <c r="F2" s="186"/>
      <c r="G2" s="186"/>
    </row>
    <row r="3" spans="2:7" ht="15" customHeight="1" thickBot="1">
      <c r="B3" s="185" t="s">
        <v>122</v>
      </c>
      <c r="C3" s="184">
        <v>44562</v>
      </c>
      <c r="D3" s="184">
        <f>EDATE(C3,12)</f>
        <v>44927</v>
      </c>
      <c r="E3" s="184">
        <f>EDATE(D3,12)</f>
        <v>45292</v>
      </c>
      <c r="F3" s="184">
        <f>EDATE(E3,12)</f>
        <v>45658</v>
      </c>
      <c r="G3" s="184">
        <f>EDATE(F3,12)</f>
        <v>46023</v>
      </c>
    </row>
    <row r="4" spans="2:7" ht="15" customHeight="1">
      <c r="B4" s="170" t="s">
        <v>162</v>
      </c>
      <c r="C4" s="170"/>
      <c r="D4" s="170"/>
      <c r="E4" s="170"/>
      <c r="F4" s="170"/>
      <c r="G4" s="170"/>
    </row>
    <row r="5" spans="2:7" ht="15" customHeight="1">
      <c r="B5" s="172" t="s">
        <v>161</v>
      </c>
      <c r="C5" s="171">
        <f>C31*C32</f>
        <v>25000</v>
      </c>
      <c r="D5" s="171">
        <f>D31*D32</f>
        <v>27500</v>
      </c>
      <c r="E5" s="171">
        <f>E31*E32</f>
        <v>32500</v>
      </c>
      <c r="F5" s="171">
        <f>F31*F32</f>
        <v>40000</v>
      </c>
      <c r="G5" s="171">
        <f>G31*G32</f>
        <v>50000</v>
      </c>
    </row>
    <row r="6" spans="2:7" ht="15" customHeight="1">
      <c r="B6" s="178" t="s">
        <v>160</v>
      </c>
      <c r="C6" s="177">
        <f>C5*-C33</f>
        <v>-1250</v>
      </c>
      <c r="D6" s="177">
        <f>D5*-D33</f>
        <v>-1375</v>
      </c>
      <c r="E6" s="177">
        <f>E5*-E33</f>
        <v>-1625</v>
      </c>
      <c r="F6" s="177">
        <f>F5*-F33</f>
        <v>-2000</v>
      </c>
      <c r="G6" s="177">
        <f>G5*-G33</f>
        <v>-2500</v>
      </c>
    </row>
    <row r="7" spans="2:7" ht="15" customHeight="1">
      <c r="B7" s="182" t="s">
        <v>159</v>
      </c>
      <c r="C7" s="175">
        <f>SUM(C5:C6)</f>
        <v>23750</v>
      </c>
      <c r="D7" s="175">
        <f>SUM(D5:D6)</f>
        <v>26125</v>
      </c>
      <c r="E7" s="175">
        <f>SUM(E5:E6)</f>
        <v>30875</v>
      </c>
      <c r="F7" s="175">
        <f>SUM(F5:F6)</f>
        <v>38000</v>
      </c>
      <c r="G7" s="175">
        <f>SUM(G5:G6)</f>
        <v>47500</v>
      </c>
    </row>
    <row r="8" spans="2:7" ht="15" customHeight="1">
      <c r="B8" s="170" t="s">
        <v>158</v>
      </c>
      <c r="C8" s="170"/>
      <c r="D8" s="170"/>
      <c r="E8" s="170"/>
      <c r="F8" s="170"/>
      <c r="G8" s="170"/>
    </row>
    <row r="9" spans="2:7" ht="15" customHeight="1">
      <c r="B9" s="172" t="s">
        <v>157</v>
      </c>
      <c r="C9" s="171">
        <f t="shared" ref="C9:G11" si="0">-C$5*C36</f>
        <v>-7500</v>
      </c>
      <c r="D9" s="171">
        <f t="shared" si="0"/>
        <v>-8250</v>
      </c>
      <c r="E9" s="171">
        <f t="shared" si="0"/>
        <v>-9750</v>
      </c>
      <c r="F9" s="171">
        <f t="shared" si="0"/>
        <v>-12000</v>
      </c>
      <c r="G9" s="171">
        <f t="shared" si="0"/>
        <v>-15000</v>
      </c>
    </row>
    <row r="10" spans="2:7" ht="15" customHeight="1">
      <c r="B10" s="172" t="s">
        <v>156</v>
      </c>
      <c r="C10" s="171">
        <f t="shared" si="0"/>
        <v>-1750.0000000000002</v>
      </c>
      <c r="D10" s="171">
        <f t="shared" si="0"/>
        <v>-1925.0000000000002</v>
      </c>
      <c r="E10" s="171">
        <f t="shared" si="0"/>
        <v>-2275</v>
      </c>
      <c r="F10" s="171">
        <f t="shared" si="0"/>
        <v>-2800.0000000000005</v>
      </c>
      <c r="G10" s="171">
        <f t="shared" si="0"/>
        <v>-3500.0000000000005</v>
      </c>
    </row>
    <row r="11" spans="2:7" ht="15" customHeight="1">
      <c r="B11" s="172" t="s">
        <v>155</v>
      </c>
      <c r="C11" s="171">
        <f t="shared" si="0"/>
        <v>-500</v>
      </c>
      <c r="D11" s="171">
        <f t="shared" si="0"/>
        <v>-550</v>
      </c>
      <c r="E11" s="171">
        <f t="shared" si="0"/>
        <v>-650</v>
      </c>
      <c r="F11" s="171">
        <f t="shared" si="0"/>
        <v>-800</v>
      </c>
      <c r="G11" s="171">
        <f t="shared" si="0"/>
        <v>-1000</v>
      </c>
    </row>
    <row r="12" spans="2:7" ht="15" customHeight="1">
      <c r="B12" s="183" t="s">
        <v>154</v>
      </c>
      <c r="C12" s="177">
        <f>SUM(C9:C11)</f>
        <v>-9750</v>
      </c>
      <c r="D12" s="177">
        <f>SUM(D9:D11)</f>
        <v>-10725</v>
      </c>
      <c r="E12" s="177">
        <f>SUM(E9:E11)</f>
        <v>-12675</v>
      </c>
      <c r="F12" s="177">
        <f>SUM(F9:F11)</f>
        <v>-15600</v>
      </c>
      <c r="G12" s="177">
        <f>SUM(G9:G11)</f>
        <v>-19500</v>
      </c>
    </row>
    <row r="13" spans="2:7" ht="15" customHeight="1">
      <c r="B13" s="182" t="s">
        <v>153</v>
      </c>
      <c r="C13" s="175">
        <f>C7+C12</f>
        <v>14000</v>
      </c>
      <c r="D13" s="175">
        <f>D7+D12</f>
        <v>15400</v>
      </c>
      <c r="E13" s="175">
        <f>E7+E12</f>
        <v>18200</v>
      </c>
      <c r="F13" s="175">
        <f>F7+F12</f>
        <v>22400</v>
      </c>
      <c r="G13" s="175">
        <f>G7+G12</f>
        <v>28000</v>
      </c>
    </row>
    <row r="14" spans="2:7" ht="15" customHeight="1">
      <c r="B14" s="181" t="s">
        <v>458</v>
      </c>
      <c r="C14" s="180">
        <f>C13/C7</f>
        <v>0.58947368421052626</v>
      </c>
      <c r="D14" s="180">
        <f>D13/D7</f>
        <v>0.58947368421052626</v>
      </c>
      <c r="E14" s="180">
        <f>E13/E7</f>
        <v>0.58947368421052626</v>
      </c>
      <c r="F14" s="180">
        <f>F13/F7</f>
        <v>0.58947368421052626</v>
      </c>
      <c r="G14" s="180">
        <f>G13/G7</f>
        <v>0.58947368421052626</v>
      </c>
    </row>
    <row r="15" spans="2:7" ht="15" customHeight="1">
      <c r="B15" s="170" t="s">
        <v>443</v>
      </c>
      <c r="C15" s="170"/>
      <c r="D15" s="170"/>
      <c r="E15" s="170"/>
      <c r="F15" s="170"/>
      <c r="G15" s="170"/>
    </row>
    <row r="16" spans="2:7" ht="15" customHeight="1">
      <c r="B16" s="172" t="s">
        <v>457</v>
      </c>
      <c r="C16" s="179">
        <f t="shared" ref="C16:G18" si="1">-C$5*C41</f>
        <v>-3750</v>
      </c>
      <c r="D16" s="179">
        <f t="shared" si="1"/>
        <v>-4125</v>
      </c>
      <c r="E16" s="179">
        <f t="shared" si="1"/>
        <v>-4875</v>
      </c>
      <c r="F16" s="179">
        <f t="shared" si="1"/>
        <v>-6000</v>
      </c>
      <c r="G16" s="179">
        <f t="shared" si="1"/>
        <v>-7500</v>
      </c>
    </row>
    <row r="17" spans="2:7" ht="15" customHeight="1">
      <c r="B17" s="172" t="s">
        <v>456</v>
      </c>
      <c r="C17" s="179">
        <f t="shared" si="1"/>
        <v>-1250</v>
      </c>
      <c r="D17" s="179">
        <f t="shared" si="1"/>
        <v>-1375</v>
      </c>
      <c r="E17" s="179">
        <f t="shared" si="1"/>
        <v>-1625</v>
      </c>
      <c r="F17" s="179">
        <f t="shared" si="1"/>
        <v>-2000</v>
      </c>
      <c r="G17" s="179">
        <f t="shared" si="1"/>
        <v>-2500</v>
      </c>
    </row>
    <row r="18" spans="2:7" ht="15" customHeight="1">
      <c r="B18" s="172" t="s">
        <v>455</v>
      </c>
      <c r="C18" s="179">
        <f t="shared" si="1"/>
        <v>-1250</v>
      </c>
      <c r="D18" s="179">
        <f t="shared" si="1"/>
        <v>-1375</v>
      </c>
      <c r="E18" s="179">
        <f t="shared" si="1"/>
        <v>-1625</v>
      </c>
      <c r="F18" s="179">
        <f t="shared" si="1"/>
        <v>-2000</v>
      </c>
      <c r="G18" s="179">
        <f t="shared" si="1"/>
        <v>-2500</v>
      </c>
    </row>
    <row r="19" spans="2:7" ht="15" customHeight="1">
      <c r="B19" s="178" t="s">
        <v>454</v>
      </c>
      <c r="C19" s="177">
        <f>SUM(C16:C18)</f>
        <v>-6250</v>
      </c>
      <c r="D19" s="177">
        <f>SUM(D16:D18)</f>
        <v>-6875</v>
      </c>
      <c r="E19" s="177">
        <f>SUM(E16:E18)</f>
        <v>-8125</v>
      </c>
      <c r="F19" s="177">
        <f>SUM(F16:F18)</f>
        <v>-10000</v>
      </c>
      <c r="G19" s="177">
        <f>SUM(G16:G18)</f>
        <v>-12500</v>
      </c>
    </row>
    <row r="20" spans="2:7" ht="15" customHeight="1">
      <c r="B20" s="176" t="s">
        <v>453</v>
      </c>
      <c r="C20" s="175">
        <f>C13+C19</f>
        <v>7750</v>
      </c>
      <c r="D20" s="175">
        <f>D13+D19</f>
        <v>8525</v>
      </c>
      <c r="E20" s="175">
        <f>E13+E19</f>
        <v>10075</v>
      </c>
      <c r="F20" s="175">
        <f>F13+F19</f>
        <v>12400</v>
      </c>
      <c r="G20" s="175">
        <f>G13+G19</f>
        <v>15500</v>
      </c>
    </row>
    <row r="21" spans="2:7" ht="15" customHeight="1">
      <c r="B21" s="178" t="s">
        <v>452</v>
      </c>
      <c r="C21" s="177">
        <v>-4952.3809523809523</v>
      </c>
      <c r="D21" s="177">
        <v>-4952.3809523809523</v>
      </c>
      <c r="E21" s="177">
        <v>-4952.3809523809523</v>
      </c>
      <c r="F21" s="177">
        <v>-4952.3809523809523</v>
      </c>
      <c r="G21" s="177">
        <v>-2952.3809523809523</v>
      </c>
    </row>
    <row r="22" spans="2:7" ht="15" customHeight="1">
      <c r="B22" s="176" t="s">
        <v>451</v>
      </c>
      <c r="C22" s="175">
        <f>SUM(C20:C21)</f>
        <v>2797.6190476190477</v>
      </c>
      <c r="D22" s="175">
        <f>SUM(D20:D21)</f>
        <v>3572.6190476190477</v>
      </c>
      <c r="E22" s="175">
        <f>SUM(E20:E21)</f>
        <v>5122.6190476190477</v>
      </c>
      <c r="F22" s="175">
        <f>SUM(F20:F21)</f>
        <v>7447.6190476190477</v>
      </c>
      <c r="G22" s="175">
        <f>SUM(G20:G21)</f>
        <v>12547.619047619048</v>
      </c>
    </row>
    <row r="23" spans="2:7" ht="15" customHeight="1">
      <c r="B23" s="178" t="s">
        <v>450</v>
      </c>
      <c r="C23" s="177">
        <v>-665.00000000000011</v>
      </c>
      <c r="D23" s="177">
        <v>-630.00000000000011</v>
      </c>
      <c r="E23" s="177">
        <v>-927.50000000000011</v>
      </c>
      <c r="F23" s="177">
        <v>-875.00000000000011</v>
      </c>
      <c r="G23" s="177">
        <v>-822.50000000000011</v>
      </c>
    </row>
    <row r="24" spans="2:7" ht="15" customHeight="1">
      <c r="B24" s="176" t="s">
        <v>449</v>
      </c>
      <c r="C24" s="175">
        <f>SUM(C22:C23)</f>
        <v>2132.6190476190477</v>
      </c>
      <c r="D24" s="175">
        <f>SUM(D22:D23)</f>
        <v>2942.6190476190477</v>
      </c>
      <c r="E24" s="175">
        <f>SUM(E22:E23)</f>
        <v>4195.1190476190477</v>
      </c>
      <c r="F24" s="175">
        <f>SUM(F22:F23)</f>
        <v>6572.6190476190477</v>
      </c>
      <c r="G24" s="175">
        <f>SUM(G22:G23)</f>
        <v>11725.119047619048</v>
      </c>
    </row>
    <row r="25" spans="2:7" ht="15" customHeight="1">
      <c r="B25" s="172" t="s">
        <v>448</v>
      </c>
      <c r="C25" s="171">
        <f>-C24*C45</f>
        <v>-447.85</v>
      </c>
      <c r="D25" s="171">
        <f>-D24*D45</f>
        <v>-617.95000000000005</v>
      </c>
      <c r="E25" s="171">
        <f>-E24*E45</f>
        <v>-880.97500000000002</v>
      </c>
      <c r="F25" s="171">
        <f>-F24*F45</f>
        <v>-1380.25</v>
      </c>
      <c r="G25" s="171">
        <f>-G24*G45</f>
        <v>-2462.2750000000001</v>
      </c>
    </row>
    <row r="26" spans="2:7" ht="15" customHeight="1" thickBot="1">
      <c r="B26" s="174" t="s">
        <v>447</v>
      </c>
      <c r="C26" s="173">
        <f>C24+C25</f>
        <v>1684.7690476190478</v>
      </c>
      <c r="D26" s="173">
        <f>D24+D25</f>
        <v>2324.6690476190479</v>
      </c>
      <c r="E26" s="173">
        <f>E24+E25</f>
        <v>3314.1440476190478</v>
      </c>
      <c r="F26" s="173">
        <f>F24+F25</f>
        <v>5192.3690476190477</v>
      </c>
      <c r="G26" s="173">
        <f>G24+G25</f>
        <v>9262.8440476190481</v>
      </c>
    </row>
    <row r="27" spans="2:7" ht="15" customHeight="1">
      <c r="B27" s="172"/>
      <c r="C27" s="171"/>
      <c r="D27" s="171"/>
      <c r="E27" s="171"/>
      <c r="F27" s="171"/>
      <c r="G27" s="171"/>
    </row>
    <row r="28" spans="2:7" ht="15" customHeight="1">
      <c r="B28" s="170"/>
      <c r="C28" s="170"/>
      <c r="D28" s="170"/>
      <c r="E28" s="170"/>
      <c r="F28" s="170"/>
      <c r="G28" s="170"/>
    </row>
    <row r="29" spans="2:7" ht="15" customHeight="1">
      <c r="B29" s="169" t="s">
        <v>446</v>
      </c>
      <c r="C29" s="164"/>
      <c r="D29" s="164"/>
      <c r="E29" s="164"/>
      <c r="F29" s="164"/>
      <c r="G29" s="164"/>
    </row>
    <row r="30" spans="2:7" ht="15.5">
      <c r="B30" s="164" t="s">
        <v>162</v>
      </c>
      <c r="C30" s="164"/>
      <c r="D30" s="164"/>
      <c r="E30" s="164"/>
      <c r="F30" s="164"/>
      <c r="G30" s="164"/>
    </row>
    <row r="31" spans="2:7" ht="15" hidden="1" customHeight="1" outlineLevel="1">
      <c r="B31" s="165" t="s">
        <v>445</v>
      </c>
      <c r="C31" s="168">
        <v>5000</v>
      </c>
      <c r="D31" s="168">
        <v>5500</v>
      </c>
      <c r="E31" s="168">
        <v>6500</v>
      </c>
      <c r="F31" s="168">
        <v>8000</v>
      </c>
      <c r="G31" s="168">
        <v>10000</v>
      </c>
    </row>
    <row r="32" spans="2:7" ht="15" hidden="1" customHeight="1" outlineLevel="1">
      <c r="B32" s="165" t="s">
        <v>444</v>
      </c>
      <c r="C32" s="167">
        <v>5</v>
      </c>
      <c r="D32" s="167">
        <v>5</v>
      </c>
      <c r="E32" s="167">
        <v>5</v>
      </c>
      <c r="F32" s="167">
        <v>5</v>
      </c>
      <c r="G32" s="167">
        <v>5</v>
      </c>
    </row>
    <row r="33" spans="2:7" ht="15" hidden="1" customHeight="1" outlineLevel="1">
      <c r="B33" s="165" t="str">
        <f>B6&amp; " as % of Rev"</f>
        <v>Discounts as % of Rev</v>
      </c>
      <c r="C33" s="163">
        <v>0.05</v>
      </c>
      <c r="D33" s="163">
        <v>0.05</v>
      </c>
      <c r="E33" s="163">
        <v>0.05</v>
      </c>
      <c r="F33" s="163">
        <v>0.05</v>
      </c>
      <c r="G33" s="163">
        <v>0.05</v>
      </c>
    </row>
    <row r="34" spans="2:7" ht="15" customHeight="1" collapsed="1">
      <c r="B34" s="164"/>
      <c r="C34" s="166"/>
      <c r="D34" s="166"/>
      <c r="E34" s="166"/>
      <c r="F34" s="166"/>
      <c r="G34" s="166"/>
    </row>
    <row r="35" spans="2:7" ht="15" customHeight="1">
      <c r="B35" s="164" t="s">
        <v>158</v>
      </c>
      <c r="C35" s="166"/>
      <c r="D35" s="166"/>
      <c r="E35" s="166"/>
      <c r="F35" s="166"/>
      <c r="G35" s="166"/>
    </row>
    <row r="36" spans="2:7" ht="15" hidden="1" customHeight="1" outlineLevel="1">
      <c r="B36" s="165" t="str">
        <f>B9&amp; " as % of Rev"</f>
        <v>Raw Materials as % of Rev</v>
      </c>
      <c r="C36" s="163">
        <v>0.3</v>
      </c>
      <c r="D36" s="163">
        <v>0.3</v>
      </c>
      <c r="E36" s="163">
        <v>0.3</v>
      </c>
      <c r="F36" s="163">
        <v>0.3</v>
      </c>
      <c r="G36" s="163">
        <v>0.3</v>
      </c>
    </row>
    <row r="37" spans="2:7" ht="15" hidden="1" customHeight="1" outlineLevel="1">
      <c r="B37" s="165" t="str">
        <f>B10&amp; " as % of Rev"</f>
        <v>Fulfillment as % of Rev</v>
      </c>
      <c r="C37" s="163">
        <v>7.0000000000000007E-2</v>
      </c>
      <c r="D37" s="163">
        <v>7.0000000000000007E-2</v>
      </c>
      <c r="E37" s="163">
        <v>7.0000000000000007E-2</v>
      </c>
      <c r="F37" s="163">
        <v>7.0000000000000007E-2</v>
      </c>
      <c r="G37" s="163">
        <v>7.0000000000000007E-2</v>
      </c>
    </row>
    <row r="38" spans="2:7" ht="15" hidden="1" customHeight="1" outlineLevel="1">
      <c r="B38" s="165" t="str">
        <f>B11&amp; " as % of Rev"</f>
        <v>Transaction Fees as % of Rev</v>
      </c>
      <c r="C38" s="163">
        <v>0.02</v>
      </c>
      <c r="D38" s="163">
        <v>0.02</v>
      </c>
      <c r="E38" s="163">
        <v>0.02</v>
      </c>
      <c r="F38" s="163">
        <v>0.02</v>
      </c>
      <c r="G38" s="163">
        <v>0.02</v>
      </c>
    </row>
    <row r="39" spans="2:7" ht="15" customHeight="1" collapsed="1">
      <c r="B39" s="164"/>
      <c r="C39" s="166"/>
      <c r="D39" s="166"/>
      <c r="E39" s="166"/>
      <c r="F39" s="166"/>
      <c r="G39" s="166"/>
    </row>
    <row r="40" spans="2:7" ht="15.5">
      <c r="B40" s="164" t="s">
        <v>443</v>
      </c>
      <c r="C40" s="166"/>
      <c r="D40" s="166"/>
      <c r="E40" s="166"/>
      <c r="F40" s="166"/>
      <c r="G40" s="166"/>
    </row>
    <row r="41" spans="2:7" ht="15.5" hidden="1" outlineLevel="2">
      <c r="B41" s="165" t="str">
        <f>B16&amp; " as % of Rev"</f>
        <v>Labor as % of Rev</v>
      </c>
      <c r="C41" s="163">
        <v>0.15</v>
      </c>
      <c r="D41" s="163">
        <v>0.15</v>
      </c>
      <c r="E41" s="163">
        <v>0.15</v>
      </c>
      <c r="F41" s="163">
        <v>0.15</v>
      </c>
      <c r="G41" s="163">
        <v>0.15</v>
      </c>
    </row>
    <row r="42" spans="2:7" ht="15.5" hidden="1" outlineLevel="2">
      <c r="B42" s="165" t="str">
        <f>B17&amp; " as % of Rev"</f>
        <v>Marketing as % of Rev</v>
      </c>
      <c r="C42" s="163">
        <v>0.05</v>
      </c>
      <c r="D42" s="163">
        <v>0.05</v>
      </c>
      <c r="E42" s="163">
        <v>0.05</v>
      </c>
      <c r="F42" s="163">
        <v>0.05</v>
      </c>
      <c r="G42" s="163">
        <v>0.05</v>
      </c>
    </row>
    <row r="43" spans="2:7" ht="15.5" hidden="1" outlineLevel="2">
      <c r="B43" s="165" t="str">
        <f>B18&amp; " as % of Rev"</f>
        <v>SGA &amp; Other as % of Rev</v>
      </c>
      <c r="C43" s="163">
        <v>0.05</v>
      </c>
      <c r="D43" s="163">
        <v>0.05</v>
      </c>
      <c r="E43" s="163">
        <v>0.05</v>
      </c>
      <c r="F43" s="163">
        <v>0.05</v>
      </c>
      <c r="G43" s="163">
        <v>0.05</v>
      </c>
    </row>
    <row r="44" spans="2:7" ht="15" customHeight="1" collapsed="1">
      <c r="B44" s="164"/>
      <c r="C44" s="163"/>
      <c r="D44" s="163"/>
      <c r="E44" s="163"/>
      <c r="F44" s="163"/>
      <c r="G44" s="163"/>
    </row>
    <row r="45" spans="2:7" ht="15" customHeight="1">
      <c r="B45" s="164" t="s">
        <v>442</v>
      </c>
      <c r="C45" s="163">
        <v>0.21</v>
      </c>
      <c r="D45" s="163">
        <v>0.21</v>
      </c>
      <c r="E45" s="163">
        <v>0.21</v>
      </c>
      <c r="F45" s="163">
        <v>0.21</v>
      </c>
      <c r="G45" s="163">
        <v>0.21</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E814-6E75-4F54-9285-DBD4E70B538D}">
  <dimension ref="B2:G45"/>
  <sheetViews>
    <sheetView showGridLines="0" workbookViewId="0">
      <selection activeCell="C20" sqref="C20"/>
    </sheetView>
  </sheetViews>
  <sheetFormatPr defaultColWidth="12.1796875" defaultRowHeight="15" customHeight="1"/>
  <cols>
    <col min="1" max="1" width="11.6328125" style="155" customWidth="1"/>
    <col min="2" max="2" width="30.7265625" style="155" customWidth="1"/>
    <col min="3" max="26" width="11.6328125" style="155" customWidth="1"/>
    <col min="27" max="16384" width="12.1796875" style="155"/>
  </cols>
  <sheetData>
    <row r="2" spans="2:7" ht="15" customHeight="1">
      <c r="B2" s="186" t="s">
        <v>123</v>
      </c>
      <c r="C2" s="186"/>
      <c r="D2" s="186"/>
      <c r="E2" s="186"/>
      <c r="F2" s="186"/>
      <c r="G2" s="186"/>
    </row>
    <row r="3" spans="2:7" ht="15" customHeight="1" thickBot="1">
      <c r="B3" s="185" t="s">
        <v>122</v>
      </c>
      <c r="C3" s="184">
        <v>44562</v>
      </c>
      <c r="D3" s="184">
        <f>EDATE(C3,12)</f>
        <v>44927</v>
      </c>
      <c r="E3" s="184">
        <f>EDATE(D3,12)</f>
        <v>45292</v>
      </c>
      <c r="F3" s="184">
        <f>EDATE(E3,12)</f>
        <v>45658</v>
      </c>
      <c r="G3" s="184">
        <f>EDATE(F3,12)</f>
        <v>46023</v>
      </c>
    </row>
    <row r="4" spans="2:7" ht="15" customHeight="1">
      <c r="B4" s="170" t="s">
        <v>162</v>
      </c>
      <c r="C4" s="170"/>
      <c r="D4" s="170"/>
      <c r="E4" s="170"/>
      <c r="F4" s="170"/>
      <c r="G4" s="170"/>
    </row>
    <row r="5" spans="2:7" ht="15" customHeight="1">
      <c r="B5" s="172" t="s">
        <v>161</v>
      </c>
      <c r="C5" s="171">
        <f>C31*C32</f>
        <v>25000</v>
      </c>
      <c r="D5" s="171">
        <f>D31*D32</f>
        <v>27500</v>
      </c>
      <c r="E5" s="171">
        <f>E31*E32</f>
        <v>32500</v>
      </c>
      <c r="F5" s="171">
        <f>F31*F32</f>
        <v>40000</v>
      </c>
      <c r="G5" s="171">
        <f>G31*G32</f>
        <v>50000</v>
      </c>
    </row>
    <row r="6" spans="2:7" ht="15" customHeight="1">
      <c r="B6" s="178" t="s">
        <v>160</v>
      </c>
      <c r="C6" s="177">
        <f>C5*-C33</f>
        <v>-1250</v>
      </c>
      <c r="D6" s="177">
        <f>D5*-D33</f>
        <v>-1375</v>
      </c>
      <c r="E6" s="177">
        <f>E5*-E33</f>
        <v>-1625</v>
      </c>
      <c r="F6" s="177">
        <f>F5*-F33</f>
        <v>-2000</v>
      </c>
      <c r="G6" s="177">
        <f>G5*-G33</f>
        <v>-2500</v>
      </c>
    </row>
    <row r="7" spans="2:7" ht="15" customHeight="1">
      <c r="B7" s="182" t="s">
        <v>159</v>
      </c>
      <c r="C7" s="175">
        <f>SUM(C5:C6)</f>
        <v>23750</v>
      </c>
      <c r="D7" s="175">
        <f>SUM(D5:D6)</f>
        <v>26125</v>
      </c>
      <c r="E7" s="175">
        <f>SUM(E5:E6)</f>
        <v>30875</v>
      </c>
      <c r="F7" s="175">
        <f>SUM(F5:F6)</f>
        <v>38000</v>
      </c>
      <c r="G7" s="175">
        <f>SUM(G5:G6)</f>
        <v>47500</v>
      </c>
    </row>
    <row r="8" spans="2:7" ht="15" customHeight="1">
      <c r="B8" s="170" t="s">
        <v>158</v>
      </c>
      <c r="C8" s="170"/>
      <c r="D8" s="170"/>
      <c r="E8" s="170"/>
      <c r="F8" s="170"/>
      <c r="G8" s="170"/>
    </row>
    <row r="9" spans="2:7" ht="15" customHeight="1">
      <c r="B9" s="172" t="s">
        <v>157</v>
      </c>
      <c r="C9" s="171">
        <f t="shared" ref="C9:G11" si="0">-C$5*C36</f>
        <v>-7500</v>
      </c>
      <c r="D9" s="171">
        <f t="shared" si="0"/>
        <v>-8250</v>
      </c>
      <c r="E9" s="171">
        <f t="shared" si="0"/>
        <v>-9750</v>
      </c>
      <c r="F9" s="171">
        <f t="shared" si="0"/>
        <v>-12000</v>
      </c>
      <c r="G9" s="171">
        <f t="shared" si="0"/>
        <v>-15000</v>
      </c>
    </row>
    <row r="10" spans="2:7" ht="15" customHeight="1">
      <c r="B10" s="172" t="s">
        <v>156</v>
      </c>
      <c r="C10" s="171">
        <f t="shared" si="0"/>
        <v>-1750.0000000000002</v>
      </c>
      <c r="D10" s="171">
        <f t="shared" si="0"/>
        <v>-1925.0000000000002</v>
      </c>
      <c r="E10" s="171">
        <f t="shared" si="0"/>
        <v>-2275</v>
      </c>
      <c r="F10" s="171">
        <f t="shared" si="0"/>
        <v>-2800.0000000000005</v>
      </c>
      <c r="G10" s="171">
        <f t="shared" si="0"/>
        <v>-3500.0000000000005</v>
      </c>
    </row>
    <row r="11" spans="2:7" ht="15" customHeight="1">
      <c r="B11" s="172" t="s">
        <v>155</v>
      </c>
      <c r="C11" s="171">
        <f t="shared" si="0"/>
        <v>-500</v>
      </c>
      <c r="D11" s="171">
        <f t="shared" si="0"/>
        <v>-550</v>
      </c>
      <c r="E11" s="171">
        <f t="shared" si="0"/>
        <v>-650</v>
      </c>
      <c r="F11" s="171">
        <f t="shared" si="0"/>
        <v>-800</v>
      </c>
      <c r="G11" s="171">
        <f t="shared" si="0"/>
        <v>-1000</v>
      </c>
    </row>
    <row r="12" spans="2:7" ht="15" customHeight="1">
      <c r="B12" s="183" t="s">
        <v>154</v>
      </c>
      <c r="C12" s="177">
        <f>SUM(C9:C11)</f>
        <v>-9750</v>
      </c>
      <c r="D12" s="177">
        <f>SUM(D9:D11)</f>
        <v>-10725</v>
      </c>
      <c r="E12" s="177">
        <f>SUM(E9:E11)</f>
        <v>-12675</v>
      </c>
      <c r="F12" s="177">
        <f>SUM(F9:F11)</f>
        <v>-15600</v>
      </c>
      <c r="G12" s="177">
        <f>SUM(G9:G11)</f>
        <v>-19500</v>
      </c>
    </row>
    <row r="13" spans="2:7" ht="15" customHeight="1">
      <c r="B13" s="182" t="s">
        <v>153</v>
      </c>
      <c r="C13" s="175">
        <f>C7+C12</f>
        <v>14000</v>
      </c>
      <c r="D13" s="175">
        <f>D7+D12</f>
        <v>15400</v>
      </c>
      <c r="E13" s="175">
        <f>E7+E12</f>
        <v>18200</v>
      </c>
      <c r="F13" s="175">
        <f>F7+F12</f>
        <v>22400</v>
      </c>
      <c r="G13" s="175">
        <f>G7+G12</f>
        <v>28000</v>
      </c>
    </row>
    <row r="14" spans="2:7" ht="15" customHeight="1">
      <c r="B14" s="181" t="s">
        <v>458</v>
      </c>
      <c r="C14" s="180">
        <f>C13/C7</f>
        <v>0.58947368421052626</v>
      </c>
      <c r="D14" s="180">
        <f>D13/D7</f>
        <v>0.58947368421052626</v>
      </c>
      <c r="E14" s="180">
        <f>E13/E7</f>
        <v>0.58947368421052626</v>
      </c>
      <c r="F14" s="180">
        <f>F13/F7</f>
        <v>0.58947368421052626</v>
      </c>
      <c r="G14" s="180">
        <f>G13/G7</f>
        <v>0.58947368421052626</v>
      </c>
    </row>
    <row r="15" spans="2:7" ht="15" customHeight="1">
      <c r="B15" s="170" t="s">
        <v>443</v>
      </c>
      <c r="C15" s="170"/>
      <c r="D15" s="170"/>
      <c r="E15" s="170"/>
      <c r="F15" s="170"/>
      <c r="G15" s="170"/>
    </row>
    <row r="16" spans="2:7" ht="15" customHeight="1">
      <c r="B16" s="172" t="s">
        <v>457</v>
      </c>
      <c r="C16" s="179">
        <f t="shared" ref="C16:G18" si="1">-C$5*C41</f>
        <v>-3750</v>
      </c>
      <c r="D16" s="179">
        <f t="shared" si="1"/>
        <v>-4125</v>
      </c>
      <c r="E16" s="179">
        <f t="shared" si="1"/>
        <v>-4875</v>
      </c>
      <c r="F16" s="179">
        <f t="shared" si="1"/>
        <v>-6000</v>
      </c>
      <c r="G16" s="179">
        <f t="shared" si="1"/>
        <v>-7500</v>
      </c>
    </row>
    <row r="17" spans="2:7" ht="15" customHeight="1">
      <c r="B17" s="172" t="s">
        <v>456</v>
      </c>
      <c r="C17" s="179">
        <f t="shared" si="1"/>
        <v>-1250</v>
      </c>
      <c r="D17" s="179">
        <f t="shared" si="1"/>
        <v>-1375</v>
      </c>
      <c r="E17" s="179">
        <f t="shared" si="1"/>
        <v>-1625</v>
      </c>
      <c r="F17" s="179">
        <f t="shared" si="1"/>
        <v>-2000</v>
      </c>
      <c r="G17" s="179">
        <f t="shared" si="1"/>
        <v>-2500</v>
      </c>
    </row>
    <row r="18" spans="2:7" ht="15" customHeight="1">
      <c r="B18" s="172" t="s">
        <v>455</v>
      </c>
      <c r="C18" s="179">
        <f t="shared" si="1"/>
        <v>-1250</v>
      </c>
      <c r="D18" s="179">
        <f t="shared" si="1"/>
        <v>-1375</v>
      </c>
      <c r="E18" s="179">
        <f t="shared" si="1"/>
        <v>-1625</v>
      </c>
      <c r="F18" s="179">
        <f t="shared" si="1"/>
        <v>-2000</v>
      </c>
      <c r="G18" s="179">
        <f t="shared" si="1"/>
        <v>-2500</v>
      </c>
    </row>
    <row r="19" spans="2:7" ht="15" customHeight="1">
      <c r="B19" s="178" t="s">
        <v>454</v>
      </c>
      <c r="C19" s="177">
        <f>SUM(C16:C18)</f>
        <v>-6250</v>
      </c>
      <c r="D19" s="177">
        <f>SUM(D16:D18)</f>
        <v>-6875</v>
      </c>
      <c r="E19" s="177">
        <f>SUM(E16:E18)</f>
        <v>-8125</v>
      </c>
      <c r="F19" s="177">
        <f>SUM(F16:F18)</f>
        <v>-10000</v>
      </c>
      <c r="G19" s="177">
        <f>SUM(G16:G18)</f>
        <v>-12500</v>
      </c>
    </row>
    <row r="20" spans="2:7" ht="15" customHeight="1">
      <c r="B20" s="176" t="s">
        <v>453</v>
      </c>
      <c r="C20" s="175">
        <f>C13+C19</f>
        <v>7750</v>
      </c>
      <c r="D20" s="175">
        <f>D13+D19</f>
        <v>8525</v>
      </c>
      <c r="E20" s="175">
        <f>E13+E19</f>
        <v>10075</v>
      </c>
      <c r="F20" s="175">
        <f>F13+F19</f>
        <v>12400</v>
      </c>
      <c r="G20" s="175">
        <f>G13+G19</f>
        <v>15500</v>
      </c>
    </row>
    <row r="21" spans="2:7" ht="15" customHeight="1">
      <c r="B21" s="178" t="s">
        <v>452</v>
      </c>
      <c r="C21" s="177">
        <v>-4952.3809523809523</v>
      </c>
      <c r="D21" s="177">
        <v>-4952.3809523809523</v>
      </c>
      <c r="E21" s="177">
        <v>-4952.3809523809523</v>
      </c>
      <c r="F21" s="177">
        <v>-4952.3809523809523</v>
      </c>
      <c r="G21" s="177">
        <v>-2952.3809523809523</v>
      </c>
    </row>
    <row r="22" spans="2:7" ht="15" customHeight="1">
      <c r="B22" s="176" t="s">
        <v>451</v>
      </c>
      <c r="C22" s="175">
        <f>SUM(C20:C21)</f>
        <v>2797.6190476190477</v>
      </c>
      <c r="D22" s="175">
        <f>SUM(D20:D21)</f>
        <v>3572.6190476190477</v>
      </c>
      <c r="E22" s="175">
        <f>SUM(E20:E21)</f>
        <v>5122.6190476190477</v>
      </c>
      <c r="F22" s="175">
        <f>SUM(F20:F21)</f>
        <v>7447.6190476190477</v>
      </c>
      <c r="G22" s="175">
        <f>SUM(G20:G21)</f>
        <v>12547.619047619048</v>
      </c>
    </row>
    <row r="23" spans="2:7" ht="15" customHeight="1">
      <c r="B23" s="178" t="s">
        <v>450</v>
      </c>
      <c r="C23" s="177">
        <v>-665.00000000000011</v>
      </c>
      <c r="D23" s="177">
        <v>-630.00000000000011</v>
      </c>
      <c r="E23" s="177">
        <v>-927.50000000000011</v>
      </c>
      <c r="F23" s="177">
        <v>-875.00000000000011</v>
      </c>
      <c r="G23" s="177">
        <v>-822.50000000000011</v>
      </c>
    </row>
    <row r="24" spans="2:7" ht="15" customHeight="1">
      <c r="B24" s="176" t="s">
        <v>449</v>
      </c>
      <c r="C24" s="175">
        <f>SUM(C22:C23)</f>
        <v>2132.6190476190477</v>
      </c>
      <c r="D24" s="175">
        <f>SUM(D22:D23)</f>
        <v>2942.6190476190477</v>
      </c>
      <c r="E24" s="175">
        <f>SUM(E22:E23)</f>
        <v>4195.1190476190477</v>
      </c>
      <c r="F24" s="175">
        <f>SUM(F22:F23)</f>
        <v>6572.6190476190477</v>
      </c>
      <c r="G24" s="175">
        <f>SUM(G22:G23)</f>
        <v>11725.119047619048</v>
      </c>
    </row>
    <row r="25" spans="2:7" ht="15" customHeight="1">
      <c r="B25" s="172" t="s">
        <v>448</v>
      </c>
      <c r="C25" s="171">
        <f>-C24*C45</f>
        <v>-447.85</v>
      </c>
      <c r="D25" s="171">
        <f>-D24*D45</f>
        <v>-617.95000000000005</v>
      </c>
      <c r="E25" s="171">
        <f>-E24*E45</f>
        <v>-880.97500000000002</v>
      </c>
      <c r="F25" s="171">
        <f>-F24*F45</f>
        <v>-1380.25</v>
      </c>
      <c r="G25" s="171">
        <f>-G24*G45</f>
        <v>-2462.2750000000001</v>
      </c>
    </row>
    <row r="26" spans="2:7" ht="15" customHeight="1" thickBot="1">
      <c r="B26" s="174" t="s">
        <v>447</v>
      </c>
      <c r="C26" s="173">
        <f>C24+C25</f>
        <v>1684.7690476190478</v>
      </c>
      <c r="D26" s="173">
        <f>D24+D25</f>
        <v>2324.6690476190479</v>
      </c>
      <c r="E26" s="173">
        <f>E24+E25</f>
        <v>3314.1440476190478</v>
      </c>
      <c r="F26" s="173">
        <f>F24+F25</f>
        <v>5192.3690476190477</v>
      </c>
      <c r="G26" s="173">
        <f>G24+G25</f>
        <v>9262.8440476190481</v>
      </c>
    </row>
    <row r="27" spans="2:7" ht="15" customHeight="1">
      <c r="B27" s="172"/>
      <c r="C27" s="171"/>
      <c r="D27" s="171"/>
      <c r="E27" s="171"/>
      <c r="F27" s="171"/>
      <c r="G27" s="171"/>
    </row>
    <row r="28" spans="2:7" ht="15" customHeight="1">
      <c r="B28" s="170"/>
      <c r="C28" s="170"/>
      <c r="D28" s="170"/>
      <c r="E28" s="170"/>
      <c r="F28" s="170"/>
      <c r="G28" s="170"/>
    </row>
    <row r="29" spans="2:7" ht="15" customHeight="1">
      <c r="B29" s="169" t="s">
        <v>446</v>
      </c>
      <c r="C29" s="164"/>
      <c r="D29" s="164"/>
      <c r="E29" s="164"/>
      <c r="F29" s="164"/>
      <c r="G29" s="164"/>
    </row>
    <row r="30" spans="2:7" ht="15" customHeight="1">
      <c r="B30" s="164" t="s">
        <v>162</v>
      </c>
      <c r="C30" s="164"/>
      <c r="D30" s="164"/>
      <c r="E30" s="164"/>
      <c r="F30" s="164"/>
      <c r="G30" s="164"/>
    </row>
    <row r="31" spans="2:7" ht="15" customHeight="1">
      <c r="B31" s="165" t="s">
        <v>445</v>
      </c>
      <c r="C31" s="168">
        <v>5000</v>
      </c>
      <c r="D31" s="168">
        <v>5500</v>
      </c>
      <c r="E31" s="168">
        <v>6500</v>
      </c>
      <c r="F31" s="168">
        <v>8000</v>
      </c>
      <c r="G31" s="168">
        <v>10000</v>
      </c>
    </row>
    <row r="32" spans="2:7" ht="15" customHeight="1">
      <c r="B32" s="165" t="s">
        <v>444</v>
      </c>
      <c r="C32" s="167">
        <v>5</v>
      </c>
      <c r="D32" s="167">
        <v>5</v>
      </c>
      <c r="E32" s="167">
        <v>5</v>
      </c>
      <c r="F32" s="167">
        <v>5</v>
      </c>
      <c r="G32" s="167">
        <v>5</v>
      </c>
    </row>
    <row r="33" spans="2:7" ht="15" customHeight="1">
      <c r="B33" s="165" t="str">
        <f>B6&amp; " as % of Rev"</f>
        <v>Discounts as % of Rev</v>
      </c>
      <c r="C33" s="163">
        <v>0.05</v>
      </c>
      <c r="D33" s="163">
        <v>0.05</v>
      </c>
      <c r="E33" s="163">
        <v>0.05</v>
      </c>
      <c r="F33" s="163">
        <v>0.05</v>
      </c>
      <c r="G33" s="163">
        <v>0.05</v>
      </c>
    </row>
    <row r="34" spans="2:7" ht="15" customHeight="1">
      <c r="B34" s="164"/>
      <c r="C34" s="166"/>
      <c r="D34" s="166"/>
      <c r="E34" s="166"/>
      <c r="F34" s="166"/>
      <c r="G34" s="166"/>
    </row>
    <row r="35" spans="2:7" ht="15" customHeight="1">
      <c r="B35" s="164" t="s">
        <v>158</v>
      </c>
      <c r="C35" s="166"/>
      <c r="D35" s="166"/>
      <c r="E35" s="166"/>
      <c r="F35" s="166"/>
      <c r="G35" s="166"/>
    </row>
    <row r="36" spans="2:7" ht="15" customHeight="1">
      <c r="B36" s="165" t="str">
        <f>B9&amp; " as % of Rev"</f>
        <v>Raw Materials as % of Rev</v>
      </c>
      <c r="C36" s="163">
        <v>0.3</v>
      </c>
      <c r="D36" s="163">
        <v>0.3</v>
      </c>
      <c r="E36" s="163">
        <v>0.3</v>
      </c>
      <c r="F36" s="163">
        <v>0.3</v>
      </c>
      <c r="G36" s="163">
        <v>0.3</v>
      </c>
    </row>
    <row r="37" spans="2:7" ht="15" customHeight="1">
      <c r="B37" s="165" t="str">
        <f>B10&amp; " as % of Rev"</f>
        <v>Fulfillment as % of Rev</v>
      </c>
      <c r="C37" s="163">
        <v>7.0000000000000007E-2</v>
      </c>
      <c r="D37" s="163">
        <v>7.0000000000000007E-2</v>
      </c>
      <c r="E37" s="163">
        <v>7.0000000000000007E-2</v>
      </c>
      <c r="F37" s="163">
        <v>7.0000000000000007E-2</v>
      </c>
      <c r="G37" s="163">
        <v>7.0000000000000007E-2</v>
      </c>
    </row>
    <row r="38" spans="2:7" ht="15" customHeight="1">
      <c r="B38" s="165" t="str">
        <f>B11&amp; " as % of Rev"</f>
        <v>Transaction Fees as % of Rev</v>
      </c>
      <c r="C38" s="163">
        <v>0.02</v>
      </c>
      <c r="D38" s="163">
        <v>0.02</v>
      </c>
      <c r="E38" s="163">
        <v>0.02</v>
      </c>
      <c r="F38" s="163">
        <v>0.02</v>
      </c>
      <c r="G38" s="163">
        <v>0.02</v>
      </c>
    </row>
    <row r="39" spans="2:7" ht="15" customHeight="1">
      <c r="B39" s="164"/>
      <c r="C39" s="166"/>
      <c r="D39" s="166"/>
      <c r="E39" s="166"/>
      <c r="F39" s="166"/>
      <c r="G39" s="166"/>
    </row>
    <row r="40" spans="2:7" ht="15" customHeight="1">
      <c r="B40" s="164" t="s">
        <v>443</v>
      </c>
      <c r="C40" s="166"/>
      <c r="D40" s="166"/>
      <c r="E40" s="166"/>
      <c r="F40" s="166"/>
      <c r="G40" s="166"/>
    </row>
    <row r="41" spans="2:7" ht="15" customHeight="1">
      <c r="B41" s="165" t="str">
        <f>B16&amp; " as % of Rev"</f>
        <v>Labor as % of Rev</v>
      </c>
      <c r="C41" s="163">
        <v>0.15</v>
      </c>
      <c r="D41" s="163">
        <v>0.15</v>
      </c>
      <c r="E41" s="163">
        <v>0.15</v>
      </c>
      <c r="F41" s="163">
        <v>0.15</v>
      </c>
      <c r="G41" s="163">
        <v>0.15</v>
      </c>
    </row>
    <row r="42" spans="2:7" ht="15" customHeight="1">
      <c r="B42" s="165" t="str">
        <f>B17&amp; " as % of Rev"</f>
        <v>Marketing as % of Rev</v>
      </c>
      <c r="C42" s="163">
        <v>0.05</v>
      </c>
      <c r="D42" s="163">
        <v>0.05</v>
      </c>
      <c r="E42" s="163">
        <v>0.05</v>
      </c>
      <c r="F42" s="163">
        <v>0.05</v>
      </c>
      <c r="G42" s="163">
        <v>0.05</v>
      </c>
    </row>
    <row r="43" spans="2:7" ht="15" customHeight="1">
      <c r="B43" s="165" t="str">
        <f>B18&amp; " as % of Rev"</f>
        <v>SGA &amp; Other as % of Rev</v>
      </c>
      <c r="C43" s="163">
        <v>0.05</v>
      </c>
      <c r="D43" s="163">
        <v>0.05</v>
      </c>
      <c r="E43" s="163">
        <v>0.05</v>
      </c>
      <c r="F43" s="163">
        <v>0.05</v>
      </c>
      <c r="G43" s="163">
        <v>0.05</v>
      </c>
    </row>
    <row r="44" spans="2:7" ht="15" customHeight="1">
      <c r="B44" s="164"/>
      <c r="C44" s="163"/>
      <c r="D44" s="163"/>
      <c r="E44" s="163"/>
      <c r="F44" s="163"/>
      <c r="G44" s="163"/>
    </row>
    <row r="45" spans="2:7" ht="15" customHeight="1">
      <c r="B45" s="164" t="s">
        <v>442</v>
      </c>
      <c r="C45" s="163">
        <v>0.21</v>
      </c>
      <c r="D45" s="163">
        <v>0.21</v>
      </c>
      <c r="E45" s="163">
        <v>0.21</v>
      </c>
      <c r="F45" s="163">
        <v>0.21</v>
      </c>
      <c r="G45" s="163">
        <v>0.21</v>
      </c>
    </row>
  </sheetData>
  <sheetProtection sheet="1" objects="1" scenarios="1"/>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7DB6E-E91A-4D6B-BF2D-4BD19F57BA81}">
  <dimension ref="B2:I12"/>
  <sheetViews>
    <sheetView topLeftCell="D1" zoomScale="189" workbookViewId="0">
      <selection activeCell="C14" sqref="C14"/>
    </sheetView>
  </sheetViews>
  <sheetFormatPr defaultColWidth="11.6328125" defaultRowHeight="15.5"/>
  <cols>
    <col min="1" max="1" width="4" style="1" customWidth="1"/>
    <col min="2" max="2" width="27.08984375" style="1" bestFit="1" customWidth="1"/>
    <col min="3" max="9" width="10.7265625" style="1" customWidth="1"/>
    <col min="10" max="16384" width="11.6328125" style="1"/>
  </cols>
  <sheetData>
    <row r="2" spans="2:9">
      <c r="B2" s="317" t="s">
        <v>832</v>
      </c>
      <c r="C2" s="316">
        <v>44927</v>
      </c>
      <c r="D2" s="316">
        <f t="shared" ref="D2:I2" si="0">EDATE(C2,1)</f>
        <v>44958</v>
      </c>
      <c r="E2" s="316">
        <f t="shared" si="0"/>
        <v>44986</v>
      </c>
      <c r="F2" s="316">
        <f t="shared" si="0"/>
        <v>45017</v>
      </c>
      <c r="G2" s="316">
        <f t="shared" si="0"/>
        <v>45047</v>
      </c>
      <c r="H2" s="316">
        <f t="shared" si="0"/>
        <v>45078</v>
      </c>
      <c r="I2" s="316">
        <f t="shared" si="0"/>
        <v>45108</v>
      </c>
    </row>
    <row r="3" spans="2:9">
      <c r="B3" s="1" t="s">
        <v>831</v>
      </c>
      <c r="C3" s="315">
        <v>5254</v>
      </c>
      <c r="D3" s="315">
        <v>5525</v>
      </c>
      <c r="E3" s="315">
        <v>6278</v>
      </c>
      <c r="F3" s="315">
        <f t="shared" ref="F3:I4" si="1">E3*1.1</f>
        <v>6905.8</v>
      </c>
      <c r="G3" s="315">
        <f t="shared" si="1"/>
        <v>7596.380000000001</v>
      </c>
      <c r="H3" s="315">
        <f t="shared" si="1"/>
        <v>8356.0180000000018</v>
      </c>
      <c r="I3" s="315">
        <f t="shared" si="1"/>
        <v>9191.6198000000022</v>
      </c>
    </row>
    <row r="4" spans="2:9">
      <c r="B4" s="1" t="s">
        <v>830</v>
      </c>
      <c r="C4" s="6">
        <v>2850</v>
      </c>
      <c r="D4" s="6">
        <v>2869</v>
      </c>
      <c r="E4" s="6">
        <v>2998</v>
      </c>
      <c r="F4" s="6">
        <f t="shared" si="1"/>
        <v>3297.8</v>
      </c>
      <c r="G4" s="6">
        <f t="shared" si="1"/>
        <v>3627.5800000000004</v>
      </c>
      <c r="H4" s="6">
        <f t="shared" si="1"/>
        <v>3990.3380000000006</v>
      </c>
      <c r="I4" s="6">
        <f t="shared" si="1"/>
        <v>4389.3718000000008</v>
      </c>
    </row>
    <row r="5" spans="2:9">
      <c r="B5" s="314" t="s">
        <v>829</v>
      </c>
      <c r="C5" s="313">
        <f t="shared" ref="C5:I5" si="2">C3-C4</f>
        <v>2404</v>
      </c>
      <c r="D5" s="313">
        <f t="shared" si="2"/>
        <v>2656</v>
      </c>
      <c r="E5" s="313">
        <f t="shared" si="2"/>
        <v>3280</v>
      </c>
      <c r="F5" s="313">
        <f t="shared" si="2"/>
        <v>3608</v>
      </c>
      <c r="G5" s="313">
        <f t="shared" si="2"/>
        <v>3968.8000000000006</v>
      </c>
      <c r="H5" s="313">
        <f t="shared" si="2"/>
        <v>4365.6800000000012</v>
      </c>
      <c r="I5" s="313">
        <f t="shared" si="2"/>
        <v>4802.2480000000014</v>
      </c>
    </row>
    <row r="6" spans="2:9">
      <c r="B6" s="1" t="s">
        <v>828</v>
      </c>
      <c r="C6" s="6">
        <v>1065</v>
      </c>
      <c r="D6" s="6">
        <v>1125</v>
      </c>
      <c r="E6" s="6">
        <v>1348</v>
      </c>
      <c r="F6" s="6">
        <f t="shared" ref="F6:I7" si="3">E6*1.1</f>
        <v>1482.8000000000002</v>
      </c>
      <c r="G6" s="6">
        <f t="shared" si="3"/>
        <v>1631.0800000000004</v>
      </c>
      <c r="H6" s="6">
        <f t="shared" si="3"/>
        <v>1794.1880000000006</v>
      </c>
      <c r="I6" s="6">
        <f t="shared" si="3"/>
        <v>1973.6068000000007</v>
      </c>
    </row>
    <row r="7" spans="2:9">
      <c r="B7" s="1" t="s">
        <v>452</v>
      </c>
      <c r="C7" s="6">
        <v>240</v>
      </c>
      <c r="D7" s="6">
        <v>240</v>
      </c>
      <c r="E7" s="6">
        <v>400</v>
      </c>
      <c r="F7" s="6">
        <f t="shared" si="3"/>
        <v>440.00000000000006</v>
      </c>
      <c r="G7" s="6">
        <f t="shared" si="3"/>
        <v>484.00000000000011</v>
      </c>
      <c r="H7" s="6">
        <f t="shared" si="3"/>
        <v>532.4000000000002</v>
      </c>
      <c r="I7" s="6">
        <f t="shared" si="3"/>
        <v>585.64000000000033</v>
      </c>
    </row>
    <row r="8" spans="2:9">
      <c r="B8" s="314" t="s">
        <v>725</v>
      </c>
      <c r="C8" s="313">
        <f t="shared" ref="C8:I8" si="4">C5-C6-C7</f>
        <v>1099</v>
      </c>
      <c r="D8" s="313">
        <f t="shared" si="4"/>
        <v>1291</v>
      </c>
      <c r="E8" s="313">
        <f t="shared" si="4"/>
        <v>1532</v>
      </c>
      <c r="F8" s="313">
        <f t="shared" si="4"/>
        <v>1685.1999999999998</v>
      </c>
      <c r="G8" s="313">
        <f t="shared" si="4"/>
        <v>1853.7200000000003</v>
      </c>
      <c r="H8" s="313">
        <f t="shared" si="4"/>
        <v>2039.0920000000006</v>
      </c>
      <c r="I8" s="313">
        <f t="shared" si="4"/>
        <v>2243.0012000000006</v>
      </c>
    </row>
    <row r="9" spans="2:9">
      <c r="B9" s="1" t="s">
        <v>827</v>
      </c>
      <c r="C9" s="6">
        <v>102</v>
      </c>
      <c r="D9" s="6">
        <v>106</v>
      </c>
      <c r="E9" s="6">
        <v>108</v>
      </c>
      <c r="F9" s="6">
        <f>E9*1.1</f>
        <v>118.80000000000001</v>
      </c>
      <c r="G9" s="6">
        <f>F9*1.1</f>
        <v>130.68000000000004</v>
      </c>
      <c r="H9" s="6">
        <f>G9*1.1</f>
        <v>143.74800000000005</v>
      </c>
      <c r="I9" s="6">
        <f>H9*1.1</f>
        <v>158.12280000000007</v>
      </c>
    </row>
    <row r="10" spans="2:9">
      <c r="B10" s="314" t="s">
        <v>826</v>
      </c>
      <c r="C10" s="313">
        <f t="shared" ref="C10:I10" si="5">C8-C9</f>
        <v>997</v>
      </c>
      <c r="D10" s="313">
        <f t="shared" si="5"/>
        <v>1185</v>
      </c>
      <c r="E10" s="313">
        <f t="shared" si="5"/>
        <v>1424</v>
      </c>
      <c r="F10" s="313">
        <f t="shared" si="5"/>
        <v>1566.3999999999999</v>
      </c>
      <c r="G10" s="313">
        <f t="shared" si="5"/>
        <v>1723.0400000000002</v>
      </c>
      <c r="H10" s="313">
        <f t="shared" si="5"/>
        <v>1895.3440000000005</v>
      </c>
      <c r="I10" s="313">
        <f t="shared" si="5"/>
        <v>2084.8784000000005</v>
      </c>
    </row>
    <row r="11" spans="2:9">
      <c r="B11" s="1" t="s">
        <v>448</v>
      </c>
      <c r="C11" s="6">
        <f>C10*0.21</f>
        <v>209.37</v>
      </c>
      <c r="D11" s="6">
        <f>D10*0.21</f>
        <v>248.85</v>
      </c>
      <c r="E11" s="6">
        <f>E10*0.21</f>
        <v>299.03999999999996</v>
      </c>
      <c r="F11" s="6">
        <f>E11*1.1</f>
        <v>328.94399999999996</v>
      </c>
      <c r="G11" s="6">
        <f>F11*1.1</f>
        <v>361.83839999999998</v>
      </c>
      <c r="H11" s="6">
        <f>G11*1.1</f>
        <v>398.02224000000001</v>
      </c>
      <c r="I11" s="6">
        <f>H11*1.1</f>
        <v>437.82446400000003</v>
      </c>
    </row>
    <row r="12" spans="2:9">
      <c r="B12" s="312" t="s">
        <v>825</v>
      </c>
      <c r="C12" s="311">
        <f t="shared" ref="C12:I12" si="6">C10-C11</f>
        <v>787.63</v>
      </c>
      <c r="D12" s="311">
        <f t="shared" si="6"/>
        <v>936.15</v>
      </c>
      <c r="E12" s="311">
        <f t="shared" si="6"/>
        <v>1124.96</v>
      </c>
      <c r="F12" s="311">
        <f t="shared" si="6"/>
        <v>1237.4559999999999</v>
      </c>
      <c r="G12" s="311">
        <f t="shared" si="6"/>
        <v>1361.2016000000003</v>
      </c>
      <c r="H12" s="311">
        <f t="shared" si="6"/>
        <v>1497.3217600000005</v>
      </c>
      <c r="I12" s="311">
        <f t="shared" si="6"/>
        <v>1647.0539360000005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21FDE-4291-411F-8AD9-95F9FC7D33C3}">
  <dimension ref="B2:E13"/>
  <sheetViews>
    <sheetView zoomScale="115" zoomScaleNormal="115" workbookViewId="0">
      <selection activeCell="C6" sqref="C6"/>
    </sheetView>
  </sheetViews>
  <sheetFormatPr defaultColWidth="11.6328125" defaultRowHeight="15.5"/>
  <cols>
    <col min="1" max="1" width="11.6328125" style="1"/>
    <col min="2" max="2" width="20.90625" style="1" customWidth="1"/>
    <col min="3" max="16384" width="11.6328125" style="1"/>
  </cols>
  <sheetData>
    <row r="2" spans="2:5">
      <c r="B2" s="327" t="s">
        <v>839</v>
      </c>
      <c r="C2" s="326">
        <v>1</v>
      </c>
    </row>
    <row r="4" spans="2:5">
      <c r="B4" s="424" t="s">
        <v>838</v>
      </c>
      <c r="C4" s="424"/>
      <c r="D4" s="424"/>
      <c r="E4" s="424"/>
    </row>
    <row r="5" spans="2:5">
      <c r="B5" s="325" t="s">
        <v>122</v>
      </c>
      <c r="C5" s="324">
        <v>45291</v>
      </c>
      <c r="D5" s="324">
        <f>EDATE(C5,12)</f>
        <v>45657</v>
      </c>
      <c r="E5" s="324">
        <f>EDATE(D5,12)</f>
        <v>46022</v>
      </c>
    </row>
    <row r="6" spans="2:5">
      <c r="B6" s="1" t="s">
        <v>742</v>
      </c>
      <c r="C6" s="323">
        <f>CHOOSE($C$2,C11,C12,C13)</f>
        <v>100000</v>
      </c>
      <c r="D6" s="323">
        <f>CHOOSE($C$2,D11,D12,D13)</f>
        <v>250000</v>
      </c>
      <c r="E6" s="323">
        <f>CHOOSE($C$2,E11,E12,E13)</f>
        <v>500000</v>
      </c>
    </row>
    <row r="7" spans="2:5">
      <c r="B7" s="1" t="s">
        <v>837</v>
      </c>
      <c r="C7" s="323">
        <v>-32000</v>
      </c>
      <c r="D7" s="323">
        <v>-32000</v>
      </c>
      <c r="E7" s="323">
        <v>-32000</v>
      </c>
    </row>
    <row r="8" spans="2:5">
      <c r="B8" s="322" t="s">
        <v>257</v>
      </c>
      <c r="C8" s="321">
        <f>C6+C7</f>
        <v>68000</v>
      </c>
      <c r="D8" s="321">
        <f>D6+D7</f>
        <v>218000</v>
      </c>
      <c r="E8" s="321">
        <f>E6+E7</f>
        <v>468000</v>
      </c>
    </row>
    <row r="10" spans="2:5">
      <c r="B10" s="87" t="s">
        <v>836</v>
      </c>
      <c r="C10" s="320"/>
      <c r="D10" s="320"/>
      <c r="E10" s="320"/>
    </row>
    <row r="11" spans="2:5">
      <c r="B11" s="319" t="s">
        <v>835</v>
      </c>
      <c r="C11" s="318">
        <v>100000</v>
      </c>
      <c r="D11" s="318">
        <v>250000</v>
      </c>
      <c r="E11" s="318">
        <v>500000</v>
      </c>
    </row>
    <row r="12" spans="2:5">
      <c r="B12" s="319" t="s">
        <v>834</v>
      </c>
      <c r="C12" s="318">
        <v>50000</v>
      </c>
      <c r="D12" s="318">
        <v>75000</v>
      </c>
      <c r="E12" s="318">
        <v>100000</v>
      </c>
    </row>
    <row r="13" spans="2:5">
      <c r="B13" s="319" t="s">
        <v>833</v>
      </c>
      <c r="C13" s="318">
        <v>25000</v>
      </c>
      <c r="D13" s="318">
        <v>27500</v>
      </c>
      <c r="E13" s="318">
        <v>30000</v>
      </c>
    </row>
  </sheetData>
  <mergeCells count="1">
    <mergeCell ref="B4:E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F5AA9-CEFB-413D-9A00-74B590592650}">
  <dimension ref="B2:H8"/>
  <sheetViews>
    <sheetView topLeftCell="B1" zoomScale="180" workbookViewId="0">
      <selection activeCell="C14" sqref="C14"/>
    </sheetView>
  </sheetViews>
  <sheetFormatPr defaultColWidth="11.6328125" defaultRowHeight="15.5"/>
  <cols>
    <col min="1" max="1" width="11.6328125" style="1"/>
    <col min="2" max="2" width="17.26953125" style="1" bestFit="1" customWidth="1"/>
    <col min="3" max="5" width="10.7265625" style="1" customWidth="1"/>
    <col min="6" max="16384" width="11.6328125" style="1"/>
  </cols>
  <sheetData>
    <row r="2" spans="2:8">
      <c r="B2" s="424" t="s">
        <v>841</v>
      </c>
      <c r="C2" s="424"/>
      <c r="D2" s="424"/>
      <c r="E2" s="424"/>
      <c r="F2" s="424"/>
      <c r="G2" s="424"/>
      <c r="H2" s="424"/>
    </row>
    <row r="3" spans="2:8">
      <c r="B3" s="325" t="s">
        <v>122</v>
      </c>
      <c r="C3" s="324">
        <v>45291</v>
      </c>
      <c r="D3" s="324">
        <f>EDATE(C3,12)</f>
        <v>45657</v>
      </c>
      <c r="E3" s="324">
        <f>EDATE(D3,12)</f>
        <v>46022</v>
      </c>
      <c r="F3" s="324">
        <f>EDATE(E3,12)</f>
        <v>46387</v>
      </c>
      <c r="G3" s="324">
        <f>EDATE(F3,12)</f>
        <v>46752</v>
      </c>
      <c r="H3" s="324">
        <f>EDATE(G3,12)</f>
        <v>47118</v>
      </c>
    </row>
    <row r="4" spans="2:8">
      <c r="B4" s="1" t="s">
        <v>742</v>
      </c>
      <c r="C4" s="323">
        <v>0</v>
      </c>
      <c r="D4" s="323">
        <v>10000</v>
      </c>
      <c r="E4" s="323">
        <v>55000</v>
      </c>
      <c r="F4" s="323">
        <v>78000</v>
      </c>
      <c r="G4" s="323">
        <v>84000</v>
      </c>
      <c r="H4" s="323">
        <v>0</v>
      </c>
    </row>
    <row r="5" spans="2:8">
      <c r="B5" s="1" t="s">
        <v>837</v>
      </c>
      <c r="C5" s="323">
        <v>-32000</v>
      </c>
      <c r="D5" s="323">
        <v>-32000</v>
      </c>
      <c r="E5" s="323">
        <v>-32000</v>
      </c>
      <c r="F5" s="323">
        <v>-32000</v>
      </c>
      <c r="G5" s="323">
        <v>-32000</v>
      </c>
      <c r="H5" s="323">
        <v>0</v>
      </c>
    </row>
    <row r="6" spans="2:8">
      <c r="B6" s="331" t="s">
        <v>257</v>
      </c>
      <c r="C6" s="330">
        <f t="shared" ref="C6:H6" si="0">C4+C5</f>
        <v>-32000</v>
      </c>
      <c r="D6" s="330">
        <f t="shared" si="0"/>
        <v>-22000</v>
      </c>
      <c r="E6" s="330">
        <f t="shared" si="0"/>
        <v>23000</v>
      </c>
      <c r="F6" s="330">
        <f t="shared" si="0"/>
        <v>46000</v>
      </c>
      <c r="G6" s="330">
        <f t="shared" si="0"/>
        <v>52000</v>
      </c>
      <c r="H6" s="330">
        <f t="shared" si="0"/>
        <v>0</v>
      </c>
    </row>
    <row r="8" spans="2:8">
      <c r="B8" s="329" t="s">
        <v>840</v>
      </c>
      <c r="C8" s="328" t="str">
        <f t="shared" ref="C8:H8" si="1">IFERROR(C6/C4,"")</f>
        <v/>
      </c>
      <c r="D8" s="328">
        <f t="shared" si="1"/>
        <v>-2.2000000000000002</v>
      </c>
      <c r="E8" s="328">
        <f t="shared" si="1"/>
        <v>0.41818181818181815</v>
      </c>
      <c r="F8" s="328">
        <f t="shared" si="1"/>
        <v>0.58974358974358976</v>
      </c>
      <c r="G8" s="328">
        <f t="shared" si="1"/>
        <v>0.61904761904761907</v>
      </c>
      <c r="H8" s="328" t="str">
        <f t="shared" si="1"/>
        <v/>
      </c>
    </row>
  </sheetData>
  <mergeCells count="1">
    <mergeCell ref="B2:H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834BF-6041-4D9B-86E4-BEE6785126D9}">
  <dimension ref="B2:E7"/>
  <sheetViews>
    <sheetView topLeftCell="B1" zoomScale="191" workbookViewId="0">
      <selection activeCell="C14" sqref="C14"/>
    </sheetView>
  </sheetViews>
  <sheetFormatPr defaultColWidth="11.6328125" defaultRowHeight="15.5"/>
  <cols>
    <col min="1" max="1" width="11.6328125" style="1"/>
    <col min="2" max="2" width="37.54296875" style="1" bestFit="1" customWidth="1"/>
    <col min="3" max="3" width="14.1796875" style="1" bestFit="1" customWidth="1"/>
    <col min="4" max="16384" width="11.6328125" style="1"/>
  </cols>
  <sheetData>
    <row r="2" spans="2:5">
      <c r="B2" s="310" t="s">
        <v>462</v>
      </c>
      <c r="C2" s="310" t="s">
        <v>844</v>
      </c>
      <c r="D2" s="310" t="s">
        <v>843</v>
      </c>
      <c r="E2" s="335" t="s">
        <v>842</v>
      </c>
    </row>
    <row r="3" spans="2:5">
      <c r="B3" s="1" t="e" vm="400">
        <v>#VALUE!</v>
      </c>
      <c r="C3" s="334">
        <v>240.31</v>
      </c>
      <c r="D3" s="333" cm="1">
        <f t="array" ref="D3">_FV(B3,"Price")</f>
        <v>538.16999999999996</v>
      </c>
      <c r="E3" s="332">
        <f>D3-C3</f>
        <v>297.85999999999996</v>
      </c>
    </row>
    <row r="4" spans="2:5">
      <c r="B4" s="1" t="e" vm="401">
        <v>#VALUE!</v>
      </c>
      <c r="C4" s="334">
        <v>127.05</v>
      </c>
      <c r="D4" s="333" cm="1">
        <f t="array" ref="D4">_FV(B4,"Price")</f>
        <v>105.15</v>
      </c>
      <c r="E4" s="332">
        <f>D4-C4</f>
        <v>-21.899999999999991</v>
      </c>
    </row>
    <row r="5" spans="2:5">
      <c r="B5" s="1" t="e" vm="402">
        <v>#VALUE!</v>
      </c>
      <c r="C5" s="334">
        <v>156.12</v>
      </c>
      <c r="D5" s="333" cm="1">
        <f t="array" ref="D5">_FV(B5,"Price")</f>
        <v>162.13999999999999</v>
      </c>
      <c r="E5" s="332">
        <f>D5-C5</f>
        <v>6.0199999999999818</v>
      </c>
    </row>
    <row r="6" spans="2:5">
      <c r="B6" s="1" t="e" vm="403">
        <v>#VALUE!</v>
      </c>
      <c r="C6" s="334">
        <v>65.180000000000007</v>
      </c>
      <c r="D6" s="333" cm="1">
        <f t="array" ref="D6">_FV(B6,"Price")</f>
        <v>55.524999999999999</v>
      </c>
      <c r="E6" s="332">
        <f>D6-C6</f>
        <v>-9.6550000000000082</v>
      </c>
    </row>
    <row r="7" spans="2:5">
      <c r="B7" s="1" t="e" vm="404">
        <v>#VALUE!</v>
      </c>
      <c r="C7" s="334">
        <v>170.22</v>
      </c>
      <c r="D7" s="333" cm="1">
        <f t="array" ref="D7">_FV(B7,"Price")</f>
        <v>172.48750000000001</v>
      </c>
      <c r="E7" s="332">
        <f>D7-C7</f>
        <v>2.2675000000000125</v>
      </c>
    </row>
  </sheetData>
  <conditionalFormatting sqref="E3:E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70C9E-EDB6-4463-B636-F80DFE4006A7}">
  <dimension ref="B4:I16"/>
  <sheetViews>
    <sheetView topLeftCell="A7" zoomScale="145" zoomScaleNormal="145" workbookViewId="0">
      <selection activeCell="C14" sqref="C14"/>
    </sheetView>
  </sheetViews>
  <sheetFormatPr defaultColWidth="11.6328125" defaultRowHeight="15.5"/>
  <cols>
    <col min="1" max="1" width="11.6328125" style="1"/>
    <col min="2" max="2" width="18.54296875" style="1" customWidth="1"/>
    <col min="3" max="3" width="12.1796875" style="1" bestFit="1" customWidth="1"/>
    <col min="4" max="9" width="12" style="1" bestFit="1" customWidth="1"/>
    <col min="10" max="16384" width="11.6328125" style="1"/>
  </cols>
  <sheetData>
    <row r="4" spans="2:9" ht="12" customHeight="1"/>
    <row r="5" spans="2:9">
      <c r="B5" s="424" t="s">
        <v>852</v>
      </c>
      <c r="C5" s="424"/>
      <c r="D5" s="424"/>
      <c r="E5" s="424"/>
      <c r="F5" s="424"/>
      <c r="G5" s="424"/>
      <c r="H5" s="424"/>
      <c r="I5" s="424"/>
    </row>
    <row r="6" spans="2:9">
      <c r="B6" s="345" t="s">
        <v>851</v>
      </c>
      <c r="C6" s="344">
        <v>45291</v>
      </c>
      <c r="D6" s="344">
        <f t="shared" ref="D6:I6" si="0">EDATE(C6,12)</f>
        <v>45657</v>
      </c>
      <c r="E6" s="344">
        <f t="shared" si="0"/>
        <v>46022</v>
      </c>
      <c r="F6" s="344">
        <f t="shared" si="0"/>
        <v>46387</v>
      </c>
      <c r="G6" s="344">
        <f t="shared" si="0"/>
        <v>46752</v>
      </c>
      <c r="H6" s="344">
        <f t="shared" si="0"/>
        <v>47118</v>
      </c>
      <c r="I6" s="344">
        <f t="shared" si="0"/>
        <v>47483</v>
      </c>
    </row>
    <row r="7" spans="2:9">
      <c r="B7" s="1" t="s">
        <v>850</v>
      </c>
      <c r="C7" s="343"/>
      <c r="D7" s="343">
        <v>325000</v>
      </c>
      <c r="E7" s="343">
        <v>475000</v>
      </c>
      <c r="F7" s="343">
        <v>550000</v>
      </c>
      <c r="G7" s="343">
        <v>595000</v>
      </c>
      <c r="H7" s="343">
        <v>625000</v>
      </c>
      <c r="I7" s="343">
        <v>650000</v>
      </c>
    </row>
    <row r="8" spans="2:9">
      <c r="B8" s="1" t="s">
        <v>849</v>
      </c>
      <c r="C8" s="343">
        <v>-1500000</v>
      </c>
      <c r="D8" s="343">
        <v>-100000</v>
      </c>
      <c r="E8" s="343">
        <v>-100000</v>
      </c>
      <c r="F8" s="343">
        <v>-100000</v>
      </c>
      <c r="G8" s="343">
        <v>-100000</v>
      </c>
      <c r="H8" s="343">
        <v>-100000</v>
      </c>
      <c r="I8" s="343">
        <v>-100000</v>
      </c>
    </row>
    <row r="9" spans="2:9">
      <c r="B9" s="342" t="s">
        <v>848</v>
      </c>
      <c r="C9" s="341">
        <f t="shared" ref="C9:I9" si="1">SUM(C7:C8)</f>
        <v>-1500000</v>
      </c>
      <c r="D9" s="341">
        <f t="shared" si="1"/>
        <v>225000</v>
      </c>
      <c r="E9" s="341">
        <f t="shared" si="1"/>
        <v>375000</v>
      </c>
      <c r="F9" s="341">
        <f t="shared" si="1"/>
        <v>450000</v>
      </c>
      <c r="G9" s="341">
        <f t="shared" si="1"/>
        <v>495000</v>
      </c>
      <c r="H9" s="341">
        <f t="shared" si="1"/>
        <v>525000</v>
      </c>
      <c r="I9" s="341">
        <f t="shared" si="1"/>
        <v>550000</v>
      </c>
    </row>
    <row r="10" spans="2:9">
      <c r="B10" s="145"/>
      <c r="C10" s="339"/>
      <c r="D10" s="339"/>
      <c r="E10" s="339"/>
      <c r="F10" s="339"/>
      <c r="G10" s="339"/>
      <c r="H10" s="339"/>
    </row>
    <row r="11" spans="2:9">
      <c r="B11" s="5" t="s">
        <v>847</v>
      </c>
      <c r="C11" s="340">
        <v>0.08</v>
      </c>
      <c r="D11" s="339"/>
      <c r="E11" s="339"/>
      <c r="F11" s="339"/>
      <c r="G11" s="339"/>
      <c r="H11" s="339"/>
    </row>
    <row r="12" spans="2:9">
      <c r="C12" s="3"/>
    </row>
    <row r="13" spans="2:9">
      <c r="B13" s="5" t="s">
        <v>846</v>
      </c>
      <c r="C13" s="338">
        <f>XNPV(C11,C9:I9,C6:I6)</f>
        <v>454238.64778558968</v>
      </c>
    </row>
    <row r="14" spans="2:9">
      <c r="B14" s="5"/>
      <c r="C14" s="336"/>
    </row>
    <row r="15" spans="2:9">
      <c r="B15" s="5" t="s">
        <v>845</v>
      </c>
      <c r="C15" s="337">
        <f>XIRR(C9:I9,C6:I6)</f>
        <v>0.16202257275581361</v>
      </c>
    </row>
    <row r="16" spans="2:9">
      <c r="B16" s="5"/>
      <c r="C16" s="336"/>
    </row>
  </sheetData>
  <mergeCells count="1">
    <mergeCell ref="B5:I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8E7B3-C098-44DE-89FF-78CDC605A468}">
  <dimension ref="B2:J21"/>
  <sheetViews>
    <sheetView workbookViewId="0">
      <selection activeCell="J4" sqref="J4"/>
    </sheetView>
  </sheetViews>
  <sheetFormatPr defaultColWidth="12.1796875" defaultRowHeight="15" customHeight="1"/>
  <cols>
    <col min="1" max="1" width="11.6328125" style="155" customWidth="1"/>
    <col min="2" max="3" width="12.7265625" style="155" customWidth="1"/>
    <col min="4" max="4" width="11.6328125" style="155" customWidth="1"/>
    <col min="5" max="5" width="14.36328125" style="155" customWidth="1"/>
    <col min="6" max="6" width="20" style="155" customWidth="1"/>
    <col min="7" max="8" width="11.6328125" style="155" customWidth="1"/>
    <col min="9" max="9" width="13.08984375" style="155" customWidth="1"/>
    <col min="10" max="10" width="17.08984375" style="155" customWidth="1"/>
    <col min="11" max="26" width="11.6328125" style="155" customWidth="1"/>
    <col min="27" max="16384" width="12.1796875" style="155"/>
  </cols>
  <sheetData>
    <row r="2" spans="2:10" ht="15" customHeight="1">
      <c r="B2" s="426" t="s">
        <v>599</v>
      </c>
      <c r="C2" s="427"/>
      <c r="D2" s="427"/>
      <c r="E2" s="427"/>
      <c r="F2" s="427"/>
      <c r="G2" s="427"/>
      <c r="I2" s="426" t="s">
        <v>598</v>
      </c>
      <c r="J2" s="427"/>
    </row>
    <row r="3" spans="2:10" ht="15" customHeight="1">
      <c r="B3" s="195" t="s">
        <v>597</v>
      </c>
      <c r="C3" s="195" t="s">
        <v>596</v>
      </c>
      <c r="D3" s="195" t="s">
        <v>61</v>
      </c>
      <c r="E3" s="195" t="s">
        <v>595</v>
      </c>
      <c r="F3" s="195" t="s">
        <v>594</v>
      </c>
      <c r="G3" s="195" t="s">
        <v>101</v>
      </c>
      <c r="I3" s="196" t="s">
        <v>101</v>
      </c>
      <c r="J3" s="196" t="s">
        <v>593</v>
      </c>
    </row>
    <row r="4" spans="2:10" ht="15" customHeight="1">
      <c r="B4" s="194" t="s">
        <v>592</v>
      </c>
      <c r="C4" s="194" t="s">
        <v>172</v>
      </c>
      <c r="D4" s="208">
        <v>30000</v>
      </c>
      <c r="E4" s="209">
        <v>0.12</v>
      </c>
      <c r="F4" s="208">
        <f t="shared" ref="F4:F21" si="0">D4*E4</f>
        <v>3600</v>
      </c>
      <c r="G4" s="155" t="s">
        <v>356</v>
      </c>
      <c r="I4" s="194" t="s">
        <v>356</v>
      </c>
      <c r="J4" s="208">
        <f>SUMIFS($F$4:$F$21,$G$4:$G$21,I4)</f>
        <v>3600</v>
      </c>
    </row>
    <row r="5" spans="2:10" ht="15" customHeight="1">
      <c r="B5" s="194" t="s">
        <v>591</v>
      </c>
      <c r="C5" s="194" t="s">
        <v>171</v>
      </c>
      <c r="D5" s="208">
        <v>32000</v>
      </c>
      <c r="E5" s="209">
        <v>0.12</v>
      </c>
      <c r="F5" s="208">
        <f t="shared" si="0"/>
        <v>3840</v>
      </c>
      <c r="G5" s="155" t="s">
        <v>581</v>
      </c>
      <c r="I5" s="194" t="s">
        <v>581</v>
      </c>
      <c r="J5" s="208">
        <f>SUMIFS($F$4:$F$21,$G$4:$G$21,I5)</f>
        <v>14040</v>
      </c>
    </row>
    <row r="6" spans="2:10" ht="15" customHeight="1">
      <c r="B6" s="194" t="s">
        <v>590</v>
      </c>
      <c r="C6" s="194" t="s">
        <v>574</v>
      </c>
      <c r="D6" s="208">
        <v>35000</v>
      </c>
      <c r="E6" s="209">
        <v>0.12</v>
      </c>
      <c r="F6" s="208">
        <f t="shared" si="0"/>
        <v>4200</v>
      </c>
      <c r="G6" s="155" t="s">
        <v>588</v>
      </c>
      <c r="I6" s="194" t="s">
        <v>588</v>
      </c>
      <c r="J6" s="208">
        <f>SUMIFS($F$4:$F$21,$G$4:$G$21,I6)</f>
        <v>8280</v>
      </c>
    </row>
    <row r="7" spans="2:10" ht="15" customHeight="1">
      <c r="B7" s="194" t="s">
        <v>589</v>
      </c>
      <c r="C7" s="194" t="s">
        <v>577</v>
      </c>
      <c r="D7" s="208">
        <v>34000</v>
      </c>
      <c r="E7" s="209">
        <v>0.12</v>
      </c>
      <c r="F7" s="208">
        <f t="shared" si="0"/>
        <v>4080</v>
      </c>
      <c r="G7" s="155" t="s">
        <v>588</v>
      </c>
      <c r="I7" s="194" t="s">
        <v>585</v>
      </c>
      <c r="J7" s="208">
        <f>SUMIFS($F$4:$F$21,$G$4:$G$21,I7)</f>
        <v>10200</v>
      </c>
    </row>
    <row r="8" spans="2:10" ht="15" customHeight="1">
      <c r="B8" s="194" t="s">
        <v>587</v>
      </c>
      <c r="C8" s="194" t="s">
        <v>569</v>
      </c>
      <c r="D8" s="208">
        <v>55000</v>
      </c>
      <c r="E8" s="209">
        <v>0.12</v>
      </c>
      <c r="F8" s="208">
        <f t="shared" si="0"/>
        <v>6600</v>
      </c>
      <c r="G8" s="155" t="s">
        <v>585</v>
      </c>
    </row>
    <row r="9" spans="2:10" ht="15" customHeight="1">
      <c r="B9" s="194" t="s">
        <v>586</v>
      </c>
      <c r="C9" s="194" t="s">
        <v>172</v>
      </c>
      <c r="D9" s="208">
        <v>30000</v>
      </c>
      <c r="E9" s="209">
        <v>0.12</v>
      </c>
      <c r="F9" s="208">
        <f t="shared" si="0"/>
        <v>3600</v>
      </c>
      <c r="G9" s="155" t="s">
        <v>585</v>
      </c>
    </row>
    <row r="10" spans="2:10" ht="15" customHeight="1">
      <c r="B10" s="194" t="s">
        <v>584</v>
      </c>
      <c r="C10" s="194" t="s">
        <v>172</v>
      </c>
      <c r="D10" s="208">
        <v>30000</v>
      </c>
      <c r="E10" s="209">
        <v>0.12</v>
      </c>
      <c r="F10" s="208">
        <f t="shared" si="0"/>
        <v>3600</v>
      </c>
      <c r="G10" s="155" t="s">
        <v>581</v>
      </c>
    </row>
    <row r="11" spans="2:10" ht="15" customHeight="1">
      <c r="B11" s="194" t="s">
        <v>583</v>
      </c>
      <c r="C11" s="194" t="s">
        <v>569</v>
      </c>
      <c r="D11" s="208">
        <v>55000</v>
      </c>
      <c r="E11" s="209">
        <v>0.12</v>
      </c>
      <c r="F11" s="208">
        <f t="shared" si="0"/>
        <v>6600</v>
      </c>
    </row>
    <row r="12" spans="2:10" ht="15" customHeight="1">
      <c r="B12" s="194" t="s">
        <v>582</v>
      </c>
      <c r="C12" s="194" t="s">
        <v>569</v>
      </c>
      <c r="D12" s="208">
        <v>55000</v>
      </c>
      <c r="E12" s="209">
        <v>0.12</v>
      </c>
      <c r="F12" s="208">
        <f t="shared" si="0"/>
        <v>6600</v>
      </c>
      <c r="G12" s="155" t="s">
        <v>581</v>
      </c>
    </row>
    <row r="13" spans="2:10" ht="15" customHeight="1">
      <c r="B13" s="194" t="s">
        <v>580</v>
      </c>
      <c r="C13" s="194" t="s">
        <v>569</v>
      </c>
      <c r="D13" s="208">
        <v>55000</v>
      </c>
      <c r="E13" s="209">
        <v>0.12</v>
      </c>
      <c r="F13" s="208">
        <f t="shared" si="0"/>
        <v>6600</v>
      </c>
    </row>
    <row r="14" spans="2:10" ht="15" customHeight="1">
      <c r="B14" s="210" t="s">
        <v>579</v>
      </c>
      <c r="C14" s="194" t="s">
        <v>171</v>
      </c>
      <c r="D14" s="208">
        <v>32000</v>
      </c>
      <c r="E14" s="209">
        <v>0.12</v>
      </c>
      <c r="F14" s="208">
        <f t="shared" si="0"/>
        <v>3840</v>
      </c>
    </row>
    <row r="15" spans="2:10" ht="15" customHeight="1">
      <c r="B15" s="210" t="s">
        <v>578</v>
      </c>
      <c r="C15" s="194" t="s">
        <v>577</v>
      </c>
      <c r="D15" s="208">
        <v>34000</v>
      </c>
      <c r="E15" s="209">
        <v>0.12</v>
      </c>
      <c r="F15" s="208">
        <f t="shared" si="0"/>
        <v>4080</v>
      </c>
    </row>
    <row r="16" spans="2:10" ht="15" customHeight="1">
      <c r="B16" s="210" t="s">
        <v>576</v>
      </c>
      <c r="C16" s="194" t="s">
        <v>569</v>
      </c>
      <c r="D16" s="208">
        <v>55000</v>
      </c>
      <c r="E16" s="209">
        <v>0.12</v>
      </c>
      <c r="F16" s="208">
        <f t="shared" si="0"/>
        <v>6600</v>
      </c>
    </row>
    <row r="17" spans="2:6" ht="15" customHeight="1">
      <c r="B17" s="210" t="s">
        <v>575</v>
      </c>
      <c r="C17" s="194" t="s">
        <v>574</v>
      </c>
      <c r="D17" s="208">
        <v>35000</v>
      </c>
      <c r="E17" s="209">
        <v>0.12</v>
      </c>
      <c r="F17" s="208">
        <f t="shared" si="0"/>
        <v>4200</v>
      </c>
    </row>
    <row r="18" spans="2:6" ht="15" customHeight="1">
      <c r="B18" s="210" t="s">
        <v>573</v>
      </c>
      <c r="C18" s="194" t="s">
        <v>171</v>
      </c>
      <c r="D18" s="208">
        <v>32000</v>
      </c>
      <c r="E18" s="209">
        <v>0.12</v>
      </c>
      <c r="F18" s="208">
        <f t="shared" si="0"/>
        <v>3840</v>
      </c>
    </row>
    <row r="19" spans="2:6" ht="15" customHeight="1">
      <c r="B19" s="210" t="s">
        <v>572</v>
      </c>
      <c r="C19" s="194" t="s">
        <v>569</v>
      </c>
      <c r="D19" s="208">
        <v>55000</v>
      </c>
      <c r="E19" s="209">
        <v>0.12</v>
      </c>
      <c r="F19" s="208">
        <f t="shared" si="0"/>
        <v>6600</v>
      </c>
    </row>
    <row r="20" spans="2:6" ht="15" customHeight="1">
      <c r="B20" s="210" t="s">
        <v>571</v>
      </c>
      <c r="C20" s="194" t="s">
        <v>171</v>
      </c>
      <c r="D20" s="208">
        <v>32000</v>
      </c>
      <c r="E20" s="209">
        <v>0.12</v>
      </c>
      <c r="F20" s="208">
        <f t="shared" si="0"/>
        <v>3840</v>
      </c>
    </row>
    <row r="21" spans="2:6" ht="15" customHeight="1">
      <c r="B21" s="210" t="s">
        <v>570</v>
      </c>
      <c r="C21" s="194" t="s">
        <v>569</v>
      </c>
      <c r="D21" s="208">
        <v>55000</v>
      </c>
      <c r="E21" s="209">
        <v>0.12</v>
      </c>
      <c r="F21" s="208">
        <f t="shared" si="0"/>
        <v>6600</v>
      </c>
    </row>
  </sheetData>
  <mergeCells count="2">
    <mergeCell ref="B2:G2"/>
    <mergeCell ref="I2:J2"/>
  </mergeCells>
  <dataValidations disablePrompts="1" count="1">
    <dataValidation type="list" allowBlank="1" showInputMessage="1" showErrorMessage="1" sqref="G4:G21" xr:uid="{896E3FB9-ADAB-6F4F-BA52-750D9F1C2483}">
      <formula1>$I$4:$I$7</formula1>
    </dataValidation>
  </dataValidation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BD5B1-7C01-4388-BC63-ED050B95CBE9}">
  <dimension ref="B2:L220"/>
  <sheetViews>
    <sheetView showGridLines="0" workbookViewId="0">
      <selection activeCell="L3" sqref="L3"/>
    </sheetView>
  </sheetViews>
  <sheetFormatPr defaultColWidth="12.1796875" defaultRowHeight="15" customHeight="1"/>
  <cols>
    <col min="1" max="5" width="11.6328125" style="155" customWidth="1"/>
    <col min="6" max="6" width="13.81640625" style="155" customWidth="1"/>
    <col min="7" max="10" width="11.6328125" style="155" customWidth="1"/>
    <col min="11" max="11" width="14.7265625" style="155" bestFit="1" customWidth="1"/>
    <col min="12" max="12" width="12.7265625" style="155" bestFit="1" customWidth="1"/>
    <col min="13" max="26" width="11.6328125" style="155" customWidth="1"/>
    <col min="27" max="16384" width="12.1796875" style="155"/>
  </cols>
  <sheetData>
    <row r="2" spans="2:12" ht="15" customHeight="1">
      <c r="B2" s="162" t="s">
        <v>441</v>
      </c>
      <c r="C2" s="162" t="s">
        <v>440</v>
      </c>
      <c r="D2" s="162" t="s">
        <v>150</v>
      </c>
      <c r="E2" s="162" t="s">
        <v>63</v>
      </c>
      <c r="F2" s="162" t="s">
        <v>439</v>
      </c>
      <c r="G2" s="162" t="s">
        <v>438</v>
      </c>
      <c r="H2" s="162" t="s">
        <v>340</v>
      </c>
      <c r="I2" s="162" t="s">
        <v>568</v>
      </c>
      <c r="J2" s="162" t="s">
        <v>567</v>
      </c>
      <c r="K2" s="162" t="s">
        <v>257</v>
      </c>
    </row>
    <row r="3" spans="2:12" ht="15" customHeight="1">
      <c r="B3" s="160">
        <v>1185732</v>
      </c>
      <c r="C3" s="161">
        <v>44210</v>
      </c>
      <c r="D3" s="160" t="s">
        <v>437</v>
      </c>
      <c r="E3" s="160" t="s">
        <v>437</v>
      </c>
      <c r="F3" s="159" t="s">
        <v>397</v>
      </c>
      <c r="G3" s="158">
        <v>0.5</v>
      </c>
      <c r="H3" s="157">
        <v>12000</v>
      </c>
      <c r="I3" s="156">
        <f t="shared" ref="I3:I12" si="0">G3*H3</f>
        <v>6000</v>
      </c>
      <c r="J3" s="156">
        <v>2718</v>
      </c>
      <c r="K3" s="207" cm="1">
        <f t="array" ref="K3:K12">Revenue - Cost</f>
        <v>3282</v>
      </c>
      <c r="L3" s="202">
        <f>2*Units</f>
        <v>24000</v>
      </c>
    </row>
    <row r="4" spans="2:12" ht="15" customHeight="1">
      <c r="B4" s="160">
        <v>1185732</v>
      </c>
      <c r="C4" s="161">
        <v>44210</v>
      </c>
      <c r="D4" s="160" t="s">
        <v>437</v>
      </c>
      <c r="E4" s="160" t="s">
        <v>437</v>
      </c>
      <c r="F4" s="159" t="s">
        <v>396</v>
      </c>
      <c r="G4" s="158">
        <v>0.5</v>
      </c>
      <c r="H4" s="157">
        <v>10000</v>
      </c>
      <c r="I4" s="156">
        <f t="shared" si="0"/>
        <v>5000</v>
      </c>
      <c r="J4" s="156">
        <v>2765.0000000000005</v>
      </c>
      <c r="K4" s="207">
        <v>2234.9999999999995</v>
      </c>
      <c r="L4" s="202"/>
    </row>
    <row r="5" spans="2:12" ht="15" customHeight="1">
      <c r="B5" s="160">
        <v>1185732</v>
      </c>
      <c r="C5" s="161">
        <v>44210</v>
      </c>
      <c r="D5" s="160" t="s">
        <v>437</v>
      </c>
      <c r="E5" s="160" t="s">
        <v>437</v>
      </c>
      <c r="F5" s="159" t="s">
        <v>395</v>
      </c>
      <c r="G5" s="158">
        <v>0.4</v>
      </c>
      <c r="H5" s="157">
        <v>10000</v>
      </c>
      <c r="I5" s="156">
        <f t="shared" si="0"/>
        <v>4000</v>
      </c>
      <c r="J5" s="156">
        <v>1180</v>
      </c>
      <c r="K5" s="207">
        <v>2820</v>
      </c>
      <c r="L5" s="202"/>
    </row>
    <row r="6" spans="2:12" ht="15" customHeight="1">
      <c r="B6" s="160">
        <v>1185732</v>
      </c>
      <c r="C6" s="161">
        <v>44210</v>
      </c>
      <c r="D6" s="160" t="s">
        <v>437</v>
      </c>
      <c r="E6" s="160" t="s">
        <v>437</v>
      </c>
      <c r="F6" s="159" t="s">
        <v>394</v>
      </c>
      <c r="G6" s="158">
        <v>0.45</v>
      </c>
      <c r="H6" s="157">
        <v>8500</v>
      </c>
      <c r="I6" s="156">
        <f t="shared" si="0"/>
        <v>3825</v>
      </c>
      <c r="J6" s="156">
        <v>2535.9749999999999</v>
      </c>
      <c r="K6" s="207">
        <v>1289.0250000000001</v>
      </c>
      <c r="L6" s="202"/>
    </row>
    <row r="7" spans="2:12" ht="15" customHeight="1">
      <c r="B7" s="160">
        <v>1185732</v>
      </c>
      <c r="C7" s="161">
        <v>44210</v>
      </c>
      <c r="D7" s="160" t="s">
        <v>437</v>
      </c>
      <c r="E7" s="160" t="s">
        <v>437</v>
      </c>
      <c r="F7" s="159" t="s">
        <v>391</v>
      </c>
      <c r="G7" s="158">
        <v>0.6</v>
      </c>
      <c r="H7" s="157">
        <v>9000</v>
      </c>
      <c r="I7" s="156">
        <f t="shared" si="0"/>
        <v>5400</v>
      </c>
      <c r="J7" s="156">
        <v>1323</v>
      </c>
      <c r="K7" s="207">
        <v>4077</v>
      </c>
      <c r="L7" s="202"/>
    </row>
    <row r="8" spans="2:12" ht="15" customHeight="1">
      <c r="B8" s="160">
        <v>1185732</v>
      </c>
      <c r="C8" s="161">
        <v>44210</v>
      </c>
      <c r="D8" s="160" t="s">
        <v>437</v>
      </c>
      <c r="E8" s="160" t="s">
        <v>437</v>
      </c>
      <c r="F8" s="159" t="s">
        <v>434</v>
      </c>
      <c r="G8" s="158">
        <v>0.5</v>
      </c>
      <c r="H8" s="157">
        <v>10000</v>
      </c>
      <c r="I8" s="156">
        <f t="shared" si="0"/>
        <v>5000</v>
      </c>
      <c r="J8" s="156">
        <v>2265</v>
      </c>
      <c r="K8" s="206">
        <v>2735</v>
      </c>
      <c r="L8" s="202"/>
    </row>
    <row r="9" spans="2:12" ht="15" customHeight="1">
      <c r="B9" s="160">
        <v>1185732</v>
      </c>
      <c r="C9" s="161">
        <v>44239</v>
      </c>
      <c r="D9" s="160" t="s">
        <v>437</v>
      </c>
      <c r="E9" s="160" t="s">
        <v>437</v>
      </c>
      <c r="F9" s="159" t="s">
        <v>397</v>
      </c>
      <c r="G9" s="158">
        <v>0.5</v>
      </c>
      <c r="H9" s="157">
        <v>12500</v>
      </c>
      <c r="I9" s="156">
        <f t="shared" si="0"/>
        <v>6250</v>
      </c>
      <c r="J9" s="156">
        <v>3456.2500000000005</v>
      </c>
      <c r="K9" s="206">
        <v>2793.7499999999995</v>
      </c>
      <c r="L9" s="202"/>
    </row>
    <row r="10" spans="2:12" ht="15" customHeight="1">
      <c r="B10" s="160">
        <v>1185732</v>
      </c>
      <c r="C10" s="161">
        <v>44239</v>
      </c>
      <c r="D10" s="160" t="s">
        <v>437</v>
      </c>
      <c r="E10" s="160" t="s">
        <v>437</v>
      </c>
      <c r="F10" s="159" t="s">
        <v>396</v>
      </c>
      <c r="G10" s="158">
        <v>0.5</v>
      </c>
      <c r="H10" s="157">
        <v>9000</v>
      </c>
      <c r="I10" s="156">
        <f t="shared" si="0"/>
        <v>4500</v>
      </c>
      <c r="J10" s="156">
        <v>1327.5</v>
      </c>
      <c r="K10" s="206">
        <v>3172.5</v>
      </c>
      <c r="L10" s="202"/>
    </row>
    <row r="11" spans="2:12" ht="15" customHeight="1">
      <c r="B11" s="160">
        <v>1185732</v>
      </c>
      <c r="C11" s="161">
        <v>44239</v>
      </c>
      <c r="D11" s="160" t="s">
        <v>437</v>
      </c>
      <c r="E11" s="160" t="s">
        <v>437</v>
      </c>
      <c r="F11" s="159" t="s">
        <v>395</v>
      </c>
      <c r="G11" s="158">
        <v>0.4</v>
      </c>
      <c r="H11" s="157">
        <v>9500</v>
      </c>
      <c r="I11" s="156">
        <f t="shared" si="0"/>
        <v>3800</v>
      </c>
      <c r="J11" s="156">
        <v>2519.4</v>
      </c>
      <c r="K11" s="206">
        <v>1280.5999999999999</v>
      </c>
      <c r="L11" s="202"/>
    </row>
    <row r="12" spans="2:12" ht="15" customHeight="1">
      <c r="B12" s="160">
        <v>1185732</v>
      </c>
      <c r="C12" s="161">
        <v>44239</v>
      </c>
      <c r="D12" s="160" t="s">
        <v>437</v>
      </c>
      <c r="E12" s="160" t="s">
        <v>437</v>
      </c>
      <c r="F12" s="159" t="s">
        <v>394</v>
      </c>
      <c r="G12" s="158">
        <v>0.45</v>
      </c>
      <c r="H12" s="157">
        <v>8250</v>
      </c>
      <c r="I12" s="156">
        <f t="shared" si="0"/>
        <v>3712.5</v>
      </c>
      <c r="J12" s="156">
        <v>909.5625</v>
      </c>
      <c r="K12" s="206">
        <v>2802.9375</v>
      </c>
      <c r="L12" s="202"/>
    </row>
    <row r="13" spans="2:12" ht="15" customHeight="1">
      <c r="B13" s="160"/>
      <c r="C13" s="161"/>
      <c r="D13" s="160"/>
      <c r="E13" s="160"/>
      <c r="F13" s="159"/>
      <c r="G13" s="158"/>
      <c r="H13" s="157"/>
      <c r="I13" s="156"/>
      <c r="J13" s="156"/>
      <c r="L13" s="202"/>
    </row>
    <row r="14" spans="2:12" ht="15" customHeight="1">
      <c r="B14" s="160"/>
      <c r="C14" s="161"/>
      <c r="D14" s="160"/>
      <c r="E14" s="160"/>
      <c r="F14" s="159"/>
      <c r="G14" s="158"/>
      <c r="H14" s="157"/>
      <c r="I14" s="156"/>
      <c r="J14" s="156"/>
      <c r="L14" s="202"/>
    </row>
    <row r="15" spans="2:12" ht="15" customHeight="1">
      <c r="B15" s="160"/>
      <c r="C15" s="161"/>
      <c r="D15" s="160"/>
      <c r="E15" s="160"/>
      <c r="F15" s="159"/>
      <c r="G15" s="158"/>
      <c r="H15" s="157"/>
      <c r="I15" s="156"/>
      <c r="J15" s="156"/>
      <c r="L15" s="202"/>
    </row>
    <row r="16" spans="2:12" ht="15" customHeight="1">
      <c r="B16" s="160"/>
      <c r="C16" s="161"/>
      <c r="D16" s="160"/>
      <c r="E16" s="160"/>
      <c r="F16" s="159"/>
      <c r="G16" s="158"/>
      <c r="H16" s="157"/>
      <c r="I16" s="156"/>
      <c r="J16" s="156"/>
      <c r="L16" s="202"/>
    </row>
    <row r="17" spans="2:12" ht="15" customHeight="1">
      <c r="B17" s="160"/>
      <c r="C17" s="161"/>
      <c r="D17" s="160"/>
      <c r="E17" s="160"/>
      <c r="F17" s="159"/>
      <c r="G17" s="158"/>
      <c r="H17" s="157"/>
      <c r="I17" s="156"/>
      <c r="J17" s="156"/>
      <c r="L17" s="202"/>
    </row>
    <row r="18" spans="2:12" ht="15" customHeight="1">
      <c r="B18" s="160"/>
      <c r="C18" s="161"/>
      <c r="D18" s="160"/>
      <c r="E18" s="160"/>
      <c r="F18" s="159"/>
      <c r="G18" s="158"/>
      <c r="H18" s="157"/>
      <c r="I18" s="156"/>
      <c r="J18" s="156"/>
      <c r="L18" s="202"/>
    </row>
    <row r="19" spans="2:12" ht="15" customHeight="1">
      <c r="B19" s="160"/>
      <c r="C19" s="161"/>
      <c r="D19" s="160"/>
      <c r="E19" s="160"/>
      <c r="F19" s="159"/>
      <c r="G19" s="158"/>
      <c r="H19" s="157"/>
      <c r="I19" s="156"/>
      <c r="J19" s="156"/>
      <c r="L19" s="202"/>
    </row>
    <row r="20" spans="2:12" ht="15" customHeight="1">
      <c r="B20" s="160"/>
      <c r="C20" s="161"/>
      <c r="D20" s="160"/>
      <c r="E20" s="160"/>
      <c r="F20" s="159"/>
      <c r="G20" s="158"/>
      <c r="H20" s="157"/>
      <c r="I20" s="156"/>
      <c r="J20" s="156"/>
      <c r="L20" s="202"/>
    </row>
    <row r="21" spans="2:12" ht="15" customHeight="1">
      <c r="B21" s="160"/>
      <c r="C21" s="161"/>
      <c r="D21" s="160"/>
      <c r="E21" s="160"/>
      <c r="F21" s="159"/>
      <c r="G21" s="158"/>
      <c r="H21" s="157"/>
      <c r="I21" s="156"/>
      <c r="J21" s="156"/>
      <c r="L21" s="202"/>
    </row>
    <row r="22" spans="2:12" ht="15" customHeight="1">
      <c r="B22" s="160"/>
      <c r="C22" s="161"/>
      <c r="D22" s="160"/>
      <c r="E22" s="160"/>
      <c r="F22" s="159"/>
      <c r="G22" s="158"/>
      <c r="H22" s="157"/>
      <c r="I22" s="156"/>
      <c r="J22" s="156"/>
      <c r="L22" s="202"/>
    </row>
    <row r="23" spans="2:12" ht="15" customHeight="1">
      <c r="B23" s="160"/>
      <c r="C23" s="161"/>
      <c r="D23" s="160"/>
      <c r="E23" s="160"/>
      <c r="F23" s="159"/>
      <c r="G23" s="158"/>
      <c r="H23" s="157"/>
      <c r="I23" s="156"/>
      <c r="J23" s="156"/>
      <c r="L23" s="202"/>
    </row>
    <row r="24" spans="2:12" ht="15" customHeight="1">
      <c r="B24" s="160"/>
      <c r="C24" s="161"/>
      <c r="D24" s="160"/>
      <c r="E24" s="160"/>
      <c r="F24" s="159"/>
      <c r="G24" s="158"/>
      <c r="H24" s="157"/>
      <c r="I24" s="156"/>
      <c r="J24" s="156"/>
      <c r="L24" s="202"/>
    </row>
    <row r="25" spans="2:12" ht="15" customHeight="1">
      <c r="B25" s="160"/>
      <c r="C25" s="161"/>
      <c r="D25" s="160"/>
      <c r="E25" s="160"/>
      <c r="F25" s="159"/>
      <c r="G25" s="158"/>
      <c r="H25" s="157"/>
      <c r="I25" s="156"/>
      <c r="J25" s="156"/>
      <c r="L25" s="202"/>
    </row>
    <row r="26" spans="2:12" ht="15" customHeight="1">
      <c r="B26" s="160"/>
      <c r="C26" s="161"/>
      <c r="D26" s="160"/>
      <c r="E26" s="160"/>
      <c r="F26" s="159"/>
      <c r="G26" s="158"/>
      <c r="H26" s="157"/>
      <c r="I26" s="156"/>
      <c r="J26" s="156"/>
      <c r="L26" s="202"/>
    </row>
    <row r="27" spans="2:12" ht="15" customHeight="1">
      <c r="B27" s="160"/>
      <c r="C27" s="161"/>
      <c r="D27" s="160"/>
      <c r="E27" s="160"/>
      <c r="F27" s="159"/>
      <c r="G27" s="158"/>
      <c r="H27" s="157"/>
      <c r="I27" s="156"/>
      <c r="J27" s="156"/>
      <c r="L27" s="202"/>
    </row>
    <row r="28" spans="2:12" ht="15" customHeight="1">
      <c r="B28" s="160"/>
      <c r="C28" s="161"/>
      <c r="D28" s="160"/>
      <c r="E28" s="160"/>
      <c r="F28" s="159"/>
      <c r="G28" s="158"/>
      <c r="H28" s="157"/>
      <c r="I28" s="156"/>
      <c r="J28" s="156"/>
      <c r="L28" s="202"/>
    </row>
    <row r="29" spans="2:12" ht="15" customHeight="1">
      <c r="B29" s="160"/>
      <c r="C29" s="161"/>
      <c r="D29" s="160"/>
      <c r="E29" s="160"/>
      <c r="F29" s="159"/>
      <c r="G29" s="158"/>
      <c r="H29" s="157"/>
      <c r="I29" s="156"/>
      <c r="J29" s="156"/>
      <c r="L29" s="202"/>
    </row>
    <row r="30" spans="2:12" ht="15" customHeight="1">
      <c r="B30" s="160"/>
      <c r="C30" s="161"/>
      <c r="D30" s="160"/>
      <c r="E30" s="160"/>
      <c r="F30" s="159"/>
      <c r="G30" s="158"/>
      <c r="H30" s="157"/>
      <c r="I30" s="156"/>
      <c r="J30" s="156"/>
      <c r="L30" s="202"/>
    </row>
    <row r="31" spans="2:12" ht="15" customHeight="1">
      <c r="B31" s="160"/>
      <c r="C31" s="161"/>
      <c r="D31" s="160"/>
      <c r="E31" s="160"/>
      <c r="F31" s="159"/>
      <c r="G31" s="158"/>
      <c r="H31" s="157"/>
      <c r="I31" s="156"/>
      <c r="J31" s="156"/>
      <c r="L31" s="202"/>
    </row>
    <row r="32" spans="2:12" ht="15" customHeight="1">
      <c r="B32" s="160"/>
      <c r="C32" s="161"/>
      <c r="D32" s="160"/>
      <c r="E32" s="160"/>
      <c r="F32" s="159"/>
      <c r="G32" s="158"/>
      <c r="H32" s="157"/>
      <c r="I32" s="156"/>
      <c r="J32" s="156"/>
      <c r="L32" s="202"/>
    </row>
    <row r="33" spans="2:12" ht="15" customHeight="1">
      <c r="B33" s="160"/>
      <c r="C33" s="161"/>
      <c r="D33" s="160"/>
      <c r="E33" s="160"/>
      <c r="F33" s="159"/>
      <c r="G33" s="158"/>
      <c r="H33" s="157"/>
      <c r="I33" s="156"/>
      <c r="J33" s="156"/>
      <c r="L33" s="202"/>
    </row>
    <row r="34" spans="2:12" ht="15" customHeight="1">
      <c r="B34" s="160"/>
      <c r="C34" s="161"/>
      <c r="D34" s="160"/>
      <c r="E34" s="160"/>
      <c r="F34" s="159"/>
      <c r="G34" s="158"/>
      <c r="H34" s="157"/>
      <c r="I34" s="156"/>
      <c r="J34" s="156"/>
      <c r="L34" s="202"/>
    </row>
    <row r="35" spans="2:12" ht="15" customHeight="1">
      <c r="B35" s="160"/>
      <c r="C35" s="161"/>
      <c r="D35" s="160"/>
      <c r="E35" s="160"/>
      <c r="F35" s="159"/>
      <c r="G35" s="158"/>
      <c r="H35" s="157"/>
      <c r="I35" s="156"/>
      <c r="J35" s="156"/>
      <c r="L35" s="202"/>
    </row>
    <row r="36" spans="2:12" ht="15" customHeight="1">
      <c r="B36" s="160"/>
      <c r="C36" s="161"/>
      <c r="D36" s="160"/>
      <c r="E36" s="160"/>
      <c r="F36" s="159"/>
      <c r="G36" s="158"/>
      <c r="H36" s="157"/>
      <c r="I36" s="156"/>
      <c r="J36" s="156"/>
      <c r="L36" s="202"/>
    </row>
    <row r="37" spans="2:12" ht="15" customHeight="1">
      <c r="B37" s="160"/>
      <c r="C37" s="161"/>
      <c r="D37" s="160"/>
      <c r="E37" s="160"/>
      <c r="F37" s="159"/>
      <c r="G37" s="158"/>
      <c r="H37" s="157"/>
      <c r="I37" s="156"/>
      <c r="J37" s="156"/>
      <c r="L37" s="202"/>
    </row>
    <row r="38" spans="2:12" ht="15" customHeight="1">
      <c r="B38" s="160"/>
      <c r="C38" s="161"/>
      <c r="D38" s="160"/>
      <c r="E38" s="160"/>
      <c r="F38" s="159"/>
      <c r="G38" s="158"/>
      <c r="H38" s="157"/>
      <c r="I38" s="156"/>
      <c r="J38" s="156"/>
      <c r="L38" s="202"/>
    </row>
    <row r="39" spans="2:12" ht="15" customHeight="1">
      <c r="B39" s="160"/>
      <c r="C39" s="161"/>
      <c r="D39" s="160"/>
      <c r="E39" s="160"/>
      <c r="F39" s="159"/>
      <c r="G39" s="158"/>
      <c r="H39" s="157"/>
      <c r="I39" s="156"/>
      <c r="J39" s="156"/>
      <c r="L39" s="202"/>
    </row>
    <row r="40" spans="2:12" ht="15" customHeight="1">
      <c r="B40" s="160"/>
      <c r="C40" s="161"/>
      <c r="D40" s="160"/>
      <c r="E40" s="160"/>
      <c r="F40" s="159"/>
      <c r="G40" s="158"/>
      <c r="H40" s="157"/>
      <c r="I40" s="156"/>
      <c r="J40" s="156"/>
      <c r="L40" s="202"/>
    </row>
    <row r="41" spans="2:12" ht="15" customHeight="1">
      <c r="B41" s="160"/>
      <c r="C41" s="161"/>
      <c r="D41" s="160"/>
      <c r="E41" s="160"/>
      <c r="F41" s="159"/>
      <c r="G41" s="158"/>
      <c r="H41" s="157"/>
      <c r="I41" s="156"/>
      <c r="J41" s="156"/>
      <c r="L41" s="202"/>
    </row>
    <row r="42" spans="2:12" ht="15" customHeight="1">
      <c r="B42" s="160"/>
      <c r="C42" s="161"/>
      <c r="D42" s="160"/>
      <c r="E42" s="160"/>
      <c r="F42" s="159"/>
      <c r="G42" s="158"/>
      <c r="H42" s="157"/>
      <c r="I42" s="156"/>
      <c r="J42" s="156"/>
      <c r="L42" s="202"/>
    </row>
    <row r="43" spans="2:12" ht="15" customHeight="1">
      <c r="B43" s="160"/>
      <c r="C43" s="161"/>
      <c r="D43" s="160"/>
      <c r="E43" s="160"/>
      <c r="F43" s="159"/>
      <c r="G43" s="158"/>
      <c r="H43" s="157"/>
      <c r="I43" s="156"/>
      <c r="J43" s="156"/>
      <c r="L43" s="202"/>
    </row>
    <row r="44" spans="2:12" ht="15" customHeight="1">
      <c r="B44" s="160"/>
      <c r="C44" s="161"/>
      <c r="D44" s="160"/>
      <c r="E44" s="160"/>
      <c r="F44" s="159"/>
      <c r="G44" s="158"/>
      <c r="H44" s="157"/>
      <c r="I44" s="156"/>
      <c r="J44" s="156"/>
      <c r="L44" s="202"/>
    </row>
    <row r="45" spans="2:12" ht="15" customHeight="1">
      <c r="B45" s="160"/>
      <c r="C45" s="161"/>
      <c r="D45" s="160"/>
      <c r="E45" s="160"/>
      <c r="F45" s="159"/>
      <c r="G45" s="158"/>
      <c r="H45" s="157"/>
      <c r="I45" s="156"/>
      <c r="J45" s="156"/>
      <c r="L45" s="202"/>
    </row>
    <row r="46" spans="2:12" ht="15.5">
      <c r="B46" s="160"/>
      <c r="C46" s="161"/>
      <c r="D46" s="160"/>
      <c r="E46" s="160"/>
      <c r="F46" s="159"/>
      <c r="G46" s="158"/>
      <c r="H46" s="157"/>
      <c r="I46" s="156"/>
      <c r="J46" s="156"/>
      <c r="L46" s="202"/>
    </row>
    <row r="47" spans="2:12" ht="15.5">
      <c r="B47" s="160"/>
      <c r="C47" s="161"/>
      <c r="D47" s="160"/>
      <c r="E47" s="160"/>
      <c r="F47" s="159"/>
      <c r="G47" s="158"/>
      <c r="H47" s="157"/>
      <c r="I47" s="156"/>
      <c r="J47" s="156"/>
      <c r="L47" s="202"/>
    </row>
    <row r="48" spans="2:12" ht="15.5">
      <c r="B48" s="160"/>
      <c r="C48" s="161"/>
      <c r="D48" s="160"/>
      <c r="E48" s="160"/>
      <c r="F48" s="159"/>
      <c r="G48" s="158"/>
      <c r="H48" s="157"/>
      <c r="I48" s="156"/>
      <c r="J48" s="156"/>
      <c r="L48" s="202"/>
    </row>
    <row r="49" spans="2:12" ht="15.5">
      <c r="B49" s="160"/>
      <c r="C49" s="161"/>
      <c r="D49" s="160"/>
      <c r="E49" s="160"/>
      <c r="F49" s="159"/>
      <c r="G49" s="158"/>
      <c r="H49" s="157"/>
      <c r="I49" s="156"/>
      <c r="J49" s="156"/>
      <c r="L49" s="202"/>
    </row>
    <row r="50" spans="2:12" ht="15.5">
      <c r="B50" s="160"/>
      <c r="C50" s="161"/>
      <c r="D50" s="160"/>
      <c r="E50" s="160"/>
      <c r="F50" s="159"/>
      <c r="G50" s="158"/>
      <c r="H50" s="157"/>
      <c r="I50" s="156"/>
      <c r="J50" s="156"/>
    </row>
    <row r="51" spans="2:12" ht="15.5">
      <c r="B51" s="160"/>
      <c r="C51" s="161"/>
      <c r="D51" s="160"/>
      <c r="E51" s="160"/>
      <c r="F51" s="159"/>
      <c r="G51" s="158"/>
      <c r="H51" s="157"/>
      <c r="I51" s="156"/>
      <c r="J51" s="156"/>
    </row>
    <row r="52" spans="2:12" ht="15.5">
      <c r="B52" s="160"/>
      <c r="C52" s="161"/>
      <c r="D52" s="160"/>
      <c r="E52" s="160"/>
      <c r="F52" s="159"/>
      <c r="G52" s="158"/>
      <c r="H52" s="157"/>
      <c r="I52" s="156"/>
      <c r="J52" s="156"/>
    </row>
    <row r="53" spans="2:12" ht="15.5">
      <c r="B53" s="160"/>
      <c r="C53" s="161"/>
      <c r="D53" s="160"/>
      <c r="E53" s="160"/>
      <c r="F53" s="159"/>
      <c r="G53" s="158"/>
      <c r="H53" s="157"/>
      <c r="I53" s="156"/>
      <c r="J53" s="156"/>
    </row>
    <row r="54" spans="2:12" ht="15.5">
      <c r="B54" s="160"/>
      <c r="C54" s="161"/>
      <c r="D54" s="160"/>
      <c r="E54" s="160"/>
      <c r="F54" s="159"/>
      <c r="G54" s="158"/>
      <c r="H54" s="157"/>
      <c r="I54" s="156"/>
      <c r="J54" s="156"/>
    </row>
    <row r="55" spans="2:12" ht="15.5">
      <c r="B55" s="160"/>
      <c r="C55" s="161"/>
      <c r="D55" s="160"/>
      <c r="E55" s="160"/>
      <c r="F55" s="159"/>
      <c r="G55" s="158"/>
      <c r="H55" s="157"/>
      <c r="I55" s="156"/>
      <c r="J55" s="156"/>
    </row>
    <row r="56" spans="2:12" ht="15.5">
      <c r="B56" s="160"/>
      <c r="C56" s="161"/>
      <c r="D56" s="160"/>
      <c r="E56" s="160"/>
      <c r="F56" s="159"/>
      <c r="G56" s="158"/>
      <c r="H56" s="157"/>
      <c r="I56" s="156"/>
      <c r="J56" s="156"/>
    </row>
    <row r="57" spans="2:12" ht="15.5">
      <c r="B57" s="160"/>
      <c r="C57" s="161"/>
      <c r="D57" s="160"/>
      <c r="E57" s="160"/>
      <c r="F57" s="159"/>
      <c r="G57" s="158"/>
      <c r="H57" s="157"/>
      <c r="I57" s="156"/>
      <c r="J57" s="156"/>
    </row>
    <row r="58" spans="2:12" ht="15.5">
      <c r="B58" s="160"/>
      <c r="C58" s="161"/>
      <c r="D58" s="160"/>
      <c r="E58" s="160"/>
      <c r="F58" s="159"/>
      <c r="G58" s="158"/>
      <c r="H58" s="157"/>
      <c r="I58" s="156"/>
      <c r="J58" s="156"/>
    </row>
    <row r="59" spans="2:12" ht="15.5">
      <c r="B59" s="160"/>
      <c r="C59" s="161"/>
      <c r="D59" s="160"/>
      <c r="E59" s="160"/>
      <c r="F59" s="159"/>
      <c r="G59" s="158"/>
      <c r="H59" s="157"/>
      <c r="I59" s="156"/>
      <c r="J59" s="156"/>
    </row>
    <row r="60" spans="2:12" ht="15.5">
      <c r="B60" s="160"/>
      <c r="C60" s="161"/>
      <c r="D60" s="160"/>
      <c r="E60" s="160"/>
      <c r="F60" s="159"/>
      <c r="G60" s="158"/>
      <c r="H60" s="157"/>
      <c r="I60" s="156"/>
      <c r="J60" s="156"/>
    </row>
    <row r="61" spans="2:12" ht="15.5">
      <c r="B61" s="160"/>
      <c r="C61" s="161"/>
      <c r="D61" s="160"/>
      <c r="E61" s="160"/>
      <c r="F61" s="159"/>
      <c r="G61" s="158"/>
      <c r="H61" s="157"/>
      <c r="I61" s="156"/>
      <c r="J61" s="156"/>
    </row>
    <row r="62" spans="2:12" ht="15.5">
      <c r="B62" s="160"/>
      <c r="C62" s="161"/>
      <c r="D62" s="160"/>
      <c r="E62" s="160"/>
      <c r="F62" s="159"/>
      <c r="G62" s="158"/>
      <c r="H62" s="157"/>
      <c r="I62" s="156"/>
      <c r="J62" s="156"/>
    </row>
    <row r="63" spans="2:12" ht="15.5">
      <c r="B63" s="160"/>
      <c r="C63" s="161"/>
      <c r="D63" s="160"/>
      <c r="E63" s="160"/>
      <c r="F63" s="159"/>
      <c r="G63" s="158"/>
      <c r="H63" s="157"/>
      <c r="I63" s="156"/>
      <c r="J63" s="156"/>
    </row>
    <row r="64" spans="2:12" ht="15.5">
      <c r="B64" s="160"/>
      <c r="C64" s="161"/>
      <c r="D64" s="160"/>
      <c r="E64" s="160"/>
      <c r="F64" s="159"/>
      <c r="G64" s="158"/>
      <c r="H64" s="157"/>
      <c r="I64" s="156"/>
      <c r="J64" s="156"/>
    </row>
    <row r="65" spans="2:10" ht="15.5">
      <c r="B65" s="160"/>
      <c r="C65" s="161"/>
      <c r="D65" s="160"/>
      <c r="E65" s="160"/>
      <c r="F65" s="159"/>
      <c r="G65" s="158"/>
      <c r="H65" s="157"/>
      <c r="I65" s="156"/>
      <c r="J65" s="156"/>
    </row>
    <row r="66" spans="2:10" ht="15.5">
      <c r="B66" s="160"/>
      <c r="C66" s="161"/>
      <c r="D66" s="160"/>
      <c r="E66" s="160"/>
      <c r="F66" s="159"/>
      <c r="G66" s="158"/>
      <c r="H66" s="157"/>
      <c r="I66" s="156"/>
      <c r="J66" s="156"/>
    </row>
    <row r="67" spans="2:10" ht="15.5">
      <c r="B67" s="160"/>
      <c r="C67" s="161"/>
      <c r="D67" s="160"/>
      <c r="E67" s="160"/>
      <c r="F67" s="159"/>
      <c r="G67" s="158"/>
      <c r="H67" s="157"/>
      <c r="I67" s="156"/>
      <c r="J67" s="156"/>
    </row>
    <row r="68" spans="2:10" ht="15.5">
      <c r="B68" s="160"/>
      <c r="C68" s="161"/>
      <c r="D68" s="160"/>
      <c r="E68" s="160"/>
      <c r="F68" s="159"/>
      <c r="G68" s="158"/>
      <c r="H68" s="157"/>
      <c r="I68" s="156"/>
      <c r="J68" s="156"/>
    </row>
    <row r="69" spans="2:10" ht="15.5">
      <c r="B69" s="160"/>
      <c r="C69" s="161"/>
      <c r="D69" s="160"/>
      <c r="E69" s="160"/>
      <c r="F69" s="159"/>
      <c r="G69" s="158"/>
      <c r="H69" s="157"/>
      <c r="I69" s="156"/>
      <c r="J69" s="156"/>
    </row>
    <row r="70" spans="2:10" ht="15.5">
      <c r="B70" s="160"/>
      <c r="C70" s="161"/>
      <c r="D70" s="160"/>
      <c r="E70" s="160"/>
      <c r="F70" s="159"/>
      <c r="G70" s="158"/>
      <c r="H70" s="157"/>
      <c r="I70" s="156"/>
      <c r="J70" s="156"/>
    </row>
    <row r="71" spans="2:10" ht="15.5">
      <c r="B71" s="160"/>
      <c r="C71" s="161"/>
      <c r="D71" s="160"/>
      <c r="E71" s="160"/>
      <c r="F71" s="159"/>
      <c r="G71" s="158"/>
      <c r="H71" s="157"/>
      <c r="I71" s="156"/>
      <c r="J71" s="156"/>
    </row>
    <row r="72" spans="2:10" ht="15.5">
      <c r="B72" s="160"/>
      <c r="C72" s="161"/>
      <c r="D72" s="160"/>
      <c r="E72" s="160"/>
      <c r="F72" s="159"/>
      <c r="G72" s="158"/>
      <c r="H72" s="157"/>
      <c r="I72" s="156"/>
      <c r="J72" s="156"/>
    </row>
    <row r="73" spans="2:10" ht="15.5">
      <c r="B73" s="160"/>
      <c r="C73" s="161"/>
      <c r="D73" s="160"/>
      <c r="E73" s="160"/>
      <c r="F73" s="159"/>
      <c r="G73" s="158"/>
      <c r="H73" s="157"/>
      <c r="I73" s="156"/>
      <c r="J73" s="156"/>
    </row>
    <row r="74" spans="2:10" ht="15.5">
      <c r="B74" s="160"/>
      <c r="C74" s="161"/>
      <c r="D74" s="160"/>
      <c r="E74" s="160"/>
      <c r="F74" s="159"/>
      <c r="G74" s="158"/>
      <c r="H74" s="157"/>
      <c r="I74" s="156"/>
      <c r="J74" s="156"/>
    </row>
    <row r="75" spans="2:10" ht="15.5">
      <c r="B75" s="160"/>
      <c r="C75" s="161"/>
      <c r="D75" s="160"/>
      <c r="E75" s="160"/>
      <c r="F75" s="159"/>
      <c r="G75" s="158"/>
      <c r="H75" s="157"/>
      <c r="I75" s="156"/>
      <c r="J75" s="156"/>
    </row>
    <row r="76" spans="2:10" ht="15.5">
      <c r="B76" s="160"/>
      <c r="C76" s="161"/>
      <c r="D76" s="160"/>
      <c r="E76" s="160"/>
      <c r="F76" s="159"/>
      <c r="G76" s="158"/>
      <c r="H76" s="157"/>
      <c r="I76" s="156"/>
      <c r="J76" s="156"/>
    </row>
    <row r="77" spans="2:10" ht="15.5">
      <c r="B77" s="160"/>
      <c r="C77" s="161"/>
      <c r="D77" s="160"/>
      <c r="E77" s="160"/>
      <c r="F77" s="159"/>
      <c r="G77" s="158"/>
      <c r="H77" s="157"/>
      <c r="I77" s="156"/>
      <c r="J77" s="156"/>
    </row>
    <row r="78" spans="2:10" ht="15.5">
      <c r="B78" s="160"/>
      <c r="C78" s="161"/>
      <c r="D78" s="160"/>
      <c r="E78" s="160"/>
      <c r="F78" s="159"/>
      <c r="G78" s="158"/>
      <c r="H78" s="157"/>
      <c r="I78" s="156"/>
      <c r="J78" s="156"/>
    </row>
    <row r="79" spans="2:10" ht="15.5">
      <c r="B79" s="160"/>
      <c r="C79" s="161"/>
      <c r="D79" s="160"/>
      <c r="E79" s="160"/>
      <c r="F79" s="159"/>
      <c r="G79" s="158"/>
      <c r="H79" s="157"/>
      <c r="I79" s="156"/>
      <c r="J79" s="156"/>
    </row>
    <row r="80" spans="2:10" ht="15.5">
      <c r="B80" s="160"/>
      <c r="C80" s="161"/>
      <c r="D80" s="160"/>
      <c r="E80" s="160"/>
      <c r="F80" s="159"/>
      <c r="G80" s="158"/>
      <c r="H80" s="157"/>
      <c r="I80" s="156"/>
      <c r="J80" s="156"/>
    </row>
    <row r="81" spans="2:10" ht="15.5">
      <c r="B81" s="160"/>
      <c r="C81" s="161"/>
      <c r="D81" s="160"/>
      <c r="E81" s="160"/>
      <c r="F81" s="159"/>
      <c r="G81" s="158"/>
      <c r="H81" s="157"/>
      <c r="I81" s="156"/>
      <c r="J81" s="156"/>
    </row>
    <row r="82" spans="2:10" ht="15.5">
      <c r="B82" s="160"/>
      <c r="C82" s="161"/>
      <c r="D82" s="160"/>
      <c r="E82" s="160"/>
      <c r="F82" s="159"/>
      <c r="G82" s="158"/>
      <c r="H82" s="157"/>
      <c r="I82" s="156"/>
      <c r="J82" s="156"/>
    </row>
    <row r="83" spans="2:10" ht="15.5">
      <c r="B83" s="160"/>
      <c r="C83" s="161"/>
      <c r="D83" s="160"/>
      <c r="E83" s="160"/>
      <c r="F83" s="159"/>
      <c r="G83" s="158"/>
      <c r="H83" s="157"/>
      <c r="I83" s="156"/>
      <c r="J83" s="156"/>
    </row>
    <row r="84" spans="2:10" ht="15.5">
      <c r="B84" s="160"/>
      <c r="C84" s="161"/>
      <c r="D84" s="160"/>
      <c r="E84" s="160"/>
      <c r="F84" s="159"/>
      <c r="G84" s="158"/>
      <c r="H84" s="157"/>
      <c r="I84" s="156"/>
      <c r="J84" s="156"/>
    </row>
    <row r="85" spans="2:10" ht="15.5">
      <c r="B85" s="160"/>
      <c r="C85" s="161"/>
      <c r="D85" s="160"/>
      <c r="E85" s="160"/>
      <c r="F85" s="159"/>
      <c r="G85" s="158"/>
      <c r="H85" s="157"/>
      <c r="I85" s="156"/>
      <c r="J85" s="156"/>
    </row>
    <row r="86" spans="2:10" ht="15.5">
      <c r="B86" s="160"/>
      <c r="C86" s="161"/>
      <c r="D86" s="160"/>
      <c r="E86" s="160"/>
      <c r="F86" s="159"/>
      <c r="G86" s="158"/>
      <c r="H86" s="157"/>
      <c r="I86" s="156"/>
      <c r="J86" s="156"/>
    </row>
    <row r="87" spans="2:10" ht="15.5">
      <c r="B87" s="160"/>
      <c r="C87" s="161"/>
      <c r="D87" s="160"/>
      <c r="E87" s="160"/>
      <c r="F87" s="159"/>
      <c r="G87" s="158"/>
      <c r="H87" s="157"/>
      <c r="I87" s="156"/>
      <c r="J87" s="156"/>
    </row>
    <row r="88" spans="2:10" ht="15.5">
      <c r="B88" s="160"/>
      <c r="C88" s="161"/>
      <c r="D88" s="160"/>
      <c r="E88" s="160"/>
      <c r="F88" s="159"/>
      <c r="G88" s="158"/>
      <c r="H88" s="157"/>
      <c r="I88" s="156"/>
      <c r="J88" s="156"/>
    </row>
    <row r="89" spans="2:10" ht="15.5">
      <c r="B89" s="160"/>
      <c r="C89" s="161"/>
      <c r="D89" s="160"/>
      <c r="E89" s="160"/>
      <c r="F89" s="159"/>
      <c r="G89" s="158"/>
      <c r="H89" s="157"/>
      <c r="I89" s="156"/>
      <c r="J89" s="156"/>
    </row>
    <row r="90" spans="2:10" ht="15.5">
      <c r="B90" s="160"/>
      <c r="C90" s="161"/>
      <c r="D90" s="160"/>
      <c r="E90" s="160"/>
      <c r="F90" s="159"/>
      <c r="G90" s="158"/>
      <c r="H90" s="157"/>
      <c r="I90" s="156"/>
      <c r="J90" s="156"/>
    </row>
    <row r="91" spans="2:10" ht="15.5">
      <c r="B91" s="160"/>
      <c r="C91" s="161"/>
      <c r="D91" s="160"/>
      <c r="E91" s="160"/>
      <c r="F91" s="159"/>
      <c r="G91" s="158"/>
      <c r="H91" s="157"/>
      <c r="I91" s="156"/>
      <c r="J91" s="156"/>
    </row>
    <row r="92" spans="2:10" ht="15.5">
      <c r="B92" s="160"/>
      <c r="C92" s="161"/>
      <c r="D92" s="160"/>
      <c r="E92" s="160"/>
      <c r="F92" s="159"/>
      <c r="G92" s="158"/>
      <c r="H92" s="157"/>
      <c r="I92" s="156"/>
      <c r="J92" s="156"/>
    </row>
    <row r="93" spans="2:10" ht="15.5">
      <c r="B93" s="160"/>
      <c r="C93" s="161"/>
      <c r="D93" s="160"/>
      <c r="E93" s="160"/>
      <c r="F93" s="159"/>
      <c r="G93" s="158"/>
      <c r="H93" s="157"/>
      <c r="I93" s="156"/>
      <c r="J93" s="156"/>
    </row>
    <row r="94" spans="2:10" ht="15.5">
      <c r="B94" s="160"/>
      <c r="C94" s="161"/>
      <c r="D94" s="160"/>
      <c r="E94" s="160"/>
      <c r="F94" s="159"/>
      <c r="G94" s="158"/>
      <c r="H94" s="157"/>
      <c r="I94" s="156"/>
      <c r="J94" s="156"/>
    </row>
    <row r="95" spans="2:10" ht="15.5">
      <c r="B95" s="160"/>
      <c r="C95" s="161"/>
      <c r="D95" s="160"/>
      <c r="E95" s="160"/>
      <c r="F95" s="159"/>
      <c r="G95" s="158"/>
      <c r="H95" s="157"/>
      <c r="I95" s="156"/>
      <c r="J95" s="156"/>
    </row>
    <row r="96" spans="2:10" ht="15.5">
      <c r="B96" s="160"/>
      <c r="C96" s="161"/>
      <c r="D96" s="160"/>
      <c r="E96" s="160"/>
      <c r="F96" s="159"/>
      <c r="G96" s="158"/>
      <c r="H96" s="157"/>
      <c r="I96" s="156"/>
      <c r="J96" s="156"/>
    </row>
    <row r="97" spans="2:10" ht="15.5">
      <c r="B97" s="160"/>
      <c r="C97" s="161"/>
      <c r="D97" s="160"/>
      <c r="E97" s="160"/>
      <c r="F97" s="159"/>
      <c r="G97" s="158"/>
      <c r="H97" s="157"/>
      <c r="I97" s="156"/>
      <c r="J97" s="156"/>
    </row>
    <row r="98" spans="2:10" ht="15.5">
      <c r="B98" s="160"/>
      <c r="C98" s="161"/>
      <c r="D98" s="160"/>
      <c r="E98" s="160"/>
      <c r="F98" s="159"/>
      <c r="G98" s="158"/>
      <c r="H98" s="157"/>
      <c r="I98" s="156"/>
      <c r="J98" s="156"/>
    </row>
    <row r="99" spans="2:10" ht="15.5">
      <c r="B99" s="160"/>
      <c r="C99" s="161"/>
      <c r="D99" s="160"/>
      <c r="E99" s="160"/>
      <c r="F99" s="159"/>
      <c r="G99" s="158"/>
      <c r="H99" s="157"/>
      <c r="I99" s="156"/>
      <c r="J99" s="156"/>
    </row>
    <row r="100" spans="2:10" ht="15.5">
      <c r="B100" s="160"/>
      <c r="C100" s="161"/>
      <c r="D100" s="160"/>
      <c r="E100" s="160"/>
      <c r="F100" s="159"/>
      <c r="G100" s="158"/>
      <c r="H100" s="157"/>
      <c r="I100" s="156"/>
      <c r="J100" s="156"/>
    </row>
    <row r="101" spans="2:10" ht="15.5">
      <c r="B101" s="160"/>
      <c r="C101" s="161"/>
      <c r="D101" s="160"/>
      <c r="E101" s="160"/>
      <c r="F101" s="159"/>
      <c r="G101" s="158"/>
      <c r="H101" s="157"/>
      <c r="I101" s="156"/>
      <c r="J101" s="156"/>
    </row>
    <row r="102" spans="2:10" ht="15.5">
      <c r="B102" s="160"/>
      <c r="C102" s="161"/>
      <c r="D102" s="160"/>
      <c r="E102" s="160"/>
      <c r="F102" s="159"/>
      <c r="G102" s="158"/>
      <c r="H102" s="157"/>
      <c r="I102" s="156"/>
      <c r="J102" s="156"/>
    </row>
    <row r="103" spans="2:10" ht="15.5">
      <c r="B103" s="160"/>
      <c r="C103" s="161"/>
      <c r="D103" s="160"/>
      <c r="E103" s="160"/>
      <c r="F103" s="159"/>
      <c r="G103" s="158"/>
      <c r="H103" s="157"/>
      <c r="I103" s="156"/>
      <c r="J103" s="156"/>
    </row>
    <row r="104" spans="2:10" ht="15.5">
      <c r="B104" s="160"/>
      <c r="C104" s="161"/>
      <c r="D104" s="160"/>
      <c r="E104" s="160"/>
      <c r="F104" s="159"/>
      <c r="G104" s="158"/>
      <c r="H104" s="157"/>
      <c r="I104" s="156"/>
      <c r="J104" s="156"/>
    </row>
    <row r="105" spans="2:10" ht="15.5">
      <c r="B105" s="160"/>
      <c r="C105" s="161"/>
      <c r="D105" s="160"/>
      <c r="E105" s="160"/>
      <c r="F105" s="159"/>
      <c r="G105" s="158"/>
      <c r="H105" s="157"/>
      <c r="I105" s="156"/>
      <c r="J105" s="156"/>
    </row>
    <row r="106" spans="2:10" ht="15.5">
      <c r="B106" s="160"/>
      <c r="C106" s="161"/>
      <c r="D106" s="160"/>
      <c r="E106" s="160"/>
      <c r="F106" s="159"/>
      <c r="G106" s="158"/>
      <c r="H106" s="157"/>
      <c r="I106" s="156"/>
      <c r="J106" s="156"/>
    </row>
    <row r="107" spans="2:10" ht="15.5">
      <c r="B107" s="160"/>
      <c r="C107" s="161"/>
      <c r="D107" s="160"/>
      <c r="E107" s="160"/>
      <c r="F107" s="159"/>
      <c r="G107" s="158"/>
      <c r="H107" s="157"/>
      <c r="I107" s="156"/>
      <c r="J107" s="156"/>
    </row>
    <row r="108" spans="2:10" ht="15.5">
      <c r="B108" s="160"/>
      <c r="C108" s="161"/>
      <c r="D108" s="160"/>
      <c r="E108" s="160"/>
      <c r="F108" s="159"/>
      <c r="G108" s="158"/>
      <c r="H108" s="157"/>
      <c r="I108" s="156"/>
      <c r="J108" s="156"/>
    </row>
    <row r="109" spans="2:10" ht="15.5">
      <c r="B109" s="160"/>
      <c r="C109" s="161"/>
      <c r="D109" s="160"/>
      <c r="E109" s="160"/>
      <c r="F109" s="159"/>
      <c r="G109" s="158"/>
      <c r="H109" s="157"/>
      <c r="I109" s="156"/>
      <c r="J109" s="156"/>
    </row>
    <row r="110" spans="2:10" ht="15.5">
      <c r="B110" s="160"/>
      <c r="C110" s="161"/>
      <c r="D110" s="160"/>
      <c r="E110" s="160"/>
      <c r="F110" s="159"/>
      <c r="G110" s="158"/>
      <c r="H110" s="157"/>
      <c r="I110" s="156"/>
      <c r="J110" s="156"/>
    </row>
    <row r="111" spans="2:10" ht="15.5">
      <c r="B111" s="160"/>
      <c r="C111" s="161"/>
      <c r="D111" s="160"/>
      <c r="E111" s="160"/>
      <c r="F111" s="159"/>
      <c r="G111" s="158"/>
      <c r="H111" s="157"/>
      <c r="I111" s="156"/>
      <c r="J111" s="156"/>
    </row>
    <row r="112" spans="2:10" ht="15.5">
      <c r="B112" s="160"/>
      <c r="C112" s="161"/>
      <c r="D112" s="160"/>
      <c r="E112" s="160"/>
      <c r="F112" s="159"/>
      <c r="G112" s="158"/>
      <c r="H112" s="157"/>
      <c r="I112" s="156"/>
      <c r="J112" s="156"/>
    </row>
    <row r="113" spans="2:10" ht="15.5">
      <c r="B113" s="160"/>
      <c r="C113" s="161"/>
      <c r="D113" s="160"/>
      <c r="E113" s="160"/>
      <c r="F113" s="159"/>
      <c r="G113" s="158"/>
      <c r="H113" s="157"/>
      <c r="I113" s="156"/>
      <c r="J113" s="156"/>
    </row>
    <row r="114" spans="2:10" ht="15.5">
      <c r="B114" s="160"/>
      <c r="C114" s="161"/>
      <c r="D114" s="160"/>
      <c r="E114" s="160"/>
      <c r="F114" s="159"/>
      <c r="G114" s="158"/>
      <c r="H114" s="157"/>
      <c r="I114" s="156"/>
      <c r="J114" s="156"/>
    </row>
    <row r="115" spans="2:10" ht="15.5">
      <c r="B115" s="160"/>
      <c r="C115" s="161"/>
      <c r="D115" s="160"/>
      <c r="E115" s="160"/>
      <c r="F115" s="159"/>
      <c r="G115" s="158"/>
      <c r="H115" s="157"/>
      <c r="I115" s="156"/>
      <c r="J115" s="156"/>
    </row>
    <row r="116" spans="2:10" ht="15.5">
      <c r="B116" s="160"/>
      <c r="C116" s="161"/>
      <c r="D116" s="160"/>
      <c r="E116" s="160"/>
      <c r="F116" s="159"/>
      <c r="G116" s="158"/>
      <c r="H116" s="157"/>
      <c r="I116" s="156"/>
      <c r="J116" s="156"/>
    </row>
    <row r="117" spans="2:10" ht="15.5">
      <c r="B117" s="160"/>
      <c r="C117" s="161"/>
      <c r="D117" s="160"/>
      <c r="E117" s="160"/>
      <c r="F117" s="159"/>
      <c r="G117" s="158"/>
      <c r="H117" s="157"/>
      <c r="I117" s="156"/>
      <c r="J117" s="156"/>
    </row>
    <row r="118" spans="2:10" ht="15.5">
      <c r="B118" s="160"/>
      <c r="C118" s="161"/>
      <c r="D118" s="160"/>
      <c r="E118" s="160"/>
      <c r="F118" s="159"/>
      <c r="G118" s="158"/>
      <c r="H118" s="157"/>
      <c r="I118" s="156"/>
      <c r="J118" s="156"/>
    </row>
    <row r="119" spans="2:10" ht="15.5">
      <c r="B119" s="160"/>
      <c r="C119" s="161"/>
      <c r="D119" s="160"/>
      <c r="E119" s="160"/>
      <c r="F119" s="159"/>
      <c r="G119" s="158"/>
      <c r="H119" s="157"/>
      <c r="I119" s="156"/>
      <c r="J119" s="156"/>
    </row>
    <row r="120" spans="2:10" ht="15.5">
      <c r="B120" s="160"/>
      <c r="C120" s="161"/>
      <c r="D120" s="160"/>
      <c r="E120" s="160"/>
      <c r="F120" s="159"/>
      <c r="G120" s="158"/>
      <c r="H120" s="157"/>
      <c r="I120" s="156"/>
      <c r="J120" s="156"/>
    </row>
    <row r="121" spans="2:10" ht="15.5">
      <c r="B121" s="160"/>
      <c r="C121" s="161"/>
      <c r="D121" s="160"/>
      <c r="E121" s="160"/>
      <c r="F121" s="159"/>
      <c r="G121" s="158"/>
      <c r="H121" s="157"/>
      <c r="I121" s="156"/>
      <c r="J121" s="156"/>
    </row>
    <row r="122" spans="2:10" ht="15.5">
      <c r="B122" s="160"/>
      <c r="C122" s="161"/>
      <c r="D122" s="160"/>
      <c r="E122" s="160"/>
      <c r="F122" s="159"/>
      <c r="G122" s="158"/>
      <c r="H122" s="157"/>
      <c r="I122" s="156"/>
      <c r="J122" s="156"/>
    </row>
    <row r="123" spans="2:10" ht="15.5">
      <c r="B123" s="160"/>
      <c r="C123" s="161"/>
      <c r="D123" s="160"/>
      <c r="E123" s="160"/>
      <c r="F123" s="159"/>
      <c r="G123" s="158"/>
      <c r="H123" s="157"/>
      <c r="I123" s="156"/>
      <c r="J123" s="156"/>
    </row>
    <row r="124" spans="2:10" ht="15.5">
      <c r="B124" s="160"/>
      <c r="C124" s="161"/>
      <c r="D124" s="160"/>
      <c r="E124" s="160"/>
      <c r="F124" s="159"/>
      <c r="G124" s="158"/>
      <c r="H124" s="157"/>
      <c r="I124" s="156"/>
      <c r="J124" s="156"/>
    </row>
    <row r="125" spans="2:10" ht="15.5">
      <c r="B125" s="160"/>
      <c r="C125" s="161"/>
      <c r="D125" s="160"/>
      <c r="E125" s="160"/>
      <c r="F125" s="159"/>
      <c r="G125" s="158"/>
      <c r="H125" s="157"/>
      <c r="I125" s="156"/>
      <c r="J125" s="156"/>
    </row>
    <row r="126" spans="2:10" ht="15.5">
      <c r="B126" s="160"/>
      <c r="C126" s="161"/>
      <c r="D126" s="160"/>
      <c r="E126" s="160"/>
      <c r="F126" s="159"/>
      <c r="G126" s="158"/>
      <c r="H126" s="157"/>
      <c r="I126" s="156"/>
      <c r="J126" s="156"/>
    </row>
    <row r="127" spans="2:10" ht="15.5">
      <c r="B127" s="160"/>
      <c r="C127" s="161"/>
      <c r="D127" s="160"/>
      <c r="E127" s="160"/>
      <c r="F127" s="159"/>
      <c r="G127" s="158"/>
      <c r="H127" s="157"/>
      <c r="I127" s="156"/>
      <c r="J127" s="156"/>
    </row>
    <row r="128" spans="2:10" ht="15.5">
      <c r="B128" s="160"/>
      <c r="C128" s="161"/>
      <c r="D128" s="160"/>
      <c r="E128" s="160"/>
      <c r="F128" s="159"/>
      <c r="G128" s="158"/>
      <c r="H128" s="157"/>
      <c r="I128" s="156"/>
      <c r="J128" s="156"/>
    </row>
    <row r="129" spans="2:10" ht="15.5">
      <c r="B129" s="160"/>
      <c r="C129" s="161"/>
      <c r="D129" s="160"/>
      <c r="E129" s="160"/>
      <c r="F129" s="159"/>
      <c r="G129" s="158"/>
      <c r="H129" s="157"/>
      <c r="I129" s="156"/>
      <c r="J129" s="156"/>
    </row>
    <row r="130" spans="2:10" ht="15.5">
      <c r="B130" s="160"/>
      <c r="C130" s="161"/>
      <c r="D130" s="160"/>
      <c r="E130" s="160"/>
      <c r="F130" s="159"/>
      <c r="G130" s="158"/>
      <c r="H130" s="157"/>
      <c r="I130" s="156"/>
      <c r="J130" s="156"/>
    </row>
    <row r="131" spans="2:10" ht="15.5">
      <c r="B131" s="160"/>
      <c r="C131" s="161"/>
      <c r="D131" s="160"/>
      <c r="E131" s="160"/>
      <c r="F131" s="159"/>
      <c r="G131" s="158"/>
      <c r="H131" s="157"/>
      <c r="I131" s="156"/>
      <c r="J131" s="156"/>
    </row>
    <row r="132" spans="2:10" ht="15.5">
      <c r="B132" s="160"/>
      <c r="C132" s="161"/>
      <c r="D132" s="160"/>
      <c r="E132" s="160"/>
      <c r="F132" s="159"/>
      <c r="G132" s="158"/>
      <c r="H132" s="157"/>
      <c r="I132" s="156"/>
      <c r="J132" s="156"/>
    </row>
    <row r="133" spans="2:10" ht="15.5">
      <c r="B133" s="160"/>
      <c r="C133" s="161"/>
      <c r="D133" s="160"/>
      <c r="E133" s="160"/>
      <c r="F133" s="159"/>
      <c r="G133" s="158"/>
      <c r="H133" s="157"/>
      <c r="I133" s="156"/>
      <c r="J133" s="156"/>
    </row>
    <row r="134" spans="2:10" ht="15.5">
      <c r="B134" s="160"/>
      <c r="C134" s="161"/>
      <c r="D134" s="160"/>
      <c r="E134" s="160"/>
      <c r="F134" s="159"/>
      <c r="G134" s="158"/>
      <c r="H134" s="157"/>
      <c r="I134" s="156"/>
      <c r="J134" s="156"/>
    </row>
    <row r="135" spans="2:10" ht="15.5">
      <c r="B135" s="160"/>
      <c r="C135" s="161"/>
      <c r="D135" s="160"/>
      <c r="E135" s="160"/>
      <c r="F135" s="159"/>
      <c r="G135" s="158"/>
      <c r="H135" s="157"/>
      <c r="I135" s="156"/>
      <c r="J135" s="156"/>
    </row>
    <row r="136" spans="2:10" ht="15.5">
      <c r="B136" s="160"/>
      <c r="C136" s="161"/>
      <c r="D136" s="160"/>
      <c r="E136" s="160"/>
      <c r="F136" s="159"/>
      <c r="G136" s="158"/>
      <c r="H136" s="157"/>
      <c r="I136" s="156"/>
      <c r="J136" s="156"/>
    </row>
    <row r="137" spans="2:10" ht="15.5">
      <c r="B137" s="160"/>
      <c r="C137" s="161"/>
      <c r="D137" s="160"/>
      <c r="E137" s="160"/>
      <c r="F137" s="159"/>
      <c r="G137" s="158"/>
      <c r="H137" s="157"/>
      <c r="I137" s="156"/>
      <c r="J137" s="156"/>
    </row>
    <row r="138" spans="2:10" ht="15.5">
      <c r="B138" s="160"/>
      <c r="C138" s="161"/>
      <c r="D138" s="160"/>
      <c r="E138" s="160"/>
      <c r="F138" s="159"/>
      <c r="G138" s="158"/>
      <c r="H138" s="157"/>
      <c r="I138" s="156"/>
      <c r="J138" s="156"/>
    </row>
    <row r="139" spans="2:10" ht="15.5">
      <c r="B139" s="160"/>
      <c r="C139" s="161"/>
      <c r="D139" s="160"/>
      <c r="E139" s="160"/>
      <c r="F139" s="159"/>
      <c r="G139" s="158"/>
      <c r="H139" s="157"/>
      <c r="I139" s="156"/>
      <c r="J139" s="156"/>
    </row>
    <row r="140" spans="2:10" ht="15.5">
      <c r="B140" s="160"/>
      <c r="C140" s="161"/>
      <c r="D140" s="160"/>
      <c r="E140" s="160"/>
      <c r="F140" s="159"/>
      <c r="G140" s="158"/>
      <c r="H140" s="157"/>
      <c r="I140" s="156"/>
      <c r="J140" s="156"/>
    </row>
    <row r="141" spans="2:10" ht="15.5">
      <c r="B141" s="160"/>
      <c r="C141" s="161"/>
      <c r="D141" s="160"/>
      <c r="E141" s="160"/>
      <c r="F141" s="159"/>
      <c r="G141" s="158"/>
      <c r="H141" s="157"/>
      <c r="I141" s="156"/>
      <c r="J141" s="156"/>
    </row>
    <row r="142" spans="2:10" ht="15.5">
      <c r="B142" s="160"/>
      <c r="C142" s="161"/>
      <c r="D142" s="160"/>
      <c r="E142" s="160"/>
      <c r="F142" s="159"/>
      <c r="G142" s="158"/>
      <c r="H142" s="157"/>
      <c r="I142" s="156"/>
      <c r="J142" s="156"/>
    </row>
    <row r="143" spans="2:10" ht="15.5">
      <c r="B143" s="160"/>
      <c r="C143" s="161"/>
      <c r="D143" s="160"/>
      <c r="E143" s="160"/>
      <c r="F143" s="159"/>
      <c r="G143" s="158"/>
      <c r="H143" s="157"/>
      <c r="I143" s="156"/>
      <c r="J143" s="156"/>
    </row>
    <row r="144" spans="2:10" ht="15.5">
      <c r="B144" s="160"/>
      <c r="C144" s="161"/>
      <c r="D144" s="160"/>
      <c r="E144" s="160"/>
      <c r="F144" s="159"/>
      <c r="G144" s="158"/>
      <c r="H144" s="157"/>
      <c r="I144" s="156"/>
      <c r="J144" s="156"/>
    </row>
    <row r="145" spans="2:10" ht="15.5">
      <c r="B145" s="160"/>
      <c r="C145" s="161"/>
      <c r="D145" s="160"/>
      <c r="E145" s="160"/>
      <c r="F145" s="159"/>
      <c r="G145" s="158"/>
      <c r="H145" s="157"/>
      <c r="I145" s="156"/>
      <c r="J145" s="156"/>
    </row>
    <row r="146" spans="2:10" ht="15.5">
      <c r="B146" s="160"/>
      <c r="C146" s="161"/>
      <c r="D146" s="160"/>
      <c r="E146" s="160"/>
      <c r="F146" s="159"/>
      <c r="G146" s="158"/>
      <c r="H146" s="157"/>
      <c r="I146" s="156"/>
      <c r="J146" s="156"/>
    </row>
    <row r="147" spans="2:10" ht="15.5">
      <c r="B147" s="160"/>
      <c r="C147" s="161"/>
      <c r="D147" s="160"/>
      <c r="E147" s="160"/>
      <c r="F147" s="159"/>
      <c r="G147" s="158"/>
      <c r="H147" s="157"/>
      <c r="I147" s="156"/>
      <c r="J147" s="156"/>
    </row>
    <row r="148" spans="2:10" ht="15.5">
      <c r="B148" s="160"/>
      <c r="C148" s="161"/>
      <c r="D148" s="160"/>
      <c r="E148" s="160"/>
      <c r="F148" s="159"/>
      <c r="G148" s="158"/>
      <c r="H148" s="157"/>
      <c r="I148" s="156"/>
      <c r="J148" s="156"/>
    </row>
    <row r="149" spans="2:10" ht="15.5">
      <c r="B149" s="160"/>
      <c r="C149" s="161"/>
      <c r="D149" s="160"/>
      <c r="E149" s="160"/>
      <c r="F149" s="159"/>
      <c r="G149" s="158"/>
      <c r="H149" s="157"/>
      <c r="I149" s="156"/>
      <c r="J149" s="156"/>
    </row>
    <row r="150" spans="2:10" ht="15.5">
      <c r="B150" s="160"/>
      <c r="C150" s="161"/>
      <c r="D150" s="160"/>
      <c r="E150" s="160"/>
      <c r="F150" s="159"/>
      <c r="G150" s="158"/>
      <c r="H150" s="157"/>
      <c r="I150" s="156"/>
      <c r="J150" s="156"/>
    </row>
    <row r="151" spans="2:10" ht="15.5">
      <c r="B151" s="160"/>
      <c r="C151" s="161"/>
      <c r="D151" s="160"/>
      <c r="E151" s="160"/>
      <c r="F151" s="159"/>
      <c r="G151" s="158"/>
      <c r="H151" s="157"/>
      <c r="I151" s="156"/>
      <c r="J151" s="156"/>
    </row>
    <row r="152" spans="2:10" ht="15.5">
      <c r="B152" s="160"/>
      <c r="C152" s="161"/>
      <c r="D152" s="160"/>
      <c r="E152" s="160"/>
      <c r="F152" s="159"/>
      <c r="G152" s="158"/>
      <c r="H152" s="157"/>
      <c r="I152" s="156"/>
      <c r="J152" s="156"/>
    </row>
    <row r="153" spans="2:10" ht="15.5">
      <c r="B153" s="160"/>
      <c r="C153" s="161"/>
      <c r="D153" s="160"/>
      <c r="E153" s="160"/>
      <c r="F153" s="159"/>
      <c r="G153" s="158"/>
      <c r="H153" s="157"/>
      <c r="I153" s="156"/>
      <c r="J153" s="156"/>
    </row>
    <row r="154" spans="2:10" ht="15.5">
      <c r="B154" s="160"/>
      <c r="C154" s="161"/>
      <c r="D154" s="160"/>
      <c r="E154" s="160"/>
      <c r="F154" s="159"/>
      <c r="G154" s="158"/>
      <c r="H154" s="157"/>
      <c r="I154" s="156"/>
      <c r="J154" s="156"/>
    </row>
    <row r="155" spans="2:10" ht="15.5">
      <c r="B155" s="160"/>
      <c r="C155" s="161"/>
      <c r="D155" s="160"/>
      <c r="E155" s="160"/>
      <c r="F155" s="159"/>
      <c r="G155" s="158"/>
      <c r="H155" s="157"/>
      <c r="I155" s="156"/>
      <c r="J155" s="156"/>
    </row>
    <row r="156" spans="2:10" ht="15.5">
      <c r="B156" s="160"/>
      <c r="C156" s="161"/>
      <c r="D156" s="160"/>
      <c r="E156" s="160"/>
      <c r="F156" s="159"/>
      <c r="G156" s="158"/>
      <c r="H156" s="157"/>
      <c r="I156" s="156"/>
      <c r="J156" s="156"/>
    </row>
    <row r="157" spans="2:10" ht="15.5">
      <c r="B157" s="160"/>
      <c r="C157" s="161"/>
      <c r="D157" s="160"/>
      <c r="E157" s="160"/>
      <c r="F157" s="159"/>
      <c r="G157" s="158"/>
      <c r="H157" s="157"/>
      <c r="I157" s="156"/>
      <c r="J157" s="156"/>
    </row>
    <row r="158" spans="2:10" ht="15.5">
      <c r="B158" s="160"/>
      <c r="C158" s="161"/>
      <c r="D158" s="160"/>
      <c r="E158" s="160"/>
      <c r="F158" s="159"/>
      <c r="G158" s="158"/>
      <c r="H158" s="157"/>
      <c r="I158" s="156"/>
      <c r="J158" s="156"/>
    </row>
    <row r="159" spans="2:10" ht="15.5">
      <c r="B159" s="160"/>
      <c r="C159" s="161"/>
      <c r="D159" s="160"/>
      <c r="E159" s="160"/>
      <c r="F159" s="159"/>
      <c r="G159" s="158"/>
      <c r="H159" s="157"/>
      <c r="I159" s="156"/>
      <c r="J159" s="156"/>
    </row>
    <row r="160" spans="2:10" ht="15.5">
      <c r="B160" s="160"/>
      <c r="C160" s="161"/>
      <c r="D160" s="160"/>
      <c r="E160" s="160"/>
      <c r="F160" s="159"/>
      <c r="G160" s="158"/>
      <c r="H160" s="157"/>
      <c r="I160" s="156"/>
      <c r="J160" s="156"/>
    </row>
    <row r="161" spans="2:10" ht="15.5">
      <c r="B161" s="160"/>
      <c r="C161" s="161"/>
      <c r="D161" s="160"/>
      <c r="E161" s="160"/>
      <c r="F161" s="159"/>
      <c r="G161" s="158"/>
      <c r="H161" s="157"/>
      <c r="I161" s="156"/>
      <c r="J161" s="156"/>
    </row>
    <row r="162" spans="2:10" ht="15.5">
      <c r="B162" s="160"/>
      <c r="C162" s="161"/>
      <c r="D162" s="160"/>
      <c r="E162" s="160"/>
      <c r="F162" s="159"/>
      <c r="G162" s="158"/>
      <c r="H162" s="157"/>
      <c r="I162" s="156"/>
      <c r="J162" s="156"/>
    </row>
    <row r="163" spans="2:10" ht="15.5">
      <c r="B163" s="160"/>
      <c r="C163" s="161"/>
      <c r="D163" s="160"/>
      <c r="E163" s="160"/>
      <c r="F163" s="159"/>
      <c r="G163" s="158"/>
      <c r="H163" s="157"/>
      <c r="I163" s="156"/>
      <c r="J163" s="156"/>
    </row>
    <row r="164" spans="2:10" ht="15.5">
      <c r="B164" s="160"/>
      <c r="C164" s="161"/>
      <c r="D164" s="160"/>
      <c r="E164" s="160"/>
      <c r="F164" s="159"/>
      <c r="G164" s="158"/>
      <c r="H164" s="157"/>
      <c r="I164" s="156"/>
      <c r="J164" s="156"/>
    </row>
    <row r="165" spans="2:10" ht="15.5">
      <c r="B165" s="160"/>
      <c r="C165" s="161"/>
      <c r="D165" s="160"/>
      <c r="E165" s="160"/>
      <c r="F165" s="159"/>
      <c r="G165" s="158"/>
      <c r="H165" s="157"/>
      <c r="I165" s="156"/>
      <c r="J165" s="156"/>
    </row>
    <row r="166" spans="2:10" ht="15.5">
      <c r="B166" s="160"/>
      <c r="C166" s="161"/>
      <c r="D166" s="160"/>
      <c r="E166" s="160"/>
      <c r="F166" s="159"/>
      <c r="G166" s="158"/>
      <c r="H166" s="157"/>
      <c r="I166" s="156"/>
      <c r="J166" s="156"/>
    </row>
    <row r="167" spans="2:10" ht="15.5">
      <c r="B167" s="160"/>
      <c r="C167" s="161"/>
      <c r="D167" s="160"/>
      <c r="E167" s="160"/>
      <c r="F167" s="159"/>
      <c r="G167" s="158"/>
      <c r="H167" s="157"/>
      <c r="I167" s="156"/>
      <c r="J167" s="156"/>
    </row>
    <row r="168" spans="2:10" ht="15.5">
      <c r="B168" s="160"/>
      <c r="C168" s="161"/>
      <c r="D168" s="160"/>
      <c r="E168" s="160"/>
      <c r="F168" s="159"/>
      <c r="G168" s="158"/>
      <c r="H168" s="157"/>
      <c r="I168" s="156"/>
      <c r="J168" s="156"/>
    </row>
    <row r="169" spans="2:10" ht="15.5">
      <c r="B169" s="160"/>
      <c r="C169" s="161"/>
      <c r="D169" s="160"/>
      <c r="E169" s="160"/>
      <c r="F169" s="159"/>
      <c r="G169" s="158"/>
      <c r="H169" s="157"/>
      <c r="I169" s="156"/>
      <c r="J169" s="156"/>
    </row>
    <row r="170" spans="2:10" ht="15.5">
      <c r="B170" s="160"/>
      <c r="C170" s="161"/>
      <c r="D170" s="160"/>
      <c r="E170" s="160"/>
      <c r="F170" s="159"/>
      <c r="G170" s="158"/>
      <c r="H170" s="157"/>
      <c r="I170" s="156"/>
      <c r="J170" s="156"/>
    </row>
    <row r="171" spans="2:10" ht="15.5">
      <c r="B171" s="160"/>
      <c r="C171" s="161"/>
      <c r="D171" s="160"/>
      <c r="E171" s="160"/>
      <c r="F171" s="159"/>
      <c r="G171" s="158"/>
      <c r="H171" s="157"/>
      <c r="I171" s="156"/>
      <c r="J171" s="156"/>
    </row>
    <row r="172" spans="2:10" ht="15.5">
      <c r="B172" s="160"/>
      <c r="C172" s="161"/>
      <c r="D172" s="160"/>
      <c r="E172" s="160"/>
      <c r="F172" s="159"/>
      <c r="G172" s="158"/>
      <c r="H172" s="157"/>
      <c r="I172" s="156"/>
      <c r="J172" s="156"/>
    </row>
    <row r="173" spans="2:10" ht="15.5">
      <c r="B173" s="160"/>
      <c r="C173" s="161"/>
      <c r="D173" s="160"/>
      <c r="E173" s="160"/>
      <c r="F173" s="159"/>
      <c r="G173" s="158"/>
      <c r="H173" s="157"/>
      <c r="I173" s="156"/>
      <c r="J173" s="156"/>
    </row>
    <row r="174" spans="2:10" ht="15.5">
      <c r="B174" s="160"/>
      <c r="C174" s="161"/>
      <c r="D174" s="160"/>
      <c r="E174" s="160"/>
      <c r="F174" s="159"/>
      <c r="G174" s="158"/>
      <c r="H174" s="157"/>
      <c r="I174" s="156"/>
      <c r="J174" s="156"/>
    </row>
    <row r="175" spans="2:10" ht="15.5">
      <c r="B175" s="160"/>
      <c r="C175" s="161"/>
      <c r="D175" s="160"/>
      <c r="E175" s="160"/>
      <c r="F175" s="159"/>
      <c r="G175" s="158"/>
      <c r="H175" s="157"/>
      <c r="I175" s="156"/>
      <c r="J175" s="156"/>
    </row>
    <row r="176" spans="2:10" ht="15.5">
      <c r="B176" s="160"/>
      <c r="C176" s="161"/>
      <c r="D176" s="160"/>
      <c r="E176" s="160"/>
      <c r="F176" s="159"/>
      <c r="G176" s="158"/>
      <c r="H176" s="157"/>
      <c r="I176" s="156"/>
      <c r="J176" s="156"/>
    </row>
    <row r="177" spans="2:10" ht="15.5">
      <c r="B177" s="160"/>
      <c r="C177" s="161"/>
      <c r="D177" s="160"/>
      <c r="E177" s="160"/>
      <c r="F177" s="159"/>
      <c r="G177" s="158"/>
      <c r="H177" s="157"/>
      <c r="I177" s="156"/>
      <c r="J177" s="156"/>
    </row>
    <row r="178" spans="2:10" ht="15.5">
      <c r="B178" s="160"/>
      <c r="C178" s="161"/>
      <c r="D178" s="160"/>
      <c r="E178" s="160"/>
      <c r="F178" s="159"/>
      <c r="G178" s="158"/>
      <c r="H178" s="157"/>
      <c r="I178" s="156"/>
      <c r="J178" s="156"/>
    </row>
    <row r="179" spans="2:10" ht="15.5">
      <c r="B179" s="160"/>
      <c r="C179" s="161"/>
      <c r="D179" s="160"/>
      <c r="E179" s="160"/>
      <c r="F179" s="159"/>
      <c r="G179" s="158"/>
      <c r="H179" s="157"/>
      <c r="I179" s="156"/>
      <c r="J179" s="156"/>
    </row>
    <row r="180" spans="2:10" ht="15.5">
      <c r="B180" s="160"/>
      <c r="C180" s="161"/>
      <c r="D180" s="160"/>
      <c r="E180" s="160"/>
      <c r="F180" s="159"/>
      <c r="G180" s="158"/>
      <c r="H180" s="157"/>
      <c r="I180" s="156"/>
      <c r="J180" s="156"/>
    </row>
    <row r="181" spans="2:10" ht="15.5">
      <c r="B181" s="160"/>
      <c r="C181" s="161"/>
      <c r="D181" s="160"/>
      <c r="E181" s="160"/>
      <c r="F181" s="159"/>
      <c r="G181" s="158"/>
      <c r="H181" s="157"/>
      <c r="I181" s="156"/>
      <c r="J181" s="156"/>
    </row>
    <row r="182" spans="2:10" ht="15.5">
      <c r="B182" s="160"/>
      <c r="C182" s="161"/>
      <c r="D182" s="160"/>
      <c r="E182" s="160"/>
      <c r="F182" s="159"/>
      <c r="G182" s="158"/>
      <c r="H182" s="157"/>
      <c r="I182" s="156"/>
      <c r="J182" s="156"/>
    </row>
    <row r="183" spans="2:10" ht="15.5">
      <c r="B183" s="160"/>
      <c r="C183" s="161"/>
      <c r="D183" s="160"/>
      <c r="E183" s="160"/>
      <c r="F183" s="159"/>
      <c r="G183" s="158"/>
      <c r="H183" s="157"/>
      <c r="I183" s="156"/>
      <c r="J183" s="156"/>
    </row>
    <row r="184" spans="2:10" ht="15.5">
      <c r="B184" s="160"/>
      <c r="C184" s="161"/>
      <c r="D184" s="160"/>
      <c r="E184" s="160"/>
      <c r="F184" s="159"/>
      <c r="G184" s="158"/>
      <c r="H184" s="157"/>
      <c r="I184" s="156"/>
      <c r="J184" s="156"/>
    </row>
    <row r="185" spans="2:10" ht="15.5">
      <c r="B185" s="160"/>
      <c r="C185" s="161"/>
      <c r="D185" s="160"/>
      <c r="E185" s="160"/>
      <c r="F185" s="159"/>
      <c r="G185" s="158"/>
      <c r="H185" s="157"/>
      <c r="I185" s="156"/>
      <c r="J185" s="156"/>
    </row>
    <row r="186" spans="2:10" ht="15.5">
      <c r="B186" s="160"/>
      <c r="C186" s="161"/>
      <c r="D186" s="160"/>
      <c r="E186" s="160"/>
      <c r="F186" s="159"/>
      <c r="G186" s="158"/>
      <c r="H186" s="157"/>
      <c r="I186" s="156"/>
      <c r="J186" s="156"/>
    </row>
    <row r="187" spans="2:10" ht="15.5">
      <c r="B187" s="160"/>
      <c r="C187" s="161"/>
      <c r="D187" s="160"/>
      <c r="E187" s="160"/>
      <c r="F187" s="159"/>
      <c r="G187" s="158"/>
      <c r="H187" s="157"/>
      <c r="I187" s="156"/>
      <c r="J187" s="156"/>
    </row>
    <row r="188" spans="2:10" ht="15.5">
      <c r="B188" s="160"/>
      <c r="C188" s="161"/>
      <c r="D188" s="160"/>
      <c r="E188" s="160"/>
      <c r="F188" s="159"/>
      <c r="G188" s="158"/>
      <c r="H188" s="157"/>
      <c r="I188" s="156"/>
      <c r="J188" s="156"/>
    </row>
    <row r="189" spans="2:10" ht="15.5">
      <c r="B189" s="160"/>
      <c r="C189" s="161"/>
      <c r="D189" s="160"/>
      <c r="E189" s="160"/>
      <c r="F189" s="159"/>
      <c r="G189" s="158"/>
      <c r="H189" s="157"/>
      <c r="I189" s="156"/>
      <c r="J189" s="156"/>
    </row>
    <row r="190" spans="2:10" ht="15.5">
      <c r="B190" s="160"/>
      <c r="C190" s="161"/>
      <c r="D190" s="160"/>
      <c r="E190" s="160"/>
      <c r="F190" s="159"/>
      <c r="G190" s="158"/>
      <c r="H190" s="157"/>
      <c r="I190" s="156"/>
      <c r="J190" s="156"/>
    </row>
    <row r="191" spans="2:10" ht="15.5">
      <c r="B191" s="160"/>
      <c r="C191" s="161"/>
      <c r="D191" s="160"/>
      <c r="E191" s="160"/>
      <c r="F191" s="159"/>
      <c r="G191" s="158"/>
      <c r="H191" s="157"/>
      <c r="I191" s="156"/>
      <c r="J191" s="156"/>
    </row>
    <row r="192" spans="2:10" ht="15.5">
      <c r="B192" s="160"/>
      <c r="C192" s="161"/>
      <c r="D192" s="160"/>
      <c r="E192" s="160"/>
      <c r="F192" s="159"/>
      <c r="G192" s="158"/>
      <c r="H192" s="157"/>
      <c r="I192" s="156"/>
      <c r="J192" s="156"/>
    </row>
    <row r="193" spans="2:10" ht="15.5">
      <c r="B193" s="160"/>
      <c r="C193" s="161"/>
      <c r="D193" s="160"/>
      <c r="E193" s="160"/>
      <c r="F193" s="159"/>
      <c r="G193" s="158"/>
      <c r="H193" s="157"/>
      <c r="I193" s="156"/>
      <c r="J193" s="156"/>
    </row>
    <row r="194" spans="2:10" ht="15.5">
      <c r="B194" s="160"/>
      <c r="C194" s="161"/>
      <c r="D194" s="160"/>
      <c r="E194" s="160"/>
      <c r="F194" s="159"/>
      <c r="G194" s="158"/>
      <c r="H194" s="157"/>
      <c r="I194" s="156"/>
      <c r="J194" s="156"/>
    </row>
    <row r="195" spans="2:10" ht="15.5">
      <c r="B195" s="160"/>
      <c r="C195" s="161"/>
      <c r="D195" s="160"/>
      <c r="E195" s="160"/>
      <c r="F195" s="159"/>
      <c r="G195" s="158"/>
      <c r="H195" s="157"/>
      <c r="I195" s="156"/>
      <c r="J195" s="156"/>
    </row>
    <row r="196" spans="2:10" ht="15.5">
      <c r="B196" s="160"/>
      <c r="C196" s="161"/>
      <c r="D196" s="160"/>
      <c r="E196" s="160"/>
      <c r="F196" s="159"/>
      <c r="G196" s="158"/>
      <c r="H196" s="157"/>
      <c r="I196" s="156"/>
      <c r="J196" s="156"/>
    </row>
    <row r="197" spans="2:10" ht="15.5">
      <c r="B197" s="160"/>
      <c r="C197" s="161"/>
      <c r="D197" s="160"/>
      <c r="E197" s="160"/>
      <c r="F197" s="159"/>
      <c r="G197" s="158"/>
      <c r="H197" s="157"/>
      <c r="I197" s="156"/>
      <c r="J197" s="156"/>
    </row>
    <row r="198" spans="2:10" ht="15.5">
      <c r="B198" s="160"/>
      <c r="C198" s="161"/>
      <c r="D198" s="160"/>
      <c r="E198" s="160"/>
      <c r="F198" s="159"/>
      <c r="G198" s="158"/>
      <c r="H198" s="157"/>
      <c r="I198" s="156"/>
      <c r="J198" s="156"/>
    </row>
    <row r="199" spans="2:10" ht="15.5">
      <c r="B199" s="160"/>
      <c r="C199" s="161"/>
      <c r="D199" s="160"/>
      <c r="E199" s="160"/>
      <c r="F199" s="159"/>
      <c r="G199" s="158"/>
      <c r="H199" s="157"/>
      <c r="I199" s="156"/>
      <c r="J199" s="156"/>
    </row>
    <row r="200" spans="2:10" ht="15.5">
      <c r="B200" s="160"/>
      <c r="C200" s="161"/>
      <c r="D200" s="160"/>
      <c r="E200" s="160"/>
      <c r="F200" s="159"/>
      <c r="G200" s="158"/>
      <c r="H200" s="157"/>
      <c r="I200" s="156"/>
      <c r="J200" s="156"/>
    </row>
    <row r="201" spans="2:10" ht="15.5">
      <c r="B201" s="160"/>
      <c r="C201" s="161"/>
      <c r="D201" s="160"/>
      <c r="E201" s="160"/>
      <c r="F201" s="159"/>
      <c r="G201" s="158"/>
      <c r="H201" s="157"/>
      <c r="I201" s="156"/>
      <c r="J201" s="156"/>
    </row>
    <row r="202" spans="2:10" ht="15.5">
      <c r="B202" s="160"/>
      <c r="C202" s="161"/>
      <c r="D202" s="160"/>
      <c r="E202" s="160"/>
      <c r="F202" s="159"/>
      <c r="G202" s="158"/>
      <c r="H202" s="157"/>
      <c r="I202" s="156"/>
      <c r="J202" s="156"/>
    </row>
    <row r="203" spans="2:10" ht="15.5">
      <c r="B203" s="160"/>
      <c r="C203" s="161"/>
      <c r="D203" s="160"/>
      <c r="E203" s="160"/>
      <c r="F203" s="159"/>
      <c r="G203" s="158"/>
      <c r="H203" s="157"/>
      <c r="I203" s="156"/>
      <c r="J203" s="156"/>
    </row>
    <row r="204" spans="2:10" ht="15.5">
      <c r="B204" s="160"/>
      <c r="C204" s="161"/>
      <c r="D204" s="160"/>
      <c r="E204" s="160"/>
      <c r="F204" s="159"/>
      <c r="G204" s="158"/>
      <c r="H204" s="157"/>
      <c r="I204" s="156"/>
      <c r="J204" s="156"/>
    </row>
    <row r="205" spans="2:10" ht="15.5">
      <c r="B205" s="160"/>
      <c r="C205" s="161"/>
      <c r="D205" s="160"/>
      <c r="E205" s="160"/>
      <c r="F205" s="159"/>
      <c r="G205" s="158"/>
      <c r="H205" s="157"/>
      <c r="I205" s="156"/>
      <c r="J205" s="156"/>
    </row>
    <row r="206" spans="2:10" ht="15.5">
      <c r="B206" s="160"/>
      <c r="C206" s="161"/>
      <c r="D206" s="160"/>
      <c r="E206" s="160"/>
      <c r="F206" s="159"/>
      <c r="G206" s="158"/>
      <c r="H206" s="157"/>
      <c r="I206" s="156"/>
      <c r="J206" s="156"/>
    </row>
    <row r="207" spans="2:10" ht="15.5">
      <c r="B207" s="160"/>
      <c r="C207" s="161"/>
      <c r="D207" s="160"/>
      <c r="E207" s="160"/>
      <c r="F207" s="159"/>
      <c r="G207" s="158"/>
      <c r="H207" s="157"/>
      <c r="I207" s="156"/>
      <c r="J207" s="156"/>
    </row>
    <row r="208" spans="2:10" ht="15.5">
      <c r="B208" s="160"/>
      <c r="C208" s="161"/>
      <c r="D208" s="160"/>
      <c r="E208" s="160"/>
      <c r="F208" s="159"/>
      <c r="G208" s="158"/>
      <c r="H208" s="157"/>
      <c r="I208" s="156"/>
      <c r="J208" s="156"/>
    </row>
    <row r="209" spans="2:10" ht="15.5">
      <c r="B209" s="160"/>
      <c r="C209" s="161"/>
      <c r="D209" s="160"/>
      <c r="E209" s="160"/>
      <c r="F209" s="159"/>
      <c r="G209" s="158"/>
      <c r="H209" s="157"/>
      <c r="I209" s="156"/>
      <c r="J209" s="156"/>
    </row>
    <row r="210" spans="2:10" ht="15.5">
      <c r="B210" s="160"/>
      <c r="C210" s="161"/>
      <c r="D210" s="160"/>
      <c r="E210" s="160"/>
      <c r="F210" s="159"/>
      <c r="G210" s="158"/>
      <c r="H210" s="157"/>
      <c r="I210" s="156"/>
      <c r="J210" s="156"/>
    </row>
    <row r="211" spans="2:10" ht="15.5">
      <c r="B211" s="160"/>
      <c r="C211" s="161"/>
      <c r="D211" s="160"/>
      <c r="E211" s="160"/>
      <c r="F211" s="159"/>
      <c r="G211" s="158"/>
      <c r="H211" s="157"/>
      <c r="I211" s="156"/>
      <c r="J211" s="156"/>
    </row>
    <row r="212" spans="2:10" ht="15.5">
      <c r="B212" s="160"/>
      <c r="C212" s="161"/>
      <c r="D212" s="160"/>
      <c r="E212" s="160"/>
      <c r="F212" s="159"/>
      <c r="G212" s="158"/>
      <c r="H212" s="157"/>
      <c r="I212" s="156"/>
      <c r="J212" s="156"/>
    </row>
    <row r="213" spans="2:10" ht="15.5">
      <c r="B213" s="160"/>
      <c r="C213" s="161"/>
      <c r="D213" s="160"/>
      <c r="E213" s="160"/>
      <c r="F213" s="159"/>
      <c r="G213" s="158"/>
      <c r="H213" s="157"/>
      <c r="I213" s="156"/>
      <c r="J213" s="156"/>
    </row>
    <row r="214" spans="2:10" ht="15.5">
      <c r="B214" s="160"/>
      <c r="C214" s="161"/>
      <c r="D214" s="160"/>
      <c r="E214" s="160"/>
      <c r="F214" s="159"/>
      <c r="G214" s="158"/>
      <c r="H214" s="157"/>
      <c r="I214" s="156"/>
      <c r="J214" s="156"/>
    </row>
    <row r="215" spans="2:10" ht="15.5">
      <c r="B215" s="160"/>
      <c r="C215" s="161"/>
      <c r="D215" s="160"/>
      <c r="E215" s="160"/>
      <c r="F215" s="159"/>
      <c r="G215" s="158"/>
      <c r="H215" s="157"/>
      <c r="I215" s="156"/>
      <c r="J215" s="156"/>
    </row>
    <row r="216" spans="2:10" ht="15.5">
      <c r="B216" s="160"/>
      <c r="C216" s="161"/>
      <c r="D216" s="160"/>
      <c r="E216" s="160"/>
      <c r="F216" s="159"/>
      <c r="G216" s="158"/>
      <c r="H216" s="157"/>
      <c r="I216" s="156"/>
      <c r="J216" s="156"/>
    </row>
    <row r="217" spans="2:10" ht="15.5">
      <c r="B217" s="160"/>
      <c r="C217" s="161"/>
      <c r="D217" s="160"/>
      <c r="E217" s="160"/>
      <c r="F217" s="159"/>
      <c r="G217" s="158"/>
      <c r="H217" s="157"/>
      <c r="I217" s="156"/>
      <c r="J217" s="156"/>
    </row>
    <row r="218" spans="2:10" ht="15.5">
      <c r="B218" s="160"/>
      <c r="C218" s="161"/>
      <c r="D218" s="160"/>
      <c r="E218" s="160"/>
      <c r="F218" s="159"/>
      <c r="G218" s="158"/>
      <c r="H218" s="157"/>
      <c r="I218" s="156"/>
      <c r="J218" s="156"/>
    </row>
    <row r="219" spans="2:10" ht="15.5">
      <c r="B219" s="160"/>
      <c r="C219" s="161"/>
      <c r="D219" s="160"/>
      <c r="E219" s="160"/>
      <c r="F219" s="159"/>
      <c r="G219" s="158"/>
      <c r="H219" s="157"/>
      <c r="I219" s="156"/>
      <c r="J219" s="156"/>
    </row>
    <row r="220" spans="2:10" ht="15.5">
      <c r="B220" s="160"/>
      <c r="C220" s="161"/>
      <c r="D220" s="160"/>
      <c r="E220" s="160"/>
      <c r="F220" s="159"/>
      <c r="G220" s="158"/>
      <c r="H220" s="157"/>
      <c r="I220" s="156"/>
      <c r="J220" s="156"/>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4153C-655E-4CB5-ABEF-E3E6B6F37B21}">
  <dimension ref="B2:F26"/>
  <sheetViews>
    <sheetView showGridLines="0" workbookViewId="0">
      <selection activeCell="F3" sqref="F3"/>
    </sheetView>
  </sheetViews>
  <sheetFormatPr defaultColWidth="12.1796875" defaultRowHeight="15" customHeight="1"/>
  <cols>
    <col min="1" max="1" width="11.6328125" style="155" customWidth="1"/>
    <col min="2" max="2" width="16.90625" style="155" customWidth="1"/>
    <col min="3" max="26" width="11.6328125" style="155" customWidth="1"/>
    <col min="27" max="16384" width="12.1796875" style="155"/>
  </cols>
  <sheetData>
    <row r="2" spans="2:6" ht="15" customHeight="1">
      <c r="B2" s="196" t="s">
        <v>116</v>
      </c>
      <c r="C2" s="196" t="s">
        <v>66</v>
      </c>
      <c r="D2" s="196" t="s">
        <v>65</v>
      </c>
      <c r="E2" s="196" t="s">
        <v>566</v>
      </c>
      <c r="F2" s="196" t="s">
        <v>565</v>
      </c>
    </row>
    <row r="3" spans="2:6" ht="15" customHeight="1">
      <c r="B3" s="194" t="s">
        <v>79</v>
      </c>
      <c r="C3" s="194" t="s">
        <v>59</v>
      </c>
      <c r="D3" s="194" t="s">
        <v>58</v>
      </c>
      <c r="E3" s="194" t="s">
        <v>564</v>
      </c>
      <c r="F3" s="205" t="s">
        <v>563</v>
      </c>
    </row>
    <row r="4" spans="2:6" ht="15" customHeight="1">
      <c r="B4" s="194" t="s">
        <v>190</v>
      </c>
      <c r="C4" s="194" t="s">
        <v>57</v>
      </c>
      <c r="D4" s="194" t="s">
        <v>56</v>
      </c>
      <c r="E4" s="194" t="s">
        <v>562</v>
      </c>
      <c r="F4" s="205" t="s">
        <v>561</v>
      </c>
    </row>
    <row r="5" spans="2:6" ht="15" customHeight="1">
      <c r="B5" s="194" t="s">
        <v>99</v>
      </c>
      <c r="C5" s="194" t="s">
        <v>54</v>
      </c>
      <c r="D5" s="194" t="s">
        <v>53</v>
      </c>
      <c r="E5" s="194" t="s">
        <v>560</v>
      </c>
      <c r="F5" s="205" t="s">
        <v>559</v>
      </c>
    </row>
    <row r="6" spans="2:6" ht="15" customHeight="1">
      <c r="B6" s="194" t="s">
        <v>189</v>
      </c>
      <c r="C6" s="194" t="s">
        <v>50</v>
      </c>
      <c r="D6" s="194" t="s">
        <v>49</v>
      </c>
      <c r="E6" s="194" t="s">
        <v>558</v>
      </c>
      <c r="F6" s="205" t="s">
        <v>557</v>
      </c>
    </row>
    <row r="7" spans="2:6" ht="15" customHeight="1">
      <c r="B7" s="194" t="s">
        <v>97</v>
      </c>
      <c r="C7" s="194" t="s">
        <v>556</v>
      </c>
      <c r="D7" s="194" t="s">
        <v>555</v>
      </c>
      <c r="E7" s="194" t="s">
        <v>554</v>
      </c>
      <c r="F7" s="205" t="s">
        <v>553</v>
      </c>
    </row>
    <row r="8" spans="2:6" ht="15" customHeight="1">
      <c r="B8" s="194" t="s">
        <v>96</v>
      </c>
      <c r="C8" s="194" t="s">
        <v>48</v>
      </c>
      <c r="D8" s="194" t="s">
        <v>47</v>
      </c>
      <c r="E8" s="194" t="s">
        <v>552</v>
      </c>
      <c r="F8" s="205" t="s">
        <v>551</v>
      </c>
    </row>
    <row r="9" spans="2:6" ht="15" customHeight="1">
      <c r="B9" s="194" t="s">
        <v>184</v>
      </c>
      <c r="C9" s="194" t="s">
        <v>46</v>
      </c>
      <c r="D9" s="194" t="s">
        <v>45</v>
      </c>
      <c r="E9" s="194" t="s">
        <v>550</v>
      </c>
      <c r="F9" s="205" t="s">
        <v>549</v>
      </c>
    </row>
    <row r="10" spans="2:6" ht="15" customHeight="1">
      <c r="B10" s="194" t="s">
        <v>94</v>
      </c>
      <c r="C10" s="194" t="s">
        <v>44</v>
      </c>
      <c r="D10" s="194" t="s">
        <v>43</v>
      </c>
      <c r="E10" s="194" t="s">
        <v>548</v>
      </c>
      <c r="F10" s="205" t="s">
        <v>547</v>
      </c>
    </row>
    <row r="11" spans="2:6" ht="15" customHeight="1">
      <c r="B11" s="194" t="s">
        <v>93</v>
      </c>
      <c r="C11" s="194" t="s">
        <v>42</v>
      </c>
      <c r="D11" s="194" t="s">
        <v>41</v>
      </c>
      <c r="E11" s="194" t="s">
        <v>546</v>
      </c>
      <c r="F11" s="205" t="s">
        <v>545</v>
      </c>
    </row>
    <row r="12" spans="2:6" ht="15" customHeight="1">
      <c r="B12" s="194" t="s">
        <v>92</v>
      </c>
      <c r="C12" s="194" t="s">
        <v>40</v>
      </c>
      <c r="D12" s="194" t="s">
        <v>39</v>
      </c>
      <c r="E12" s="194" t="s">
        <v>544</v>
      </c>
      <c r="F12" s="205" t="s">
        <v>543</v>
      </c>
    </row>
    <row r="13" spans="2:6" ht="15" customHeight="1">
      <c r="B13" s="194" t="s">
        <v>178</v>
      </c>
      <c r="C13" s="194" t="s">
        <v>38</v>
      </c>
      <c r="D13" s="194" t="s">
        <v>37</v>
      </c>
      <c r="E13" s="194" t="s">
        <v>542</v>
      </c>
      <c r="F13" s="205" t="s">
        <v>541</v>
      </c>
    </row>
    <row r="14" spans="2:6" ht="15" customHeight="1">
      <c r="B14" s="194" t="s">
        <v>540</v>
      </c>
      <c r="C14" s="194" t="s">
        <v>539</v>
      </c>
      <c r="D14" s="194" t="s">
        <v>538</v>
      </c>
      <c r="E14" s="194" t="s">
        <v>537</v>
      </c>
      <c r="F14" s="205" t="s">
        <v>536</v>
      </c>
    </row>
    <row r="15" spans="2:6" ht="15" customHeight="1">
      <c r="B15" s="194" t="s">
        <v>91</v>
      </c>
      <c r="C15" s="194" t="s">
        <v>36</v>
      </c>
      <c r="D15" s="194" t="s">
        <v>35</v>
      </c>
      <c r="E15" s="194" t="s">
        <v>535</v>
      </c>
      <c r="F15" s="205" t="s">
        <v>534</v>
      </c>
    </row>
    <row r="16" spans="2:6" ht="15" customHeight="1">
      <c r="B16" s="194" t="s">
        <v>90</v>
      </c>
      <c r="C16" s="194" t="s">
        <v>31</v>
      </c>
      <c r="D16" s="194" t="s">
        <v>30</v>
      </c>
      <c r="E16" s="194" t="s">
        <v>533</v>
      </c>
      <c r="F16" s="205" t="s">
        <v>532</v>
      </c>
    </row>
    <row r="17" spans="2:6" ht="15" customHeight="1">
      <c r="B17" s="194" t="s">
        <v>89</v>
      </c>
      <c r="C17" s="194" t="s">
        <v>29</v>
      </c>
      <c r="D17" s="194" t="s">
        <v>28</v>
      </c>
      <c r="E17" s="194" t="s">
        <v>531</v>
      </c>
      <c r="F17" s="205" t="s">
        <v>530</v>
      </c>
    </row>
    <row r="18" spans="2:6" ht="15" customHeight="1">
      <c r="B18" s="194" t="s">
        <v>367</v>
      </c>
      <c r="C18" s="194" t="s">
        <v>27</v>
      </c>
      <c r="D18" s="194" t="s">
        <v>26</v>
      </c>
      <c r="E18" s="194" t="s">
        <v>529</v>
      </c>
      <c r="F18" s="205" t="s">
        <v>528</v>
      </c>
    </row>
    <row r="19" spans="2:6" ht="15" customHeight="1">
      <c r="B19" s="194" t="s">
        <v>87</v>
      </c>
      <c r="C19" s="194" t="s">
        <v>527</v>
      </c>
      <c r="D19" s="194" t="s">
        <v>526</v>
      </c>
      <c r="E19" s="194" t="s">
        <v>525</v>
      </c>
      <c r="F19" s="205" t="s">
        <v>524</v>
      </c>
    </row>
    <row r="20" spans="2:6" ht="15" customHeight="1">
      <c r="B20" s="194" t="s">
        <v>86</v>
      </c>
      <c r="C20" s="194" t="s">
        <v>24</v>
      </c>
      <c r="D20" s="194" t="s">
        <v>23</v>
      </c>
      <c r="E20" s="194" t="s">
        <v>523</v>
      </c>
      <c r="F20" s="205" t="s">
        <v>522</v>
      </c>
    </row>
    <row r="21" spans="2:6" ht="15" customHeight="1">
      <c r="B21" s="194" t="s">
        <v>85</v>
      </c>
      <c r="C21" s="194" t="s">
        <v>21</v>
      </c>
      <c r="D21" s="194" t="s">
        <v>20</v>
      </c>
      <c r="E21" s="194" t="s">
        <v>512</v>
      </c>
      <c r="F21" s="205" t="s">
        <v>521</v>
      </c>
    </row>
    <row r="22" spans="2:6" ht="15" customHeight="1">
      <c r="B22" s="194" t="s">
        <v>84</v>
      </c>
      <c r="C22" s="194" t="s">
        <v>16</v>
      </c>
      <c r="D22" s="194" t="s">
        <v>15</v>
      </c>
      <c r="E22" s="194" t="s">
        <v>520</v>
      </c>
      <c r="F22" s="205" t="s">
        <v>519</v>
      </c>
    </row>
    <row r="23" spans="2:6" ht="15" customHeight="1">
      <c r="B23" s="194" t="s">
        <v>83</v>
      </c>
      <c r="C23" s="194" t="s">
        <v>13</v>
      </c>
      <c r="D23" s="194" t="s">
        <v>12</v>
      </c>
      <c r="E23" s="194" t="s">
        <v>518</v>
      </c>
      <c r="F23" s="205" t="s">
        <v>517</v>
      </c>
    </row>
    <row r="24" spans="2:6" ht="15" customHeight="1">
      <c r="B24" s="194" t="s">
        <v>82</v>
      </c>
      <c r="C24" s="194" t="s">
        <v>516</v>
      </c>
      <c r="D24" s="194" t="s">
        <v>515</v>
      </c>
      <c r="E24" s="194" t="s">
        <v>514</v>
      </c>
      <c r="F24" s="205" t="s">
        <v>513</v>
      </c>
    </row>
    <row r="25" spans="2:6" ht="15" customHeight="1">
      <c r="B25" s="194" t="s">
        <v>81</v>
      </c>
      <c r="C25" s="194" t="s">
        <v>8</v>
      </c>
      <c r="D25" s="194" t="s">
        <v>7</v>
      </c>
      <c r="E25" s="194" t="s">
        <v>512</v>
      </c>
      <c r="F25" s="205" t="s">
        <v>511</v>
      </c>
    </row>
    <row r="26" spans="2:6" ht="15" customHeight="1">
      <c r="B26" s="194" t="s">
        <v>80</v>
      </c>
      <c r="C26" s="194" t="s">
        <v>4</v>
      </c>
      <c r="D26" s="194" t="s">
        <v>3</v>
      </c>
      <c r="E26" s="194" t="s">
        <v>510</v>
      </c>
      <c r="F26" s="205" t="s">
        <v>509</v>
      </c>
    </row>
  </sheetData>
  <hyperlinks>
    <hyperlink ref="F3" r:id="rId1" xr:uid="{ACE179FE-3BF0-49EE-B250-68BB005B8F68}"/>
    <hyperlink ref="F4" r:id="rId2" xr:uid="{7F5D73EE-6FE2-4EED-9663-349E1636CA89}"/>
    <hyperlink ref="F5" r:id="rId3" xr:uid="{91D7F429-A9BD-4B84-895D-FDF11EB19B23}"/>
    <hyperlink ref="F6" r:id="rId4" xr:uid="{EDFE6303-0A62-496A-AAC0-363B3586C76C}"/>
    <hyperlink ref="F7" r:id="rId5" xr:uid="{EBF87365-FB14-4E82-B6E7-A5801BB02E4B}"/>
    <hyperlink ref="F8" r:id="rId6" xr:uid="{78725E6C-C7B1-4BB8-A335-362D4EEA5E22}"/>
    <hyperlink ref="F9" r:id="rId7" xr:uid="{DC08AD05-845D-4D36-815B-D40D365F2C92}"/>
    <hyperlink ref="F10" r:id="rId8" xr:uid="{00F9210B-007F-4675-9D67-F43BD7A94283}"/>
    <hyperlink ref="F11" r:id="rId9" xr:uid="{4A9F03F7-89A5-469B-8A23-046C2CAAC87B}"/>
    <hyperlink ref="F12" r:id="rId10" xr:uid="{B3ADA732-F54C-49A9-93E6-F8C64B08CA5C}"/>
    <hyperlink ref="F13" r:id="rId11" xr:uid="{31F8FFFF-B607-440A-863E-56E9CA3A8F21}"/>
    <hyperlink ref="F14" r:id="rId12" xr:uid="{B27FEB3D-DC46-4837-A1F7-C2286AC52095}"/>
    <hyperlink ref="F15" r:id="rId13" xr:uid="{25E48A7F-6BEE-41C2-8BC1-9776953815DF}"/>
    <hyperlink ref="F16" r:id="rId14" xr:uid="{C79D1E6D-CF31-448B-8E0C-CCDD912FBC82}"/>
    <hyperlink ref="F17" r:id="rId15" xr:uid="{CBE84676-09A2-4F85-8E5B-D49D4DB5D971}"/>
    <hyperlink ref="F18" r:id="rId16" xr:uid="{7F17742C-A600-43C8-82FE-48534684B69C}"/>
    <hyperlink ref="F19" r:id="rId17" xr:uid="{6D32B002-C4DA-4B3B-BCF9-2560173345E0}"/>
    <hyperlink ref="F20" r:id="rId18" xr:uid="{67834EF7-1DD7-4FA1-8F55-81813EF30570}"/>
    <hyperlink ref="F21" r:id="rId19" xr:uid="{8488EDED-8F13-4DF6-BA9F-EFC0A5C13D55}"/>
    <hyperlink ref="F22" r:id="rId20" xr:uid="{17135F08-E943-44DF-8331-028A7D7BBB59}"/>
    <hyperlink ref="F23" r:id="rId21" xr:uid="{4F004A52-DAD8-48D4-8822-3CE9A5770EA9}"/>
    <hyperlink ref="F24" r:id="rId22" xr:uid="{04C6BD30-3C14-4F31-90FA-99FBEA64A039}"/>
    <hyperlink ref="F25" r:id="rId23" xr:uid="{C1206CC1-7E0E-489C-9FDE-CAB3047B51B0}"/>
    <hyperlink ref="F26" r:id="rId24" xr:uid="{5281D9E0-1D65-4162-83CC-7DA3F9C1072E}"/>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F0C4D-8DFB-47EB-B3D7-38A869FCC2C0}">
  <dimension ref="B2:F7"/>
  <sheetViews>
    <sheetView showGridLines="0" workbookViewId="0">
      <selection activeCell="C3" sqref="C3"/>
    </sheetView>
  </sheetViews>
  <sheetFormatPr defaultColWidth="12.1796875" defaultRowHeight="15" customHeight="1"/>
  <cols>
    <col min="1" max="1" width="11.6328125" style="155" customWidth="1"/>
    <col min="2" max="2" width="41.08984375" style="155" customWidth="1"/>
    <col min="3" max="3" width="14" style="155" bestFit="1" customWidth="1"/>
    <col min="4" max="4" width="9.81640625" style="155" bestFit="1" customWidth="1"/>
    <col min="5" max="5" width="14" style="155" bestFit="1" customWidth="1"/>
    <col min="6" max="6" width="13.453125" style="155" customWidth="1"/>
    <col min="7" max="26" width="11.6328125" style="155" customWidth="1"/>
    <col min="27" max="16384" width="12.1796875" style="155"/>
  </cols>
  <sheetData>
    <row r="2" spans="2:6" ht="15" customHeight="1">
      <c r="B2" s="196" t="s">
        <v>462</v>
      </c>
      <c r="C2" s="195" t="s">
        <v>461</v>
      </c>
      <c r="D2" s="195" t="s">
        <v>61</v>
      </c>
      <c r="E2" s="195" t="s">
        <v>460</v>
      </c>
      <c r="F2" s="195" t="s">
        <v>459</v>
      </c>
    </row>
    <row r="3" spans="2:6" ht="15" customHeight="1">
      <c r="B3" s="194" t="e" vm="405">
        <v>#VALUE!</v>
      </c>
      <c r="C3" s="155" t="str" cm="1">
        <f t="array" ref="C3">_FV(B3,"Ticker symbol",TRUE)</f>
        <v>AAPL</v>
      </c>
      <c r="D3" s="193" cm="1">
        <f t="array" ref="D3">_FV(B3,"Price")</f>
        <v>172.48750000000001</v>
      </c>
      <c r="E3" s="193" cm="1">
        <f t="array" ref="E3">_FV(B3,"52 week high",TRUE)</f>
        <v>198.23</v>
      </c>
      <c r="F3" s="193" cm="1">
        <f t="array" ref="F3">_FV(B3,"52 week low",TRUE)</f>
        <v>124.17</v>
      </c>
    </row>
    <row r="4" spans="2:6" ht="15" customHeight="1">
      <c r="B4" s="194" t="e" vm="406">
        <v>#VALUE!</v>
      </c>
      <c r="C4" s="155" t="str" cm="1">
        <f t="array" ref="C4">_FV(B4,"Ticker symbol",TRUE)</f>
        <v>AMZN</v>
      </c>
      <c r="D4" s="193" cm="1">
        <f t="array" ref="D4">_FV(B4,"Price")</f>
        <v>127.6776</v>
      </c>
      <c r="E4" s="193" cm="1">
        <f t="array" ref="E4">_FV(B4,"52 week high",TRUE)</f>
        <v>145.86000000000001</v>
      </c>
      <c r="F4" s="193" cm="1">
        <f t="array" ref="F4">_FV(B4,"52 week low",TRUE)</f>
        <v>81.430000000000007</v>
      </c>
    </row>
    <row r="5" spans="2:6" ht="15" customHeight="1">
      <c r="B5" s="194" t="e" vm="407">
        <v>#VALUE!</v>
      </c>
      <c r="C5" s="155" t="str" cm="1">
        <f t="array" ref="C5">_FV(B5,"Ticker symbol",TRUE)</f>
        <v>MSFT</v>
      </c>
      <c r="D5" s="193" cm="1">
        <f t="array" ref="D5">_FV(B5,"Price")</f>
        <v>329.78559999999999</v>
      </c>
      <c r="E5" s="193" cm="1">
        <f t="array" ref="E5">_FV(B5,"52 week high",TRUE)</f>
        <v>366.78</v>
      </c>
      <c r="F5" s="193" cm="1">
        <f t="array" ref="F5">_FV(B5,"52 week low",TRUE)</f>
        <v>213.43100000000001</v>
      </c>
    </row>
    <row r="6" spans="2:6" ht="15" customHeight="1">
      <c r="B6" s="194" t="e" vm="408">
        <v>#VALUE!</v>
      </c>
      <c r="C6" s="155" t="str" cm="1">
        <f t="array" ref="C6">_FV(B6,"Ticker symbol",TRUE)</f>
        <v>NKE</v>
      </c>
      <c r="D6" s="193" cm="1">
        <f t="array" ref="D6">_FV(B6,"Price")</f>
        <v>105.15</v>
      </c>
      <c r="E6" s="193" cm="1">
        <f t="array" ref="E6">_FV(B6,"52 week high",TRUE)</f>
        <v>131.31</v>
      </c>
      <c r="F6" s="193" cm="1">
        <f t="array" ref="F6">_FV(B6,"52 week low",TRUE)</f>
        <v>86.24</v>
      </c>
    </row>
    <row r="7" spans="2:6" ht="15" customHeight="1">
      <c r="B7" s="194" t="e" vm="409">
        <v>#VALUE!</v>
      </c>
      <c r="C7" s="155" t="str" cm="1">
        <f t="array" ref="C7">_FV(B7,"Ticker symbol",TRUE)</f>
        <v>WMT</v>
      </c>
      <c r="D7" s="193" cm="1">
        <f t="array" ref="D7">_FV(B7,"Price")</f>
        <v>162.94499999999999</v>
      </c>
      <c r="E7" s="193" cm="1">
        <f t="array" ref="E7">_FV(B7,"52 week high",TRUE)</f>
        <v>165.84989999999999</v>
      </c>
      <c r="F7" s="193" cm="1">
        <f t="array" ref="F7">_FV(B7,"52 week low",TRUE)</f>
        <v>136.09</v>
      </c>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C31AB-D9DE-46CA-A065-67804DEE8FEA}">
  <dimension ref="B2:E37"/>
  <sheetViews>
    <sheetView showGridLines="0" topLeftCell="A19" zoomScale="150" zoomScaleNormal="150" workbookViewId="0">
      <selection activeCell="E6" sqref="E6"/>
    </sheetView>
  </sheetViews>
  <sheetFormatPr defaultColWidth="11.6328125" defaultRowHeight="15.5"/>
  <cols>
    <col min="1" max="1" width="11.6328125" style="1"/>
    <col min="2" max="2" width="10.36328125" style="1" customWidth="1"/>
    <col min="3" max="3" width="15.81640625" style="1" bestFit="1" customWidth="1"/>
    <col min="4" max="4" width="9.453125" style="1" bestFit="1" customWidth="1"/>
    <col min="5" max="5" width="12.1796875" style="1" customWidth="1"/>
    <col min="6" max="16384" width="11.6328125" style="1"/>
  </cols>
  <sheetData>
    <row r="2" spans="2:5">
      <c r="B2" s="87" t="s">
        <v>195</v>
      </c>
      <c r="C2" s="86"/>
      <c r="D2" s="86"/>
      <c r="E2" s="86"/>
    </row>
    <row r="3" spans="2:5">
      <c r="B3" s="1" t="s">
        <v>369</v>
      </c>
    </row>
    <row r="5" spans="2:5">
      <c r="B5" s="4" t="s">
        <v>67</v>
      </c>
      <c r="C5" s="4" t="s">
        <v>116</v>
      </c>
      <c r="D5" s="4" t="s">
        <v>64</v>
      </c>
      <c r="E5" s="99" t="s">
        <v>368</v>
      </c>
    </row>
    <row r="6" spans="2:5">
      <c r="B6" s="3">
        <v>1295</v>
      </c>
      <c r="C6" s="3" t="s">
        <v>79</v>
      </c>
      <c r="D6" s="3" t="s">
        <v>11</v>
      </c>
      <c r="E6" s="98">
        <v>2500</v>
      </c>
    </row>
    <row r="7" spans="2:5">
      <c r="B7" s="3">
        <f t="shared" ref="B7:B37" si="0">B6+3</f>
        <v>1298</v>
      </c>
      <c r="C7" s="3" t="s">
        <v>190</v>
      </c>
      <c r="D7" s="3" t="s">
        <v>55</v>
      </c>
      <c r="E7" s="98">
        <v>100</v>
      </c>
    </row>
    <row r="8" spans="2:5">
      <c r="B8" s="3">
        <f t="shared" si="0"/>
        <v>1301</v>
      </c>
      <c r="C8" s="3" t="s">
        <v>99</v>
      </c>
      <c r="D8" s="3" t="s">
        <v>11</v>
      </c>
      <c r="E8" s="98">
        <v>6000</v>
      </c>
    </row>
    <row r="9" spans="2:5">
      <c r="B9" s="3">
        <f t="shared" si="0"/>
        <v>1304</v>
      </c>
      <c r="C9" s="3" t="s">
        <v>189</v>
      </c>
      <c r="D9" s="3" t="s">
        <v>11</v>
      </c>
      <c r="E9" s="98">
        <v>450</v>
      </c>
    </row>
    <row r="10" spans="2:5">
      <c r="B10" s="3">
        <f t="shared" si="0"/>
        <v>1307</v>
      </c>
      <c r="C10" s="3" t="s">
        <v>96</v>
      </c>
      <c r="D10" s="3" t="s">
        <v>25</v>
      </c>
      <c r="E10" s="98">
        <v>320</v>
      </c>
    </row>
    <row r="11" spans="2:5">
      <c r="B11" s="3">
        <f t="shared" si="0"/>
        <v>1310</v>
      </c>
      <c r="C11" s="3" t="s">
        <v>184</v>
      </c>
      <c r="D11" s="3" t="s">
        <v>14</v>
      </c>
      <c r="E11" s="98">
        <v>200</v>
      </c>
    </row>
    <row r="12" spans="2:5">
      <c r="B12" s="3">
        <f t="shared" si="0"/>
        <v>1313</v>
      </c>
      <c r="C12" s="3" t="s">
        <v>94</v>
      </c>
      <c r="D12" s="3" t="s">
        <v>14</v>
      </c>
      <c r="E12" s="98">
        <v>200</v>
      </c>
    </row>
    <row r="13" spans="2:5">
      <c r="B13" s="3">
        <f t="shared" si="0"/>
        <v>1316</v>
      </c>
      <c r="C13" s="3" t="s">
        <v>93</v>
      </c>
      <c r="D13" s="3" t="s">
        <v>25</v>
      </c>
      <c r="E13" s="98">
        <v>999</v>
      </c>
    </row>
    <row r="14" spans="2:5">
      <c r="B14" s="3">
        <f t="shared" si="0"/>
        <v>1319</v>
      </c>
      <c r="C14" s="3" t="s">
        <v>92</v>
      </c>
      <c r="D14" s="3" t="s">
        <v>25</v>
      </c>
      <c r="E14" s="98">
        <v>1000</v>
      </c>
    </row>
    <row r="15" spans="2:5">
      <c r="B15" s="3">
        <f t="shared" si="0"/>
        <v>1322</v>
      </c>
      <c r="C15" s="3" t="s">
        <v>178</v>
      </c>
      <c r="D15" s="3" t="s">
        <v>14</v>
      </c>
      <c r="E15" s="98">
        <v>15000</v>
      </c>
    </row>
    <row r="16" spans="2:5">
      <c r="B16" s="3">
        <f t="shared" si="0"/>
        <v>1325</v>
      </c>
      <c r="C16" s="3" t="s">
        <v>91</v>
      </c>
      <c r="D16" s="3" t="s">
        <v>25</v>
      </c>
      <c r="E16" s="98">
        <v>600</v>
      </c>
    </row>
    <row r="17" spans="2:5">
      <c r="B17" s="3">
        <f t="shared" si="0"/>
        <v>1328</v>
      </c>
      <c r="C17" s="3" t="s">
        <v>90</v>
      </c>
      <c r="D17" s="3" t="s">
        <v>14</v>
      </c>
      <c r="E17" s="98">
        <v>850</v>
      </c>
    </row>
    <row r="18" spans="2:5">
      <c r="B18" s="3">
        <f t="shared" si="0"/>
        <v>1331</v>
      </c>
      <c r="C18" s="3" t="s">
        <v>89</v>
      </c>
      <c r="D18" s="3" t="s">
        <v>14</v>
      </c>
      <c r="E18" s="98">
        <v>1250</v>
      </c>
    </row>
    <row r="19" spans="2:5">
      <c r="B19" s="3">
        <f t="shared" si="0"/>
        <v>1334</v>
      </c>
      <c r="C19" s="3" t="s">
        <v>367</v>
      </c>
      <c r="D19" s="3" t="s">
        <v>25</v>
      </c>
      <c r="E19" s="98">
        <v>4500</v>
      </c>
    </row>
    <row r="20" spans="2:5">
      <c r="B20" s="3">
        <f t="shared" si="0"/>
        <v>1337</v>
      </c>
      <c r="C20" s="3" t="s">
        <v>86</v>
      </c>
      <c r="D20" s="3" t="s">
        <v>25</v>
      </c>
      <c r="E20" s="98">
        <v>3600</v>
      </c>
    </row>
    <row r="21" spans="2:5">
      <c r="B21" s="3">
        <f t="shared" si="0"/>
        <v>1340</v>
      </c>
      <c r="C21" s="3" t="s">
        <v>85</v>
      </c>
      <c r="D21" s="3" t="s">
        <v>19</v>
      </c>
      <c r="E21" s="98">
        <v>850</v>
      </c>
    </row>
    <row r="22" spans="2:5">
      <c r="B22" s="3">
        <f t="shared" si="0"/>
        <v>1343</v>
      </c>
      <c r="C22" s="3" t="s">
        <v>84</v>
      </c>
      <c r="D22" s="3" t="s">
        <v>14</v>
      </c>
      <c r="E22" s="98">
        <v>320</v>
      </c>
    </row>
    <row r="23" spans="2:5">
      <c r="B23" s="3">
        <f t="shared" si="0"/>
        <v>1346</v>
      </c>
      <c r="C23" s="3" t="s">
        <v>83</v>
      </c>
      <c r="D23" s="3" t="s">
        <v>11</v>
      </c>
      <c r="E23" s="98">
        <v>6500</v>
      </c>
    </row>
    <row r="24" spans="2:5">
      <c r="B24" s="3">
        <f t="shared" si="0"/>
        <v>1349</v>
      </c>
      <c r="C24" s="3" t="s">
        <v>81</v>
      </c>
      <c r="D24" s="3" t="s">
        <v>11</v>
      </c>
      <c r="E24" s="98">
        <v>100</v>
      </c>
    </row>
    <row r="25" spans="2:5">
      <c r="B25" s="3">
        <f t="shared" si="0"/>
        <v>1352</v>
      </c>
      <c r="C25" s="3" t="s">
        <v>80</v>
      </c>
      <c r="D25" s="3" t="s">
        <v>11</v>
      </c>
      <c r="E25" s="98">
        <v>550</v>
      </c>
    </row>
    <row r="26" spans="2:5">
      <c r="B26" s="3">
        <f t="shared" si="0"/>
        <v>1355</v>
      </c>
      <c r="C26" s="1" t="s">
        <v>366</v>
      </c>
      <c r="D26" s="3" t="s">
        <v>19</v>
      </c>
      <c r="E26" s="98">
        <v>250</v>
      </c>
    </row>
    <row r="27" spans="2:5">
      <c r="B27" s="3">
        <f t="shared" si="0"/>
        <v>1358</v>
      </c>
      <c r="C27" s="1" t="s">
        <v>365</v>
      </c>
      <c r="D27" s="3" t="s">
        <v>19</v>
      </c>
      <c r="E27" s="98">
        <v>3000</v>
      </c>
    </row>
    <row r="28" spans="2:5">
      <c r="B28" s="3">
        <f t="shared" si="0"/>
        <v>1361</v>
      </c>
      <c r="C28" s="1" t="s">
        <v>364</v>
      </c>
      <c r="D28" s="3" t="s">
        <v>19</v>
      </c>
      <c r="E28" s="98">
        <v>7500</v>
      </c>
    </row>
    <row r="29" spans="2:5">
      <c r="B29" s="3">
        <f t="shared" si="0"/>
        <v>1364</v>
      </c>
      <c r="C29" s="1" t="s">
        <v>363</v>
      </c>
      <c r="D29" s="3" t="s">
        <v>19</v>
      </c>
      <c r="E29" s="98">
        <v>450</v>
      </c>
    </row>
    <row r="30" spans="2:5">
      <c r="B30" s="3">
        <f t="shared" si="0"/>
        <v>1367</v>
      </c>
      <c r="C30" s="1" t="s">
        <v>362</v>
      </c>
      <c r="D30" s="3" t="s">
        <v>19</v>
      </c>
      <c r="E30" s="98">
        <v>280</v>
      </c>
    </row>
    <row r="31" spans="2:5">
      <c r="B31" s="3">
        <f t="shared" si="0"/>
        <v>1370</v>
      </c>
      <c r="C31" s="1" t="s">
        <v>361</v>
      </c>
      <c r="D31" s="3" t="s">
        <v>55</v>
      </c>
      <c r="E31" s="98">
        <v>12500</v>
      </c>
    </row>
    <row r="32" spans="2:5">
      <c r="B32" s="3">
        <f t="shared" si="0"/>
        <v>1373</v>
      </c>
      <c r="C32" s="1" t="s">
        <v>360</v>
      </c>
      <c r="D32" s="3" t="s">
        <v>11</v>
      </c>
      <c r="E32" s="98">
        <v>10000</v>
      </c>
    </row>
    <row r="33" spans="2:5">
      <c r="B33" s="3">
        <f t="shared" si="0"/>
        <v>1376</v>
      </c>
      <c r="C33" s="1" t="s">
        <v>359</v>
      </c>
      <c r="D33" s="3" t="s">
        <v>11</v>
      </c>
      <c r="E33" s="98">
        <v>780</v>
      </c>
    </row>
    <row r="34" spans="2:5">
      <c r="B34" s="3">
        <f t="shared" si="0"/>
        <v>1379</v>
      </c>
      <c r="C34" s="1" t="s">
        <v>358</v>
      </c>
      <c r="D34" s="3" t="s">
        <v>25</v>
      </c>
      <c r="E34" s="98">
        <v>450</v>
      </c>
    </row>
    <row r="35" spans="2:5">
      <c r="B35" s="3">
        <f t="shared" si="0"/>
        <v>1382</v>
      </c>
      <c r="C35" s="1" t="s">
        <v>357</v>
      </c>
      <c r="D35" s="3" t="s">
        <v>14</v>
      </c>
      <c r="E35" s="98">
        <v>800</v>
      </c>
    </row>
    <row r="36" spans="2:5">
      <c r="B36" s="3">
        <f t="shared" si="0"/>
        <v>1385</v>
      </c>
      <c r="C36" s="1" t="s">
        <v>356</v>
      </c>
      <c r="D36" s="3" t="s">
        <v>14</v>
      </c>
      <c r="E36" s="98">
        <v>800</v>
      </c>
    </row>
    <row r="37" spans="2:5">
      <c r="B37" s="3">
        <f t="shared" si="0"/>
        <v>1388</v>
      </c>
      <c r="C37" s="1" t="s">
        <v>355</v>
      </c>
      <c r="D37" s="3" t="s">
        <v>14</v>
      </c>
      <c r="E37" s="98">
        <v>750</v>
      </c>
    </row>
  </sheetData>
  <conditionalFormatting sqref="E6:E37">
    <cfRule type="top10" dxfId="6" priority="1" bottom="1" rank="10"/>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A1B10-F7F7-4F0F-AE9F-57987E146191}">
  <dimension ref="B2:M12"/>
  <sheetViews>
    <sheetView showGridLines="0" topLeftCell="H1" workbookViewId="0">
      <selection activeCell="P9" sqref="P9"/>
    </sheetView>
  </sheetViews>
  <sheetFormatPr defaultColWidth="12.1796875" defaultRowHeight="15" customHeight="1"/>
  <cols>
    <col min="1" max="1" width="11.6328125" style="155" customWidth="1"/>
    <col min="2" max="2" width="42.90625" style="155" customWidth="1"/>
    <col min="3" max="26" width="11.6328125" style="155" customWidth="1"/>
    <col min="27" max="16384" width="12.1796875" style="155"/>
  </cols>
  <sheetData>
    <row r="2" spans="2:13" ht="15" customHeight="1">
      <c r="B2" s="198" t="s">
        <v>500</v>
      </c>
      <c r="D2" s="196" t="s">
        <v>106</v>
      </c>
      <c r="E2" s="196" t="s">
        <v>66</v>
      </c>
      <c r="F2" s="196" t="s">
        <v>65</v>
      </c>
      <c r="G2" s="196" t="s">
        <v>499</v>
      </c>
      <c r="H2" s="196" t="s">
        <v>61</v>
      </c>
    </row>
    <row r="3" spans="2:13" ht="15" customHeight="1">
      <c r="B3" s="194" t="s">
        <v>498</v>
      </c>
      <c r="D3" s="197">
        <v>126493</v>
      </c>
      <c r="E3" s="155" t="s">
        <v>497</v>
      </c>
      <c r="F3" s="155" t="s">
        <v>496</v>
      </c>
      <c r="G3" s="155" t="s">
        <v>495</v>
      </c>
      <c r="H3" s="155" t="s">
        <v>494</v>
      </c>
      <c r="I3" s="155" t="str" cm="1">
        <f t="array" ref="I3:M3">_xlfn.TEXTSPLIT(B3,"_")</f>
        <v>00126493</v>
      </c>
      <c r="J3" s="359" t="str">
        <v>Theresa</v>
      </c>
      <c r="K3" s="359" t="str">
        <v>Mayer</v>
      </c>
      <c r="L3" s="359" t="str">
        <v>ipad</v>
      </c>
      <c r="M3" s="155" t="str">
        <v>995.95</v>
      </c>
    </row>
    <row r="4" spans="2:13" ht="15" customHeight="1">
      <c r="B4" s="194" t="s">
        <v>493</v>
      </c>
      <c r="D4" s="197">
        <v>132670</v>
      </c>
      <c r="E4" s="155" t="s">
        <v>492</v>
      </c>
      <c r="F4" s="155" t="s">
        <v>491</v>
      </c>
      <c r="G4" s="155" t="s">
        <v>464</v>
      </c>
      <c r="H4" s="155" t="s">
        <v>463</v>
      </c>
      <c r="I4" s="155" t="str" cm="1">
        <f t="array" ref="I4:M4">_xlfn.TEXTSPLIT(B4,"_")</f>
        <v>00132670</v>
      </c>
      <c r="J4" s="359" t="str">
        <v>Josh</v>
      </c>
      <c r="K4" s="359" t="str">
        <v>Jack</v>
      </c>
      <c r="L4" s="359" t="str">
        <v>iphone</v>
      </c>
      <c r="M4" s="155" t="str">
        <v>1110.95</v>
      </c>
    </row>
    <row r="5" spans="2:13" ht="15" customHeight="1">
      <c r="B5" s="194" t="s">
        <v>490</v>
      </c>
      <c r="D5" s="197">
        <v>135566</v>
      </c>
      <c r="E5" s="155" t="s">
        <v>489</v>
      </c>
      <c r="F5" s="155" t="s">
        <v>486</v>
      </c>
      <c r="G5" s="155" t="s">
        <v>475</v>
      </c>
      <c r="H5" s="155" t="s">
        <v>474</v>
      </c>
      <c r="I5" s="155" t="str" cm="1">
        <f t="array" ref="I5:M5">_xlfn.TEXTSPLIT(B5,"_")</f>
        <v>00135566</v>
      </c>
      <c r="J5" s="359" t="str">
        <v>Sammy</v>
      </c>
      <c r="K5" s="359" t="str">
        <v>Lee</v>
      </c>
      <c r="L5" s="359" t="str">
        <v>macbook</v>
      </c>
      <c r="M5" s="155" t="str">
        <v>1499.95</v>
      </c>
    </row>
    <row r="6" spans="2:13" ht="15" customHeight="1">
      <c r="B6" s="194" t="s">
        <v>488</v>
      </c>
      <c r="D6" s="197">
        <v>132679</v>
      </c>
      <c r="E6" s="155" t="s">
        <v>487</v>
      </c>
      <c r="F6" s="155" t="s">
        <v>486</v>
      </c>
      <c r="G6" s="155" t="s">
        <v>483</v>
      </c>
      <c r="H6" s="155" t="s">
        <v>482</v>
      </c>
      <c r="I6" s="155" t="str" cm="1">
        <f t="array" ref="I6:M6">_xlfn.TEXTSPLIT(B6,"_")</f>
        <v>00132679</v>
      </c>
      <c r="J6" s="359" t="str">
        <v>John</v>
      </c>
      <c r="K6" s="359" t="str">
        <v>Lee</v>
      </c>
      <c r="L6" s="359" t="str">
        <v>iwatch</v>
      </c>
      <c r="M6" s="155" t="str">
        <v>295.95</v>
      </c>
    </row>
    <row r="7" spans="2:13" ht="15" customHeight="1">
      <c r="B7" s="194" t="s">
        <v>485</v>
      </c>
      <c r="D7" s="197">
        <v>149986</v>
      </c>
      <c r="E7" s="155" t="s">
        <v>484</v>
      </c>
      <c r="F7" s="155" t="s">
        <v>3</v>
      </c>
      <c r="G7" s="155" t="s">
        <v>483</v>
      </c>
      <c r="H7" s="155" t="s">
        <v>482</v>
      </c>
      <c r="I7" s="155" t="str" cm="1">
        <f t="array" ref="I7:M7">_xlfn.TEXTSPLIT(B7,"_")</f>
        <v>00149986</v>
      </c>
      <c r="J7" s="359" t="str">
        <v>Mark</v>
      </c>
      <c r="K7" s="359" t="str">
        <v>Andersen</v>
      </c>
      <c r="L7" s="359" t="str">
        <v>iwatch</v>
      </c>
      <c r="M7" s="155" t="str">
        <v>295.95</v>
      </c>
    </row>
    <row r="8" spans="2:13" ht="15" customHeight="1">
      <c r="B8" s="194" t="s">
        <v>481</v>
      </c>
      <c r="D8" s="197">
        <v>137784</v>
      </c>
      <c r="E8" s="155" t="s">
        <v>480</v>
      </c>
      <c r="F8" s="155" t="s">
        <v>479</v>
      </c>
      <c r="G8" s="155" t="s">
        <v>464</v>
      </c>
      <c r="H8" s="155" t="s">
        <v>463</v>
      </c>
      <c r="I8" s="155" t="str" cm="1">
        <f t="array" ref="I8:M8">_xlfn.TEXTSPLIT(B8,"_")</f>
        <v>00137784</v>
      </c>
      <c r="J8" s="359" t="str">
        <v>Sarah</v>
      </c>
      <c r="K8" s="359" t="str">
        <v>Von</v>
      </c>
      <c r="L8" s="359" t="str">
        <v>iphone</v>
      </c>
      <c r="M8" s="155" t="str">
        <v>1110.95</v>
      </c>
    </row>
    <row r="9" spans="2:13" ht="15" customHeight="1">
      <c r="B9" s="194" t="s">
        <v>478</v>
      </c>
      <c r="D9" s="197">
        <v>340294</v>
      </c>
      <c r="E9" s="155" t="s">
        <v>477</v>
      </c>
      <c r="F9" s="155" t="s">
        <v>476</v>
      </c>
      <c r="G9" s="155" t="s">
        <v>475</v>
      </c>
      <c r="H9" s="155" t="s">
        <v>474</v>
      </c>
      <c r="I9" s="155" t="str" cm="1">
        <f t="array" ref="I9:M9">_xlfn.TEXTSPLIT(B9,"_")</f>
        <v>00340294</v>
      </c>
      <c r="J9" s="359" t="str">
        <v>Hanna</v>
      </c>
      <c r="K9" s="359" t="str">
        <v>Hoover</v>
      </c>
      <c r="L9" s="359" t="str">
        <v>macbook</v>
      </c>
      <c r="M9" s="155" t="str">
        <v>1499.95</v>
      </c>
    </row>
    <row r="10" spans="2:13" ht="15" customHeight="1">
      <c r="B10" s="194" t="s">
        <v>473</v>
      </c>
      <c r="D10" s="197">
        <v>143928</v>
      </c>
      <c r="E10" s="155" t="s">
        <v>472</v>
      </c>
      <c r="F10" s="155" t="s">
        <v>471</v>
      </c>
      <c r="G10" s="155" t="s">
        <v>469</v>
      </c>
      <c r="H10" s="155" t="s">
        <v>468</v>
      </c>
      <c r="I10" s="155" t="str" cm="1">
        <f t="array" ref="I10:M10">_xlfn.TEXTSPLIT(B10,"_")</f>
        <v>00143928</v>
      </c>
      <c r="J10" s="359" t="str">
        <v>Irina</v>
      </c>
      <c r="K10" s="359" t="str">
        <v>Adams</v>
      </c>
      <c r="L10" s="359" t="str">
        <v>airpods</v>
      </c>
      <c r="M10" s="155" t="str">
        <v>99.95</v>
      </c>
    </row>
    <row r="11" spans="2:13" ht="15" customHeight="1">
      <c r="B11" s="194" t="s">
        <v>470</v>
      </c>
      <c r="D11" s="197">
        <v>323358</v>
      </c>
      <c r="E11" s="155" t="s">
        <v>300</v>
      </c>
      <c r="F11" s="155" t="s">
        <v>58</v>
      </c>
      <c r="G11" s="155" t="s">
        <v>469</v>
      </c>
      <c r="H11" s="155" t="s">
        <v>468</v>
      </c>
      <c r="I11" s="155" t="str" cm="1">
        <f t="array" ref="I11:M11">_xlfn.TEXTSPLIT(B11,"_")</f>
        <v>00323358</v>
      </c>
      <c r="J11" s="359" t="str">
        <v>Sam</v>
      </c>
      <c r="K11" s="359" t="str">
        <v>Smith</v>
      </c>
      <c r="L11" s="359" t="str">
        <v>airpods</v>
      </c>
      <c r="M11" s="155" t="str">
        <v>99.95</v>
      </c>
    </row>
    <row r="12" spans="2:13" ht="15" customHeight="1">
      <c r="B12" s="194" t="s">
        <v>467</v>
      </c>
      <c r="D12" s="197">
        <v>132546</v>
      </c>
      <c r="E12" s="155" t="s">
        <v>466</v>
      </c>
      <c r="F12" s="155" t="s">
        <v>465</v>
      </c>
      <c r="G12" s="155" t="s">
        <v>464</v>
      </c>
      <c r="H12" s="155" t="s">
        <v>463</v>
      </c>
      <c r="I12" s="155" t="str" cm="1">
        <f t="array" ref="I12:M12">_xlfn.TEXTSPLIT(B12,"_")</f>
        <v>00132546</v>
      </c>
      <c r="J12" s="359" t="str">
        <v>Adam</v>
      </c>
      <c r="K12" s="359" t="str">
        <v>Johnson</v>
      </c>
      <c r="L12" s="359" t="str">
        <v>iphone</v>
      </c>
      <c r="M12" s="155" t="str">
        <v>1110.95</v>
      </c>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D60A3-704A-46CB-82B5-CC6F3E85341E}">
  <dimension ref="B2:F35"/>
  <sheetViews>
    <sheetView showGridLines="0" topLeftCell="A11" workbookViewId="0">
      <selection activeCell="D13" sqref="D13"/>
    </sheetView>
  </sheetViews>
  <sheetFormatPr defaultColWidth="14.36328125" defaultRowHeight="23.5"/>
  <cols>
    <col min="1" max="1" width="10.36328125" style="370" customWidth="1"/>
    <col min="2" max="2" width="9.26953125" style="370" bestFit="1" customWidth="1"/>
    <col min="3" max="3" width="27.08984375" style="370" bestFit="1" customWidth="1"/>
    <col min="4" max="4" width="24.54296875" style="370" bestFit="1" customWidth="1"/>
    <col min="5" max="5" width="25.08984375" style="370" bestFit="1" customWidth="1"/>
    <col min="6" max="16384" width="14.36328125" style="370"/>
  </cols>
  <sheetData>
    <row r="2" spans="2:6">
      <c r="C2" s="372" t="s">
        <v>960</v>
      </c>
      <c r="D2" s="372" t="s">
        <v>959</v>
      </c>
      <c r="E2" s="372" t="s">
        <v>958</v>
      </c>
    </row>
    <row r="3" spans="2:6">
      <c r="B3" s="372" t="s">
        <v>957</v>
      </c>
      <c r="C3" s="370" t="s">
        <v>956</v>
      </c>
      <c r="D3" s="370" t="s">
        <v>955</v>
      </c>
      <c r="E3" s="370" t="s">
        <v>954</v>
      </c>
    </row>
    <row r="4" spans="2:6">
      <c r="B4" s="372" t="s">
        <v>953</v>
      </c>
      <c r="C4" s="370" t="s">
        <v>952</v>
      </c>
      <c r="D4" s="370" t="s">
        <v>951</v>
      </c>
      <c r="E4" s="370" t="s">
        <v>950</v>
      </c>
    </row>
    <row r="5" spans="2:6">
      <c r="B5" s="372" t="s">
        <v>949</v>
      </c>
      <c r="C5" s="370" t="s">
        <v>948</v>
      </c>
      <c r="D5" s="370" t="s">
        <v>947</v>
      </c>
      <c r="E5" s="370" t="s">
        <v>946</v>
      </c>
    </row>
    <row r="6" spans="2:6">
      <c r="B6" s="372" t="s">
        <v>945</v>
      </c>
      <c r="C6" s="370" t="s">
        <v>944</v>
      </c>
      <c r="D6" s="370" t="s">
        <v>932</v>
      </c>
      <c r="E6" s="370" t="s">
        <v>943</v>
      </c>
    </row>
    <row r="7" spans="2:6">
      <c r="B7" s="372" t="s">
        <v>942</v>
      </c>
      <c r="C7" s="370" t="s">
        <v>941</v>
      </c>
      <c r="D7" s="370" t="s">
        <v>940</v>
      </c>
      <c r="E7" s="370" t="s">
        <v>939</v>
      </c>
    </row>
    <row r="8" spans="2:6">
      <c r="B8" s="372" t="s">
        <v>938</v>
      </c>
      <c r="C8" s="370" t="s">
        <v>937</v>
      </c>
      <c r="D8" s="370" t="s">
        <v>936</v>
      </c>
      <c r="E8" s="370" t="s">
        <v>935</v>
      </c>
    </row>
    <row r="9" spans="2:6">
      <c r="B9" s="372" t="s">
        <v>934</v>
      </c>
      <c r="C9" s="370" t="s">
        <v>933</v>
      </c>
      <c r="D9" s="370" t="s">
        <v>932</v>
      </c>
      <c r="E9" s="370" t="s">
        <v>931</v>
      </c>
    </row>
    <row r="15" spans="2:6">
      <c r="C15" s="370" t="str" cm="1">
        <f t="array" ref="C15:C34">_xlfn.TEXTSPLIT(_xlfn.UNIQUE(_xlfn.TOCOL(C3:E9))," - ")</f>
        <v>Todd</v>
      </c>
      <c r="D15" s="370" t="s">
        <v>1046</v>
      </c>
      <c r="E15" s="370" t="s">
        <v>814</v>
      </c>
      <c r="F15" s="370" t="str" cm="1">
        <f t="array" ref="F15:F16">_xlfn.UNIQUE(_xlfn.VSTACK(D15:D35,E15:E35),,TRUE)</f>
        <v>Alfonse</v>
      </c>
    </row>
    <row r="16" spans="2:6">
      <c r="C16" s="370" t="str">
        <v>Nooni</v>
      </c>
      <c r="D16" s="370" t="s">
        <v>1048</v>
      </c>
      <c r="E16" s="370" t="s">
        <v>1053</v>
      </c>
      <c r="F16" s="370" t="str">
        <v>Sanford</v>
      </c>
    </row>
    <row r="17" spans="3:5">
      <c r="C17" s="370" t="str">
        <v>Ariel</v>
      </c>
      <c r="D17" s="370" t="s">
        <v>1055</v>
      </c>
      <c r="E17" s="370" t="s">
        <v>1049</v>
      </c>
    </row>
    <row r="18" spans="3:5">
      <c r="C18" s="370" t="str">
        <v>Erika</v>
      </c>
      <c r="D18" s="370" t="s">
        <v>1056</v>
      </c>
      <c r="E18" s="370" t="s">
        <v>1048</v>
      </c>
    </row>
    <row r="19" spans="3:5">
      <c r="C19" s="370" t="str">
        <v>Cheryl</v>
      </c>
      <c r="D19" s="370" t="s">
        <v>1051</v>
      </c>
      <c r="E19" s="370" t="s">
        <v>1052</v>
      </c>
    </row>
    <row r="20" spans="3:5">
      <c r="C20" s="370" t="str">
        <v>Alfonse</v>
      </c>
      <c r="D20" s="370" t="s">
        <v>1057</v>
      </c>
      <c r="E20" s="370" t="s">
        <v>1049</v>
      </c>
    </row>
    <row r="21" spans="3:5">
      <c r="C21" s="370" t="str">
        <v>Daisey</v>
      </c>
      <c r="D21" s="370" t="s">
        <v>1053</v>
      </c>
      <c r="E21" s="370" t="s">
        <v>922</v>
      </c>
    </row>
    <row r="22" spans="3:5">
      <c r="C22" s="370" t="str">
        <v>Levi</v>
      </c>
      <c r="D22" s="370" t="s">
        <v>1050</v>
      </c>
      <c r="E22" s="370" t="s">
        <v>1052</v>
      </c>
    </row>
    <row r="23" spans="3:5">
      <c r="C23" s="370" t="str">
        <v>Ariel</v>
      </c>
      <c r="D23" s="370" t="s">
        <v>1055</v>
      </c>
      <c r="E23" s="370" t="s">
        <v>59</v>
      </c>
    </row>
    <row r="24" spans="3:5">
      <c r="C24" s="370" t="str">
        <v>Erika</v>
      </c>
      <c r="D24" s="370" t="s">
        <v>1056</v>
      </c>
      <c r="E24" s="370" t="s">
        <v>1051</v>
      </c>
    </row>
    <row r="25" spans="3:5">
      <c r="C25" s="370" t="str">
        <v>Lolade</v>
      </c>
      <c r="D25" s="370" t="s">
        <v>1047</v>
      </c>
      <c r="E25" s="370" t="s">
        <v>1046</v>
      </c>
    </row>
    <row r="26" spans="3:5">
      <c r="C26" s="370" t="str">
        <v>Mars</v>
      </c>
      <c r="D26" s="370" t="s">
        <v>298</v>
      </c>
      <c r="E26" s="370" t="s">
        <v>1055</v>
      </c>
    </row>
    <row r="27" spans="3:5">
      <c r="C27" s="370" t="str">
        <v>Sanford</v>
      </c>
      <c r="D27" s="370" t="s">
        <v>1054</v>
      </c>
      <c r="E27" s="370" t="s">
        <v>1053</v>
      </c>
    </row>
    <row r="28" spans="3:5">
      <c r="C28" s="370" t="str">
        <v>Doris</v>
      </c>
      <c r="D28" s="370" t="s">
        <v>814</v>
      </c>
      <c r="E28" s="370" t="s">
        <v>1052</v>
      </c>
    </row>
    <row r="29" spans="3:5">
      <c r="C29" s="370" t="str">
        <v>Nooni</v>
      </c>
      <c r="D29" s="370" t="s">
        <v>1048</v>
      </c>
      <c r="E29" s="370" t="s">
        <v>59</v>
      </c>
    </row>
    <row r="30" spans="3:5">
      <c r="C30" s="370" t="str">
        <v>Daniel</v>
      </c>
      <c r="D30" s="370" t="s">
        <v>922</v>
      </c>
      <c r="E30" s="370" t="s">
        <v>1051</v>
      </c>
    </row>
    <row r="31" spans="3:5">
      <c r="C31" s="370" t="str">
        <v>Levi</v>
      </c>
      <c r="D31" s="370" t="s">
        <v>1050</v>
      </c>
      <c r="E31" s="370" t="s">
        <v>1047</v>
      </c>
    </row>
    <row r="32" spans="3:5">
      <c r="C32" s="370" t="str">
        <v>Bill</v>
      </c>
      <c r="D32" s="370" t="s">
        <v>59</v>
      </c>
      <c r="E32" s="370" t="s">
        <v>1049</v>
      </c>
    </row>
    <row r="33" spans="3:5">
      <c r="C33" s="370" t="str">
        <v>Mars</v>
      </c>
      <c r="D33" s="370" t="s">
        <v>298</v>
      </c>
      <c r="E33" s="370" t="s">
        <v>1048</v>
      </c>
    </row>
    <row r="34" spans="3:5">
      <c r="C34" s="370" t="str">
        <v>Mars</v>
      </c>
      <c r="D34" s="370" t="s">
        <v>1047</v>
      </c>
      <c r="E34" s="370" t="s">
        <v>1046</v>
      </c>
    </row>
    <row r="35" spans="3:5">
      <c r="D35" s="370" t="s">
        <v>298</v>
      </c>
      <c r="E35" s="370" t="s">
        <v>59</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C84CF-3C58-4B38-B093-2AEE9431004F}">
  <dimension ref="B2:I17"/>
  <sheetViews>
    <sheetView showGridLines="0" workbookViewId="0">
      <selection activeCell="I9" sqref="I9"/>
    </sheetView>
  </sheetViews>
  <sheetFormatPr defaultColWidth="12.1796875" defaultRowHeight="15" customHeight="1"/>
  <cols>
    <col min="1" max="1" width="11.6328125" style="155" customWidth="1"/>
    <col min="2" max="2" width="16" style="155" customWidth="1"/>
    <col min="3" max="8" width="11.6328125" style="155" customWidth="1"/>
    <col min="9" max="9" width="11.08984375" style="155" customWidth="1"/>
    <col min="10" max="26" width="11.6328125" style="155" customWidth="1"/>
    <col min="27" max="16384" width="12.1796875" style="155"/>
  </cols>
  <sheetData>
    <row r="2" spans="2:9" ht="15" customHeight="1">
      <c r="B2" s="202" t="s">
        <v>508</v>
      </c>
      <c r="C2" s="202"/>
      <c r="D2" s="202"/>
      <c r="E2" s="202"/>
      <c r="F2" s="202"/>
      <c r="G2" s="202"/>
      <c r="H2" s="202"/>
      <c r="I2" s="202"/>
    </row>
    <row r="3" spans="2:9" ht="15" customHeight="1">
      <c r="B3" s="204" t="s">
        <v>77</v>
      </c>
      <c r="C3" s="203" t="s">
        <v>507</v>
      </c>
      <c r="D3" s="203" t="s">
        <v>506</v>
      </c>
      <c r="E3" s="203" t="s">
        <v>505</v>
      </c>
      <c r="F3" s="203" t="s">
        <v>504</v>
      </c>
      <c r="G3" s="203" t="s">
        <v>503</v>
      </c>
      <c r="H3" s="203" t="s">
        <v>502</v>
      </c>
      <c r="I3" s="203" t="s">
        <v>501</v>
      </c>
    </row>
    <row r="4" spans="2:9" ht="15" customHeight="1">
      <c r="B4" s="202" t="s">
        <v>0</v>
      </c>
      <c r="C4" s="171">
        <v>92799</v>
      </c>
      <c r="D4" s="171">
        <v>100222.92000000001</v>
      </c>
      <c r="E4" s="171">
        <v>130289.79600000002</v>
      </c>
      <c r="F4" s="171">
        <v>110746.32660000001</v>
      </c>
      <c r="G4" s="171">
        <v>104101.54700400001</v>
      </c>
      <c r="H4" s="171">
        <v>116593.73264448001</v>
      </c>
      <c r="I4" s="171">
        <v>118925.60729736961</v>
      </c>
    </row>
    <row r="5" spans="2:9" ht="15" customHeight="1">
      <c r="B5" s="202" t="s">
        <v>74</v>
      </c>
      <c r="C5" s="171">
        <v>666566</v>
      </c>
      <c r="D5" s="171">
        <v>719891.28</v>
      </c>
      <c r="E5" s="171">
        <v>935858.66400000011</v>
      </c>
      <c r="F5" s="171">
        <v>795479.86440000008</v>
      </c>
      <c r="G5" s="171">
        <v>747751.07253600005</v>
      </c>
      <c r="H5" s="171">
        <v>837481.20124032011</v>
      </c>
      <c r="I5" s="171">
        <v>854230.82526512654</v>
      </c>
    </row>
    <row r="6" spans="2:9" ht="15" customHeight="1">
      <c r="B6" s="202" t="s">
        <v>17</v>
      </c>
      <c r="C6" s="171">
        <v>99127</v>
      </c>
      <c r="D6" s="171">
        <v>107057.16</v>
      </c>
      <c r="E6" s="171">
        <v>139174.30800000002</v>
      </c>
      <c r="F6" s="171">
        <v>118298.16180000002</v>
      </c>
      <c r="G6" s="171">
        <v>111200.27209200001</v>
      </c>
      <c r="H6" s="171">
        <v>124544.30474304003</v>
      </c>
      <c r="I6" s="171">
        <v>127035.19083790084</v>
      </c>
    </row>
    <row r="7" spans="2:9" ht="15" customHeight="1">
      <c r="B7" s="202" t="s">
        <v>73</v>
      </c>
      <c r="C7" s="171">
        <v>65468</v>
      </c>
      <c r="D7" s="171">
        <v>70705.440000000002</v>
      </c>
      <c r="E7" s="171">
        <v>91917.072</v>
      </c>
      <c r="F7" s="171">
        <v>78129.511199999994</v>
      </c>
      <c r="G7" s="171">
        <v>73441.740527999995</v>
      </c>
      <c r="H7" s="171">
        <v>82254.749391360005</v>
      </c>
      <c r="I7" s="171">
        <v>83899.844379187212</v>
      </c>
    </row>
    <row r="8" spans="2:9" ht="15" customHeight="1">
      <c r="B8" s="202" t="s">
        <v>72</v>
      </c>
      <c r="C8" s="171">
        <v>18856</v>
      </c>
      <c r="D8" s="171">
        <v>20364.48</v>
      </c>
      <c r="E8" s="171">
        <v>26473.824000000001</v>
      </c>
      <c r="F8" s="171">
        <v>22502.750400000001</v>
      </c>
      <c r="G8" s="171">
        <v>21152.585375999999</v>
      </c>
      <c r="H8" s="171">
        <v>23690.895621120002</v>
      </c>
      <c r="I8" s="171">
        <v>24164.713533542403</v>
      </c>
    </row>
    <row r="9" spans="2:9" ht="15" customHeight="1">
      <c r="B9" s="202" t="s">
        <v>71</v>
      </c>
      <c r="C9" s="171">
        <v>7648</v>
      </c>
      <c r="D9" s="171">
        <v>8259.84</v>
      </c>
      <c r="E9" s="171">
        <v>10737.792000000001</v>
      </c>
      <c r="F9" s="171">
        <v>9127.1232</v>
      </c>
      <c r="G9" s="171">
        <v>8579.4958079999997</v>
      </c>
      <c r="H9" s="171">
        <v>9609.0353049599998</v>
      </c>
      <c r="I9" s="171">
        <v>9801.2160110591994</v>
      </c>
    </row>
    <row r="10" spans="2:9" ht="15" customHeight="1">
      <c r="B10" s="202" t="s">
        <v>70</v>
      </c>
      <c r="C10" s="171">
        <v>9865</v>
      </c>
      <c r="D10" s="171">
        <v>10654.2</v>
      </c>
      <c r="E10" s="171">
        <v>13850.460000000001</v>
      </c>
      <c r="F10" s="171">
        <v>11772.891</v>
      </c>
      <c r="G10" s="171">
        <v>11066.517539999999</v>
      </c>
      <c r="H10" s="171">
        <v>12394.4996448</v>
      </c>
      <c r="I10" s="171">
        <v>12642.389637696</v>
      </c>
    </row>
    <row r="11" spans="2:9" ht="15" customHeight="1">
      <c r="B11" s="202" t="s">
        <v>69</v>
      </c>
      <c r="C11" s="171">
        <v>11061</v>
      </c>
      <c r="D11" s="171">
        <v>11945.880000000001</v>
      </c>
      <c r="E11" s="171">
        <v>15529.644000000002</v>
      </c>
      <c r="F11" s="171">
        <v>13200.197400000001</v>
      </c>
      <c r="G11" s="171">
        <v>12408.185556</v>
      </c>
      <c r="H11" s="171">
        <v>13897.167822720001</v>
      </c>
      <c r="I11" s="171">
        <v>14175.111179174401</v>
      </c>
    </row>
    <row r="12" spans="2:9" ht="15" customHeight="1">
      <c r="B12" s="202" t="s">
        <v>32</v>
      </c>
      <c r="C12" s="171">
        <v>78305</v>
      </c>
      <c r="D12" s="171">
        <v>84569.400000000009</v>
      </c>
      <c r="E12" s="171">
        <v>109940.22000000002</v>
      </c>
      <c r="F12" s="171">
        <v>93449.187000000005</v>
      </c>
      <c r="G12" s="171">
        <v>87842.235780000003</v>
      </c>
      <c r="H12" s="171">
        <v>98383.304073600011</v>
      </c>
      <c r="I12" s="171">
        <v>100350.97015507202</v>
      </c>
    </row>
    <row r="13" spans="2:9" ht="15" customHeight="1">
      <c r="B13" s="202" t="s">
        <v>68</v>
      </c>
      <c r="C13" s="171">
        <v>99857</v>
      </c>
      <c r="D13" s="171">
        <v>107845.56000000001</v>
      </c>
      <c r="E13" s="171">
        <v>140199.22800000003</v>
      </c>
      <c r="F13" s="171">
        <v>119169.34380000002</v>
      </c>
      <c r="G13" s="171">
        <v>112019.183172</v>
      </c>
      <c r="H13" s="171">
        <v>125461.48515264002</v>
      </c>
      <c r="I13" s="171">
        <v>127970.71485569282</v>
      </c>
    </row>
    <row r="14" spans="2:9" ht="15" customHeight="1">
      <c r="B14" s="201" t="s">
        <v>424</v>
      </c>
      <c r="C14" s="200">
        <v>1149552</v>
      </c>
      <c r="D14" s="200">
        <v>1241516.1599999999</v>
      </c>
      <c r="E14" s="200">
        <v>1613971.0080000001</v>
      </c>
      <c r="F14" s="200">
        <v>1371875.3568</v>
      </c>
      <c r="G14" s="200">
        <v>1289562.8353920002</v>
      </c>
      <c r="H14" s="200">
        <v>1444310.3756390405</v>
      </c>
      <c r="I14" s="200">
        <v>1473196.583151821</v>
      </c>
    </row>
    <row r="15" spans="2:9" ht="15" customHeight="1">
      <c r="I15" s="171"/>
    </row>
    <row r="16" spans="2:9" ht="15" customHeight="1">
      <c r="C16" s="199"/>
    </row>
    <row r="17" spans="3:3" ht="15" customHeight="1">
      <c r="C17" s="199"/>
    </row>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A6A35-0E1A-4701-BAAE-797113F3EAFE}">
  <dimension ref="B1:N20"/>
  <sheetViews>
    <sheetView showGridLines="0" workbookViewId="0">
      <selection activeCell="O3" sqref="O3"/>
    </sheetView>
  </sheetViews>
  <sheetFormatPr defaultColWidth="12.1796875" defaultRowHeight="15" customHeight="1"/>
  <cols>
    <col min="1" max="1" width="7.26953125" style="155" customWidth="1"/>
    <col min="2" max="2" width="5.453125" style="155" bestFit="1" customWidth="1"/>
    <col min="3" max="14" width="10.7265625" style="155" bestFit="1" customWidth="1"/>
    <col min="15" max="26" width="11.6328125" style="155" customWidth="1"/>
    <col min="27" max="16384" width="12.1796875" style="155"/>
  </cols>
  <sheetData>
    <row r="1" spans="2:14" ht="15.5"/>
    <row r="2" spans="2:14" ht="21.75" customHeight="1">
      <c r="B2" s="192" t="s">
        <v>132</v>
      </c>
      <c r="C2" s="191">
        <v>44197</v>
      </c>
      <c r="D2" s="191">
        <v>44228</v>
      </c>
      <c r="E2" s="191">
        <v>44256</v>
      </c>
      <c r="F2" s="191">
        <v>44287</v>
      </c>
      <c r="G2" s="191">
        <v>44317</v>
      </c>
      <c r="H2" s="191">
        <v>44348</v>
      </c>
      <c r="I2" s="191">
        <v>44378</v>
      </c>
      <c r="J2" s="191">
        <v>44409</v>
      </c>
      <c r="K2" s="191">
        <v>44440</v>
      </c>
      <c r="L2" s="191">
        <v>44470</v>
      </c>
      <c r="M2" s="191">
        <v>44501</v>
      </c>
      <c r="N2" s="191">
        <v>44531</v>
      </c>
    </row>
    <row r="3" spans="2:14" ht="21.75" customHeight="1">
      <c r="B3" s="190" t="s">
        <v>0</v>
      </c>
      <c r="C3" s="189">
        <v>92799</v>
      </c>
      <c r="D3" s="189">
        <f t="shared" ref="D3:D11" si="0">C3*1.08</f>
        <v>100222.92000000001</v>
      </c>
      <c r="E3" s="189">
        <f>D3*1.3</f>
        <v>130289.79600000002</v>
      </c>
      <c r="F3" s="189">
        <f>E3*0.85</f>
        <v>110746.32660000001</v>
      </c>
      <c r="G3" s="189">
        <f>F3*0.94</f>
        <v>104101.54700400001</v>
      </c>
      <c r="H3" s="189">
        <f t="shared" ref="H3:N3" si="1">G3*1.12</f>
        <v>116593.73264448001</v>
      </c>
      <c r="I3" s="189">
        <f t="shared" si="1"/>
        <v>130584.98056181763</v>
      </c>
      <c r="J3" s="189">
        <f t="shared" si="1"/>
        <v>146255.17822923575</v>
      </c>
      <c r="K3" s="189">
        <f t="shared" si="1"/>
        <v>163805.79961674407</v>
      </c>
      <c r="L3" s="189">
        <f t="shared" si="1"/>
        <v>183462.49557075338</v>
      </c>
      <c r="M3" s="189">
        <f t="shared" si="1"/>
        <v>205477.9950392438</v>
      </c>
      <c r="N3" s="189">
        <f t="shared" si="1"/>
        <v>230135.35444395308</v>
      </c>
    </row>
    <row r="4" spans="2:14" ht="21.75" customHeight="1">
      <c r="B4" s="190" t="s">
        <v>74</v>
      </c>
      <c r="C4" s="189">
        <v>666566</v>
      </c>
      <c r="D4" s="189">
        <f t="shared" si="0"/>
        <v>719891.28</v>
      </c>
      <c r="E4" s="189">
        <f t="shared" ref="E4:N4" si="2">D4*0.95</f>
        <v>683896.71600000001</v>
      </c>
      <c r="F4" s="189">
        <f t="shared" si="2"/>
        <v>649701.88020000001</v>
      </c>
      <c r="G4" s="189">
        <f t="shared" si="2"/>
        <v>617216.78619000001</v>
      </c>
      <c r="H4" s="189">
        <f t="shared" si="2"/>
        <v>586355.94688049995</v>
      </c>
      <c r="I4" s="189">
        <f t="shared" si="2"/>
        <v>557038.14953647496</v>
      </c>
      <c r="J4" s="189">
        <f t="shared" si="2"/>
        <v>529186.24205965118</v>
      </c>
      <c r="K4" s="189">
        <f t="shared" si="2"/>
        <v>502726.92995666858</v>
      </c>
      <c r="L4" s="189">
        <f t="shared" si="2"/>
        <v>477590.58345883514</v>
      </c>
      <c r="M4" s="189">
        <f t="shared" si="2"/>
        <v>453711.05428589339</v>
      </c>
      <c r="N4" s="189">
        <f t="shared" si="2"/>
        <v>431025.5015715987</v>
      </c>
    </row>
    <row r="5" spans="2:14" ht="21.75" customHeight="1">
      <c r="B5" s="190" t="s">
        <v>17</v>
      </c>
      <c r="C5" s="189">
        <v>99127</v>
      </c>
      <c r="D5" s="189">
        <f t="shared" si="0"/>
        <v>107057.16</v>
      </c>
      <c r="E5" s="189">
        <f t="shared" ref="E5:E11" si="3">D5*1.3</f>
        <v>139174.30800000002</v>
      </c>
      <c r="F5" s="189">
        <f t="shared" ref="F5:F11" si="4">E5*0.85</f>
        <v>118298.16180000002</v>
      </c>
      <c r="G5" s="189">
        <f t="shared" ref="G5:G11" si="5">F5*0.94</f>
        <v>111200.27209200001</v>
      </c>
      <c r="H5" s="189">
        <f t="shared" ref="H5:H11" si="6">G5*1.12</f>
        <v>124544.30474304003</v>
      </c>
      <c r="I5" s="189">
        <f t="shared" ref="I5:N5" si="7">D5</f>
        <v>107057.16</v>
      </c>
      <c r="J5" s="189">
        <f t="shared" si="7"/>
        <v>139174.30800000002</v>
      </c>
      <c r="K5" s="189">
        <f t="shared" si="7"/>
        <v>118298.16180000002</v>
      </c>
      <c r="L5" s="189">
        <f t="shared" si="7"/>
        <v>111200.27209200001</v>
      </c>
      <c r="M5" s="189">
        <f t="shared" si="7"/>
        <v>124544.30474304003</v>
      </c>
      <c r="N5" s="189">
        <f t="shared" si="7"/>
        <v>107057.16</v>
      </c>
    </row>
    <row r="6" spans="2:14" ht="21.75" customHeight="1">
      <c r="B6" s="190" t="s">
        <v>73</v>
      </c>
      <c r="C6" s="189">
        <v>65468</v>
      </c>
      <c r="D6" s="189">
        <f t="shared" si="0"/>
        <v>70705.440000000002</v>
      </c>
      <c r="E6" s="189">
        <f t="shared" si="3"/>
        <v>91917.072</v>
      </c>
      <c r="F6" s="189">
        <f t="shared" si="4"/>
        <v>78129.511199999994</v>
      </c>
      <c r="G6" s="189">
        <f t="shared" si="5"/>
        <v>73441.740527999995</v>
      </c>
      <c r="H6" s="189">
        <f t="shared" si="6"/>
        <v>82254.749391360005</v>
      </c>
      <c r="I6" s="189">
        <f t="shared" ref="I6:N6" si="8">H6*1.1</f>
        <v>90480.224330496014</v>
      </c>
      <c r="J6" s="189">
        <f t="shared" si="8"/>
        <v>99528.246763545627</v>
      </c>
      <c r="K6" s="189">
        <f t="shared" si="8"/>
        <v>109481.0714399002</v>
      </c>
      <c r="L6" s="189">
        <f t="shared" si="8"/>
        <v>120429.17858389023</v>
      </c>
      <c r="M6" s="189">
        <f t="shared" si="8"/>
        <v>132472.09644227926</v>
      </c>
      <c r="N6" s="189">
        <f t="shared" si="8"/>
        <v>145719.30608650719</v>
      </c>
    </row>
    <row r="7" spans="2:14" ht="21.75" customHeight="1">
      <c r="B7" s="190" t="s">
        <v>72</v>
      </c>
      <c r="C7" s="189">
        <v>18856</v>
      </c>
      <c r="D7" s="189">
        <f t="shared" si="0"/>
        <v>20364.48</v>
      </c>
      <c r="E7" s="189">
        <f t="shared" si="3"/>
        <v>26473.824000000001</v>
      </c>
      <c r="F7" s="189">
        <f t="shared" si="4"/>
        <v>22502.750400000001</v>
      </c>
      <c r="G7" s="189">
        <f t="shared" si="5"/>
        <v>21152.585375999999</v>
      </c>
      <c r="H7" s="189">
        <f t="shared" si="6"/>
        <v>23690.895621120002</v>
      </c>
      <c r="I7" s="189">
        <f>H7*0.85</f>
        <v>20137.261277952002</v>
      </c>
      <c r="J7" s="189">
        <f>I7*0.85</f>
        <v>17116.672086259201</v>
      </c>
      <c r="K7" s="189">
        <f>J7*0.85</f>
        <v>14549.17127332032</v>
      </c>
      <c r="L7" s="189">
        <f>K7*1.4</f>
        <v>20368.839782648447</v>
      </c>
      <c r="M7" s="189">
        <f>L7*1.4</f>
        <v>28516.375695707826</v>
      </c>
      <c r="N7" s="189">
        <f>M7*1.4</f>
        <v>39922.925973990954</v>
      </c>
    </row>
    <row r="8" spans="2:14" ht="21.75" customHeight="1">
      <c r="B8" s="190" t="s">
        <v>71</v>
      </c>
      <c r="C8" s="189">
        <v>7648</v>
      </c>
      <c r="D8" s="189">
        <f t="shared" si="0"/>
        <v>8259.84</v>
      </c>
      <c r="E8" s="189">
        <f t="shared" si="3"/>
        <v>10737.792000000001</v>
      </c>
      <c r="F8" s="189">
        <f t="shared" si="4"/>
        <v>9127.1232</v>
      </c>
      <c r="G8" s="189">
        <f t="shared" si="5"/>
        <v>8579.4958079999997</v>
      </c>
      <c r="H8" s="189">
        <f t="shared" si="6"/>
        <v>9609.0353049599998</v>
      </c>
      <c r="I8" s="189">
        <f>H8*1.05</f>
        <v>10089.487070208001</v>
      </c>
      <c r="J8" s="189">
        <f>I8*1.01</f>
        <v>10190.381940910082</v>
      </c>
      <c r="K8" s="189">
        <f>J8*1.01</f>
        <v>10292.285760319182</v>
      </c>
      <c r="L8" s="189">
        <f>K8*1.01</f>
        <v>10395.208617922375</v>
      </c>
      <c r="M8" s="189">
        <f>L8*1.01</f>
        <v>10499.1607041016</v>
      </c>
      <c r="N8" s="189">
        <f>M8*1.01</f>
        <v>10604.152311142616</v>
      </c>
    </row>
    <row r="9" spans="2:14" ht="21.75" customHeight="1">
      <c r="B9" s="190" t="s">
        <v>70</v>
      </c>
      <c r="C9" s="189">
        <v>9865</v>
      </c>
      <c r="D9" s="189">
        <f t="shared" si="0"/>
        <v>10654.2</v>
      </c>
      <c r="E9" s="189">
        <f t="shared" si="3"/>
        <v>13850.460000000001</v>
      </c>
      <c r="F9" s="189">
        <f t="shared" si="4"/>
        <v>11772.891</v>
      </c>
      <c r="G9" s="189">
        <f t="shared" si="5"/>
        <v>11066.517539999999</v>
      </c>
      <c r="H9" s="189">
        <f t="shared" si="6"/>
        <v>12394.4996448</v>
      </c>
      <c r="I9" s="189">
        <f t="shared" ref="I9:N10" si="9">C9</f>
        <v>9865</v>
      </c>
      <c r="J9" s="189">
        <f t="shared" si="9"/>
        <v>10654.2</v>
      </c>
      <c r="K9" s="189">
        <f t="shared" si="9"/>
        <v>13850.460000000001</v>
      </c>
      <c r="L9" s="189">
        <f t="shared" si="9"/>
        <v>11772.891</v>
      </c>
      <c r="M9" s="189">
        <f t="shared" si="9"/>
        <v>11066.517539999999</v>
      </c>
      <c r="N9" s="189">
        <f t="shared" si="9"/>
        <v>12394.4996448</v>
      </c>
    </row>
    <row r="10" spans="2:14" ht="21.75" customHeight="1">
      <c r="B10" s="190" t="s">
        <v>69</v>
      </c>
      <c r="C10" s="189">
        <v>11061</v>
      </c>
      <c r="D10" s="189">
        <f t="shared" si="0"/>
        <v>11945.880000000001</v>
      </c>
      <c r="E10" s="189">
        <f t="shared" si="3"/>
        <v>15529.644000000002</v>
      </c>
      <c r="F10" s="189">
        <f t="shared" si="4"/>
        <v>13200.197400000001</v>
      </c>
      <c r="G10" s="189">
        <f t="shared" si="5"/>
        <v>12408.185556</v>
      </c>
      <c r="H10" s="189">
        <f t="shared" si="6"/>
        <v>13897.167822720001</v>
      </c>
      <c r="I10" s="189">
        <f t="shared" si="9"/>
        <v>11061</v>
      </c>
      <c r="J10" s="189">
        <f t="shared" si="9"/>
        <v>11945.880000000001</v>
      </c>
      <c r="K10" s="189">
        <f t="shared" si="9"/>
        <v>15529.644000000002</v>
      </c>
      <c r="L10" s="189">
        <f t="shared" si="9"/>
        <v>13200.197400000001</v>
      </c>
      <c r="M10" s="189">
        <f t="shared" si="9"/>
        <v>12408.185556</v>
      </c>
      <c r="N10" s="189">
        <f t="shared" si="9"/>
        <v>13897.167822720001</v>
      </c>
    </row>
    <row r="11" spans="2:14" ht="21.75" customHeight="1">
      <c r="B11" s="190" t="s">
        <v>32</v>
      </c>
      <c r="C11" s="189">
        <v>78305</v>
      </c>
      <c r="D11" s="189">
        <f t="shared" si="0"/>
        <v>84569.400000000009</v>
      </c>
      <c r="E11" s="189">
        <f t="shared" si="3"/>
        <v>109940.22000000002</v>
      </c>
      <c r="F11" s="189">
        <f t="shared" si="4"/>
        <v>93449.187000000005</v>
      </c>
      <c r="G11" s="189">
        <f t="shared" si="5"/>
        <v>87842.235780000003</v>
      </c>
      <c r="H11" s="189">
        <f t="shared" si="6"/>
        <v>98383.304073600011</v>
      </c>
      <c r="I11" s="189">
        <f t="shared" ref="I11:N11" si="10">H11*0.98</f>
        <v>96415.637992128002</v>
      </c>
      <c r="J11" s="189">
        <f t="shared" si="10"/>
        <v>94487.325232285439</v>
      </c>
      <c r="K11" s="189">
        <f t="shared" si="10"/>
        <v>92597.578727639731</v>
      </c>
      <c r="L11" s="189">
        <f t="shared" si="10"/>
        <v>90745.627153086942</v>
      </c>
      <c r="M11" s="189">
        <f t="shared" si="10"/>
        <v>88930.714610025199</v>
      </c>
      <c r="N11" s="189">
        <f t="shared" si="10"/>
        <v>87152.10031782469</v>
      </c>
    </row>
    <row r="12" spans="2:14" ht="21.75" customHeight="1" thickBot="1">
      <c r="B12" s="188" t="s">
        <v>424</v>
      </c>
      <c r="C12" s="187">
        <f t="shared" ref="C12:N12" si="11">SUM(C3:C11)</f>
        <v>1049695</v>
      </c>
      <c r="D12" s="187">
        <f t="shared" si="11"/>
        <v>1133670.5999999999</v>
      </c>
      <c r="E12" s="187">
        <f t="shared" si="11"/>
        <v>1221809.8319999999</v>
      </c>
      <c r="F12" s="187">
        <f t="shared" si="11"/>
        <v>1106928.0288</v>
      </c>
      <c r="G12" s="187">
        <f t="shared" si="11"/>
        <v>1047009.3658740001</v>
      </c>
      <c r="H12" s="187">
        <f t="shared" si="11"/>
        <v>1067723.6361265799</v>
      </c>
      <c r="I12" s="187">
        <f t="shared" si="11"/>
        <v>1032728.9007690767</v>
      </c>
      <c r="J12" s="187">
        <f t="shared" si="11"/>
        <v>1058538.4343118872</v>
      </c>
      <c r="K12" s="187">
        <f t="shared" si="11"/>
        <v>1041131.1025745921</v>
      </c>
      <c r="L12" s="187">
        <f t="shared" si="11"/>
        <v>1039165.2936591364</v>
      </c>
      <c r="M12" s="187">
        <f t="shared" si="11"/>
        <v>1067626.4046162912</v>
      </c>
      <c r="N12" s="187">
        <f t="shared" si="11"/>
        <v>1077908.1681725373</v>
      </c>
    </row>
    <row r="13" spans="2:14" ht="15.5"/>
    <row r="14" spans="2:14" ht="15.5"/>
    <row r="15" spans="2:14" ht="15.5"/>
    <row r="16" spans="2:14" ht="15.5"/>
    <row r="17" s="155" customFormat="1" ht="15.5"/>
    <row r="18" s="155" customFormat="1" ht="15.5"/>
    <row r="19" s="155" customFormat="1" ht="15.5"/>
    <row r="20" s="155" customFormat="1" ht="15.5"/>
  </sheetData>
  <pageMargins left="0.7" right="0.7" top="0.75" bottom="0.75" header="0" footer="0"/>
  <pageSetup orientation="landscape"/>
  <extLst>
    <ext xmlns:x14="http://schemas.microsoft.com/office/spreadsheetml/2009/9/main" uri="{05C60535-1F16-4fd2-B633-F4F36F0B64E0}">
      <x14:sparklineGroups xmlns:xm="http://schemas.microsoft.com/office/excel/2006/main">
        <x14:sparklineGroup manualMax="0" manualMin="0" lineWeight="1.5" displayEmptyCellsAs="gap" xr2:uid="{0DAEB815-7891-A940-A708-D7CC1A64AF3B}">
          <x14:colorSeries rgb="FF000000"/>
          <x14:colorNegative rgb="FFD00000"/>
          <x14:colorAxis rgb="FF000000"/>
          <x14:colorMarkers rgb="FFD00000"/>
          <x14:colorFirst rgb="FFD00000"/>
          <x14:colorLast rgb="FFD00000"/>
          <x14:colorHigh rgb="FFD00000"/>
          <x14:colorLow rgb="FFD00000"/>
          <x14:sparklines>
            <x14:sparkline>
              <xm:f>Sparklines!C3:N3</xm:f>
              <xm:sqref>O3</xm:sqref>
            </x14:sparkline>
            <x14:sparkline>
              <xm:f>Sparklines!C4:N4</xm:f>
              <xm:sqref>O4</xm:sqref>
            </x14:sparkline>
            <x14:sparkline>
              <xm:f>Sparklines!C5:N5</xm:f>
              <xm:sqref>O5</xm:sqref>
            </x14:sparkline>
            <x14:sparkline>
              <xm:f>Sparklines!C6:N6</xm:f>
              <xm:sqref>O6</xm:sqref>
            </x14:sparkline>
            <x14:sparkline>
              <xm:f>Sparklines!C7:N7</xm:f>
              <xm:sqref>O7</xm:sqref>
            </x14:sparkline>
            <x14:sparkline>
              <xm:f>Sparklines!C8:N8</xm:f>
              <xm:sqref>O8</xm:sqref>
            </x14:sparkline>
            <x14:sparkline>
              <xm:f>Sparklines!C9:N9</xm:f>
              <xm:sqref>O9</xm:sqref>
            </x14:sparkline>
            <x14:sparkline>
              <xm:f>Sparklines!C10:N10</xm:f>
              <xm:sqref>O10</xm:sqref>
            </x14:sparkline>
            <x14:sparkline>
              <xm:f>Sparklines!C11:N11</xm:f>
              <xm:sqref>O11</xm:sqref>
            </x14:sparkline>
            <x14:sparkline>
              <xm:f>Sparklines!C12:N12</xm:f>
              <xm:sqref>O12</xm:sqref>
            </x14:sparkline>
          </x14:sparklines>
        </x14:sparklineGroup>
      </x14:sparklineGroup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48C78-BEDE-4707-8081-45D47E62F69C}">
  <dimension ref="B2:K25"/>
  <sheetViews>
    <sheetView showGridLines="0" topLeftCell="A4" zoomScale="150" zoomScaleNormal="150" workbookViewId="0">
      <selection activeCell="D12" sqref="D12"/>
    </sheetView>
  </sheetViews>
  <sheetFormatPr defaultColWidth="8.81640625" defaultRowHeight="14.5"/>
  <cols>
    <col min="1" max="1" width="4.1796875" customWidth="1"/>
    <col min="2" max="2" width="18.453125" bestFit="1" customWidth="1"/>
    <col min="3" max="9" width="11.453125" bestFit="1" customWidth="1"/>
    <col min="10" max="10" width="9.453125" bestFit="1" customWidth="1"/>
  </cols>
  <sheetData>
    <row r="2" spans="2:11">
      <c r="B2" s="288" t="s">
        <v>743</v>
      </c>
      <c r="C2" s="287" t="s">
        <v>735</v>
      </c>
    </row>
    <row r="4" spans="2:11">
      <c r="B4" s="286" t="s">
        <v>123</v>
      </c>
      <c r="C4" s="285">
        <v>44197</v>
      </c>
      <c r="D4" s="285">
        <f t="shared" ref="D4:I4" si="0">EDATE(C4,12)</f>
        <v>44562</v>
      </c>
      <c r="E4" s="285">
        <f t="shared" si="0"/>
        <v>44927</v>
      </c>
      <c r="F4" s="285">
        <f t="shared" si="0"/>
        <v>45292</v>
      </c>
      <c r="G4" s="285">
        <f t="shared" si="0"/>
        <v>45658</v>
      </c>
      <c r="H4" s="285">
        <f t="shared" si="0"/>
        <v>46023</v>
      </c>
      <c r="I4" s="285">
        <f t="shared" si="0"/>
        <v>46388</v>
      </c>
      <c r="J4" s="284"/>
    </row>
    <row r="5" spans="2:11">
      <c r="B5" t="s">
        <v>742</v>
      </c>
      <c r="C5" s="283">
        <v>1000000</v>
      </c>
      <c r="D5" s="283">
        <f t="shared" ref="D5:I5" ca="1" si="1">C5*(1+D12)</f>
        <v>1080000</v>
      </c>
      <c r="E5" s="283">
        <f t="shared" ca="1" si="1"/>
        <v>1166400</v>
      </c>
      <c r="F5" s="283">
        <f t="shared" ca="1" si="1"/>
        <v>1271376</v>
      </c>
      <c r="G5" s="283">
        <f t="shared" ca="1" si="1"/>
        <v>1398513.6</v>
      </c>
      <c r="H5" s="283">
        <f t="shared" ca="1" si="1"/>
        <v>1552350.0960000001</v>
      </c>
      <c r="I5" s="283">
        <f t="shared" ca="1" si="1"/>
        <v>1723108.6065600002</v>
      </c>
      <c r="J5" s="279"/>
    </row>
    <row r="6" spans="2:11">
      <c r="B6" s="47" t="s">
        <v>741</v>
      </c>
      <c r="C6" s="283">
        <v>-20000</v>
      </c>
      <c r="D6" s="283">
        <v>-20000</v>
      </c>
      <c r="E6" s="283">
        <v>-20000</v>
      </c>
      <c r="F6" s="283">
        <v>-20000</v>
      </c>
      <c r="G6" s="283">
        <v>-20000</v>
      </c>
      <c r="H6" s="283">
        <v>-20000</v>
      </c>
      <c r="I6" s="283">
        <v>-20000</v>
      </c>
      <c r="J6" s="279"/>
      <c r="K6" s="283"/>
    </row>
    <row r="7" spans="2:11">
      <c r="B7" s="47" t="s">
        <v>713</v>
      </c>
      <c r="C7" s="283">
        <v>-100000</v>
      </c>
      <c r="D7" s="283">
        <v>-100000</v>
      </c>
      <c r="E7" s="283">
        <v>-100000</v>
      </c>
      <c r="F7" s="283">
        <v>-100000</v>
      </c>
      <c r="G7" s="283">
        <v>-100000</v>
      </c>
      <c r="H7" s="283">
        <v>-100000</v>
      </c>
      <c r="I7" s="283">
        <v>-100000</v>
      </c>
      <c r="J7" s="279"/>
    </row>
    <row r="8" spans="2:11">
      <c r="B8" s="47" t="s">
        <v>740</v>
      </c>
      <c r="C8" s="283">
        <v>-550000</v>
      </c>
      <c r="D8" s="283">
        <v>-550000</v>
      </c>
      <c r="E8" s="283">
        <v>-550000</v>
      </c>
      <c r="F8" s="283">
        <v>-550000</v>
      </c>
      <c r="G8" s="283">
        <v>-550000</v>
      </c>
      <c r="H8" s="283">
        <v>-550000</v>
      </c>
      <c r="I8" s="283">
        <v>-550000</v>
      </c>
      <c r="J8" s="279"/>
    </row>
    <row r="9" spans="2:11">
      <c r="B9" s="57" t="s">
        <v>257</v>
      </c>
      <c r="C9" s="282">
        <f t="shared" ref="C9:I9" si="2">SUM(C5:C8)</f>
        <v>330000</v>
      </c>
      <c r="D9" s="282">
        <f t="shared" ca="1" si="2"/>
        <v>410000</v>
      </c>
      <c r="E9" s="282">
        <f t="shared" ca="1" si="2"/>
        <v>496400</v>
      </c>
      <c r="F9" s="282">
        <f t="shared" ca="1" si="2"/>
        <v>601376</v>
      </c>
      <c r="G9" s="282">
        <f t="shared" ca="1" si="2"/>
        <v>728513.60000000009</v>
      </c>
      <c r="H9" s="282">
        <f t="shared" ca="1" si="2"/>
        <v>882350.09600000014</v>
      </c>
      <c r="I9" s="282">
        <f t="shared" ca="1" si="2"/>
        <v>1053108.6065600002</v>
      </c>
      <c r="J9" s="279"/>
    </row>
    <row r="10" spans="2:11">
      <c r="C10" s="281"/>
      <c r="D10" s="280"/>
      <c r="E10" s="280"/>
      <c r="F10" s="280"/>
      <c r="G10" s="280"/>
      <c r="H10" s="280"/>
      <c r="I10" s="280"/>
      <c r="J10" s="279"/>
    </row>
    <row r="11" spans="2:11">
      <c r="B11" s="278" t="s">
        <v>739</v>
      </c>
      <c r="C11" s="276"/>
      <c r="D11" s="276"/>
      <c r="E11" s="277"/>
      <c r="F11" s="276"/>
      <c r="G11" s="276"/>
      <c r="H11" s="276"/>
      <c r="I11" s="276"/>
    </row>
    <row r="12" spans="2:11">
      <c r="B12" s="275" t="s">
        <v>738</v>
      </c>
      <c r="C12" s="66"/>
      <c r="D12" s="274">
        <f t="shared" ref="D12:I12" ca="1" si="3">OFFSET(D12,MATCH($C$2,$B$13:$B$15,0),)</f>
        <v>0.08</v>
      </c>
      <c r="E12" s="274">
        <f t="shared" ca="1" si="3"/>
        <v>0.08</v>
      </c>
      <c r="F12" s="274">
        <f t="shared" ca="1" si="3"/>
        <v>0.09</v>
      </c>
      <c r="G12" s="274">
        <f t="shared" ca="1" si="3"/>
        <v>0.1</v>
      </c>
      <c r="H12" s="274">
        <f t="shared" ca="1" si="3"/>
        <v>0.11</v>
      </c>
      <c r="I12" s="274">
        <f t="shared" ca="1" si="3"/>
        <v>0.11</v>
      </c>
    </row>
    <row r="13" spans="2:11">
      <c r="B13" s="68" t="s">
        <v>737</v>
      </c>
      <c r="D13" s="61">
        <v>0.01</v>
      </c>
      <c r="E13" s="61">
        <v>0.02</v>
      </c>
      <c r="F13" s="61">
        <v>0.02</v>
      </c>
      <c r="G13" s="61">
        <v>0.03</v>
      </c>
      <c r="H13" s="61">
        <v>0.03</v>
      </c>
      <c r="I13" s="61">
        <v>0.03</v>
      </c>
    </row>
    <row r="14" spans="2:11">
      <c r="B14" s="68" t="s">
        <v>736</v>
      </c>
      <c r="D14" s="61">
        <v>0.04</v>
      </c>
      <c r="E14" s="61">
        <v>0.04</v>
      </c>
      <c r="F14" s="61">
        <v>0.05</v>
      </c>
      <c r="G14" s="61">
        <v>0.05</v>
      </c>
      <c r="H14" s="61">
        <v>0.05</v>
      </c>
      <c r="I14" s="61">
        <v>0.06</v>
      </c>
    </row>
    <row r="15" spans="2:11">
      <c r="B15" s="68" t="s">
        <v>735</v>
      </c>
      <c r="D15" s="61">
        <v>0.08</v>
      </c>
      <c r="E15" s="61">
        <v>0.08</v>
      </c>
      <c r="F15" s="61">
        <v>0.09</v>
      </c>
      <c r="G15" s="61">
        <v>0.1</v>
      </c>
      <c r="H15" s="61">
        <v>0.11</v>
      </c>
      <c r="I15" s="61">
        <v>0.11</v>
      </c>
    </row>
    <row r="16" spans="2:11">
      <c r="E16" s="273"/>
    </row>
    <row r="17" spans="5:5">
      <c r="E17" s="273"/>
    </row>
    <row r="18" spans="5:5">
      <c r="E18" s="273"/>
    </row>
    <row r="19" spans="5:5">
      <c r="E19" s="273"/>
    </row>
    <row r="20" spans="5:5">
      <c r="E20" s="273"/>
    </row>
    <row r="21" spans="5:5">
      <c r="E21" s="273"/>
    </row>
    <row r="22" spans="5:5">
      <c r="E22" s="273"/>
    </row>
    <row r="23" spans="5:5">
      <c r="E23" s="273"/>
    </row>
    <row r="24" spans="5:5">
      <c r="E24" s="273"/>
    </row>
    <row r="25" spans="5:5">
      <c r="E25" s="273"/>
    </row>
  </sheetData>
  <dataValidations count="1">
    <dataValidation type="list" allowBlank="1" showInputMessage="1" showErrorMessage="1" sqref="C2" xr:uid="{4F349A3E-F6E7-4278-A833-4047DCF620A9}">
      <formula1>$B$13:$B$15</formula1>
    </dataValidation>
  </dataValidation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ECE1D-D37C-4786-966F-A84587A05AA7}">
  <dimension ref="B2:E12"/>
  <sheetViews>
    <sheetView showGridLines="0" zoomScale="150" zoomScaleNormal="150" workbookViewId="0">
      <selection activeCell="D3" sqref="D3"/>
    </sheetView>
  </sheetViews>
  <sheetFormatPr defaultColWidth="8.81640625" defaultRowHeight="14.5"/>
  <cols>
    <col min="1" max="1" width="4.54296875" customWidth="1"/>
    <col min="2" max="2" width="15.453125" bestFit="1" customWidth="1"/>
    <col min="3" max="3" width="12.54296875" bestFit="1" customWidth="1"/>
    <col min="4" max="4" width="16.81640625" bestFit="1" customWidth="1"/>
  </cols>
  <sheetData>
    <row r="2" spans="2:5">
      <c r="B2" s="286" t="s">
        <v>269</v>
      </c>
      <c r="C2" s="286" t="s">
        <v>61</v>
      </c>
      <c r="D2" s="286" t="s">
        <v>764</v>
      </c>
    </row>
    <row r="3" spans="2:5">
      <c r="B3" t="s">
        <v>763</v>
      </c>
      <c r="C3" t="s">
        <v>762</v>
      </c>
      <c r="D3" s="60">
        <f t="shared" ref="D3:D12" si="0">VALUE(SUBSTITUTE(C3,",","."))*1.1</f>
        <v>135.06900000000002</v>
      </c>
      <c r="E3" s="60"/>
    </row>
    <row r="4" spans="2:5">
      <c r="B4" t="s">
        <v>761</v>
      </c>
      <c r="C4" t="s">
        <v>760</v>
      </c>
      <c r="D4" s="60">
        <f t="shared" si="0"/>
        <v>225.08200000000002</v>
      </c>
      <c r="E4" s="60"/>
    </row>
    <row r="5" spans="2:5">
      <c r="B5" t="s">
        <v>759</v>
      </c>
      <c r="C5" t="s">
        <v>758</v>
      </c>
      <c r="D5" s="60">
        <f t="shared" si="0"/>
        <v>135.03600000000003</v>
      </c>
      <c r="E5" s="60"/>
    </row>
    <row r="6" spans="2:5">
      <c r="B6" t="s">
        <v>757</v>
      </c>
      <c r="C6" t="s">
        <v>756</v>
      </c>
      <c r="D6" s="60">
        <f t="shared" si="0"/>
        <v>89.76</v>
      </c>
      <c r="E6" s="60"/>
    </row>
    <row r="7" spans="2:5">
      <c r="B7" t="s">
        <v>755</v>
      </c>
      <c r="C7" t="s">
        <v>754</v>
      </c>
      <c r="D7" s="60">
        <f t="shared" si="0"/>
        <v>60.137000000000008</v>
      </c>
      <c r="E7" s="60"/>
    </row>
    <row r="8" spans="2:5">
      <c r="B8" t="s">
        <v>753</v>
      </c>
      <c r="C8" t="s">
        <v>752</v>
      </c>
      <c r="D8" s="60">
        <f t="shared" si="0"/>
        <v>224.16900000000001</v>
      </c>
      <c r="E8" s="60"/>
    </row>
    <row r="9" spans="2:5">
      <c r="B9" t="s">
        <v>751</v>
      </c>
      <c r="C9" t="s">
        <v>750</v>
      </c>
      <c r="D9" s="60">
        <f t="shared" si="0"/>
        <v>135.047</v>
      </c>
      <c r="E9" s="60"/>
    </row>
    <row r="10" spans="2:5">
      <c r="B10" t="s">
        <v>749</v>
      </c>
      <c r="C10" t="s">
        <v>748</v>
      </c>
      <c r="D10" s="60">
        <f t="shared" si="0"/>
        <v>136.35599999999999</v>
      </c>
      <c r="E10" s="60"/>
    </row>
    <row r="11" spans="2:5">
      <c r="B11" t="s">
        <v>747</v>
      </c>
      <c r="C11" t="s">
        <v>746</v>
      </c>
      <c r="D11" s="60">
        <f t="shared" si="0"/>
        <v>227.66700000000003</v>
      </c>
      <c r="E11" s="60"/>
    </row>
    <row r="12" spans="2:5">
      <c r="B12" t="s">
        <v>745</v>
      </c>
      <c r="C12" t="s">
        <v>744</v>
      </c>
      <c r="D12" s="60">
        <f t="shared" si="0"/>
        <v>227.85400000000001</v>
      </c>
      <c r="E12" s="60"/>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0EEBF-DC94-4A80-94A6-B878F9A1DFDE}">
  <dimension ref="E4:G7"/>
  <sheetViews>
    <sheetView workbookViewId="0">
      <selection activeCell="G7" sqref="G7"/>
    </sheetView>
  </sheetViews>
  <sheetFormatPr defaultRowHeight="14.5"/>
  <sheetData>
    <row r="4" spans="5:7">
      <c r="E4">
        <v>1</v>
      </c>
      <c r="F4">
        <v>1</v>
      </c>
      <c r="G4" t="str" cm="1">
        <f t="array" ref="G4">_xlfn.SWITCH(SUM(E4:F4), 3, "ok", 2, "nieok", "inaczej")</f>
        <v>nieok</v>
      </c>
    </row>
    <row r="5" spans="5:7">
      <c r="G5" t="str" cm="1">
        <f t="array" ref="G5">_xlfn.IFS(SUM(E4:F4)=2,"ok",SUM(E4:F4)=3,"nieok")</f>
        <v>ok</v>
      </c>
    </row>
    <row r="7" spans="5:7">
      <c r="E7">
        <v>1</v>
      </c>
      <c r="F7">
        <v>0</v>
      </c>
      <c r="G7" t="str" cm="1">
        <f t="array" ref="G7">_xlfn.SWITCH(TRUE,SUM(E7:F7)&gt;=15,"vh",SUM(E7:F7)&gt;=10,"h",SUM(E7:F7)&gt;=5,"avg","low")</f>
        <v>low</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E53F4-A60E-4ACA-A2FF-5F603ED5E378}">
  <dimension ref="C5:E6"/>
  <sheetViews>
    <sheetView workbookViewId="0">
      <selection activeCell="E6" sqref="E6"/>
    </sheetView>
  </sheetViews>
  <sheetFormatPr defaultRowHeight="14.5"/>
  <sheetData>
    <row r="5" spans="3:5">
      <c r="D5">
        <v>20</v>
      </c>
      <c r="E5" t="str" cm="1">
        <f t="array" ref="E5">_xlfn.SWITCH(TRUE,D5&gt;=15,"vh",D5&gt;=10,"h",D5&gt;=5,"avg","low")</f>
        <v>vh</v>
      </c>
    </row>
    <row r="6" spans="3:5">
      <c r="C6">
        <v>1</v>
      </c>
      <c r="D6">
        <v>0</v>
      </c>
      <c r="E6" t="str" cm="1">
        <f t="array" ref="E6">_xlfn.SWITCH(TRUE,SUM(C6:D6)&gt;=15,"vh",SUM(C6:D6)&gt;=10,"h",SUM(C6:D6)&gt;=5,"avg","low")</f>
        <v>low</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C8575-73CE-4B34-ACD1-72791A541356}">
  <dimension ref="B2:L25"/>
  <sheetViews>
    <sheetView showGridLines="0" zoomScale="144" zoomScaleNormal="100" workbookViewId="0">
      <selection activeCell="C2" sqref="C2:L2"/>
    </sheetView>
  </sheetViews>
  <sheetFormatPr defaultColWidth="8.81640625" defaultRowHeight="14.5"/>
  <cols>
    <col min="1" max="1" width="2.81640625" customWidth="1"/>
    <col min="2" max="2" width="16.81640625" bestFit="1" customWidth="1"/>
    <col min="3" max="12" width="7.81640625" customWidth="1"/>
  </cols>
  <sheetData>
    <row r="2" spans="2:12">
      <c r="B2" s="294" t="s">
        <v>780</v>
      </c>
      <c r="C2" s="293" t="str">
        <f t="shared" ref="C2:L2" si="0">"Q"&amp;ROUNDUP(MONTH(C3)/3,0)&amp;"-"&amp;YEAR(C3)</f>
        <v>Q1-2022</v>
      </c>
      <c r="D2" s="293" t="str">
        <f t="shared" si="0"/>
        <v>Q1-2022</v>
      </c>
      <c r="E2" s="293" t="str">
        <f t="shared" si="0"/>
        <v>Q2-2022</v>
      </c>
      <c r="F2" s="293" t="str">
        <f t="shared" si="0"/>
        <v>Q3-2022</v>
      </c>
      <c r="G2" s="293" t="str">
        <f t="shared" si="0"/>
        <v>Q3-2022</v>
      </c>
      <c r="H2" s="293" t="str">
        <f t="shared" si="0"/>
        <v>Q1-2023</v>
      </c>
      <c r="I2" s="293" t="str">
        <f t="shared" si="0"/>
        <v>Q1-2023</v>
      </c>
      <c r="J2" s="293" t="str">
        <f t="shared" si="0"/>
        <v>Q2-2023</v>
      </c>
      <c r="K2" s="293" t="str">
        <f t="shared" si="0"/>
        <v>Q4-2023</v>
      </c>
      <c r="L2" s="293" t="str">
        <f t="shared" si="0"/>
        <v>Q2-2023</v>
      </c>
    </row>
    <row r="3" spans="2:12">
      <c r="B3" s="292" t="s">
        <v>193</v>
      </c>
      <c r="C3" s="291">
        <v>44562</v>
      </c>
      <c r="D3" s="291">
        <v>44593</v>
      </c>
      <c r="E3" s="291">
        <v>44652</v>
      </c>
      <c r="F3" s="291">
        <v>44743</v>
      </c>
      <c r="G3" s="291">
        <v>44774</v>
      </c>
      <c r="H3" s="291">
        <f>EDATE(C3,12)</f>
        <v>44927</v>
      </c>
      <c r="I3" s="291">
        <f>EDATE(D3,12)</f>
        <v>44958</v>
      </c>
      <c r="J3" s="291">
        <f>EDATE(E3,12)</f>
        <v>45017</v>
      </c>
      <c r="K3" s="291">
        <f>EDATE(F3,15)</f>
        <v>45200</v>
      </c>
      <c r="L3" s="291">
        <f>EDATE(G3,10)</f>
        <v>45078</v>
      </c>
    </row>
    <row r="4" spans="2:12">
      <c r="B4" t="s">
        <v>779</v>
      </c>
      <c r="C4" s="290">
        <v>815.24812152702907</v>
      </c>
      <c r="D4" s="290">
        <v>1216.6072035870845</v>
      </c>
      <c r="E4" s="290">
        <v>334</v>
      </c>
      <c r="F4" s="290">
        <v>5380.8634254774952</v>
      </c>
      <c r="G4" s="290">
        <v>485.15700309431639</v>
      </c>
      <c r="H4" s="290">
        <v>4419.877967308591</v>
      </c>
      <c r="I4" s="290">
        <v>6520.3259534133604</v>
      </c>
      <c r="J4" s="290">
        <v>1574.9970557093272</v>
      </c>
      <c r="K4" s="290">
        <v>2128.6739590938651</v>
      </c>
      <c r="L4" s="290">
        <v>6707.5597211861505</v>
      </c>
    </row>
    <row r="5" spans="2:12">
      <c r="B5" t="s">
        <v>778</v>
      </c>
      <c r="C5" s="290">
        <v>7755.4709019399825</v>
      </c>
      <c r="D5" s="290">
        <v>2384.7294473981196</v>
      </c>
      <c r="E5" s="290">
        <v>4805.3778620719804</v>
      </c>
      <c r="F5" s="290">
        <v>63.734127574865965</v>
      </c>
      <c r="G5" s="290">
        <v>1583.8629017137473</v>
      </c>
      <c r="H5" s="290">
        <v>8745.8085378607248</v>
      </c>
      <c r="I5" s="290">
        <v>8238.3290923792574</v>
      </c>
      <c r="J5" s="290">
        <v>6296.3424709107148</v>
      </c>
      <c r="K5" s="290">
        <v>8969.5766034069347</v>
      </c>
      <c r="L5" s="290">
        <v>5486.1899385528986</v>
      </c>
    </row>
    <row r="6" spans="2:12">
      <c r="B6" t="s">
        <v>777</v>
      </c>
      <c r="C6" s="290">
        <v>2092.3283139276195</v>
      </c>
      <c r="D6" s="290">
        <v>7391.9017104370232</v>
      </c>
      <c r="E6" s="290">
        <v>1297.9565400229365</v>
      </c>
      <c r="F6" s="290">
        <v>724.3282139385077</v>
      </c>
      <c r="G6" s="290">
        <v>172.47121421485434</v>
      </c>
      <c r="H6" s="290">
        <v>8066.3818940037891</v>
      </c>
      <c r="I6" s="290">
        <v>1509.0589214073968</v>
      </c>
      <c r="J6" s="290">
        <v>653.06586316102869</v>
      </c>
      <c r="K6" s="290">
        <v>8122.6414119444571</v>
      </c>
      <c r="L6" s="290">
        <v>5313.8072100726495</v>
      </c>
    </row>
    <row r="7" spans="2:12">
      <c r="B7" t="s">
        <v>776</v>
      </c>
      <c r="C7" s="290">
        <v>3380.1466125541278</v>
      </c>
      <c r="D7" s="290">
        <v>2741.0723461438702</v>
      </c>
      <c r="E7" s="290">
        <v>9401.240773345764</v>
      </c>
      <c r="F7" s="290">
        <v>7294.3161773734246</v>
      </c>
      <c r="G7" s="290">
        <v>5633.2375790524547</v>
      </c>
      <c r="H7" s="290">
        <v>4716.2495221007794</v>
      </c>
      <c r="I7" s="290">
        <v>4895.882915887928</v>
      </c>
      <c r="J7" s="290">
        <v>4970.4028422833617</v>
      </c>
      <c r="K7" s="290">
        <v>9766.4582954250436</v>
      </c>
      <c r="L7" s="290">
        <v>5205.299476129273</v>
      </c>
    </row>
    <row r="8" spans="2:12">
      <c r="B8" t="s">
        <v>775</v>
      </c>
      <c r="C8" s="290">
        <v>6964.0561728480398</v>
      </c>
      <c r="D8" s="290">
        <v>5353.707416439911</v>
      </c>
      <c r="E8" s="290">
        <v>9221.9693332982861</v>
      </c>
      <c r="F8" s="290">
        <v>289.48880144307634</v>
      </c>
      <c r="G8" s="290">
        <v>7879.3620873468026</v>
      </c>
      <c r="H8" s="290">
        <v>3014.6111590007517</v>
      </c>
      <c r="I8" s="290">
        <v>8071.8704563977199</v>
      </c>
      <c r="J8" s="290">
        <v>9947.182489599878</v>
      </c>
      <c r="K8" s="290">
        <v>3468.2924310286999</v>
      </c>
      <c r="L8" s="290">
        <v>865.69440252323045</v>
      </c>
    </row>
    <row r="9" spans="2:12">
      <c r="B9" t="s">
        <v>774</v>
      </c>
      <c r="C9" s="290">
        <v>5012.6200229350716</v>
      </c>
      <c r="D9" s="290">
        <v>3079.3355004363152</v>
      </c>
      <c r="E9" s="290">
        <v>8185.3064399079985</v>
      </c>
      <c r="F9" s="290">
        <v>8223.9815426312798</v>
      </c>
      <c r="G9" s="290">
        <v>5667.6422464681164</v>
      </c>
      <c r="H9" s="290">
        <v>1869.8544438943986</v>
      </c>
      <c r="I9" s="290">
        <v>196.137031737873</v>
      </c>
      <c r="J9" s="290">
        <v>3473.2834640293254</v>
      </c>
      <c r="K9" s="290">
        <v>2576.752764842528</v>
      </c>
      <c r="L9" s="290">
        <v>2913.809867744761</v>
      </c>
    </row>
    <row r="10" spans="2:12">
      <c r="B10" t="s">
        <v>773</v>
      </c>
      <c r="C10" s="290">
        <v>6993.37653924595</v>
      </c>
      <c r="D10" s="290">
        <v>5686.8171505752525</v>
      </c>
      <c r="E10" s="290">
        <v>4128.5136777492053</v>
      </c>
      <c r="F10" s="290">
        <v>7291.779390855012</v>
      </c>
      <c r="G10" s="290">
        <v>4201.6014611861128</v>
      </c>
      <c r="H10" s="290">
        <v>9613.6624997803883</v>
      </c>
      <c r="I10" s="290">
        <v>9956.2909046021759</v>
      </c>
      <c r="J10" s="290">
        <v>1906.480831119851</v>
      </c>
      <c r="K10" s="290">
        <v>4672.2149318778675</v>
      </c>
      <c r="L10" s="290">
        <v>8816.3655590550079</v>
      </c>
    </row>
    <row r="11" spans="2:12">
      <c r="B11" t="s">
        <v>772</v>
      </c>
      <c r="C11" s="290">
        <v>9916.1225399862142</v>
      </c>
      <c r="D11" s="290">
        <v>9333.0756394258642</v>
      </c>
      <c r="E11" s="290">
        <v>7049.8906377318808</v>
      </c>
      <c r="F11" s="290">
        <v>4977.9417754671913</v>
      </c>
      <c r="G11" s="290">
        <v>4123.3496394773183</v>
      </c>
      <c r="H11" s="290">
        <v>9018.5067252512235</v>
      </c>
      <c r="I11" s="290">
        <v>4937.5231647802057</v>
      </c>
      <c r="J11" s="290">
        <v>3514.1220775566808</v>
      </c>
      <c r="K11" s="290">
        <v>9224.9622080118424</v>
      </c>
      <c r="L11" s="290">
        <v>166.75744196402053</v>
      </c>
    </row>
    <row r="12" spans="2:12">
      <c r="B12" t="s">
        <v>771</v>
      </c>
      <c r="C12" s="290">
        <v>9982.7607672833492</v>
      </c>
      <c r="D12" s="290">
        <v>8909.8190657786599</v>
      </c>
      <c r="E12" s="290">
        <v>7605.8241325880426</v>
      </c>
      <c r="F12" s="290">
        <v>6120.0647296657771</v>
      </c>
      <c r="G12" s="290">
        <v>9785.4544596459618</v>
      </c>
      <c r="H12" s="290">
        <v>4094.9740867785322</v>
      </c>
      <c r="I12" s="290">
        <v>7440.1634574018844</v>
      </c>
      <c r="J12" s="290">
        <v>8887.7142766961697</v>
      </c>
      <c r="K12" s="290">
        <v>5737.5684117604997</v>
      </c>
      <c r="L12" s="290">
        <v>8460.9180995291008</v>
      </c>
    </row>
    <row r="13" spans="2:12">
      <c r="B13" t="s">
        <v>770</v>
      </c>
      <c r="C13" s="290">
        <v>9110.2743930674405</v>
      </c>
      <c r="D13" s="290">
        <v>9868.2307560574609</v>
      </c>
      <c r="E13" s="290">
        <v>9236.3452516168691</v>
      </c>
      <c r="F13" s="290">
        <v>1328.2772405269661</v>
      </c>
      <c r="G13" s="290">
        <v>1405.9171834801366</v>
      </c>
      <c r="H13" s="290">
        <v>2897.4930414615583</v>
      </c>
      <c r="I13" s="290">
        <v>6314.8139323586493</v>
      </c>
      <c r="J13" s="290">
        <v>1457.9568735086034</v>
      </c>
      <c r="K13" s="290">
        <v>4645.5649937747112</v>
      </c>
      <c r="L13" s="290">
        <v>1133.0728746071838</v>
      </c>
    </row>
    <row r="14" spans="2:12">
      <c r="B14" t="s">
        <v>769</v>
      </c>
      <c r="C14" s="290">
        <v>3222.9027070160741</v>
      </c>
      <c r="D14" s="290">
        <v>9582.9475714898672</v>
      </c>
      <c r="E14" s="290">
        <v>7866.7235603216905</v>
      </c>
      <c r="F14" s="290">
        <v>9731.3946654753363</v>
      </c>
      <c r="G14" s="290">
        <v>7558.6409570966825</v>
      </c>
      <c r="H14" s="290">
        <v>554.82837446689803</v>
      </c>
      <c r="I14" s="290">
        <v>9912.0674697523464</v>
      </c>
      <c r="J14" s="290">
        <v>6697.5191207792695</v>
      </c>
      <c r="K14" s="290">
        <v>7373.7862652297426</v>
      </c>
      <c r="L14" s="290">
        <v>8930.2011418407674</v>
      </c>
    </row>
    <row r="15" spans="2:12">
      <c r="B15" t="s">
        <v>768</v>
      </c>
      <c r="C15" s="290">
        <v>3435.2681701390152</v>
      </c>
      <c r="D15" s="290">
        <v>3609.4416521855164</v>
      </c>
      <c r="E15" s="290">
        <v>1145.8116680593378</v>
      </c>
      <c r="F15" s="290">
        <v>8727.8209641810063</v>
      </c>
      <c r="G15" s="290">
        <v>4632.8012163271806</v>
      </c>
      <c r="H15" s="290">
        <v>1787.9576101341499</v>
      </c>
      <c r="I15" s="290">
        <v>1410.7016266673168</v>
      </c>
      <c r="J15" s="290">
        <v>8941.4724146086428</v>
      </c>
      <c r="K15" s="290">
        <v>7357.8540289666798</v>
      </c>
      <c r="L15" s="290">
        <v>5857.2893237775406</v>
      </c>
    </row>
    <row r="16" spans="2:12">
      <c r="B16" t="s">
        <v>767</v>
      </c>
      <c r="C16" s="290">
        <v>6016.4213975740586</v>
      </c>
      <c r="D16" s="290">
        <v>836.68295826708766</v>
      </c>
      <c r="E16" s="290">
        <v>4937.7752811356768</v>
      </c>
      <c r="F16" s="290">
        <v>4262.4870958279216</v>
      </c>
      <c r="G16" s="290">
        <v>4927.9642222818402</v>
      </c>
      <c r="H16" s="290">
        <v>3426.3324700519415</v>
      </c>
      <c r="I16" s="290">
        <v>6301.4293307929174</v>
      </c>
      <c r="J16" s="290">
        <v>8078.3293604836672</v>
      </c>
      <c r="K16" s="290">
        <v>2583.8458040284904</v>
      </c>
      <c r="L16" s="290">
        <v>5248.4326746204661</v>
      </c>
    </row>
    <row r="17" spans="2:12">
      <c r="B17" t="s">
        <v>766</v>
      </c>
      <c r="C17" s="290">
        <v>1734.5840260811419</v>
      </c>
      <c r="D17" s="290">
        <v>9137.3220289000819</v>
      </c>
      <c r="E17" s="290">
        <v>4203.7648770856304</v>
      </c>
      <c r="F17" s="290">
        <v>8395.1671654812762</v>
      </c>
      <c r="G17" s="290">
        <v>7021.4039295285156</v>
      </c>
      <c r="H17" s="290">
        <v>1733.2126016938444</v>
      </c>
      <c r="I17" s="290">
        <v>8484.1566629312874</v>
      </c>
      <c r="J17" s="290">
        <v>1175.2301772790995</v>
      </c>
      <c r="K17" s="290">
        <v>2276.3872476319602</v>
      </c>
      <c r="L17" s="290">
        <v>9632.3400197737374</v>
      </c>
    </row>
    <row r="18" spans="2:12">
      <c r="B18" t="s">
        <v>765</v>
      </c>
      <c r="C18" s="290">
        <v>4726.9219681522554</v>
      </c>
      <c r="D18" s="290">
        <v>4637.0943877827849</v>
      </c>
      <c r="E18" s="290">
        <v>5662.3454488109019</v>
      </c>
      <c r="F18" s="290">
        <v>8487.4514250723241</v>
      </c>
      <c r="G18" s="290">
        <v>7027.7211797048903</v>
      </c>
      <c r="H18" s="290">
        <v>8000.2388507579781</v>
      </c>
      <c r="I18" s="290">
        <v>3419.2688102239131</v>
      </c>
      <c r="J18" s="290">
        <v>3233.7337521214104</v>
      </c>
      <c r="K18" s="290">
        <v>1055.4160309688943</v>
      </c>
      <c r="L18" s="290">
        <v>8013.9623900037241</v>
      </c>
    </row>
    <row r="19" spans="2:12">
      <c r="C19" s="289"/>
      <c r="D19" s="289"/>
      <c r="E19" s="289"/>
      <c r="F19" s="289"/>
      <c r="G19" s="289"/>
      <c r="H19" s="289"/>
      <c r="I19" s="289"/>
      <c r="J19" s="289"/>
      <c r="K19" s="289"/>
      <c r="L19" s="289"/>
    </row>
    <row r="20" spans="2:12">
      <c r="C20" s="289"/>
      <c r="D20" s="289"/>
      <c r="E20" s="289"/>
      <c r="F20" s="289"/>
      <c r="G20" s="289"/>
      <c r="H20" s="289"/>
      <c r="I20" s="289"/>
      <c r="J20" s="289"/>
      <c r="K20" s="289"/>
      <c r="L20" s="289"/>
    </row>
    <row r="21" spans="2:12">
      <c r="C21" s="289"/>
      <c r="D21" s="289"/>
      <c r="E21" s="289"/>
      <c r="F21" s="289"/>
      <c r="G21" s="289"/>
      <c r="H21" s="289"/>
      <c r="I21" s="289"/>
      <c r="J21" s="289"/>
      <c r="K21" s="289"/>
      <c r="L21" s="289"/>
    </row>
    <row r="22" spans="2:12">
      <c r="C22" s="289"/>
      <c r="D22" s="289"/>
      <c r="E22" s="289"/>
      <c r="F22" s="289"/>
      <c r="G22" s="289"/>
      <c r="H22" s="289"/>
      <c r="I22" s="289"/>
      <c r="J22" s="289"/>
      <c r="K22" s="289"/>
      <c r="L22" s="289"/>
    </row>
    <row r="23" spans="2:12">
      <c r="C23" s="289"/>
      <c r="D23" s="289"/>
      <c r="E23" s="289"/>
      <c r="F23" s="289"/>
      <c r="G23" s="289"/>
      <c r="H23" s="289"/>
      <c r="I23" s="289"/>
      <c r="J23" s="289"/>
      <c r="K23" s="289"/>
      <c r="L23" s="289"/>
    </row>
    <row r="24" spans="2:12">
      <c r="C24" s="289"/>
      <c r="D24" s="289"/>
      <c r="E24" s="289"/>
      <c r="F24" s="289"/>
      <c r="G24" s="289"/>
      <c r="H24" s="289"/>
      <c r="I24" s="289"/>
      <c r="J24" s="289"/>
      <c r="K24" s="289"/>
      <c r="L24" s="289"/>
    </row>
    <row r="25" spans="2:12">
      <c r="C25" s="289"/>
      <c r="D25" s="289"/>
      <c r="E25" s="289"/>
      <c r="F25" s="289"/>
      <c r="G25" s="289"/>
      <c r="H25" s="289"/>
      <c r="I25" s="289"/>
      <c r="J25" s="289"/>
      <c r="K25" s="289"/>
      <c r="L25" s="289"/>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3225A-CFCD-43AC-B22F-E7A1A9FEE99B}">
  <dimension ref="B3:H18"/>
  <sheetViews>
    <sheetView showGridLines="0" topLeftCell="A4" zoomScale="110" zoomScaleNormal="110" workbookViewId="0">
      <selection activeCell="C10" sqref="C10"/>
    </sheetView>
  </sheetViews>
  <sheetFormatPr defaultRowHeight="21"/>
  <cols>
    <col min="1" max="1" width="10.81640625" style="374" customWidth="1"/>
    <col min="2" max="2" width="20.6328125" style="374" customWidth="1"/>
    <col min="3" max="3" width="18.26953125" style="374" customWidth="1"/>
    <col min="4" max="4" width="15.6328125" style="374" customWidth="1"/>
    <col min="5" max="5" width="16.36328125" style="374" customWidth="1"/>
    <col min="6" max="6" width="8.7265625" style="374"/>
    <col min="7" max="7" width="20.54296875" style="374" bestFit="1" customWidth="1"/>
    <col min="8" max="8" width="21" style="374" customWidth="1"/>
    <col min="9" max="16384" width="8.7265625" style="374"/>
  </cols>
  <sheetData>
    <row r="3" spans="2:8">
      <c r="B3" s="376" t="s">
        <v>930</v>
      </c>
      <c r="C3" s="376" t="s">
        <v>929</v>
      </c>
      <c r="D3" s="376" t="s">
        <v>928</v>
      </c>
      <c r="E3" s="376" t="s">
        <v>927</v>
      </c>
      <c r="G3" s="376" t="s">
        <v>926</v>
      </c>
      <c r="H3" s="377">
        <v>720</v>
      </c>
    </row>
    <row r="4" spans="2:8">
      <c r="B4" s="376" t="s">
        <v>507</v>
      </c>
      <c r="C4" s="374" t="s">
        <v>925</v>
      </c>
      <c r="D4" s="374" t="s">
        <v>924</v>
      </c>
      <c r="E4" s="374" t="s">
        <v>912</v>
      </c>
      <c r="G4" s="376" t="s">
        <v>923</v>
      </c>
      <c r="H4" s="377">
        <v>800</v>
      </c>
    </row>
    <row r="5" spans="2:8">
      <c r="B5" s="376" t="s">
        <v>506</v>
      </c>
      <c r="C5" s="374" t="s">
        <v>913</v>
      </c>
      <c r="D5" s="374" t="s">
        <v>915</v>
      </c>
      <c r="E5" s="374" t="s">
        <v>922</v>
      </c>
    </row>
    <row r="6" spans="2:8">
      <c r="B6" s="376" t="s">
        <v>505</v>
      </c>
      <c r="C6" s="374" t="s">
        <v>921</v>
      </c>
      <c r="D6" s="374" t="s">
        <v>916</v>
      </c>
      <c r="E6" s="374" t="s">
        <v>920</v>
      </c>
      <c r="G6" s="374" t="s">
        <v>919</v>
      </c>
      <c r="H6" s="374" t="s">
        <v>918</v>
      </c>
    </row>
    <row r="7" spans="2:8">
      <c r="B7" s="376" t="s">
        <v>504</v>
      </c>
      <c r="C7" s="374" t="s">
        <v>917</v>
      </c>
      <c r="D7" s="374" t="s">
        <v>916</v>
      </c>
      <c r="E7" s="374" t="s">
        <v>912</v>
      </c>
      <c r="G7" s="374">
        <v>1</v>
      </c>
      <c r="H7" s="377">
        <v>85</v>
      </c>
    </row>
    <row r="8" spans="2:8">
      <c r="B8" s="376" t="s">
        <v>503</v>
      </c>
      <c r="C8" s="374" t="s">
        <v>915</v>
      </c>
      <c r="D8" s="374" t="s">
        <v>487</v>
      </c>
      <c r="E8" s="374" t="s">
        <v>913</v>
      </c>
      <c r="G8" s="374">
        <v>5</v>
      </c>
      <c r="H8" s="377">
        <v>80</v>
      </c>
    </row>
    <row r="9" spans="2:8">
      <c r="B9" s="376" t="s">
        <v>502</v>
      </c>
      <c r="C9" s="374" t="s">
        <v>914</v>
      </c>
      <c r="D9" s="374" t="s">
        <v>913</v>
      </c>
      <c r="E9" s="374" t="s">
        <v>912</v>
      </c>
      <c r="G9" s="374">
        <v>11</v>
      </c>
      <c r="H9" s="377">
        <v>70</v>
      </c>
    </row>
    <row r="10" spans="2:8">
      <c r="G10" s="374">
        <v>15</v>
      </c>
      <c r="H10" s="377">
        <v>62.5</v>
      </c>
    </row>
    <row r="12" spans="2:8">
      <c r="H12" s="377"/>
    </row>
    <row r="13" spans="2:8">
      <c r="B13" s="376" t="s">
        <v>911</v>
      </c>
      <c r="C13" s="375">
        <f>_xlfn.LET(_xlpm.NPPL,COUNTA(_xlfn.UNIQUE(_xlfn.TOCOL(Table612[[Shift1]:[Shift3]]))),_xlpm.Rooms,H3,_xlpm.Shuttle,H4,_xlpm.Dinner,_xlfn.XLOOKUP(_xlpm.NPPL,Table315[Count],Table315[Fancy Dinner],,-1),_xlpm.Shuttle +(_xlpm.Dinner*_xlpm.NPPL)+(_xlpm.NPPL*_xlpm.Rooms))</f>
        <v>10280</v>
      </c>
    </row>
    <row r="18" spans="2:2">
      <c r="B18" s="378"/>
    </row>
  </sheetData>
  <pageMargins left="0.7" right="0.7" top="0.75" bottom="0.75" header="0.3" footer="0.3"/>
  <tableParts count="2">
    <tablePart r:id="rId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27C5-EC9A-4C32-8130-A4077811EFAF}">
  <dimension ref="B3:C7"/>
  <sheetViews>
    <sheetView showGridLines="0" zoomScale="110" zoomScaleNormal="110" workbookViewId="0">
      <selection activeCell="C8" sqref="C8"/>
    </sheetView>
  </sheetViews>
  <sheetFormatPr defaultColWidth="14.36328125" defaultRowHeight="23.5"/>
  <cols>
    <col min="1" max="1" width="12.36328125" style="370" customWidth="1"/>
    <col min="2" max="2" width="26.90625" style="370" bestFit="1" customWidth="1"/>
    <col min="3" max="3" width="19.6328125" style="370" customWidth="1"/>
    <col min="4" max="16384" width="14.36328125" style="370"/>
  </cols>
  <sheetData>
    <row r="3" spans="2:3">
      <c r="B3" s="372" t="s">
        <v>910</v>
      </c>
      <c r="C3" s="373">
        <v>4.43</v>
      </c>
    </row>
    <row r="4" spans="2:3">
      <c r="B4" s="372" t="s">
        <v>909</v>
      </c>
      <c r="C4" s="370">
        <v>19</v>
      </c>
    </row>
    <row r="5" spans="2:3">
      <c r="B5" s="372" t="s">
        <v>908</v>
      </c>
      <c r="C5" s="370">
        <v>1300</v>
      </c>
    </row>
    <row r="7" spans="2:3">
      <c r="B7" s="372" t="s">
        <v>907</v>
      </c>
      <c r="C7" s="371">
        <f>_xlfn.LET(_xlpm.Gas,C3,_xlpm.Miles,C4,_xlpm.Dist,C5,_xlpm.Gas/_xlpm.Miles*_xlpm.Dist)</f>
        <v>303.10526315789474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DD27B-1ED6-4618-B10E-3F7FB2A56F5F}">
  <dimension ref="B2:I14"/>
  <sheetViews>
    <sheetView showGridLines="0" zoomScale="150" zoomScaleNormal="150" workbookViewId="0">
      <selection activeCell="I3" sqref="I3"/>
    </sheetView>
  </sheetViews>
  <sheetFormatPr defaultColWidth="11.54296875" defaultRowHeight="14.5"/>
  <cols>
    <col min="1" max="1" width="3.453125" customWidth="1"/>
    <col min="2" max="2" width="16.453125" bestFit="1" customWidth="1"/>
    <col min="5" max="5" width="12.81640625" bestFit="1" customWidth="1"/>
    <col min="7" max="7" width="6.54296875" customWidth="1"/>
    <col min="9" max="9" width="12.81640625" bestFit="1" customWidth="1"/>
  </cols>
  <sheetData>
    <row r="2" spans="2:9" ht="15.5">
      <c r="B2" s="301" t="s">
        <v>121</v>
      </c>
      <c r="C2" s="301" t="s">
        <v>106</v>
      </c>
      <c r="D2" s="301" t="s">
        <v>105</v>
      </c>
      <c r="E2" s="301" t="s">
        <v>104</v>
      </c>
      <c r="F2" s="301" t="s">
        <v>100</v>
      </c>
      <c r="H2" s="301" t="s">
        <v>116</v>
      </c>
      <c r="I2" s="301" t="s">
        <v>104</v>
      </c>
    </row>
    <row r="3" spans="2:9" ht="15.5">
      <c r="B3" s="298" t="s">
        <v>785</v>
      </c>
      <c r="C3" s="297">
        <v>124300</v>
      </c>
      <c r="D3" s="296">
        <v>44754</v>
      </c>
      <c r="E3" s="295">
        <v>5436.33</v>
      </c>
      <c r="F3" s="295">
        <f t="shared" ref="F3:F14" si="0">E3*0.2</f>
        <v>1087.2660000000001</v>
      </c>
      <c r="H3" s="300" t="s">
        <v>11</v>
      </c>
      <c r="I3" s="299">
        <f>_xlfn.XLOOKUP(H3&amp;"*",$B$3:$B$14,$E$3:$E$14,,2)</f>
        <v>6197.4161999999997</v>
      </c>
    </row>
    <row r="4" spans="2:9" ht="15.5">
      <c r="B4" s="298" t="s">
        <v>118</v>
      </c>
      <c r="C4" s="297">
        <f>C3*1.2</f>
        <v>149160</v>
      </c>
      <c r="D4" s="296">
        <v>44751</v>
      </c>
      <c r="E4" s="295">
        <v>6197.4161999999997</v>
      </c>
      <c r="F4" s="295">
        <f t="shared" si="0"/>
        <v>1239.48324</v>
      </c>
    </row>
    <row r="5" spans="2:9" ht="15.5">
      <c r="B5" s="298" t="s">
        <v>117</v>
      </c>
      <c r="C5" s="297">
        <f>C4*1.02</f>
        <v>152143.20000000001</v>
      </c>
      <c r="D5" s="296">
        <v>44753</v>
      </c>
      <c r="E5" s="295">
        <v>7065.0544679999994</v>
      </c>
      <c r="F5" s="295">
        <f t="shared" si="0"/>
        <v>1413.0108935999999</v>
      </c>
    </row>
    <row r="6" spans="2:9" ht="15.5">
      <c r="B6" s="298" t="s">
        <v>784</v>
      </c>
      <c r="C6" s="297">
        <f>C5*0.8</f>
        <v>121714.56000000001</v>
      </c>
      <c r="D6" s="296">
        <v>44748</v>
      </c>
      <c r="E6" s="295">
        <v>8054.1620935199981</v>
      </c>
      <c r="F6" s="295">
        <f t="shared" si="0"/>
        <v>1610.8324187039998</v>
      </c>
    </row>
    <row r="7" spans="2:9" ht="15.5">
      <c r="B7" s="298" t="s">
        <v>783</v>
      </c>
      <c r="C7" s="297">
        <f>C6*0.9</f>
        <v>109543.10400000001</v>
      </c>
      <c r="D7" s="296">
        <v>44752</v>
      </c>
      <c r="E7" s="295">
        <v>9181.7447866127968</v>
      </c>
      <c r="F7" s="295">
        <f t="shared" si="0"/>
        <v>1836.3489573225595</v>
      </c>
    </row>
    <row r="8" spans="2:9" ht="15.5">
      <c r="B8" s="298" t="s">
        <v>782</v>
      </c>
      <c r="C8" s="297">
        <f>C7*1.1</f>
        <v>120497.41440000002</v>
      </c>
      <c r="D8" s="296">
        <v>44755</v>
      </c>
      <c r="E8" s="295">
        <v>10467.189056738587</v>
      </c>
      <c r="F8" s="295">
        <f t="shared" si="0"/>
        <v>2093.4378113477173</v>
      </c>
    </row>
    <row r="9" spans="2:9" ht="15.5">
      <c r="B9" s="298" t="s">
        <v>781</v>
      </c>
      <c r="C9" s="297">
        <f>C8*1.02</f>
        <v>122907.36268800002</v>
      </c>
      <c r="D9" s="296">
        <v>44757</v>
      </c>
      <c r="E9" s="295">
        <v>2446.3485000000001</v>
      </c>
      <c r="F9" s="295">
        <f t="shared" si="0"/>
        <v>489.26970000000006</v>
      </c>
    </row>
    <row r="10" spans="2:9" ht="15.5">
      <c r="B10" s="298" t="s">
        <v>111</v>
      </c>
      <c r="C10" s="297">
        <f>C9*0.8</f>
        <v>98325.890150400024</v>
      </c>
      <c r="D10" s="296">
        <v>44754</v>
      </c>
      <c r="E10" s="295">
        <v>2690.9833500000004</v>
      </c>
      <c r="F10" s="295">
        <f t="shared" si="0"/>
        <v>538.19667000000015</v>
      </c>
    </row>
    <row r="11" spans="2:9" ht="15.5">
      <c r="B11" s="298" t="s">
        <v>110</v>
      </c>
      <c r="C11" s="297">
        <f>C10*0.9</f>
        <v>88493.30113536003</v>
      </c>
      <c r="D11" s="296">
        <v>44756</v>
      </c>
      <c r="E11" s="295">
        <v>2960.0816850000001</v>
      </c>
      <c r="F11" s="295">
        <f t="shared" si="0"/>
        <v>592.01633700000002</v>
      </c>
    </row>
    <row r="12" spans="2:9" ht="15.5">
      <c r="B12" s="298" t="s">
        <v>109</v>
      </c>
      <c r="C12" s="297">
        <f>C11*1.1</f>
        <v>97342.631248896039</v>
      </c>
      <c r="D12" s="296">
        <v>44751</v>
      </c>
      <c r="E12" s="295">
        <v>3256.0898535000001</v>
      </c>
      <c r="F12" s="295">
        <f t="shared" si="0"/>
        <v>651.21797070000002</v>
      </c>
    </row>
    <row r="13" spans="2:9" ht="15.5">
      <c r="B13" s="298" t="s">
        <v>108</v>
      </c>
      <c r="C13" s="297">
        <f>C12*1.02</f>
        <v>99289.483873873964</v>
      </c>
      <c r="D13" s="296">
        <v>44755</v>
      </c>
      <c r="E13" s="295">
        <v>3581.6988388500008</v>
      </c>
      <c r="F13" s="295">
        <f t="shared" si="0"/>
        <v>716.33976777000021</v>
      </c>
    </row>
    <row r="14" spans="2:9" ht="15.5">
      <c r="B14" s="298" t="s">
        <v>107</v>
      </c>
      <c r="C14" s="297">
        <f>C13*0.8</f>
        <v>79431.587099099183</v>
      </c>
      <c r="D14" s="296">
        <v>44758</v>
      </c>
      <c r="E14" s="295">
        <v>3939.8687227350015</v>
      </c>
      <c r="F14" s="295">
        <f t="shared" si="0"/>
        <v>787.97374454700036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E8308-1330-4F51-BCD6-63BFF5A47865}">
  <dimension ref="A1:D5"/>
  <sheetViews>
    <sheetView workbookViewId="0">
      <selection activeCell="A2" sqref="A2"/>
    </sheetView>
  </sheetViews>
  <sheetFormatPr defaultRowHeight="14.5"/>
  <cols>
    <col min="2" max="2" width="10.6328125" customWidth="1"/>
    <col min="3" max="3" width="10.7265625" customWidth="1"/>
  </cols>
  <sheetData>
    <row r="1" spans="1:4">
      <c r="A1" t="s">
        <v>875</v>
      </c>
      <c r="B1" t="s">
        <v>876</v>
      </c>
      <c r="C1" t="s">
        <v>877</v>
      </c>
      <c r="D1" t="s">
        <v>881</v>
      </c>
    </row>
    <row r="2" spans="1:4">
      <c r="A2" t="s">
        <v>882</v>
      </c>
      <c r="B2" t="s">
        <v>883</v>
      </c>
      <c r="C2">
        <v>1234</v>
      </c>
      <c r="D2">
        <v>8</v>
      </c>
    </row>
    <row r="3" spans="1:4">
      <c r="A3" t="s">
        <v>878</v>
      </c>
      <c r="B3" t="s">
        <v>683</v>
      </c>
      <c r="C3">
        <v>342</v>
      </c>
      <c r="D3">
        <v>23</v>
      </c>
    </row>
    <row r="4" spans="1:4">
      <c r="A4" t="s">
        <v>880</v>
      </c>
      <c r="B4" t="s">
        <v>879</v>
      </c>
      <c r="C4">
        <v>345</v>
      </c>
      <c r="D4">
        <v>8</v>
      </c>
    </row>
    <row r="5" spans="1:4">
      <c r="A5" t="s">
        <v>884</v>
      </c>
      <c r="B5" t="s">
        <v>885</v>
      </c>
      <c r="C5">
        <v>341234</v>
      </c>
      <c r="D5">
        <v>23</v>
      </c>
    </row>
  </sheetData>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EEB4F-9B99-455B-AD96-242F60F662DE}">
  <dimension ref="A2:G13"/>
  <sheetViews>
    <sheetView workbookViewId="0">
      <selection activeCell="H17" sqref="H17"/>
    </sheetView>
  </sheetViews>
  <sheetFormatPr defaultRowHeight="14.5"/>
  <cols>
    <col min="1" max="1" width="12.36328125" bestFit="1" customWidth="1"/>
    <col min="2" max="2" width="11" customWidth="1"/>
    <col min="3" max="3" width="12.08984375" customWidth="1"/>
    <col min="4" max="4" width="15.7265625" customWidth="1"/>
    <col min="5" max="5" width="13.6328125" customWidth="1"/>
    <col min="6" max="6" width="18.1796875" bestFit="1" customWidth="1"/>
  </cols>
  <sheetData>
    <row r="2" spans="1:7" ht="16.5">
      <c r="A2" s="362" t="s">
        <v>617</v>
      </c>
      <c r="B2" s="362" t="s">
        <v>886</v>
      </c>
      <c r="C2" s="362" t="s">
        <v>887</v>
      </c>
      <c r="D2" s="362" t="s">
        <v>888</v>
      </c>
      <c r="E2" s="363" t="s">
        <v>889</v>
      </c>
      <c r="F2" s="360" t="s">
        <v>890</v>
      </c>
    </row>
    <row r="3" spans="1:7" ht="16.5">
      <c r="A3" s="361" t="s">
        <v>891</v>
      </c>
      <c r="B3" s="361">
        <v>64</v>
      </c>
      <c r="C3" s="361">
        <v>64</v>
      </c>
      <c r="D3" s="361">
        <v>88</v>
      </c>
      <c r="E3" s="361">
        <f>AVERAGE(Table214[[#This Row],[Physics]:[Chemistry]])</f>
        <v>72</v>
      </c>
      <c r="F3" s="364" cm="1">
        <f t="array" ref="F3:F13">_xlfn.BYROW(Table214[[Physics]:[Average]],_xlfn.LAMBDA(_xlpm.rowRng,AVERAGE(_xlpm.rowRng)))</f>
        <v>72</v>
      </c>
      <c r="G3" cm="1">
        <f t="array" ref="G3:G13">_xlfn.BYROW(_xlfn.TAKE(Table214[[Physics]:[Average]],COUNTA(Table214[Student])),_xlfn.LAMBDA(_xlpm.rowRng,AVERAGE(_xlpm.rowRng)))</f>
        <v>72</v>
      </c>
    </row>
    <row r="4" spans="1:7" ht="16.5">
      <c r="A4" s="361" t="s">
        <v>209</v>
      </c>
      <c r="B4" s="361">
        <v>70</v>
      </c>
      <c r="C4" s="361">
        <v>58</v>
      </c>
      <c r="D4" s="361">
        <v>72</v>
      </c>
      <c r="E4" s="361">
        <f>AVERAGE(Table214[[#This Row],[Physics]:[Chemistry]])</f>
        <v>66.666666666666671</v>
      </c>
      <c r="F4" s="364">
        <v>66.666666666666671</v>
      </c>
      <c r="G4">
        <v>66.666666666666671</v>
      </c>
    </row>
    <row r="5" spans="1:7" ht="16.5">
      <c r="A5" s="361" t="s">
        <v>229</v>
      </c>
      <c r="B5" s="361">
        <v>56</v>
      </c>
      <c r="C5" s="361">
        <v>72</v>
      </c>
      <c r="D5" s="361">
        <v>70</v>
      </c>
      <c r="E5" s="361">
        <f>AVERAGE(Table214[[#This Row],[Physics]:[Chemistry]])</f>
        <v>66</v>
      </c>
      <c r="F5" s="364">
        <v>66</v>
      </c>
      <c r="G5">
        <v>66</v>
      </c>
    </row>
    <row r="6" spans="1:7" ht="16.5">
      <c r="A6" s="361" t="s">
        <v>556</v>
      </c>
      <c r="B6" s="361">
        <v>86</v>
      </c>
      <c r="C6" s="361">
        <v>52</v>
      </c>
      <c r="D6" s="361">
        <v>85</v>
      </c>
      <c r="E6" s="361">
        <f>AVERAGE(Table214[[#This Row],[Physics]:[Chemistry]])</f>
        <v>74.333333333333329</v>
      </c>
      <c r="F6" s="364">
        <v>74.333333333333329</v>
      </c>
      <c r="G6">
        <v>74.333333333333329</v>
      </c>
    </row>
    <row r="7" spans="1:7" ht="16.5">
      <c r="A7" s="361" t="s">
        <v>892</v>
      </c>
      <c r="B7" s="361">
        <v>76</v>
      </c>
      <c r="C7" s="361">
        <v>76</v>
      </c>
      <c r="D7" s="361">
        <v>71</v>
      </c>
      <c r="E7" s="361">
        <f>AVERAGE(Table214[[#This Row],[Physics]:[Chemistry]])</f>
        <v>74.333333333333329</v>
      </c>
      <c r="F7" s="364">
        <v>74.333333333333329</v>
      </c>
      <c r="G7">
        <v>74.333333333333329</v>
      </c>
    </row>
    <row r="8" spans="1:7" ht="16.5">
      <c r="A8" s="361" t="s">
        <v>893</v>
      </c>
      <c r="B8" s="361">
        <v>69</v>
      </c>
      <c r="C8" s="361">
        <v>74</v>
      </c>
      <c r="D8" s="361">
        <v>67</v>
      </c>
      <c r="E8" s="361">
        <f>AVERAGE(Table214[[#This Row],[Physics]:[Chemistry]])</f>
        <v>70</v>
      </c>
      <c r="F8" s="364">
        <v>70</v>
      </c>
      <c r="G8">
        <v>70</v>
      </c>
    </row>
    <row r="9" spans="1:7" ht="16.5">
      <c r="A9" s="361" t="s">
        <v>894</v>
      </c>
      <c r="B9" s="361">
        <v>82</v>
      </c>
      <c r="C9" s="361">
        <v>54</v>
      </c>
      <c r="D9" s="361">
        <v>71</v>
      </c>
      <c r="E9" s="361">
        <f>AVERAGE(Table214[[#This Row],[Physics]:[Chemistry]])</f>
        <v>69</v>
      </c>
      <c r="F9" s="364">
        <v>69</v>
      </c>
      <c r="G9">
        <v>69</v>
      </c>
    </row>
    <row r="10" spans="1:7" ht="16.5">
      <c r="A10" s="361" t="s">
        <v>799</v>
      </c>
      <c r="B10" s="361">
        <v>76</v>
      </c>
      <c r="C10" s="361">
        <v>79</v>
      </c>
      <c r="D10" s="361">
        <v>55</v>
      </c>
      <c r="E10" s="361">
        <f>AVERAGE(Table214[[#This Row],[Physics]:[Chemistry]])</f>
        <v>70</v>
      </c>
      <c r="F10" s="364">
        <v>70</v>
      </c>
      <c r="G10">
        <v>70</v>
      </c>
    </row>
    <row r="11" spans="1:7" ht="16.5">
      <c r="A11" s="361" t="s">
        <v>895</v>
      </c>
      <c r="B11" s="361">
        <v>93</v>
      </c>
      <c r="C11" s="361">
        <v>57</v>
      </c>
      <c r="D11" s="361">
        <v>96</v>
      </c>
      <c r="E11" s="361">
        <f>AVERAGE(Table214[[#This Row],[Physics]:[Chemistry]])</f>
        <v>82</v>
      </c>
      <c r="F11" s="364">
        <v>82</v>
      </c>
      <c r="G11">
        <v>82</v>
      </c>
    </row>
    <row r="12" spans="1:7" ht="16.5">
      <c r="A12" s="361" t="s">
        <v>896</v>
      </c>
      <c r="B12" s="361">
        <v>89</v>
      </c>
      <c r="C12" s="361">
        <v>77</v>
      </c>
      <c r="D12" s="361">
        <v>61</v>
      </c>
      <c r="E12" s="361">
        <f>AVERAGE(Table214[[#This Row],[Physics]:[Chemistry]])</f>
        <v>75.666666666666671</v>
      </c>
      <c r="F12" s="364">
        <v>75.666666666666671</v>
      </c>
      <c r="G12">
        <v>75.666666666666671</v>
      </c>
    </row>
    <row r="13" spans="1:7" ht="16.5">
      <c r="A13" s="361" t="s">
        <v>683</v>
      </c>
      <c r="B13" s="361">
        <v>12</v>
      </c>
      <c r="C13" s="361">
        <v>34</v>
      </c>
      <c r="D13" s="361"/>
      <c r="E13" s="361">
        <f>AVERAGE(Table214[[#This Row],[Physics]:[Chemistry]])</f>
        <v>23</v>
      </c>
      <c r="F13">
        <v>23</v>
      </c>
      <c r="G13">
        <v>23</v>
      </c>
    </row>
  </sheetData>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41750-DC73-4A80-91C3-1EFACF7185CC}">
  <dimension ref="B5:H18"/>
  <sheetViews>
    <sheetView topLeftCell="A4" workbookViewId="0">
      <selection activeCell="H11" sqref="H11"/>
    </sheetView>
  </sheetViews>
  <sheetFormatPr defaultRowHeight="14.5"/>
  <cols>
    <col min="2" max="2" width="15.1796875" bestFit="1" customWidth="1"/>
  </cols>
  <sheetData>
    <row r="5" spans="2:8" ht="16.5">
      <c r="B5" s="365" t="s">
        <v>897</v>
      </c>
      <c r="C5" s="366" t="s">
        <v>886</v>
      </c>
      <c r="D5" s="366" t="s">
        <v>887</v>
      </c>
      <c r="E5" s="366" t="s">
        <v>888</v>
      </c>
    </row>
    <row r="6" spans="2:8" ht="16.5">
      <c r="B6" s="367" t="s">
        <v>891</v>
      </c>
      <c r="C6" s="361">
        <v>64</v>
      </c>
      <c r="D6" s="361">
        <v>64</v>
      </c>
      <c r="E6" s="361">
        <v>98</v>
      </c>
    </row>
    <row r="7" spans="2:8" ht="16.5">
      <c r="B7" s="361" t="s">
        <v>209</v>
      </c>
      <c r="C7" s="361">
        <v>70</v>
      </c>
      <c r="D7" s="361">
        <v>58</v>
      </c>
      <c r="E7" s="361">
        <v>72</v>
      </c>
    </row>
    <row r="8" spans="2:8" ht="16.5">
      <c r="B8" s="361" t="s">
        <v>229</v>
      </c>
      <c r="C8" s="361">
        <v>56</v>
      </c>
      <c r="D8" s="361">
        <v>72</v>
      </c>
      <c r="E8" s="361">
        <v>70</v>
      </c>
    </row>
    <row r="9" spans="2:8" ht="16.5">
      <c r="B9" s="361" t="s">
        <v>556</v>
      </c>
      <c r="C9" s="361">
        <v>86</v>
      </c>
      <c r="D9" s="361">
        <v>52</v>
      </c>
      <c r="E9" s="361">
        <v>85</v>
      </c>
    </row>
    <row r="10" spans="2:8" ht="16.5">
      <c r="B10" s="361" t="s">
        <v>892</v>
      </c>
      <c r="C10" s="361">
        <v>76</v>
      </c>
      <c r="D10" s="361">
        <v>76</v>
      </c>
      <c r="E10" s="361">
        <v>71</v>
      </c>
    </row>
    <row r="11" spans="2:8" ht="16.5">
      <c r="B11" s="361" t="s">
        <v>893</v>
      </c>
      <c r="C11" s="361">
        <v>69</v>
      </c>
      <c r="D11" s="361">
        <v>74</v>
      </c>
      <c r="E11" s="361">
        <v>67</v>
      </c>
      <c r="H11" t="str">
        <f>INDEX(B6:B15,MATCH(C13,C6:C15))</f>
        <v>Eva</v>
      </c>
    </row>
    <row r="12" spans="2:8" ht="16.5">
      <c r="B12" s="361" t="s">
        <v>894</v>
      </c>
      <c r="C12" s="361">
        <v>82</v>
      </c>
      <c r="D12" s="361">
        <v>54</v>
      </c>
      <c r="E12" s="361">
        <v>71</v>
      </c>
    </row>
    <row r="13" spans="2:8" ht="16.5">
      <c r="B13" s="367" t="s">
        <v>799</v>
      </c>
      <c r="C13" s="361">
        <v>76</v>
      </c>
      <c r="D13" s="361">
        <v>79</v>
      </c>
      <c r="E13" s="361">
        <v>55</v>
      </c>
    </row>
    <row r="14" spans="2:8" ht="16.5">
      <c r="B14" s="367" t="s">
        <v>895</v>
      </c>
      <c r="C14" s="361">
        <v>93</v>
      </c>
      <c r="D14" s="361">
        <v>57</v>
      </c>
      <c r="E14" s="361">
        <v>96</v>
      </c>
    </row>
    <row r="15" spans="2:8" ht="16.5">
      <c r="B15" s="365" t="s">
        <v>896</v>
      </c>
      <c r="C15" s="365">
        <v>89</v>
      </c>
      <c r="D15" s="365">
        <v>77</v>
      </c>
      <c r="E15" s="365">
        <v>61</v>
      </c>
    </row>
    <row r="16" spans="2:8" ht="16.5">
      <c r="B16" s="361" t="s">
        <v>889</v>
      </c>
      <c r="C16" s="361" cm="1">
        <f t="array" ref="C16:E16">_xlfn.BYCOL(C6:E15,_xlfn.LAMBDA(_xlpm.colRng,AVERAGE(_xlpm.colRng)))</f>
        <v>76.099999999999994</v>
      </c>
      <c r="D16" s="361">
        <v>66.3</v>
      </c>
      <c r="E16" s="361">
        <v>74.599999999999994</v>
      </c>
    </row>
    <row r="17" spans="2:5" ht="16.5">
      <c r="B17" s="368" t="s">
        <v>898</v>
      </c>
      <c r="C17" s="368" cm="1">
        <f t="array" ref="C17:E17">_xlfn.BYCOL(C6:E15,_xlfn.LAMBDA(_xlpm.colRng,MAX(_xlpm.colRng)))</f>
        <v>93</v>
      </c>
      <c r="D17" s="368">
        <v>79</v>
      </c>
      <c r="E17" s="368">
        <v>98</v>
      </c>
    </row>
    <row r="18" spans="2:5" ht="16.5">
      <c r="B18" s="367" t="s">
        <v>899</v>
      </c>
      <c r="C18" s="369" t="str" cm="1">
        <f t="array" ref="C18:E18">INDEX(B5:B14,_xlfn.BYCOL(C5:E14,_xlfn.LAMBDA(_xlpm.colRng,MATCH(MAX(_xlpm.colRng),_xlpm.colRng,0))))</f>
        <v>Ian</v>
      </c>
      <c r="D18" s="369" t="str">
        <v>Hannah</v>
      </c>
      <c r="E18" s="369" t="str">
        <v>Alice</v>
      </c>
    </row>
  </sheetData>
  <conditionalFormatting sqref="C6:C15">
    <cfRule type="top10" dxfId="5" priority="3" rank="1"/>
  </conditionalFormatting>
  <conditionalFormatting sqref="D6:D15">
    <cfRule type="top10" dxfId="4" priority="2" rank="1"/>
  </conditionalFormatting>
  <conditionalFormatting sqref="E6:E15">
    <cfRule type="top10" dxfId="3" priority="1" rank="1"/>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7252-319E-4BE9-BABD-BA633FA51566}">
  <dimension ref="A1:M12"/>
  <sheetViews>
    <sheetView workbookViewId="0">
      <selection activeCell="E2" sqref="E2"/>
    </sheetView>
  </sheetViews>
  <sheetFormatPr defaultRowHeight="14.5"/>
  <sheetData>
    <row r="1" spans="1:13">
      <c r="A1" t="s">
        <v>680</v>
      </c>
      <c r="B1" t="s">
        <v>681</v>
      </c>
      <c r="C1" t="s">
        <v>901</v>
      </c>
      <c r="E1" t="str" cm="1">
        <f t="array" ref="E1:L1">_xlfn.UNIQUE(_xlfn.TOROW(A1:C3),TRUE)</f>
        <v>a</v>
      </c>
      <c r="F1" t="str">
        <v>b</v>
      </c>
      <c r="G1" t="str">
        <v>sd</v>
      </c>
      <c r="H1" t="str">
        <v>as</v>
      </c>
      <c r="I1" t="str">
        <v>c</v>
      </c>
      <c r="J1" t="str">
        <v>dsa</v>
      </c>
      <c r="K1" t="str">
        <v>da</v>
      </c>
      <c r="L1" t="str">
        <v>asd</v>
      </c>
    </row>
    <row r="2" spans="1:13">
      <c r="A2" t="s">
        <v>903</v>
      </c>
      <c r="B2" t="s">
        <v>900</v>
      </c>
      <c r="C2" t="s">
        <v>902</v>
      </c>
      <c r="E2" t="str" cm="1">
        <f t="array" ref="E2:M2">_xlfn.TOROW(A1:C3)</f>
        <v>a</v>
      </c>
      <c r="F2" t="str">
        <v>b</v>
      </c>
      <c r="G2" t="str">
        <v>sd</v>
      </c>
      <c r="H2" t="str">
        <v>as</v>
      </c>
      <c r="I2" t="str">
        <v>c</v>
      </c>
      <c r="J2" t="str">
        <v>dsa</v>
      </c>
      <c r="K2" t="str">
        <v>da</v>
      </c>
      <c r="L2" t="str">
        <v>sd</v>
      </c>
      <c r="M2" t="str">
        <v>asd</v>
      </c>
    </row>
    <row r="3" spans="1:13">
      <c r="A3" t="s">
        <v>904</v>
      </c>
      <c r="B3" t="s">
        <v>901</v>
      </c>
      <c r="C3" t="s">
        <v>683</v>
      </c>
    </row>
    <row r="4" spans="1:13">
      <c r="E4" t="str" cm="1">
        <f t="array" ref="E4:E12">_xlfn.TOCOL(A1:C3)</f>
        <v>a</v>
      </c>
      <c r="F4" t="str" cm="1">
        <f t="array" ref="F4:F11">_xlfn.UNIQUE(_xlfn.TOCOL(A1:C3))</f>
        <v>a</v>
      </c>
    </row>
    <row r="5" spans="1:13">
      <c r="E5" t="str">
        <v>b</v>
      </c>
      <c r="F5" t="str">
        <v>b</v>
      </c>
    </row>
    <row r="6" spans="1:13">
      <c r="E6" t="str">
        <v>sd</v>
      </c>
      <c r="F6" t="str">
        <v>sd</v>
      </c>
    </row>
    <row r="7" spans="1:13">
      <c r="E7" t="str">
        <v>as</v>
      </c>
      <c r="F7" t="str">
        <v>as</v>
      </c>
    </row>
    <row r="8" spans="1:13">
      <c r="E8" t="str">
        <v>c</v>
      </c>
      <c r="F8" t="str">
        <v>c</v>
      </c>
    </row>
    <row r="9" spans="1:13">
      <c r="E9" t="str">
        <v>dsa</v>
      </c>
      <c r="F9" t="str">
        <v>dsa</v>
      </c>
    </row>
    <row r="10" spans="1:13">
      <c r="E10" t="str">
        <v>da</v>
      </c>
      <c r="F10" t="str">
        <v>da</v>
      </c>
    </row>
    <row r="11" spans="1:13">
      <c r="E11" t="str">
        <v>sd</v>
      </c>
      <c r="F11" t="str">
        <v>asd</v>
      </c>
    </row>
    <row r="12" spans="1:13">
      <c r="E12" t="str">
        <v>asd</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E2D83-2F37-4DEE-BDB6-E5AB4D7E8CBB}">
  <dimension ref="B3:G5"/>
  <sheetViews>
    <sheetView tabSelected="1" workbookViewId="0">
      <selection activeCell="D6" sqref="D6"/>
    </sheetView>
  </sheetViews>
  <sheetFormatPr defaultRowHeight="14.5"/>
  <cols>
    <col min="2" max="2" width="17.81640625" bestFit="1" customWidth="1"/>
    <col min="5" max="5" width="9.81640625" bestFit="1" customWidth="1"/>
  </cols>
  <sheetData>
    <row r="3" spans="2:7">
      <c r="B3" t="s">
        <v>905</v>
      </c>
      <c r="D3" t="str">
        <f>_xlfn.TEXTBEFORE(B3," ")</f>
        <v>jakub</v>
      </c>
      <c r="E3" t="str">
        <f>_xlfn.TEXTBEFORE(B3," ",2)</f>
        <v>jakub piotr</v>
      </c>
      <c r="F3" t="str">
        <f>_xlfn.TEXTAFTER(B3," ",2)</f>
        <v>szwajkos</v>
      </c>
    </row>
    <row r="4" spans="2:7">
      <c r="B4" t="s">
        <v>906</v>
      </c>
      <c r="F4" t="e">
        <f>_xlfn.TEXTAFTER(B4," ",2)</f>
        <v>#N/A</v>
      </c>
      <c r="G4" t="str">
        <f>IFERROR(_xlfn.TEXTAFTER(B4," ",2),_xlfn.TEXTAFTER(B4," ",1))</f>
        <v>Szwajkos</v>
      </c>
    </row>
    <row r="5" spans="2:7">
      <c r="B5" t="s">
        <v>1122</v>
      </c>
      <c r="D5" t="str">
        <f>_xlfn.TEXTAFTER(B5," ")</f>
        <v>mc'donald</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A2CD0-3136-44E3-B9B6-CC9CCA2C5767}">
  <dimension ref="B2:K10"/>
  <sheetViews>
    <sheetView showGridLines="0" zoomScale="150" zoomScaleNormal="150" workbookViewId="0">
      <selection activeCell="H6" sqref="H6"/>
    </sheetView>
  </sheetViews>
  <sheetFormatPr defaultColWidth="11.6328125" defaultRowHeight="15.5"/>
  <cols>
    <col min="1" max="1" width="8" style="1" customWidth="1"/>
    <col min="2" max="2" width="9.453125" style="1" customWidth="1"/>
    <col min="3" max="3" width="12.90625" style="1" bestFit="1" customWidth="1"/>
    <col min="4" max="4" width="10" style="1" bestFit="1" customWidth="1"/>
    <col min="5" max="6" width="11.6328125" style="1"/>
    <col min="7" max="7" width="9.81640625" style="1" customWidth="1"/>
    <col min="8" max="8" width="14.36328125" style="1" customWidth="1"/>
    <col min="9" max="16384" width="11.6328125" style="1"/>
  </cols>
  <sheetData>
    <row r="2" spans="2:11">
      <c r="B2" s="87" t="s">
        <v>265</v>
      </c>
      <c r="C2" s="86"/>
      <c r="D2" s="86"/>
      <c r="E2" s="86"/>
      <c r="F2" s="86"/>
      <c r="G2" s="86"/>
      <c r="H2" s="86"/>
      <c r="I2" s="86"/>
      <c r="J2" s="86"/>
      <c r="K2" s="86"/>
    </row>
    <row r="3" spans="2:11">
      <c r="B3" s="1" t="s">
        <v>354</v>
      </c>
    </row>
    <row r="5" spans="2:11">
      <c r="B5" s="85" t="s">
        <v>353</v>
      </c>
      <c r="C5" s="85" t="s">
        <v>352</v>
      </c>
      <c r="D5" s="85" t="s">
        <v>351</v>
      </c>
      <c r="E5" s="17" t="s">
        <v>350</v>
      </c>
      <c r="G5" s="424" t="s">
        <v>349</v>
      </c>
      <c r="H5" s="424"/>
    </row>
    <row r="6" spans="2:11">
      <c r="B6" s="82" t="s">
        <v>348</v>
      </c>
      <c r="C6" s="11">
        <v>550000</v>
      </c>
      <c r="D6" s="11">
        <v>30000</v>
      </c>
      <c r="E6" s="97" t="str">
        <f>IF(AND(C6&gt;$H$6,D6&gt;$H$7),"Pass","Reject")</f>
        <v>Pass</v>
      </c>
      <c r="F6" s="1" t="str">
        <f>IF((C6&gt;$H$6)*(D6&gt;$H$7),"Pass","Reject")</f>
        <v>Pass</v>
      </c>
      <c r="G6" s="1" t="s">
        <v>162</v>
      </c>
      <c r="H6" s="11">
        <v>500000</v>
      </c>
    </row>
    <row r="7" spans="2:11">
      <c r="B7" s="82" t="s">
        <v>347</v>
      </c>
      <c r="C7" s="11">
        <v>450000</v>
      </c>
      <c r="D7" s="11">
        <v>350000</v>
      </c>
      <c r="E7" s="97" t="str">
        <f>IF(AND(C7&gt;$H$6,D7&gt;$H$7),"Pass","Reject")</f>
        <v>Reject</v>
      </c>
      <c r="F7" s="1" t="str">
        <f>IF((C7&gt;$H$6)*(D7&gt;$H$7),"Pass","Reject")</f>
        <v>Reject</v>
      </c>
      <c r="G7" s="1" t="s">
        <v>257</v>
      </c>
      <c r="H7" s="11">
        <v>25000</v>
      </c>
    </row>
    <row r="8" spans="2:11">
      <c r="B8" s="82" t="s">
        <v>346</v>
      </c>
      <c r="C8" s="11">
        <v>295800</v>
      </c>
      <c r="D8" s="11">
        <v>45800</v>
      </c>
      <c r="E8" s="97" t="str">
        <f>IF(AND(C8&gt;$H$6,D8&gt;$H$7),"Pass","Reject")</f>
        <v>Reject</v>
      </c>
      <c r="F8" s="1" t="str">
        <f>IF((C8&gt;$H$6)*(D8&gt;$H$7),"Pass","Reject")</f>
        <v>Reject</v>
      </c>
    </row>
    <row r="9" spans="2:11">
      <c r="B9" s="82" t="s">
        <v>345</v>
      </c>
      <c r="C9" s="11">
        <v>780500</v>
      </c>
      <c r="D9" s="11">
        <v>50250</v>
      </c>
      <c r="E9" s="97" t="str">
        <f>IF(AND(C9&gt;$H$6,D9&gt;$H$7),"Pass","Reject")</f>
        <v>Pass</v>
      </c>
      <c r="F9" s="1" t="str">
        <f>IF((C9&gt;$H$6)*(D9&gt;$H$7),"Pass","Reject")</f>
        <v>Pass</v>
      </c>
    </row>
    <row r="10" spans="2:11">
      <c r="B10" s="82" t="s">
        <v>344</v>
      </c>
      <c r="C10" s="11">
        <v>805000</v>
      </c>
      <c r="D10" s="11">
        <v>12500</v>
      </c>
      <c r="E10" s="97" t="str">
        <f>IF(AND(C10&gt;$H$6,D10&gt;$H$7),"Pass","Reject")</f>
        <v>Reject</v>
      </c>
      <c r="F10" s="1" t="str">
        <f>IF((C10&gt;$H$6)*(D10&gt;$H$7),"Pass","Reject")</f>
        <v>Reject</v>
      </c>
    </row>
  </sheetData>
  <mergeCells count="1">
    <mergeCell ref="G5:H5"/>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0C61F-38E5-4142-B272-32F78CD3F3A9}">
  <dimension ref="B1:J16"/>
  <sheetViews>
    <sheetView showGridLines="0" workbookViewId="0">
      <selection activeCell="J2" sqref="J2"/>
    </sheetView>
  </sheetViews>
  <sheetFormatPr defaultColWidth="14.7265625" defaultRowHeight="23.5"/>
  <cols>
    <col min="1" max="1" width="7.08984375" style="370" customWidth="1"/>
    <col min="2" max="2" width="17.453125" style="370" customWidth="1"/>
    <col min="3" max="4" width="19.453125" style="370" customWidth="1"/>
    <col min="5" max="5" width="18.54296875" style="370" customWidth="1"/>
    <col min="6" max="6" width="17.08984375" style="370" bestFit="1" customWidth="1"/>
    <col min="7" max="8" width="14.7265625" style="370"/>
    <col min="9" max="9" width="5.6328125" style="370" bestFit="1" customWidth="1"/>
    <col min="10" max="10" width="15.81640625" style="370" bestFit="1" customWidth="1"/>
    <col min="11" max="16384" width="14.7265625" style="370"/>
  </cols>
  <sheetData>
    <row r="1" spans="2:10">
      <c r="B1" s="372" t="s">
        <v>1076</v>
      </c>
      <c r="C1" s="372" t="s">
        <v>1075</v>
      </c>
      <c r="D1" s="372" t="s">
        <v>1074</v>
      </c>
      <c r="E1" s="372" t="s">
        <v>1073</v>
      </c>
    </row>
    <row r="2" spans="2:10">
      <c r="B2" s="370" t="s">
        <v>1072</v>
      </c>
      <c r="C2" s="392">
        <v>44723</v>
      </c>
      <c r="D2" s="392">
        <v>44652</v>
      </c>
      <c r="E2" s="392">
        <v>44788</v>
      </c>
      <c r="F2" s="370" t="b">
        <f t="shared" ref="F2:F16" si="0">C2&lt;D2</f>
        <v>0</v>
      </c>
      <c r="G2" s="370" t="b">
        <f t="shared" ref="G2:G16" si="1">D2&lt;E2</f>
        <v>1</v>
      </c>
      <c r="H2" s="370" t="str">
        <f t="shared" ref="H2:H16" si="2">IF(AND(F2=TRUE,G2=TRUE),"good","out of order")</f>
        <v>out of order</v>
      </c>
      <c r="J2" s="370" t="str" cm="1">
        <f t="array" ref="J2:J8">_xlfn._xlws.FILTER(B2:B16,(F2:F16=FALSE)+(G2:G16=FALSE))</f>
        <v>Seth</v>
      </c>
    </row>
    <row r="3" spans="2:10">
      <c r="B3" s="370" t="s">
        <v>1071</v>
      </c>
      <c r="C3" s="392">
        <v>44597</v>
      </c>
      <c r="D3" s="392">
        <v>44803</v>
      </c>
      <c r="E3" s="392">
        <v>44559</v>
      </c>
      <c r="F3" s="370" t="b">
        <f t="shared" si="0"/>
        <v>1</v>
      </c>
      <c r="G3" s="370" t="b">
        <f t="shared" si="1"/>
        <v>0</v>
      </c>
      <c r="H3" s="370" t="str">
        <f t="shared" si="2"/>
        <v>out of order</v>
      </c>
      <c r="J3" s="370" t="str">
        <v>Louis</v>
      </c>
    </row>
    <row r="4" spans="2:10">
      <c r="B4" s="370" t="s">
        <v>1070</v>
      </c>
      <c r="C4" s="392">
        <v>44650</v>
      </c>
      <c r="D4" s="392">
        <v>44625</v>
      </c>
      <c r="E4" s="392">
        <v>44774</v>
      </c>
      <c r="F4" s="370" t="b">
        <f t="shared" si="0"/>
        <v>0</v>
      </c>
      <c r="G4" s="370" t="b">
        <f t="shared" si="1"/>
        <v>1</v>
      </c>
      <c r="H4" s="370" t="str">
        <f t="shared" si="2"/>
        <v>out of order</v>
      </c>
      <c r="J4" s="370" t="str">
        <v>Omah</v>
      </c>
    </row>
    <row r="5" spans="2:10">
      <c r="B5" s="370" t="s">
        <v>1069</v>
      </c>
      <c r="C5" s="392">
        <v>44725</v>
      </c>
      <c r="D5" s="392">
        <v>44743</v>
      </c>
      <c r="E5" s="392">
        <v>44803</v>
      </c>
      <c r="F5" s="370" t="b">
        <f t="shared" si="0"/>
        <v>1</v>
      </c>
      <c r="G5" s="370" t="b">
        <f t="shared" si="1"/>
        <v>1</v>
      </c>
      <c r="H5" s="370" t="str">
        <f t="shared" si="2"/>
        <v>good</v>
      </c>
      <c r="J5" s="370" t="str">
        <v>Renaldo</v>
      </c>
    </row>
    <row r="6" spans="2:10">
      <c r="B6" s="370" t="s">
        <v>1068</v>
      </c>
      <c r="C6" s="392">
        <v>44760</v>
      </c>
      <c r="D6" s="392">
        <v>44774</v>
      </c>
      <c r="E6" s="392">
        <v>44782</v>
      </c>
      <c r="F6" s="370" t="b">
        <f t="shared" si="0"/>
        <v>1</v>
      </c>
      <c r="G6" s="370" t="b">
        <f t="shared" si="1"/>
        <v>1</v>
      </c>
      <c r="H6" s="370" t="str">
        <f t="shared" si="2"/>
        <v>good</v>
      </c>
      <c r="J6" s="370" t="str">
        <v>Kristoff</v>
      </c>
    </row>
    <row r="7" spans="2:10">
      <c r="B7" s="370" t="s">
        <v>1067</v>
      </c>
      <c r="C7" s="392">
        <v>44756</v>
      </c>
      <c r="D7" s="392">
        <v>44788</v>
      </c>
      <c r="E7" s="392">
        <v>44776</v>
      </c>
      <c r="F7" s="370" t="b">
        <f t="shared" si="0"/>
        <v>1</v>
      </c>
      <c r="G7" s="370" t="b">
        <f t="shared" si="1"/>
        <v>0</v>
      </c>
      <c r="H7" s="370" t="str">
        <f t="shared" si="2"/>
        <v>out of order</v>
      </c>
      <c r="J7" s="370" t="str">
        <v>Brandon</v>
      </c>
    </row>
    <row r="8" spans="2:10">
      <c r="B8" s="370" t="s">
        <v>1066</v>
      </c>
      <c r="C8" s="392">
        <v>44678</v>
      </c>
      <c r="D8" s="392">
        <v>44742</v>
      </c>
      <c r="E8" s="392">
        <v>44786</v>
      </c>
      <c r="F8" s="370" t="b">
        <f t="shared" si="0"/>
        <v>1</v>
      </c>
      <c r="G8" s="370" t="b">
        <f t="shared" si="1"/>
        <v>1</v>
      </c>
      <c r="H8" s="370" t="str">
        <f t="shared" si="2"/>
        <v>good</v>
      </c>
      <c r="J8" s="370" t="str">
        <v>Zeb</v>
      </c>
    </row>
    <row r="9" spans="2:10">
      <c r="B9" s="370" t="s">
        <v>1065</v>
      </c>
      <c r="C9" s="392">
        <v>44693</v>
      </c>
      <c r="D9" s="392">
        <v>44753</v>
      </c>
      <c r="E9" s="392">
        <v>44793</v>
      </c>
      <c r="F9" s="370" t="b">
        <f t="shared" si="0"/>
        <v>1</v>
      </c>
      <c r="G9" s="370" t="b">
        <f t="shared" si="1"/>
        <v>1</v>
      </c>
      <c r="H9" s="370" t="str">
        <f t="shared" si="2"/>
        <v>good</v>
      </c>
    </row>
    <row r="10" spans="2:10">
      <c r="B10" s="370" t="s">
        <v>1064</v>
      </c>
      <c r="C10" s="392">
        <v>44759</v>
      </c>
      <c r="D10" s="392">
        <v>44743</v>
      </c>
      <c r="E10" s="392">
        <v>44804</v>
      </c>
      <c r="F10" s="370" t="b">
        <f t="shared" si="0"/>
        <v>0</v>
      </c>
      <c r="G10" s="370" t="b">
        <f t="shared" si="1"/>
        <v>1</v>
      </c>
      <c r="H10" s="370" t="str">
        <f t="shared" si="2"/>
        <v>out of order</v>
      </c>
    </row>
    <row r="11" spans="2:10">
      <c r="B11" s="370" t="s">
        <v>1063</v>
      </c>
      <c r="C11" s="392">
        <v>44694</v>
      </c>
      <c r="D11" s="392">
        <v>44740</v>
      </c>
      <c r="E11" s="392">
        <v>44783</v>
      </c>
      <c r="F11" s="370" t="b">
        <f t="shared" si="0"/>
        <v>1</v>
      </c>
      <c r="G11" s="370" t="b">
        <f t="shared" si="1"/>
        <v>1</v>
      </c>
      <c r="H11" s="370" t="str">
        <f t="shared" si="2"/>
        <v>good</v>
      </c>
    </row>
    <row r="12" spans="2:10">
      <c r="B12" s="370" t="s">
        <v>1062</v>
      </c>
      <c r="C12" s="392">
        <v>44662</v>
      </c>
      <c r="D12" s="392">
        <v>44748</v>
      </c>
      <c r="E12" s="392">
        <v>44774</v>
      </c>
      <c r="F12" s="370" t="b">
        <f t="shared" si="0"/>
        <v>1</v>
      </c>
      <c r="G12" s="370" t="b">
        <f t="shared" si="1"/>
        <v>1</v>
      </c>
      <c r="H12" s="370" t="str">
        <f t="shared" si="2"/>
        <v>good</v>
      </c>
    </row>
    <row r="13" spans="2:10">
      <c r="B13" s="370" t="s">
        <v>1061</v>
      </c>
      <c r="C13" s="392">
        <v>44681</v>
      </c>
      <c r="D13" s="392">
        <v>44801</v>
      </c>
      <c r="E13" s="392">
        <v>44748</v>
      </c>
      <c r="F13" s="370" t="b">
        <f t="shared" si="0"/>
        <v>1</v>
      </c>
      <c r="G13" s="370" t="b">
        <f t="shared" si="1"/>
        <v>0</v>
      </c>
      <c r="H13" s="370" t="str">
        <f t="shared" si="2"/>
        <v>out of order</v>
      </c>
    </row>
    <row r="14" spans="2:10">
      <c r="B14" s="370" t="s">
        <v>1060</v>
      </c>
      <c r="C14" s="392">
        <v>44657</v>
      </c>
      <c r="D14" s="392">
        <v>44691</v>
      </c>
      <c r="E14" s="392">
        <v>44780</v>
      </c>
      <c r="F14" s="370" t="b">
        <f t="shared" si="0"/>
        <v>1</v>
      </c>
      <c r="G14" s="370" t="b">
        <f t="shared" si="1"/>
        <v>1</v>
      </c>
      <c r="H14" s="370" t="str">
        <f t="shared" si="2"/>
        <v>good</v>
      </c>
    </row>
    <row r="15" spans="2:10">
      <c r="B15" s="370" t="s">
        <v>1059</v>
      </c>
      <c r="C15" s="392">
        <v>44791</v>
      </c>
      <c r="D15" s="392">
        <v>44723</v>
      </c>
      <c r="E15" s="392">
        <v>44707</v>
      </c>
      <c r="F15" s="370" t="b">
        <f t="shared" si="0"/>
        <v>0</v>
      </c>
      <c r="G15" s="370" t="b">
        <f t="shared" si="1"/>
        <v>0</v>
      </c>
      <c r="H15" s="370" t="str">
        <f t="shared" si="2"/>
        <v>out of order</v>
      </c>
    </row>
    <row r="16" spans="2:10">
      <c r="B16" s="370" t="s">
        <v>1058</v>
      </c>
      <c r="C16" s="392">
        <v>44683</v>
      </c>
      <c r="D16" s="392">
        <v>44755</v>
      </c>
      <c r="E16" s="392">
        <v>44785</v>
      </c>
      <c r="F16" s="370" t="b">
        <f t="shared" si="0"/>
        <v>1</v>
      </c>
      <c r="G16" s="370" t="b">
        <f t="shared" si="1"/>
        <v>1</v>
      </c>
      <c r="H16" s="370" t="str">
        <f t="shared" si="2"/>
        <v>good</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31569-2286-48A9-9BE6-CF09676CE881}">
  <dimension ref="C3:G14"/>
  <sheetViews>
    <sheetView workbookViewId="0">
      <selection activeCell="F3" sqref="F3"/>
    </sheetView>
  </sheetViews>
  <sheetFormatPr defaultRowHeight="14.5"/>
  <cols>
    <col min="3" max="3" width="17.54296875" bestFit="1" customWidth="1"/>
    <col min="6" max="6" width="17" bestFit="1" customWidth="1"/>
  </cols>
  <sheetData>
    <row r="3" spans="3:7">
      <c r="C3" s="394">
        <v>4056489695493</v>
      </c>
      <c r="D3" s="393">
        <v>456</v>
      </c>
      <c r="F3" s="396" cm="1">
        <f t="array" ref="F3:G9">_xlfn._xlws.FILTER(CHOOSE({1,2}, C3:C14, D3:D14), D3:D14 &gt; 100)</f>
        <v>4056489695493</v>
      </c>
      <c r="G3">
        <v>456</v>
      </c>
    </row>
    <row r="4" spans="3:7">
      <c r="C4" s="395">
        <v>4056489695486</v>
      </c>
      <c r="D4" s="393">
        <v>270</v>
      </c>
      <c r="F4" s="396">
        <v>4056489695486</v>
      </c>
      <c r="G4">
        <v>270</v>
      </c>
    </row>
    <row r="5" spans="3:7">
      <c r="C5" s="394">
        <v>4056489521129</v>
      </c>
      <c r="D5" s="393">
        <v>258</v>
      </c>
      <c r="F5" s="396">
        <v>4056489521129</v>
      </c>
      <c r="G5">
        <v>258</v>
      </c>
    </row>
    <row r="6" spans="3:7">
      <c r="C6" s="395">
        <v>8412604987878</v>
      </c>
      <c r="D6" s="393">
        <v>232</v>
      </c>
      <c r="F6" s="396">
        <v>8412604987878</v>
      </c>
      <c r="G6">
        <v>232</v>
      </c>
    </row>
    <row r="7" spans="3:7">
      <c r="C7" s="395">
        <v>20872175</v>
      </c>
      <c r="D7" s="393">
        <v>172</v>
      </c>
      <c r="F7" s="396">
        <v>20872175</v>
      </c>
      <c r="G7">
        <v>172</v>
      </c>
    </row>
    <row r="8" spans="3:7">
      <c r="C8" s="395">
        <v>4056489287308</v>
      </c>
      <c r="D8" s="393">
        <v>150</v>
      </c>
      <c r="F8" s="396">
        <v>4056489287308</v>
      </c>
      <c r="G8">
        <v>150</v>
      </c>
    </row>
    <row r="9" spans="3:7">
      <c r="C9" s="395">
        <v>4056489636274</v>
      </c>
      <c r="D9" s="393">
        <v>122</v>
      </c>
      <c r="F9" s="396">
        <v>4056489636274</v>
      </c>
      <c r="G9">
        <v>122</v>
      </c>
    </row>
    <row r="10" spans="3:7">
      <c r="C10" s="395">
        <v>4056489520597</v>
      </c>
      <c r="D10" s="393">
        <v>98</v>
      </c>
    </row>
    <row r="11" spans="3:7">
      <c r="C11" s="395">
        <v>4056489736547</v>
      </c>
      <c r="D11" s="393">
        <v>88</v>
      </c>
    </row>
    <row r="12" spans="3:7">
      <c r="C12" s="395">
        <v>4056489521747</v>
      </c>
      <c r="D12" s="393">
        <v>87</v>
      </c>
    </row>
    <row r="13" spans="3:7">
      <c r="C13" s="395">
        <v>5608705009738</v>
      </c>
      <c r="D13" s="393">
        <v>69</v>
      </c>
    </row>
    <row r="14" spans="3:7">
      <c r="C14" s="395">
        <v>20492847</v>
      </c>
      <c r="D14" s="393">
        <v>64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AD69A-6226-4054-BFE6-C9E666A064D2}">
  <dimension ref="B2:F15"/>
  <sheetViews>
    <sheetView showGridLines="0" topLeftCell="A7" zoomScale="172" zoomScaleNormal="150" workbookViewId="0">
      <selection activeCell="D11" sqref="D11"/>
    </sheetView>
  </sheetViews>
  <sheetFormatPr defaultColWidth="11.6328125" defaultRowHeight="15.5"/>
  <cols>
    <col min="1" max="1" width="11.6328125" style="1"/>
    <col min="2" max="2" width="21.453125" style="1" customWidth="1"/>
    <col min="3" max="3" width="10.54296875" style="1" customWidth="1"/>
    <col min="4" max="4" width="7.26953125" style="1" customWidth="1"/>
    <col min="5" max="16384" width="11.6328125" style="1"/>
  </cols>
  <sheetData>
    <row r="2" spans="2:6">
      <c r="B2" s="87" t="s">
        <v>256</v>
      </c>
      <c r="C2" s="86"/>
      <c r="D2" s="86"/>
      <c r="E2" s="86"/>
      <c r="F2" s="86"/>
    </row>
    <row r="3" spans="2:6">
      <c r="B3" s="1" t="s">
        <v>343</v>
      </c>
    </row>
    <row r="5" spans="2:6">
      <c r="B5" s="424" t="s">
        <v>263</v>
      </c>
      <c r="C5" s="424"/>
    </row>
    <row r="6" spans="2:6">
      <c r="B6" s="1" t="s">
        <v>342</v>
      </c>
      <c r="C6" s="96">
        <v>29.99</v>
      </c>
      <c r="D6" s="92"/>
      <c r="E6" s="11"/>
    </row>
    <row r="7" spans="2:6">
      <c r="B7" s="1" t="s">
        <v>341</v>
      </c>
      <c r="C7" s="96">
        <v>8.5</v>
      </c>
      <c r="D7" s="92"/>
    </row>
    <row r="8" spans="2:6">
      <c r="B8" s="1" t="s">
        <v>337</v>
      </c>
      <c r="C8" s="95">
        <v>15000</v>
      </c>
      <c r="D8" s="94"/>
    </row>
    <row r="9" spans="2:6">
      <c r="B9" s="93"/>
      <c r="C9" s="92"/>
    </row>
    <row r="10" spans="2:6">
      <c r="B10" s="424" t="s">
        <v>261</v>
      </c>
      <c r="C10" s="424"/>
    </row>
    <row r="11" spans="2:6">
      <c r="B11" s="82" t="s">
        <v>340</v>
      </c>
      <c r="C11" s="154">
        <v>100</v>
      </c>
      <c r="D11" s="1" t="s">
        <v>339</v>
      </c>
    </row>
    <row r="12" spans="2:6">
      <c r="B12" s="82" t="s">
        <v>162</v>
      </c>
      <c r="C12" s="90">
        <f>C6*C11</f>
        <v>2999</v>
      </c>
    </row>
    <row r="13" spans="2:6">
      <c r="B13" s="82" t="s">
        <v>338</v>
      </c>
      <c r="C13" s="90">
        <f>-C11*C7</f>
        <v>-850</v>
      </c>
    </row>
    <row r="14" spans="2:6">
      <c r="B14" s="82" t="s">
        <v>337</v>
      </c>
      <c r="C14" s="90">
        <f>-C8</f>
        <v>-15000</v>
      </c>
    </row>
    <row r="15" spans="2:6">
      <c r="B15" s="89" t="s">
        <v>257</v>
      </c>
      <c r="C15" s="88">
        <f>SUM(C12:C14)</f>
        <v>-12851</v>
      </c>
    </row>
  </sheetData>
  <mergeCells count="2">
    <mergeCell ref="B5:C5"/>
    <mergeCell ref="B10:C10"/>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293FA-060F-4065-B4B1-4E7F9EAC0D9F}">
  <dimension ref="B1:D10"/>
  <sheetViews>
    <sheetView showGridLines="0" zoomScale="110" zoomScaleNormal="110" workbookViewId="0">
      <selection activeCell="D11" sqref="D11"/>
    </sheetView>
  </sheetViews>
  <sheetFormatPr defaultColWidth="13.26953125" defaultRowHeight="29"/>
  <cols>
    <col min="1" max="1" width="9.6328125" style="384" customWidth="1"/>
    <col min="2" max="2" width="36" style="384" bestFit="1" customWidth="1"/>
    <col min="3" max="3" width="13.26953125" style="384"/>
    <col min="4" max="4" width="60.7265625" style="384" bestFit="1" customWidth="1"/>
    <col min="5" max="16384" width="13.26953125" style="384"/>
  </cols>
  <sheetData>
    <row r="1" spans="2:4" ht="15.5" customHeight="1"/>
    <row r="2" spans="2:4">
      <c r="B2" s="385" t="s">
        <v>992</v>
      </c>
      <c r="D2" s="385" t="s">
        <v>991</v>
      </c>
    </row>
    <row r="3" spans="2:4">
      <c r="B3" s="384" t="s">
        <v>990</v>
      </c>
      <c r="D3" s="384" t="s">
        <v>989</v>
      </c>
    </row>
    <row r="4" spans="2:4">
      <c r="B4" s="384" t="s">
        <v>988</v>
      </c>
      <c r="D4" s="384" t="s">
        <v>987</v>
      </c>
    </row>
    <row r="5" spans="2:4">
      <c r="B5" s="384" t="s">
        <v>986</v>
      </c>
    </row>
    <row r="6" spans="2:4">
      <c r="B6" s="384" t="s">
        <v>985</v>
      </c>
      <c r="D6" s="384" t="s">
        <v>984</v>
      </c>
    </row>
    <row r="7" spans="2:4">
      <c r="B7" s="384" t="s">
        <v>983</v>
      </c>
      <c r="D7" s="384">
        <f>COMBIN(COUNTA(B3:B7),3)</f>
        <v>10</v>
      </c>
    </row>
    <row r="9" spans="2:4">
      <c r="D9" s="384" t="s">
        <v>982</v>
      </c>
    </row>
    <row r="10" spans="2:4">
      <c r="D10" s="384">
        <f>_xlfn.COMBINA(5,8)</f>
        <v>495</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3FF3-D14C-4DAF-81B5-E4F103891654}">
  <dimension ref="B2:H14"/>
  <sheetViews>
    <sheetView showGridLines="0" workbookViewId="0">
      <selection activeCell="E2" sqref="E2"/>
    </sheetView>
  </sheetViews>
  <sheetFormatPr defaultColWidth="14.36328125" defaultRowHeight="21"/>
  <cols>
    <col min="1" max="1" width="3.26953125" style="374" customWidth="1"/>
    <col min="2" max="2" width="17.26953125" style="374" bestFit="1" customWidth="1"/>
    <col min="3" max="3" width="14.1796875" style="374" bestFit="1" customWidth="1"/>
    <col min="4" max="4" width="16.1796875" style="374" bestFit="1" customWidth="1"/>
    <col min="5" max="16384" width="14.36328125" style="374"/>
  </cols>
  <sheetData>
    <row r="2" spans="2:8">
      <c r="B2" s="376" t="s">
        <v>1045</v>
      </c>
      <c r="C2" s="376" t="s">
        <v>1042</v>
      </c>
      <c r="D2" s="376" t="s">
        <v>1044</v>
      </c>
      <c r="F2" s="391" t="s">
        <v>1043</v>
      </c>
      <c r="H2" s="376" t="s">
        <v>424</v>
      </c>
    </row>
    <row r="3" spans="2:8">
      <c r="B3" s="376" t="s">
        <v>131</v>
      </c>
      <c r="C3" s="377">
        <v>5526.13</v>
      </c>
      <c r="D3" s="377">
        <v>1824.7</v>
      </c>
      <c r="F3" s="376" t="s">
        <v>889</v>
      </c>
      <c r="H3" s="374" cm="1">
        <f t="array" ref="H3">_xlfn.TOCOL(AVERAGE(Donations))</f>
        <v>3942.4904166666661</v>
      </c>
    </row>
    <row r="4" spans="2:8">
      <c r="B4" s="376" t="s">
        <v>130</v>
      </c>
      <c r="C4" s="377">
        <v>3219.75</v>
      </c>
      <c r="D4" s="377">
        <v>3643.49</v>
      </c>
      <c r="F4" s="376" t="s">
        <v>1041</v>
      </c>
      <c r="H4" s="374">
        <f>MEDIAN(_xlfn.TOCOL(Donations))</f>
        <v>3581.3599999999997</v>
      </c>
    </row>
    <row r="5" spans="2:8">
      <c r="B5" s="376" t="s">
        <v>129</v>
      </c>
      <c r="C5" s="377">
        <v>7624.73</v>
      </c>
      <c r="D5" s="377">
        <v>2180.7600000000002</v>
      </c>
      <c r="F5" s="376"/>
    </row>
    <row r="6" spans="2:8">
      <c r="B6" s="376" t="s">
        <v>124</v>
      </c>
      <c r="C6" s="377">
        <v>7491.81</v>
      </c>
      <c r="D6" s="377">
        <v>5002.1099999999997</v>
      </c>
    </row>
    <row r="7" spans="2:8">
      <c r="B7" s="376" t="s">
        <v>128</v>
      </c>
      <c r="C7" s="377">
        <v>4550.17</v>
      </c>
      <c r="D7" s="377">
        <v>1278.8800000000001</v>
      </c>
      <c r="F7" s="391" t="s">
        <v>1042</v>
      </c>
      <c r="H7" s="376" t="s">
        <v>424</v>
      </c>
    </row>
    <row r="8" spans="2:8">
      <c r="B8" s="376" t="s">
        <v>127</v>
      </c>
      <c r="C8" s="377">
        <v>3519.23</v>
      </c>
      <c r="D8" s="377">
        <v>2365.8000000000002</v>
      </c>
      <c r="F8" s="376" t="s">
        <v>889</v>
      </c>
      <c r="H8" s="374">
        <f>AVERAGE(Online)</f>
        <v>5244.5649999999996</v>
      </c>
    </row>
    <row r="9" spans="2:8">
      <c r="B9" s="376" t="s">
        <v>126</v>
      </c>
      <c r="C9" s="377">
        <v>4712.88</v>
      </c>
      <c r="D9" s="377">
        <v>3268.18</v>
      </c>
      <c r="F9" s="376" t="s">
        <v>1041</v>
      </c>
      <c r="H9" s="374">
        <f>MEDIAN(Online)</f>
        <v>4631.5249999999996</v>
      </c>
    </row>
    <row r="10" spans="2:8">
      <c r="B10" s="376" t="s">
        <v>125</v>
      </c>
      <c r="C10" s="377">
        <v>6273.94</v>
      </c>
      <c r="D10" s="377">
        <v>3781.17</v>
      </c>
      <c r="F10" s="376"/>
    </row>
    <row r="11" spans="2:8">
      <c r="B11" s="376" t="s">
        <v>1040</v>
      </c>
      <c r="C11" s="377">
        <v>7735.7</v>
      </c>
      <c r="D11" s="377">
        <v>2979.54</v>
      </c>
    </row>
    <row r="12" spans="2:8">
      <c r="B12" s="376" t="s">
        <v>1039</v>
      </c>
      <c r="C12" s="377">
        <v>4397.7700000000004</v>
      </c>
      <c r="D12" s="377">
        <v>1285.43</v>
      </c>
      <c r="F12" s="390" t="s">
        <v>1038</v>
      </c>
    </row>
    <row r="13" spans="2:8">
      <c r="B13" s="376" t="s">
        <v>1037</v>
      </c>
      <c r="C13" s="377">
        <v>4425.3599999999997</v>
      </c>
      <c r="D13" s="377">
        <v>2713.61</v>
      </c>
      <c r="F13" s="376" t="s">
        <v>1036</v>
      </c>
      <c r="H13" s="374">
        <f>SUMIFS(Donations,Donations,"&gt;="&amp;5000)</f>
        <v>39654.42</v>
      </c>
    </row>
    <row r="14" spans="2:8">
      <c r="B14" s="376" t="s">
        <v>1035</v>
      </c>
      <c r="C14" s="377">
        <v>3457.31</v>
      </c>
      <c r="D14" s="377">
        <v>1361.32</v>
      </c>
      <c r="F14" s="376" t="s">
        <v>1034</v>
      </c>
      <c r="H14" s="374">
        <f>COUNTIFS(Donations,"&gt;="&amp;5000)</f>
        <v>6</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34DFC-53FD-4AA6-8D42-7C034FA39B5D}">
  <dimension ref="B1:H44"/>
  <sheetViews>
    <sheetView showGridLines="0" workbookViewId="0">
      <selection activeCell="E2" sqref="E2"/>
    </sheetView>
  </sheetViews>
  <sheetFormatPr defaultColWidth="14.36328125" defaultRowHeight="21"/>
  <cols>
    <col min="1" max="1" width="11.81640625" style="374" customWidth="1"/>
    <col min="2" max="2" width="20.54296875" style="374" customWidth="1"/>
    <col min="3" max="3" width="14.7265625" style="374" customWidth="1"/>
    <col min="4" max="5" width="14.36328125" style="374"/>
    <col min="6" max="6" width="64.90625" style="374" customWidth="1"/>
    <col min="7" max="16384" width="14.36328125" style="374"/>
  </cols>
  <sheetData>
    <row r="1" spans="2:6">
      <c r="B1" s="376" t="s">
        <v>1033</v>
      </c>
      <c r="C1" s="376" t="s">
        <v>1032</v>
      </c>
      <c r="E1" s="374">
        <f>_xlfn.MINIFS(Table117[Rent],Table117[UNIT CODE],"*09",Table117[UNIT CODE],"&lt;&gt;"&amp;"02-*")</f>
        <v>1350</v>
      </c>
      <c r="F1" s="374" cm="1">
        <f t="array" ref="F1">MIN(IF((RIGHT(Table117[UNIT CODE],2)="09")* ((LEFT(Table117[UNIT CODE],2)="01")+(LEFT(Table117[UNIT CODE],2)="03")), Table117[Rent]))</f>
        <v>1350</v>
      </c>
    </row>
    <row r="2" spans="2:6">
      <c r="B2" s="386" t="s">
        <v>1031</v>
      </c>
      <c r="C2" s="387">
        <v>1725</v>
      </c>
      <c r="E2" s="374">
        <f>_xlfn.MAXIFS(Table117[Rent],Table117[UNIT CODE],"*09",Table117[UNIT CODE],"&lt;&gt;"&amp;"02-*")</f>
        <v>2020</v>
      </c>
      <c r="F2" s="374" cm="1">
        <f t="array" ref="F2">MAX(IF((RIGHT(Table117[UNIT CODE],2)="09")* ((LEFT(Table117[UNIT CODE],2)="01")+(LEFT(Table117[UNIT CODE],2)="03")), Table117[Rent]))</f>
        <v>2020</v>
      </c>
    </row>
    <row r="3" spans="2:6">
      <c r="B3" s="386" t="s">
        <v>1030</v>
      </c>
      <c r="C3" s="387">
        <v>1725</v>
      </c>
    </row>
    <row r="4" spans="2:6">
      <c r="B4" s="386" t="s">
        <v>1029</v>
      </c>
      <c r="C4" s="387">
        <v>1725</v>
      </c>
      <c r="E4" s="389"/>
    </row>
    <row r="5" spans="2:6">
      <c r="B5" s="374" t="s">
        <v>1028</v>
      </c>
      <c r="C5" s="387">
        <v>2370</v>
      </c>
      <c r="D5" s="388"/>
    </row>
    <row r="6" spans="2:6">
      <c r="B6" s="386" t="s">
        <v>1027</v>
      </c>
      <c r="C6" s="387">
        <v>1350</v>
      </c>
    </row>
    <row r="7" spans="2:6">
      <c r="B7" s="386" t="s">
        <v>1026</v>
      </c>
      <c r="C7" s="387">
        <v>2200</v>
      </c>
    </row>
    <row r="8" spans="2:6">
      <c r="B8" s="386" t="s">
        <v>1025</v>
      </c>
      <c r="C8" s="387">
        <v>2305</v>
      </c>
    </row>
    <row r="9" spans="2:6">
      <c r="B9" s="386" t="s">
        <v>1024</v>
      </c>
      <c r="C9" s="387">
        <v>2295</v>
      </c>
    </row>
    <row r="10" spans="2:6">
      <c r="B10" s="386" t="s">
        <v>1023</v>
      </c>
      <c r="C10" s="387">
        <v>1725</v>
      </c>
    </row>
    <row r="11" spans="2:6">
      <c r="B11" s="374" t="s">
        <v>1022</v>
      </c>
      <c r="C11" s="387">
        <v>2280</v>
      </c>
    </row>
    <row r="12" spans="2:6">
      <c r="B12" s="374" t="s">
        <v>1021</v>
      </c>
      <c r="C12" s="387">
        <v>2240</v>
      </c>
    </row>
    <row r="13" spans="2:6">
      <c r="B13" s="374" t="s">
        <v>1020</v>
      </c>
      <c r="C13" s="387">
        <v>2280</v>
      </c>
    </row>
    <row r="14" spans="2:6">
      <c r="B14" s="374" t="s">
        <v>1019</v>
      </c>
      <c r="C14" s="387">
        <v>2355</v>
      </c>
    </row>
    <row r="15" spans="2:6">
      <c r="B15" s="386" t="s">
        <v>1018</v>
      </c>
      <c r="C15" s="387">
        <v>2305</v>
      </c>
    </row>
    <row r="16" spans="2:6">
      <c r="B16" s="386" t="s">
        <v>1017</v>
      </c>
      <c r="C16" s="387">
        <v>1440</v>
      </c>
    </row>
    <row r="17" spans="2:8">
      <c r="B17" s="386" t="s">
        <v>1016</v>
      </c>
      <c r="C17" s="387">
        <v>2205</v>
      </c>
    </row>
    <row r="18" spans="2:8">
      <c r="B18" s="386" t="s">
        <v>1015</v>
      </c>
      <c r="C18" s="387">
        <v>1440</v>
      </c>
    </row>
    <row r="19" spans="2:8">
      <c r="B19" s="386" t="s">
        <v>1014</v>
      </c>
      <c r="C19" s="387">
        <v>2370</v>
      </c>
    </row>
    <row r="20" spans="2:8">
      <c r="B20" s="386" t="s">
        <v>1013</v>
      </c>
      <c r="C20" s="387">
        <v>2280</v>
      </c>
      <c r="H20" s="381"/>
    </row>
    <row r="21" spans="2:8">
      <c r="B21" s="386" t="s">
        <v>1012</v>
      </c>
      <c r="C21" s="387">
        <v>2370</v>
      </c>
      <c r="H21" s="381"/>
    </row>
    <row r="22" spans="2:8">
      <c r="B22" s="386" t="s">
        <v>1011</v>
      </c>
      <c r="C22" s="387">
        <v>2310</v>
      </c>
      <c r="F22" s="386"/>
      <c r="H22" s="381"/>
    </row>
    <row r="23" spans="2:8">
      <c r="B23" s="386" t="s">
        <v>1010</v>
      </c>
      <c r="C23" s="387">
        <v>2355</v>
      </c>
      <c r="F23" s="386"/>
      <c r="H23" s="381"/>
    </row>
    <row r="24" spans="2:8">
      <c r="B24" s="386" t="s">
        <v>1009</v>
      </c>
      <c r="C24" s="387">
        <v>1440</v>
      </c>
      <c r="F24" s="386"/>
      <c r="H24" s="381"/>
    </row>
    <row r="25" spans="2:8">
      <c r="B25" s="386" t="s">
        <v>1008</v>
      </c>
      <c r="C25" s="387">
        <v>1350</v>
      </c>
      <c r="H25" s="381"/>
    </row>
    <row r="26" spans="2:8">
      <c r="B26" s="386" t="s">
        <v>1007</v>
      </c>
      <c r="C26" s="387">
        <v>1440</v>
      </c>
      <c r="H26" s="381"/>
    </row>
    <row r="27" spans="2:8">
      <c r="B27" s="386" t="s">
        <v>1006</v>
      </c>
      <c r="C27" s="387">
        <v>2395</v>
      </c>
      <c r="H27" s="381"/>
    </row>
    <row r="28" spans="2:8">
      <c r="B28" s="386" t="s">
        <v>1005</v>
      </c>
      <c r="C28" s="387">
        <v>2000</v>
      </c>
      <c r="H28" s="381"/>
    </row>
    <row r="29" spans="2:8">
      <c r="B29" s="386" t="s">
        <v>1004</v>
      </c>
      <c r="C29" s="387">
        <v>2460</v>
      </c>
    </row>
    <row r="30" spans="2:8">
      <c r="B30" s="386" t="s">
        <v>1003</v>
      </c>
      <c r="C30" s="387">
        <v>1815</v>
      </c>
    </row>
    <row r="31" spans="2:8">
      <c r="B31" s="386" t="s">
        <v>1002</v>
      </c>
      <c r="C31" s="387">
        <v>2020</v>
      </c>
    </row>
    <row r="32" spans="2:8">
      <c r="B32" s="386" t="s">
        <v>1001</v>
      </c>
      <c r="C32" s="387">
        <v>2400</v>
      </c>
    </row>
    <row r="33" spans="2:3">
      <c r="B33" s="386" t="s">
        <v>1000</v>
      </c>
      <c r="C33" s="387">
        <v>2430</v>
      </c>
    </row>
    <row r="34" spans="2:3">
      <c r="B34" s="386" t="s">
        <v>999</v>
      </c>
      <c r="C34" s="387">
        <v>1475</v>
      </c>
    </row>
    <row r="35" spans="2:3">
      <c r="B35" s="386" t="s">
        <v>999</v>
      </c>
      <c r="C35" s="387">
        <v>1475</v>
      </c>
    </row>
    <row r="36" spans="2:3">
      <c r="B36" s="386" t="s">
        <v>998</v>
      </c>
      <c r="C36" s="387">
        <v>2015</v>
      </c>
    </row>
    <row r="37" spans="2:3">
      <c r="B37" s="386" t="s">
        <v>997</v>
      </c>
      <c r="C37" s="387">
        <v>2430</v>
      </c>
    </row>
    <row r="38" spans="2:3">
      <c r="B38" s="386" t="s">
        <v>996</v>
      </c>
      <c r="C38" s="387">
        <v>1385</v>
      </c>
    </row>
    <row r="39" spans="2:3">
      <c r="B39" s="386" t="s">
        <v>995</v>
      </c>
      <c r="C39" s="387">
        <v>1995</v>
      </c>
    </row>
    <row r="40" spans="2:3">
      <c r="B40" s="386" t="s">
        <v>994</v>
      </c>
      <c r="C40" s="387">
        <v>2485</v>
      </c>
    </row>
    <row r="41" spans="2:3">
      <c r="B41" s="386" t="s">
        <v>993</v>
      </c>
      <c r="C41" s="387">
        <v>1640</v>
      </c>
    </row>
    <row r="42" spans="2:3">
      <c r="B42" s="386"/>
    </row>
    <row r="43" spans="2:3">
      <c r="B43" s="386"/>
    </row>
    <row r="44" spans="2:3">
      <c r="B44" s="386"/>
    </row>
  </sheetData>
  <pageMargins left="0.7" right="0.7" top="0.75" bottom="0.75" header="0.3" footer="0.3"/>
  <pageSetup orientation="portrait" r:id="rId1"/>
  <drawing r:id="rId2"/>
  <tableParts count="1">
    <tablePart r:id="rId3"/>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5B10B-ED42-4F9D-BC62-F5B935E4742E}">
  <dimension ref="A1:J13"/>
  <sheetViews>
    <sheetView workbookViewId="0">
      <selection activeCell="H15" sqref="H15"/>
    </sheetView>
  </sheetViews>
  <sheetFormatPr defaultRowHeight="14.5"/>
  <sheetData>
    <row r="1" spans="1:10">
      <c r="A1" t="s">
        <v>1077</v>
      </c>
      <c r="B1" t="s">
        <v>1078</v>
      </c>
      <c r="C1" t="s">
        <v>1079</v>
      </c>
      <c r="D1" t="s">
        <v>1080</v>
      </c>
    </row>
    <row r="2" spans="1:10">
      <c r="A2" t="s">
        <v>1081</v>
      </c>
      <c r="B2">
        <v>10</v>
      </c>
      <c r="C2">
        <v>21</v>
      </c>
      <c r="D2">
        <v>37</v>
      </c>
    </row>
    <row r="3" spans="1:10">
      <c r="A3" t="s">
        <v>1082</v>
      </c>
      <c r="B3">
        <v>30</v>
      </c>
      <c r="C3">
        <v>35</v>
      </c>
      <c r="D3">
        <v>44</v>
      </c>
    </row>
    <row r="4" spans="1:10">
      <c r="A4" t="s">
        <v>1086</v>
      </c>
      <c r="B4">
        <v>25</v>
      </c>
      <c r="C4">
        <v>30</v>
      </c>
      <c r="D4">
        <v>35</v>
      </c>
    </row>
    <row r="5" spans="1:10">
      <c r="I5" t="s">
        <v>900</v>
      </c>
      <c r="J5" t="s">
        <v>1088</v>
      </c>
    </row>
    <row r="6" spans="1:10">
      <c r="H6" t="s">
        <v>680</v>
      </c>
      <c r="I6">
        <v>1</v>
      </c>
      <c r="J6">
        <v>3</v>
      </c>
    </row>
    <row r="7" spans="1:10">
      <c r="H7" t="s">
        <v>681</v>
      </c>
      <c r="I7">
        <v>2</v>
      </c>
      <c r="J7">
        <v>4</v>
      </c>
    </row>
    <row r="8" spans="1:10">
      <c r="A8" t="s">
        <v>1083</v>
      </c>
      <c r="B8" t="s">
        <v>1081</v>
      </c>
      <c r="H8" t="s">
        <v>900</v>
      </c>
      <c r="I8">
        <v>3</v>
      </c>
      <c r="J8">
        <v>5</v>
      </c>
    </row>
    <row r="9" spans="1:10">
      <c r="H9" t="s">
        <v>1087</v>
      </c>
      <c r="I9">
        <v>4</v>
      </c>
      <c r="J9">
        <v>6</v>
      </c>
    </row>
    <row r="10" spans="1:10">
      <c r="A10" t="s">
        <v>1084</v>
      </c>
      <c r="B10" t="s">
        <v>1078</v>
      </c>
    </row>
    <row r="12" spans="1:10">
      <c r="A12" t="s">
        <v>1085</v>
      </c>
      <c r="B12">
        <f>INDEX(A1:D4,MATCH(B8,A1:A4),MATCH(B10,A1:D1,0))</f>
        <v>10</v>
      </c>
    </row>
    <row r="13" spans="1:10">
      <c r="E13">
        <f>INDEX(H5:J9,MATCH(H6,H5:H9,0),MATCH(J5,H5:J5,0))</f>
        <v>3</v>
      </c>
    </row>
  </sheetData>
  <dataValidations disablePrompts="1" count="2">
    <dataValidation type="list" allowBlank="1" showInputMessage="1" showErrorMessage="1" sqref="B8" xr:uid="{9E855948-5C9D-4A1A-8A16-942F07D45A88}">
      <formula1>$A$2:$A$4</formula1>
    </dataValidation>
    <dataValidation type="list" allowBlank="1" showInputMessage="1" showErrorMessage="1" sqref="B10" xr:uid="{583366B2-9F1E-43AD-88ED-D112A44162DF}">
      <formula1>$B$1:$D$1</formula1>
    </dataValidation>
  </dataValidation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A2FBB-4B28-4976-BECD-892BDFEFB134}">
  <dimension ref="D6:I9"/>
  <sheetViews>
    <sheetView workbookViewId="0">
      <selection activeCell="G16" sqref="G16"/>
    </sheetView>
  </sheetViews>
  <sheetFormatPr defaultRowHeight="14.5"/>
  <cols>
    <col min="4" max="4" width="14.453125" bestFit="1" customWidth="1"/>
  </cols>
  <sheetData>
    <row r="6" spans="4:9">
      <c r="D6" t="s">
        <v>977</v>
      </c>
      <c r="G6" t="s">
        <v>979</v>
      </c>
      <c r="I6" t="s">
        <v>980</v>
      </c>
    </row>
    <row r="7" spans="4:9">
      <c r="D7">
        <v>6</v>
      </c>
      <c r="G7">
        <f>FACT(D7)</f>
        <v>720</v>
      </c>
      <c r="I7">
        <f>PRODUCT(_xlfn.SEQUENCE(D7))</f>
        <v>720</v>
      </c>
    </row>
    <row r="8" spans="4:9">
      <c r="D8" t="s">
        <v>978</v>
      </c>
      <c r="G8" t="s">
        <v>981</v>
      </c>
    </row>
    <row r="9" spans="4:9">
      <c r="D9">
        <v>6</v>
      </c>
      <c r="G9">
        <f>PERMUT(D7,D9)</f>
        <v>720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A6EF1-753C-431A-8519-EC88B958B490}">
  <dimension ref="B1:E12"/>
  <sheetViews>
    <sheetView showGridLines="0" workbookViewId="0">
      <selection activeCell="D19" sqref="D19"/>
    </sheetView>
  </sheetViews>
  <sheetFormatPr defaultColWidth="14.36328125" defaultRowHeight="23.5"/>
  <cols>
    <col min="1" max="1" width="21.6328125" style="370" customWidth="1"/>
    <col min="2" max="2" width="9.26953125" style="370" bestFit="1" customWidth="1"/>
    <col min="3" max="3" width="27.08984375" style="370" bestFit="1" customWidth="1"/>
    <col min="4" max="4" width="24.54296875" style="370" bestFit="1" customWidth="1"/>
    <col min="5" max="5" width="25.08984375" style="370" bestFit="1" customWidth="1"/>
    <col min="6" max="16384" width="14.36328125" style="370"/>
  </cols>
  <sheetData>
    <row r="1" spans="2:5">
      <c r="C1" s="379" t="s">
        <v>961</v>
      </c>
    </row>
    <row r="2" spans="2:5">
      <c r="C2" s="372" t="s">
        <v>949</v>
      </c>
      <c r="E2" s="370" t="str" cm="1">
        <f t="array" ref="E2">_xlfn.XLOOKUP($C$2,$B$6:$B$12,_xlfn.XLOOKUP(C3,C5:E5,C6:E12))</f>
        <v>Ariel - Bill</v>
      </c>
    </row>
    <row r="3" spans="2:5">
      <c r="C3" s="372" t="s">
        <v>958</v>
      </c>
      <c r="E3" s="370" t="e" cm="1">
        <f t="array" ref="E3">_xlfn.XLOOKUP(C2&amp;C3,B6:B12&amp;C5:E5,E6:E12)</f>
        <v>#VALUE!</v>
      </c>
    </row>
    <row r="5" spans="2:5">
      <c r="C5" s="372" t="s">
        <v>960</v>
      </c>
      <c r="D5" s="372" t="s">
        <v>959</v>
      </c>
      <c r="E5" s="372" t="s">
        <v>958</v>
      </c>
    </row>
    <row r="6" spans="2:5">
      <c r="B6" s="372" t="s">
        <v>957</v>
      </c>
      <c r="C6" s="370" t="s">
        <v>956</v>
      </c>
      <c r="D6" s="370" t="s">
        <v>955</v>
      </c>
      <c r="E6" s="370" t="s">
        <v>954</v>
      </c>
    </row>
    <row r="7" spans="2:5">
      <c r="B7" s="372" t="s">
        <v>953</v>
      </c>
      <c r="C7" s="370" t="s">
        <v>952</v>
      </c>
      <c r="D7" s="370" t="s">
        <v>951</v>
      </c>
      <c r="E7" s="370" t="s">
        <v>950</v>
      </c>
    </row>
    <row r="8" spans="2:5">
      <c r="B8" s="372" t="s">
        <v>949</v>
      </c>
      <c r="C8" s="370" t="s">
        <v>948</v>
      </c>
      <c r="D8" s="370" t="s">
        <v>947</v>
      </c>
      <c r="E8" s="370" t="s">
        <v>946</v>
      </c>
    </row>
    <row r="9" spans="2:5">
      <c r="B9" s="372" t="s">
        <v>945</v>
      </c>
      <c r="C9" s="370" t="s">
        <v>944</v>
      </c>
      <c r="D9" s="370" t="s">
        <v>932</v>
      </c>
      <c r="E9" s="370" t="s">
        <v>943</v>
      </c>
    </row>
    <row r="10" spans="2:5">
      <c r="B10" s="372" t="s">
        <v>942</v>
      </c>
      <c r="C10" s="370" t="s">
        <v>941</v>
      </c>
      <c r="D10" s="370" t="s">
        <v>940</v>
      </c>
      <c r="E10" s="370" t="s">
        <v>939</v>
      </c>
    </row>
    <row r="11" spans="2:5">
      <c r="B11" s="372" t="s">
        <v>938</v>
      </c>
      <c r="C11" s="370" t="s">
        <v>937</v>
      </c>
      <c r="D11" s="370" t="s">
        <v>936</v>
      </c>
      <c r="E11" s="370" t="s">
        <v>935</v>
      </c>
    </row>
    <row r="12" spans="2:5">
      <c r="B12" s="372" t="s">
        <v>934</v>
      </c>
      <c r="C12" s="370" t="s">
        <v>933</v>
      </c>
      <c r="D12" s="370" t="s">
        <v>932</v>
      </c>
      <c r="E12" s="370" t="s">
        <v>931</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8DC65-6545-4FC8-9F97-B8AC12CD0D4A}">
  <dimension ref="B2:I17"/>
  <sheetViews>
    <sheetView showGridLines="0" zoomScale="110" zoomScaleNormal="110" workbookViewId="0">
      <selection activeCell="G16" sqref="G16"/>
    </sheetView>
  </sheetViews>
  <sheetFormatPr defaultColWidth="14.36328125" defaultRowHeight="21"/>
  <cols>
    <col min="1" max="1" width="7.81640625" style="374" customWidth="1"/>
    <col min="2" max="2" width="17.6328125" style="374" customWidth="1"/>
    <col min="3" max="3" width="14.36328125" style="380"/>
    <col min="4" max="4" width="16" style="380" bestFit="1" customWidth="1"/>
    <col min="5" max="5" width="15.81640625" style="374" bestFit="1" customWidth="1"/>
    <col min="6" max="6" width="14.1796875" style="374" customWidth="1"/>
    <col min="7" max="16384" width="14.36328125" style="374"/>
  </cols>
  <sheetData>
    <row r="2" spans="2:9">
      <c r="B2" s="376" t="s">
        <v>976</v>
      </c>
      <c r="C2" s="383" t="s">
        <v>974</v>
      </c>
      <c r="D2" s="383" t="s">
        <v>975</v>
      </c>
      <c r="E2" s="376" t="s">
        <v>75</v>
      </c>
      <c r="F2" s="376"/>
    </row>
    <row r="3" spans="2:9">
      <c r="B3" s="382">
        <v>35441</v>
      </c>
      <c r="C3" s="380" t="s">
        <v>628</v>
      </c>
      <c r="D3" s="380" t="s">
        <v>962</v>
      </c>
      <c r="E3" s="381">
        <v>150</v>
      </c>
      <c r="F3" s="381"/>
      <c r="H3" s="374" t="s">
        <v>974</v>
      </c>
    </row>
    <row r="4" spans="2:9">
      <c r="B4" s="382">
        <v>36194</v>
      </c>
      <c r="C4" s="380" t="s">
        <v>971</v>
      </c>
      <c r="D4" s="380" t="s">
        <v>962</v>
      </c>
      <c r="E4" s="381">
        <v>350</v>
      </c>
      <c r="F4" s="381"/>
      <c r="H4" s="374" t="s">
        <v>970</v>
      </c>
      <c r="I4" s="374" t="str">
        <f>_xlfn.XLOOKUP(H4,Table116[Guitar],Table116[Action],"N.O.",0,-1)</f>
        <v>Purchased</v>
      </c>
    </row>
    <row r="5" spans="2:9">
      <c r="B5" s="382">
        <v>36306</v>
      </c>
      <c r="C5" s="380" t="s">
        <v>966</v>
      </c>
      <c r="D5" s="380" t="s">
        <v>962</v>
      </c>
      <c r="E5" s="381">
        <v>710</v>
      </c>
      <c r="F5" s="381"/>
      <c r="H5" s="374" t="s">
        <v>973</v>
      </c>
      <c r="I5" s="374" t="str">
        <f>_xlfn.XLOOKUP(H5,Table116[Guitar],Table116[Action],"N.O.",0,-1)</f>
        <v>N.O.</v>
      </c>
    </row>
    <row r="6" spans="2:9">
      <c r="B6" s="382">
        <v>37179</v>
      </c>
      <c r="C6" s="380" t="s">
        <v>972</v>
      </c>
      <c r="D6" s="380" t="s">
        <v>962</v>
      </c>
      <c r="E6" s="381">
        <v>1100</v>
      </c>
      <c r="F6" s="381"/>
      <c r="H6" s="374" t="s">
        <v>966</v>
      </c>
      <c r="I6" s="374" t="str">
        <f>_xlfn.XLOOKUP(H6,Table116[Guitar],Table116[Action],"N.O.",0,-1)</f>
        <v>Purchased</v>
      </c>
    </row>
    <row r="7" spans="2:9">
      <c r="B7" s="382">
        <v>37179</v>
      </c>
      <c r="C7" s="380" t="s">
        <v>971</v>
      </c>
      <c r="D7" s="380" t="s">
        <v>964</v>
      </c>
      <c r="E7" s="381">
        <v>45</v>
      </c>
      <c r="F7" s="381"/>
      <c r="H7" s="374" t="s">
        <v>628</v>
      </c>
      <c r="I7" s="374" t="str">
        <f>_xlfn.XLOOKUP(H7,Table116[Guitar],Table116[Action],"N.O.",0,-1)</f>
        <v>Purchased</v>
      </c>
    </row>
    <row r="8" spans="2:9">
      <c r="B8" s="382">
        <v>37316</v>
      </c>
      <c r="C8" s="380" t="s">
        <v>967</v>
      </c>
      <c r="D8" s="380" t="s">
        <v>962</v>
      </c>
      <c r="E8" s="381">
        <v>245</v>
      </c>
      <c r="F8" s="381"/>
    </row>
    <row r="9" spans="2:9">
      <c r="B9" s="382">
        <v>37498</v>
      </c>
      <c r="C9" s="380" t="s">
        <v>970</v>
      </c>
      <c r="D9" s="380" t="s">
        <v>962</v>
      </c>
      <c r="E9" s="381">
        <v>590</v>
      </c>
      <c r="F9" s="381"/>
    </row>
    <row r="10" spans="2:9">
      <c r="B10" s="382">
        <v>37512</v>
      </c>
      <c r="C10" s="380" t="s">
        <v>969</v>
      </c>
      <c r="D10" s="380" t="s">
        <v>962</v>
      </c>
      <c r="E10" s="381">
        <v>755</v>
      </c>
      <c r="F10" s="381"/>
    </row>
    <row r="11" spans="2:9">
      <c r="B11" s="382">
        <v>40551</v>
      </c>
      <c r="C11" s="380" t="s">
        <v>968</v>
      </c>
      <c r="D11" s="380" t="s">
        <v>962</v>
      </c>
      <c r="E11" s="381">
        <v>920</v>
      </c>
    </row>
    <row r="12" spans="2:9">
      <c r="B12" s="382">
        <v>41511</v>
      </c>
      <c r="C12" s="380" t="s">
        <v>966</v>
      </c>
      <c r="D12" s="380" t="s">
        <v>964</v>
      </c>
      <c r="E12" s="381">
        <v>1230</v>
      </c>
    </row>
    <row r="13" spans="2:9">
      <c r="B13" s="382">
        <v>43864</v>
      </c>
      <c r="C13" s="380" t="s">
        <v>967</v>
      </c>
      <c r="D13" s="380" t="s">
        <v>964</v>
      </c>
      <c r="E13" s="381">
        <v>600</v>
      </c>
      <c r="F13" s="381"/>
    </row>
    <row r="14" spans="2:9">
      <c r="B14" s="382">
        <v>43988</v>
      </c>
      <c r="C14" s="380" t="s">
        <v>966</v>
      </c>
      <c r="D14" s="380" t="s">
        <v>962</v>
      </c>
      <c r="E14" s="381">
        <v>800</v>
      </c>
    </row>
    <row r="15" spans="2:9">
      <c r="B15" s="382">
        <v>44486</v>
      </c>
      <c r="C15" s="380" t="s">
        <v>965</v>
      </c>
      <c r="D15" s="380" t="s">
        <v>962</v>
      </c>
      <c r="E15" s="381">
        <v>600</v>
      </c>
    </row>
    <row r="16" spans="2:9">
      <c r="B16" s="382">
        <v>44535</v>
      </c>
      <c r="C16" s="380" t="s">
        <v>965</v>
      </c>
      <c r="D16" s="380" t="s">
        <v>964</v>
      </c>
      <c r="E16" s="381">
        <v>600</v>
      </c>
    </row>
    <row r="17" spans="2:5">
      <c r="B17" s="382">
        <v>44832</v>
      </c>
      <c r="C17" s="380" t="s">
        <v>963</v>
      </c>
      <c r="D17" s="380" t="s">
        <v>962</v>
      </c>
      <c r="E17" s="381">
        <v>1000</v>
      </c>
    </row>
  </sheetData>
  <pageMargins left="0.7" right="0.7" top="0.75" bottom="0.75" header="0.3" footer="0.3"/>
  <drawing r:id="rId1"/>
  <tableParts count="1">
    <tablePart r:id="rId2"/>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B2BB5-7FC1-4102-8F3C-92B47F488C43}">
  <dimension ref="B2:G22"/>
  <sheetViews>
    <sheetView showGridLines="0" topLeftCell="A4" zoomScale="150" zoomScaleNormal="150" workbookViewId="0">
      <selection activeCell="C7" sqref="C7"/>
    </sheetView>
  </sheetViews>
  <sheetFormatPr defaultColWidth="11.6328125" defaultRowHeight="15.5"/>
  <cols>
    <col min="1" max="16384" width="11.6328125" style="1"/>
  </cols>
  <sheetData>
    <row r="2" spans="2:7">
      <c r="B2" s="87" t="s">
        <v>281</v>
      </c>
      <c r="C2" s="86"/>
      <c r="D2" s="86"/>
      <c r="E2" s="86"/>
      <c r="F2" s="86"/>
      <c r="G2" s="86"/>
    </row>
    <row r="3" spans="2:7">
      <c r="B3" s="1" t="s">
        <v>336</v>
      </c>
    </row>
    <row r="5" spans="2:7">
      <c r="B5" s="85" t="s">
        <v>62</v>
      </c>
      <c r="C5" s="84">
        <v>44927</v>
      </c>
      <c r="D5" s="84">
        <f>EDATE(C5,1)</f>
        <v>44958</v>
      </c>
      <c r="E5" s="84">
        <f>EDATE(D5,1)</f>
        <v>44986</v>
      </c>
    </row>
    <row r="6" spans="2:7">
      <c r="B6" s="1" t="s">
        <v>17</v>
      </c>
      <c r="C6" s="83">
        <f>SUMIFS($F$11:$F$22,$B$11:$B$22,$B6,$C$11:$C$22,C5)</f>
        <v>33403</v>
      </c>
      <c r="D6" s="83">
        <f>SUMIFS($F$11:$F$22,$B$11:$B$22,$B6,$C$11:$C$22,D5)</f>
        <v>22686</v>
      </c>
      <c r="E6" s="83">
        <f>SUMIFS($F$11:$F$22,$B$11:$B$22,$B6,$C$11:$C$22,E5)</f>
        <v>42588</v>
      </c>
      <c r="F6" s="1" t="s">
        <v>335</v>
      </c>
    </row>
    <row r="7" spans="2:7">
      <c r="B7" s="1" t="s">
        <v>17</v>
      </c>
      <c r="C7" s="83" cm="1">
        <f t="array" ref="C7">_xlfn.XLOOKUP($B7&amp;C5,$B$11:$B$22&amp;$C$11:$C$22,$F$11:$F$22)</f>
        <v>33403</v>
      </c>
      <c r="D7" s="83" cm="1">
        <f t="array" ref="D7">_xlfn.XLOOKUP($B7&amp;D5,$B$11:$B$22&amp;$C$11:$C$22,$F$11:$F$22)</f>
        <v>22686</v>
      </c>
      <c r="E7" s="83" cm="1">
        <f t="array" ref="E7">_xlfn.XLOOKUP($B7&amp;E5,$B$11:$B$22&amp;$C$11:$C$22,$F$11:$F$22)</f>
        <v>42588</v>
      </c>
      <c r="F7" s="1" t="s">
        <v>334</v>
      </c>
    </row>
    <row r="10" spans="2:7" s="3" customFormat="1">
      <c r="B10" s="17" t="s">
        <v>62</v>
      </c>
      <c r="C10" s="17" t="s">
        <v>105</v>
      </c>
      <c r="D10" s="17" t="s">
        <v>332</v>
      </c>
      <c r="E10" s="17" t="s">
        <v>61</v>
      </c>
      <c r="F10" s="17" t="s">
        <v>162</v>
      </c>
    </row>
    <row r="11" spans="2:7">
      <c r="B11" s="82" t="s">
        <v>331</v>
      </c>
      <c r="C11" s="21">
        <v>44927</v>
      </c>
      <c r="D11" s="81">
        <f t="shared" ref="D11:D22" si="0">F11/E11</f>
        <v>2463.4334103156275</v>
      </c>
      <c r="E11" s="80">
        <v>12.99</v>
      </c>
      <c r="F11" s="79">
        <v>32000</v>
      </c>
    </row>
    <row r="12" spans="2:7">
      <c r="B12" s="82" t="s">
        <v>330</v>
      </c>
      <c r="C12" s="21">
        <v>44927</v>
      </c>
      <c r="D12" s="81">
        <f t="shared" si="0"/>
        <v>705.25050100200406</v>
      </c>
      <c r="E12" s="80">
        <v>24.95</v>
      </c>
      <c r="F12" s="79">
        <v>17596</v>
      </c>
    </row>
    <row r="13" spans="2:7">
      <c r="B13" s="82" t="s">
        <v>329</v>
      </c>
      <c r="C13" s="21">
        <v>44927</v>
      </c>
      <c r="D13" s="81">
        <f t="shared" si="0"/>
        <v>622.12424849699403</v>
      </c>
      <c r="E13" s="80">
        <v>24.95</v>
      </c>
      <c r="F13" s="79">
        <v>15522</v>
      </c>
    </row>
    <row r="14" spans="2:7">
      <c r="B14" s="82" t="s">
        <v>17</v>
      </c>
      <c r="C14" s="21">
        <v>44927</v>
      </c>
      <c r="D14" s="81">
        <f t="shared" si="0"/>
        <v>1674.3358395989976</v>
      </c>
      <c r="E14" s="80">
        <v>19.95</v>
      </c>
      <c r="F14" s="79">
        <v>33403</v>
      </c>
    </row>
    <row r="15" spans="2:7">
      <c r="B15" s="82" t="s">
        <v>331</v>
      </c>
      <c r="C15" s="21">
        <v>44958</v>
      </c>
      <c r="D15" s="81">
        <f t="shared" si="0"/>
        <v>1786.4661654135339</v>
      </c>
      <c r="E15" s="80">
        <v>19.95</v>
      </c>
      <c r="F15" s="79">
        <v>35640</v>
      </c>
    </row>
    <row r="16" spans="2:7">
      <c r="B16" s="82" t="s">
        <v>330</v>
      </c>
      <c r="C16" s="21">
        <v>44958</v>
      </c>
      <c r="D16" s="81">
        <f t="shared" si="0"/>
        <v>1017.4436090225564</v>
      </c>
      <c r="E16" s="80">
        <v>19.95</v>
      </c>
      <c r="F16" s="79">
        <v>20298</v>
      </c>
    </row>
    <row r="17" spans="2:6">
      <c r="B17" s="82" t="s">
        <v>329</v>
      </c>
      <c r="C17" s="21">
        <v>44958</v>
      </c>
      <c r="D17" s="81">
        <f t="shared" si="0"/>
        <v>1196.9924812030076</v>
      </c>
      <c r="E17" s="80">
        <v>19.95</v>
      </c>
      <c r="F17" s="79">
        <v>23880</v>
      </c>
    </row>
    <row r="18" spans="2:6">
      <c r="B18" s="82" t="s">
        <v>17</v>
      </c>
      <c r="C18" s="21">
        <v>44958</v>
      </c>
      <c r="D18" s="81">
        <f t="shared" si="0"/>
        <v>1019.5955056179776</v>
      </c>
      <c r="E18" s="80">
        <v>22.25</v>
      </c>
      <c r="F18" s="79">
        <v>22686</v>
      </c>
    </row>
    <row r="19" spans="2:6">
      <c r="B19" s="82" t="s">
        <v>331</v>
      </c>
      <c r="C19" s="21">
        <v>44986</v>
      </c>
      <c r="D19" s="81">
        <f t="shared" si="0"/>
        <v>957.59398496240601</v>
      </c>
      <c r="E19" s="80">
        <v>19.95</v>
      </c>
      <c r="F19" s="79">
        <v>19104</v>
      </c>
    </row>
    <row r="20" spans="2:6">
      <c r="B20" s="82" t="s">
        <v>330</v>
      </c>
      <c r="C20" s="21">
        <v>44986</v>
      </c>
      <c r="D20" s="81">
        <f t="shared" si="0"/>
        <v>1624.7117794486217</v>
      </c>
      <c r="E20" s="80">
        <v>19.95</v>
      </c>
      <c r="F20" s="79">
        <v>32413</v>
      </c>
    </row>
    <row r="21" spans="2:6">
      <c r="B21" s="82" t="s">
        <v>329</v>
      </c>
      <c r="C21" s="21">
        <v>44986</v>
      </c>
      <c r="D21" s="81">
        <f t="shared" si="0"/>
        <v>1775.6390977443609</v>
      </c>
      <c r="E21" s="80">
        <v>19.95</v>
      </c>
      <c r="F21" s="79">
        <v>35424</v>
      </c>
    </row>
    <row r="22" spans="2:6">
      <c r="B22" s="82" t="s">
        <v>17</v>
      </c>
      <c r="C22" s="21">
        <v>44986</v>
      </c>
      <c r="D22" s="81">
        <f t="shared" si="0"/>
        <v>2134.7368421052633</v>
      </c>
      <c r="E22" s="80">
        <v>19.95</v>
      </c>
      <c r="F22" s="79">
        <v>42588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851AA-8577-433B-B890-ECB85075179C}">
  <dimension ref="B2:J15"/>
  <sheetViews>
    <sheetView showGridLines="0" topLeftCell="B1" zoomScale="160" workbookViewId="0">
      <selection activeCell="C3" sqref="C3"/>
    </sheetView>
  </sheetViews>
  <sheetFormatPr defaultColWidth="11.6328125" defaultRowHeight="15.5"/>
  <cols>
    <col min="1" max="1" width="4.36328125" style="1" customWidth="1"/>
    <col min="2" max="2" width="22.7265625" style="1" bestFit="1" customWidth="1"/>
    <col min="3" max="10" width="9.6328125" style="1" customWidth="1"/>
    <col min="11" max="16384" width="11.6328125" style="1"/>
  </cols>
  <sheetData>
    <row r="2" spans="2:10">
      <c r="B2" s="24" t="s">
        <v>123</v>
      </c>
      <c r="C2" s="24"/>
      <c r="D2" s="24"/>
      <c r="E2" s="24"/>
      <c r="F2" s="24"/>
      <c r="G2" s="24"/>
      <c r="H2" s="24"/>
      <c r="I2" s="24"/>
      <c r="J2" s="24"/>
    </row>
    <row r="3" spans="2:10" ht="16" thickBot="1">
      <c r="B3" s="23" t="s">
        <v>122</v>
      </c>
      <c r="C3" s="22">
        <v>44562</v>
      </c>
      <c r="D3" s="22">
        <f t="shared" ref="D3:J3" si="0">EDATE(C3,1)</f>
        <v>44593</v>
      </c>
      <c r="E3" s="22">
        <f t="shared" si="0"/>
        <v>44621</v>
      </c>
      <c r="F3" s="22">
        <f t="shared" si="0"/>
        <v>44652</v>
      </c>
      <c r="G3" s="22">
        <f t="shared" si="0"/>
        <v>44682</v>
      </c>
      <c r="H3" s="22">
        <f t="shared" si="0"/>
        <v>44713</v>
      </c>
      <c r="I3" s="22">
        <f t="shared" si="0"/>
        <v>44743</v>
      </c>
      <c r="J3" s="22">
        <f t="shared" si="0"/>
        <v>44774</v>
      </c>
    </row>
    <row r="4" spans="2:10">
      <c r="B4" s="40" t="s">
        <v>162</v>
      </c>
      <c r="C4" s="40"/>
      <c r="D4" s="40"/>
      <c r="E4" s="40"/>
      <c r="F4" s="40"/>
      <c r="G4" s="40"/>
    </row>
    <row r="5" spans="2:10">
      <c r="B5" s="39" t="s">
        <v>161</v>
      </c>
      <c r="C5" s="38">
        <v>215660</v>
      </c>
      <c r="D5" s="38">
        <v>237226.00000000003</v>
      </c>
      <c r="E5" s="38">
        <v>260948.60000000006</v>
      </c>
      <c r="F5" s="38"/>
      <c r="G5" s="38"/>
      <c r="H5" s="38"/>
      <c r="I5" s="38"/>
      <c r="J5" s="38"/>
    </row>
    <row r="6" spans="2:10">
      <c r="B6" s="42" t="s">
        <v>160</v>
      </c>
      <c r="C6" s="41">
        <v>23722.6</v>
      </c>
      <c r="D6" s="41">
        <v>26094.860000000004</v>
      </c>
      <c r="E6" s="41">
        <v>28704.346000000009</v>
      </c>
      <c r="F6" s="41"/>
      <c r="G6" s="41"/>
      <c r="H6" s="41"/>
      <c r="I6" s="41"/>
      <c r="J6" s="41"/>
    </row>
    <row r="7" spans="2:10">
      <c r="B7" s="35" t="s">
        <v>159</v>
      </c>
      <c r="C7" s="34">
        <f t="shared" ref="C7:J7" si="1">SUM(C5:C6)</f>
        <v>239382.6</v>
      </c>
      <c r="D7" s="34">
        <f t="shared" si="1"/>
        <v>263320.86000000004</v>
      </c>
      <c r="E7" s="34">
        <f t="shared" si="1"/>
        <v>289652.94600000005</v>
      </c>
      <c r="F7" s="34">
        <f t="shared" si="1"/>
        <v>0</v>
      </c>
      <c r="G7" s="34">
        <f t="shared" si="1"/>
        <v>0</v>
      </c>
      <c r="H7" s="34">
        <f t="shared" si="1"/>
        <v>0</v>
      </c>
      <c r="I7" s="34">
        <f t="shared" si="1"/>
        <v>0</v>
      </c>
      <c r="J7" s="34">
        <f t="shared" si="1"/>
        <v>0</v>
      </c>
    </row>
    <row r="8" spans="2:10">
      <c r="B8" s="40" t="s">
        <v>158</v>
      </c>
      <c r="C8" s="40"/>
      <c r="D8" s="40"/>
      <c r="E8" s="40"/>
      <c r="F8" s="40"/>
      <c r="G8" s="40"/>
      <c r="H8" s="40"/>
      <c r="I8" s="40"/>
      <c r="J8" s="40"/>
    </row>
    <row r="9" spans="2:10">
      <c r="B9" s="39" t="s">
        <v>157</v>
      </c>
      <c r="C9" s="38">
        <v>-69011.199999999997</v>
      </c>
      <c r="D9" s="38">
        <v>-88593</v>
      </c>
      <c r="E9" s="38">
        <v>-130474.30000000003</v>
      </c>
      <c r="F9" s="38"/>
      <c r="G9" s="38"/>
      <c r="H9" s="38"/>
      <c r="I9" s="38"/>
      <c r="J9" s="38"/>
    </row>
    <row r="10" spans="2:10">
      <c r="B10" s="39" t="s">
        <v>156</v>
      </c>
      <c r="C10" s="38">
        <v>-12939.6</v>
      </c>
      <c r="D10" s="38">
        <v>-14233.560000000001</v>
      </c>
      <c r="E10" s="38">
        <v>-15656.916000000003</v>
      </c>
      <c r="F10" s="38"/>
      <c r="G10" s="38"/>
      <c r="H10" s="38"/>
      <c r="I10" s="38"/>
      <c r="J10" s="38"/>
    </row>
    <row r="11" spans="2:10">
      <c r="B11" s="39" t="s">
        <v>155</v>
      </c>
      <c r="C11" s="38">
        <v>-4313.2</v>
      </c>
      <c r="D11" s="38">
        <v>-4744.5200000000004</v>
      </c>
      <c r="E11" s="38">
        <v>-5218.9720000000016</v>
      </c>
      <c r="F11" s="38"/>
      <c r="G11" s="38"/>
      <c r="H11" s="38"/>
      <c r="I11" s="38"/>
      <c r="J11" s="38"/>
    </row>
    <row r="12" spans="2:10">
      <c r="B12" s="37" t="s">
        <v>154</v>
      </c>
      <c r="C12" s="36">
        <v>-86264</v>
      </c>
      <c r="D12" s="36">
        <v>-107571.08</v>
      </c>
      <c r="E12" s="36">
        <v>-151350.18800000005</v>
      </c>
      <c r="F12" s="36"/>
      <c r="G12" s="36"/>
      <c r="H12" s="36"/>
      <c r="I12" s="36"/>
      <c r="J12" s="36"/>
    </row>
    <row r="13" spans="2:10">
      <c r="B13" s="35" t="s">
        <v>153</v>
      </c>
      <c r="C13" s="34">
        <f t="shared" ref="C13:J13" si="2">C7+C12</f>
        <v>153118.6</v>
      </c>
      <c r="D13" s="34">
        <f t="shared" si="2"/>
        <v>155749.78000000003</v>
      </c>
      <c r="E13" s="34">
        <f t="shared" si="2"/>
        <v>138302.758</v>
      </c>
      <c r="F13" s="34">
        <f t="shared" si="2"/>
        <v>0</v>
      </c>
      <c r="G13" s="34">
        <f t="shared" si="2"/>
        <v>0</v>
      </c>
      <c r="H13" s="34">
        <f t="shared" si="2"/>
        <v>0</v>
      </c>
      <c r="I13" s="34">
        <f t="shared" si="2"/>
        <v>0</v>
      </c>
      <c r="J13" s="34">
        <f t="shared" si="2"/>
        <v>0</v>
      </c>
    </row>
    <row r="14" spans="2:10">
      <c r="B14" s="35"/>
      <c r="C14" s="34"/>
      <c r="D14" s="34"/>
      <c r="E14" s="34"/>
      <c r="F14" s="34"/>
      <c r="G14" s="34"/>
      <c r="H14" s="34"/>
      <c r="I14" s="34"/>
      <c r="J14" s="34"/>
    </row>
    <row r="15" spans="2:10">
      <c r="B15" s="33" t="s">
        <v>152</v>
      </c>
      <c r="C15" s="32">
        <f>IFERROR(C7/C13,"")</f>
        <v>1.5633802816901408</v>
      </c>
      <c r="D15" s="32">
        <f t="shared" ref="D15:J15" si="3">IFERROR(D7/D13,"")</f>
        <v>1.6906660157080158</v>
      </c>
      <c r="E15" s="32">
        <f t="shared" si="3"/>
        <v>2.0943396226415096</v>
      </c>
      <c r="F15" s="32" t="str">
        <f t="shared" si="3"/>
        <v/>
      </c>
      <c r="G15" s="32" t="str">
        <f t="shared" si="3"/>
        <v/>
      </c>
      <c r="H15" s="32" t="str">
        <f t="shared" si="3"/>
        <v/>
      </c>
      <c r="I15" s="32" t="str">
        <f t="shared" si="3"/>
        <v/>
      </c>
      <c r="J15" s="32" t="str">
        <f t="shared" si="3"/>
        <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85532-E70C-45B1-859C-335BA7ECCAB6}">
  <dimension ref="B2:J14"/>
  <sheetViews>
    <sheetView showGridLines="0" topLeftCell="A4" workbookViewId="0">
      <selection activeCell="C10" sqref="C10"/>
    </sheetView>
  </sheetViews>
  <sheetFormatPr defaultColWidth="11.6328125" defaultRowHeight="15.5"/>
  <cols>
    <col min="1" max="1" width="11.6328125" style="1"/>
    <col min="2" max="2" width="19.08984375" style="1" customWidth="1"/>
    <col min="3" max="3" width="12.36328125" style="1" customWidth="1"/>
    <col min="4" max="16384" width="11.6328125" style="1"/>
  </cols>
  <sheetData>
    <row r="2" spans="2:10">
      <c r="B2" s="153" t="s">
        <v>431</v>
      </c>
      <c r="C2" s="152" t="s">
        <v>430</v>
      </c>
      <c r="J2" s="151" t="s">
        <v>430</v>
      </c>
    </row>
    <row r="3" spans="2:10">
      <c r="J3" s="151" t="s">
        <v>429</v>
      </c>
    </row>
    <row r="4" spans="2:10">
      <c r="B4" s="425" t="s">
        <v>428</v>
      </c>
      <c r="C4" s="425"/>
      <c r="J4" s="151" t="s">
        <v>427</v>
      </c>
    </row>
    <row r="5" spans="2:10">
      <c r="B5" s="1" t="s">
        <v>62</v>
      </c>
      <c r="C5" s="1" t="e" vm="410">
        <f>_xlfn.XLOOKUP(C2,[1]!Table1[Manager],[1]!Table1[Country])</f>
        <v>#VALUE!</v>
      </c>
      <c r="J5" s="151" t="s">
        <v>426</v>
      </c>
    </row>
    <row r="6" spans="2:10">
      <c r="B6" s="1" t="s">
        <v>63</v>
      </c>
      <c r="C6" s="1" t="e" vm="411">
        <f>_xlfn.XLOOKUP(C2,[1]!Table1[Manager],[1]!Table1[City])</f>
        <v>#VALUE!</v>
      </c>
      <c r="J6" s="151" t="s">
        <v>425</v>
      </c>
    </row>
    <row r="7" spans="2:10">
      <c r="C7" s="150"/>
    </row>
    <row r="8" spans="2:10">
      <c r="B8" s="425" t="s">
        <v>162</v>
      </c>
      <c r="C8" s="425"/>
    </row>
    <row r="9" spans="2:10">
      <c r="B9" s="82" t="s">
        <v>419</v>
      </c>
      <c r="C9" s="149">
        <f>SUMIFS([1]!Table1[Revenue],[1]!Table1[Product],Findings!B9,[1]!Table1[Manager],Findings!$C$2)</f>
        <v>34638.25</v>
      </c>
    </row>
    <row r="10" spans="2:10">
      <c r="B10" s="82" t="s">
        <v>420</v>
      </c>
      <c r="C10" s="149">
        <f>SUMIFS([1]!Table1[Revenue],[1]!Table1[Product],Findings!B10,[1]!Table1[Manager],Findings!$C$2)</f>
        <v>28803.799999999996</v>
      </c>
    </row>
    <row r="11" spans="2:10">
      <c r="B11" s="82" t="s">
        <v>414</v>
      </c>
      <c r="C11" s="149">
        <f>SUMIFS([1]!Table1[Revenue],[1]!Table1[Product],Findings!B11,[1]!Table1[Manager],Findings!$C$2)</f>
        <v>14041.859999999999</v>
      </c>
    </row>
    <row r="12" spans="2:10">
      <c r="B12" s="82" t="s">
        <v>417</v>
      </c>
      <c r="C12" s="149">
        <f>SUMIFS([1]!Table1[Revenue],[1]!Table1[Product],Findings!B12,[1]!Table1[Manager],Findings!$C$2)</f>
        <v>101880.57</v>
      </c>
    </row>
    <row r="13" spans="2:10">
      <c r="B13" s="82" t="s">
        <v>416</v>
      </c>
      <c r="C13" s="149">
        <f>SUMIFS([1]!Table1[Revenue],[1]!Table1[Product],Findings!B13,[1]!Table1[Manager],Findings!$C$2)</f>
        <v>32158.400000000009</v>
      </c>
    </row>
    <row r="14" spans="2:10">
      <c r="B14" s="148" t="s">
        <v>424</v>
      </c>
      <c r="C14" s="147">
        <f>SUM(C9:C13)</f>
        <v>211522.88</v>
      </c>
    </row>
  </sheetData>
  <mergeCells count="2">
    <mergeCell ref="B4:C4"/>
    <mergeCell ref="B8:C8"/>
  </mergeCells>
  <conditionalFormatting sqref="C9:C13">
    <cfRule type="dataBar" priority="1">
      <dataBar>
        <cfvo type="min"/>
        <cfvo type="max"/>
        <color rgb="FF63C384"/>
      </dataBar>
      <extLst>
        <ext xmlns:x14="http://schemas.microsoft.com/office/spreadsheetml/2009/9/main" uri="{B025F937-C7B1-47D3-B67F-A62EFF666E3E}">
          <x14:id>{CA9DB854-D472-4424-BEFC-7EE51CD389EF}</x14:id>
        </ext>
      </extLst>
    </cfRule>
  </conditionalFormatting>
  <dataValidations count="1">
    <dataValidation type="list" allowBlank="1" showInputMessage="1" showErrorMessage="1" sqref="C2" xr:uid="{F46D7767-1BD9-AC49-8E23-A6B1FC0639A5}">
      <formula1>$J$2:$J$6</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9DB854-D472-4424-BEFC-7EE51CD389EF}">
            <x14:dataBar minLength="0" maxLength="100" border="1" negativeBarBorderColorSameAsPositive="0">
              <x14:cfvo type="autoMin"/>
              <x14:cfvo type="autoMax"/>
              <x14:borderColor rgb="FF63C384"/>
              <x14:negativeFillColor rgb="FFFF0000"/>
              <x14:negativeBorderColor rgb="FFFF0000"/>
              <x14:axisColor rgb="FF000000"/>
            </x14:dataBar>
          </x14:cfRule>
          <xm:sqref>C9:C13</xm:sqref>
        </x14:conditionalFormatting>
      </x14:conditionalFormatting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23DF2-1BF7-490A-8983-40C2C3F743CE}">
  <dimension ref="B2:K31"/>
  <sheetViews>
    <sheetView showGridLines="0" topLeftCell="A21" zoomScaleNormal="100" workbookViewId="0">
      <selection activeCell="G5" sqref="G5"/>
    </sheetView>
  </sheetViews>
  <sheetFormatPr defaultColWidth="8.81640625" defaultRowHeight="14.5"/>
  <cols>
    <col min="2" max="2" width="10.453125" bestFit="1" customWidth="1"/>
    <col min="3" max="3" width="10" customWidth="1"/>
    <col min="6" max="6" width="10.453125" customWidth="1"/>
    <col min="8" max="8" width="12.1796875" bestFit="1" customWidth="1"/>
    <col min="9" max="9" width="11.453125" bestFit="1" customWidth="1"/>
    <col min="10" max="10" width="9.1796875" bestFit="1" customWidth="1"/>
    <col min="11" max="11" width="12.1796875" bestFit="1" customWidth="1"/>
  </cols>
  <sheetData>
    <row r="2" spans="2:11" ht="15.5">
      <c r="B2" s="50" t="s">
        <v>315</v>
      </c>
      <c r="C2" s="50"/>
      <c r="D2" s="50"/>
      <c r="E2" s="72"/>
      <c r="F2" s="72"/>
      <c r="G2" s="72"/>
    </row>
    <row r="3" spans="2:11">
      <c r="B3" t="s">
        <v>314</v>
      </c>
    </row>
    <row r="5" spans="2:11">
      <c r="B5" s="77" t="s">
        <v>105</v>
      </c>
      <c r="C5" s="77" t="s">
        <v>313</v>
      </c>
      <c r="D5" s="77" t="s">
        <v>66</v>
      </c>
      <c r="E5" s="77" t="s">
        <v>65</v>
      </c>
      <c r="F5" s="77" t="s">
        <v>312</v>
      </c>
    </row>
    <row r="6" spans="2:11">
      <c r="B6" s="75">
        <v>43848</v>
      </c>
      <c r="C6" s="74">
        <v>1001</v>
      </c>
      <c r="D6" s="47" t="s">
        <v>249</v>
      </c>
      <c r="E6" s="47" t="s">
        <v>248</v>
      </c>
      <c r="F6" s="73">
        <v>530</v>
      </c>
      <c r="H6" s="76" t="s">
        <v>311</v>
      </c>
      <c r="I6" t="s">
        <v>310</v>
      </c>
      <c r="J6" t="s">
        <v>309</v>
      </c>
      <c r="K6" t="s">
        <v>308</v>
      </c>
    </row>
    <row r="7" spans="2:11">
      <c r="B7" s="75">
        <v>43870</v>
      </c>
      <c r="C7" s="74">
        <v>1002</v>
      </c>
      <c r="D7" s="47" t="s">
        <v>246</v>
      </c>
      <c r="E7" s="47" t="s">
        <v>209</v>
      </c>
      <c r="F7" s="73">
        <v>550</v>
      </c>
      <c r="H7" s="47" t="s">
        <v>307</v>
      </c>
      <c r="I7">
        <v>16</v>
      </c>
      <c r="J7">
        <v>11470</v>
      </c>
      <c r="K7">
        <v>716.875</v>
      </c>
    </row>
    <row r="8" spans="2:11">
      <c r="B8" s="75">
        <v>43897</v>
      </c>
      <c r="C8" s="74">
        <v>1003</v>
      </c>
      <c r="D8" s="47" t="s">
        <v>242</v>
      </c>
      <c r="E8" s="47" t="s">
        <v>241</v>
      </c>
      <c r="F8" s="73">
        <v>540</v>
      </c>
      <c r="H8" s="68" t="s">
        <v>305</v>
      </c>
      <c r="I8">
        <v>3</v>
      </c>
      <c r="J8">
        <v>1620</v>
      </c>
      <c r="K8">
        <v>540</v>
      </c>
    </row>
    <row r="9" spans="2:11">
      <c r="B9" s="75">
        <v>43924</v>
      </c>
      <c r="C9" s="74">
        <v>1004</v>
      </c>
      <c r="D9" s="47" t="s">
        <v>239</v>
      </c>
      <c r="E9" s="47" t="s">
        <v>238</v>
      </c>
      <c r="F9" s="73">
        <v>630</v>
      </c>
      <c r="H9" s="68" t="s">
        <v>304</v>
      </c>
      <c r="I9">
        <v>5</v>
      </c>
      <c r="J9">
        <v>4060</v>
      </c>
      <c r="K9">
        <v>812</v>
      </c>
    </row>
    <row r="10" spans="2:11">
      <c r="B10" s="75">
        <v>43951</v>
      </c>
      <c r="C10" s="74">
        <v>1005</v>
      </c>
      <c r="D10" s="47" t="s">
        <v>236</v>
      </c>
      <c r="E10" s="47" t="s">
        <v>235</v>
      </c>
      <c r="F10" s="73">
        <v>880</v>
      </c>
      <c r="H10" s="68" t="s">
        <v>303</v>
      </c>
      <c r="I10">
        <v>4</v>
      </c>
      <c r="J10">
        <v>3210</v>
      </c>
      <c r="K10">
        <v>802.5</v>
      </c>
    </row>
    <row r="11" spans="2:11">
      <c r="B11" s="75">
        <v>43978</v>
      </c>
      <c r="C11" s="74">
        <v>1006</v>
      </c>
      <c r="D11" s="47" t="s">
        <v>232</v>
      </c>
      <c r="E11" s="47" t="s">
        <v>231</v>
      </c>
      <c r="F11" s="73">
        <v>800</v>
      </c>
      <c r="H11" s="68" t="s">
        <v>302</v>
      </c>
      <c r="I11">
        <v>4</v>
      </c>
      <c r="J11">
        <v>2580</v>
      </c>
      <c r="K11">
        <v>645</v>
      </c>
    </row>
    <row r="12" spans="2:11">
      <c r="B12" s="75">
        <v>43993</v>
      </c>
      <c r="C12" s="74">
        <v>1007</v>
      </c>
      <c r="D12" s="47" t="s">
        <v>229</v>
      </c>
      <c r="E12" s="47" t="s">
        <v>228</v>
      </c>
      <c r="F12" s="73">
        <v>900</v>
      </c>
      <c r="H12" s="47" t="s">
        <v>306</v>
      </c>
      <c r="I12">
        <v>10</v>
      </c>
      <c r="J12">
        <v>7290</v>
      </c>
      <c r="K12">
        <v>729</v>
      </c>
    </row>
    <row r="13" spans="2:11">
      <c r="B13" s="75">
        <v>44008</v>
      </c>
      <c r="C13" s="74">
        <v>1008</v>
      </c>
      <c r="D13" s="47" t="s">
        <v>225</v>
      </c>
      <c r="E13" s="47" t="s">
        <v>224</v>
      </c>
      <c r="F13" s="73">
        <v>850</v>
      </c>
      <c r="H13" s="68" t="s">
        <v>305</v>
      </c>
      <c r="I13">
        <v>3</v>
      </c>
      <c r="J13">
        <v>2500</v>
      </c>
      <c r="K13">
        <v>833.33333333333337</v>
      </c>
    </row>
    <row r="14" spans="2:11">
      <c r="B14" s="75">
        <v>44023</v>
      </c>
      <c r="C14" s="74">
        <v>1009</v>
      </c>
      <c r="D14" s="47" t="s">
        <v>44</v>
      </c>
      <c r="E14" s="47" t="s">
        <v>220</v>
      </c>
      <c r="F14" s="73">
        <v>930</v>
      </c>
      <c r="H14" s="68" t="s">
        <v>304</v>
      </c>
      <c r="I14">
        <v>3</v>
      </c>
      <c r="J14">
        <v>2060</v>
      </c>
      <c r="K14">
        <v>686.66666666666663</v>
      </c>
    </row>
    <row r="15" spans="2:11">
      <c r="B15" s="75">
        <v>44038</v>
      </c>
      <c r="C15" s="74">
        <v>1010</v>
      </c>
      <c r="D15" s="47" t="s">
        <v>217</v>
      </c>
      <c r="E15" s="47" t="s">
        <v>216</v>
      </c>
      <c r="F15" s="73">
        <v>750</v>
      </c>
      <c r="H15" s="68" t="s">
        <v>303</v>
      </c>
      <c r="I15">
        <v>3</v>
      </c>
      <c r="J15">
        <v>1950</v>
      </c>
      <c r="K15">
        <v>650</v>
      </c>
    </row>
    <row r="16" spans="2:11">
      <c r="B16" s="75">
        <v>44061</v>
      </c>
      <c r="C16" s="74">
        <v>1011</v>
      </c>
      <c r="D16" s="47" t="s">
        <v>214</v>
      </c>
      <c r="E16" s="47" t="s">
        <v>213</v>
      </c>
      <c r="F16" s="73">
        <v>960</v>
      </c>
      <c r="H16" s="68" t="s">
        <v>302</v>
      </c>
      <c r="I16">
        <v>1</v>
      </c>
      <c r="J16">
        <v>780</v>
      </c>
      <c r="K16">
        <v>780</v>
      </c>
    </row>
    <row r="17" spans="2:11">
      <c r="B17" s="75">
        <v>44084</v>
      </c>
      <c r="C17" s="74">
        <v>1012</v>
      </c>
      <c r="D17" s="47" t="s">
        <v>209</v>
      </c>
      <c r="E17" s="47" t="s">
        <v>208</v>
      </c>
      <c r="F17" s="73">
        <v>570</v>
      </c>
      <c r="H17" s="47" t="s">
        <v>301</v>
      </c>
      <c r="I17">
        <v>26</v>
      </c>
      <c r="J17">
        <v>18760</v>
      </c>
      <c r="K17">
        <v>721.53846153846155</v>
      </c>
    </row>
    <row r="18" spans="2:11">
      <c r="B18" s="75">
        <v>44107</v>
      </c>
      <c r="C18" s="74">
        <v>1013</v>
      </c>
      <c r="D18" s="47" t="s">
        <v>205</v>
      </c>
      <c r="E18" s="47" t="s">
        <v>204</v>
      </c>
      <c r="F18" s="73">
        <v>570</v>
      </c>
    </row>
    <row r="19" spans="2:11">
      <c r="B19" s="75">
        <v>44130</v>
      </c>
      <c r="C19" s="74">
        <v>1014</v>
      </c>
      <c r="D19" s="47" t="s">
        <v>202</v>
      </c>
      <c r="E19" s="47" t="s">
        <v>201</v>
      </c>
      <c r="F19" s="73">
        <v>660</v>
      </c>
    </row>
    <row r="20" spans="2:11">
      <c r="B20" s="75">
        <v>44156</v>
      </c>
      <c r="C20" s="74">
        <v>1015</v>
      </c>
      <c r="D20" s="47" t="s">
        <v>199</v>
      </c>
      <c r="E20" s="47" t="s">
        <v>198</v>
      </c>
      <c r="F20" s="73">
        <v>800</v>
      </c>
    </row>
    <row r="21" spans="2:11">
      <c r="B21" s="75">
        <v>44182</v>
      </c>
      <c r="C21" s="74">
        <v>1016</v>
      </c>
      <c r="D21" s="47" t="s">
        <v>300</v>
      </c>
      <c r="E21" s="47" t="s">
        <v>58</v>
      </c>
      <c r="F21" s="73">
        <v>550</v>
      </c>
    </row>
    <row r="22" spans="2:11">
      <c r="B22" s="75">
        <v>44208</v>
      </c>
      <c r="C22" s="74">
        <v>1017</v>
      </c>
      <c r="D22" s="47" t="s">
        <v>299</v>
      </c>
      <c r="E22" s="47" t="s">
        <v>298</v>
      </c>
      <c r="F22" s="73">
        <v>910</v>
      </c>
    </row>
    <row r="23" spans="2:11">
      <c r="B23" s="75">
        <v>44234</v>
      </c>
      <c r="C23" s="74">
        <v>1018</v>
      </c>
      <c r="D23" s="47" t="s">
        <v>21</v>
      </c>
      <c r="E23" s="47" t="s">
        <v>297</v>
      </c>
      <c r="F23" s="73">
        <v>880</v>
      </c>
    </row>
    <row r="24" spans="2:11">
      <c r="B24" s="75">
        <v>44260</v>
      </c>
      <c r="C24" s="74">
        <v>1019</v>
      </c>
      <c r="D24" s="47" t="s">
        <v>296</v>
      </c>
      <c r="E24" s="47" t="s">
        <v>295</v>
      </c>
      <c r="F24" s="73">
        <v>710</v>
      </c>
    </row>
    <row r="25" spans="2:11">
      <c r="B25" s="75">
        <v>44297</v>
      </c>
      <c r="C25" s="74">
        <v>1020</v>
      </c>
      <c r="D25" s="47" t="s">
        <v>294</v>
      </c>
      <c r="E25" s="47" t="s">
        <v>293</v>
      </c>
      <c r="F25" s="73">
        <v>500</v>
      </c>
    </row>
    <row r="26" spans="2:11">
      <c r="B26" s="75">
        <v>44334</v>
      </c>
      <c r="C26" s="74">
        <v>1021</v>
      </c>
      <c r="D26" s="47" t="s">
        <v>292</v>
      </c>
      <c r="E26" s="47" t="s">
        <v>291</v>
      </c>
      <c r="F26" s="73">
        <v>680</v>
      </c>
    </row>
    <row r="27" spans="2:11">
      <c r="B27" s="75">
        <v>44371</v>
      </c>
      <c r="C27" s="74">
        <v>1022</v>
      </c>
      <c r="D27" s="47" t="s">
        <v>290</v>
      </c>
      <c r="E27" s="47" t="s">
        <v>168</v>
      </c>
      <c r="F27" s="73">
        <v>880</v>
      </c>
    </row>
    <row r="28" spans="2:11">
      <c r="B28" s="75">
        <v>44408</v>
      </c>
      <c r="C28" s="74">
        <v>1023</v>
      </c>
      <c r="D28" s="47" t="s">
        <v>289</v>
      </c>
      <c r="E28" s="47" t="s">
        <v>288</v>
      </c>
      <c r="F28" s="73">
        <v>510</v>
      </c>
    </row>
    <row r="29" spans="2:11">
      <c r="B29" s="75">
        <v>44445</v>
      </c>
      <c r="C29" s="74">
        <v>1024</v>
      </c>
      <c r="D29" s="47" t="s">
        <v>287</v>
      </c>
      <c r="E29" s="47" t="s">
        <v>286</v>
      </c>
      <c r="F29" s="73">
        <v>810</v>
      </c>
    </row>
    <row r="30" spans="2:11">
      <c r="B30" s="75">
        <v>44463</v>
      </c>
      <c r="C30" s="74">
        <v>1025</v>
      </c>
      <c r="D30" s="47" t="s">
        <v>285</v>
      </c>
      <c r="E30" s="47" t="s">
        <v>284</v>
      </c>
      <c r="F30" s="73">
        <v>630</v>
      </c>
    </row>
    <row r="31" spans="2:11">
      <c r="B31" s="75">
        <v>44553</v>
      </c>
      <c r="C31" s="74">
        <v>1030</v>
      </c>
      <c r="D31" s="47" t="s">
        <v>283</v>
      </c>
      <c r="E31" s="47" t="s">
        <v>282</v>
      </c>
      <c r="F31" s="73">
        <v>780</v>
      </c>
    </row>
  </sheetData>
  <pageMargins left="0.7" right="0.7" top="0.75" bottom="0.75" header="0.3" footer="0.3"/>
  <tableParts count="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7C972-B372-4320-8D66-60252EC80799}">
  <dimension ref="B2:F17"/>
  <sheetViews>
    <sheetView workbookViewId="0">
      <selection activeCell="D6" sqref="D6"/>
    </sheetView>
  </sheetViews>
  <sheetFormatPr defaultRowHeight="14.5"/>
  <sheetData>
    <row r="2" spans="2:6">
      <c r="B2" s="211" t="s">
        <v>608</v>
      </c>
      <c r="E2" s="211" t="s">
        <v>615</v>
      </c>
      <c r="F2" s="211" t="s">
        <v>616</v>
      </c>
    </row>
    <row r="3" spans="2:6">
      <c r="B3" t="s">
        <v>609</v>
      </c>
      <c r="E3" t="str" cm="1">
        <f t="array" ref="E3:E8">_xlfn.UNIQUE(B3:B17)</f>
        <v>water</v>
      </c>
      <c r="F3">
        <f t="shared" ref="F3:F8" si="0">COUNTIF($B$3:$B$17,E3)</f>
        <v>4</v>
      </c>
    </row>
    <row r="4" spans="2:6">
      <c r="B4" t="s">
        <v>610</v>
      </c>
      <c r="E4" t="str">
        <v>coke</v>
      </c>
      <c r="F4">
        <f t="shared" si="0"/>
        <v>2</v>
      </c>
    </row>
    <row r="5" spans="2:6">
      <c r="B5" t="s">
        <v>611</v>
      </c>
      <c r="E5" t="str">
        <v>lemonade</v>
      </c>
      <c r="F5">
        <f t="shared" si="0"/>
        <v>2</v>
      </c>
    </row>
    <row r="6" spans="2:6">
      <c r="B6" t="s">
        <v>612</v>
      </c>
      <c r="E6" t="str">
        <v>tea</v>
      </c>
      <c r="F6">
        <f t="shared" si="0"/>
        <v>3</v>
      </c>
    </row>
    <row r="7" spans="2:6">
      <c r="B7" t="s">
        <v>609</v>
      </c>
      <c r="E7" t="str">
        <v>pepsi</v>
      </c>
      <c r="F7">
        <f t="shared" si="0"/>
        <v>2</v>
      </c>
    </row>
    <row r="8" spans="2:6">
      <c r="B8" t="s">
        <v>613</v>
      </c>
      <c r="E8" t="str">
        <v>coffe</v>
      </c>
      <c r="F8">
        <f t="shared" si="0"/>
        <v>2</v>
      </c>
    </row>
    <row r="9" spans="2:6">
      <c r="B9" t="s">
        <v>614</v>
      </c>
    </row>
    <row r="10" spans="2:6">
      <c r="B10" t="s">
        <v>613</v>
      </c>
    </row>
    <row r="11" spans="2:6">
      <c r="B11" t="s">
        <v>612</v>
      </c>
    </row>
    <row r="12" spans="2:6">
      <c r="B12" t="s">
        <v>609</v>
      </c>
    </row>
    <row r="13" spans="2:6">
      <c r="B13" t="s">
        <v>609</v>
      </c>
    </row>
    <row r="14" spans="2:6">
      <c r="B14" t="s">
        <v>611</v>
      </c>
    </row>
    <row r="15" spans="2:6">
      <c r="B15" t="s">
        <v>614</v>
      </c>
    </row>
    <row r="16" spans="2:6">
      <c r="B16" t="s">
        <v>612</v>
      </c>
    </row>
    <row r="17" spans="2:2">
      <c r="B17" t="s">
        <v>610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784AF-7C6C-49B8-A4E7-39CDD1673DC4}">
  <dimension ref="B1:F7"/>
  <sheetViews>
    <sheetView workbookViewId="0">
      <selection activeCell="F3" sqref="F3"/>
    </sheetView>
  </sheetViews>
  <sheetFormatPr defaultRowHeight="14.5"/>
  <sheetData>
    <row r="1" spans="2:6" ht="15" thickBot="1"/>
    <row r="2" spans="2:6" ht="15" thickBot="1">
      <c r="B2" s="215" t="s">
        <v>617</v>
      </c>
      <c r="C2" s="216" t="s">
        <v>618</v>
      </c>
      <c r="D2" s="217" t="s">
        <v>619</v>
      </c>
      <c r="F2" s="218" t="s">
        <v>617</v>
      </c>
    </row>
    <row r="3" spans="2:6">
      <c r="B3" t="s">
        <v>620</v>
      </c>
      <c r="C3" t="s">
        <v>625</v>
      </c>
      <c r="D3" t="s">
        <v>626</v>
      </c>
      <c r="F3" t="str" cm="1">
        <f t="array" ref="F3:F4">_xlfn._xlws.FILTER(B3:B7,(C3:C7="A")*(D3:D7="A"))</f>
        <v>andrzej</v>
      </c>
    </row>
    <row r="4" spans="2:6">
      <c r="B4" t="s">
        <v>621</v>
      </c>
      <c r="C4" t="s">
        <v>627</v>
      </c>
      <c r="D4" t="s">
        <v>625</v>
      </c>
      <c r="F4" t="str">
        <v>marzena</v>
      </c>
    </row>
    <row r="5" spans="2:6">
      <c r="B5" t="s">
        <v>622</v>
      </c>
      <c r="C5" t="s">
        <v>628</v>
      </c>
      <c r="D5" t="s">
        <v>628</v>
      </c>
    </row>
    <row r="6" spans="2:6">
      <c r="B6" t="s">
        <v>623</v>
      </c>
      <c r="C6" t="s">
        <v>629</v>
      </c>
      <c r="D6" t="s">
        <v>627</v>
      </c>
    </row>
    <row r="7" spans="2:6">
      <c r="B7" t="s">
        <v>624</v>
      </c>
      <c r="C7" t="s">
        <v>628</v>
      </c>
      <c r="D7" t="s">
        <v>628</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31AF1-36EA-4B0A-85AA-FB7D054AAAF4}">
  <dimension ref="C3:H24"/>
  <sheetViews>
    <sheetView topLeftCell="A10" workbookViewId="0">
      <selection activeCell="G32" sqref="G32"/>
    </sheetView>
  </sheetViews>
  <sheetFormatPr defaultColWidth="10.90625" defaultRowHeight="14.5"/>
  <sheetData>
    <row r="3" spans="3:8">
      <c r="C3" s="78" t="s">
        <v>67</v>
      </c>
      <c r="D3" s="78" t="s">
        <v>317</v>
      </c>
      <c r="G3" s="78" t="s">
        <v>67</v>
      </c>
      <c r="H3" s="78" t="s">
        <v>316</v>
      </c>
    </row>
    <row r="4" spans="3:8">
      <c r="C4">
        <v>1</v>
      </c>
      <c r="D4" t="s">
        <v>328</v>
      </c>
      <c r="G4">
        <v>1</v>
      </c>
      <c r="H4" t="s">
        <v>327</v>
      </c>
    </row>
    <row r="5" spans="3:8">
      <c r="C5">
        <v>2</v>
      </c>
      <c r="D5" t="s">
        <v>326</v>
      </c>
      <c r="G5">
        <v>2</v>
      </c>
      <c r="H5" t="s">
        <v>316</v>
      </c>
    </row>
    <row r="6" spans="3:8">
      <c r="C6">
        <v>3</v>
      </c>
      <c r="D6" t="s">
        <v>325</v>
      </c>
      <c r="G6">
        <v>3</v>
      </c>
      <c r="H6" t="s">
        <v>324</v>
      </c>
    </row>
    <row r="7" spans="3:8">
      <c r="C7">
        <v>4</v>
      </c>
      <c r="D7" t="s">
        <v>323</v>
      </c>
      <c r="G7">
        <v>4</v>
      </c>
      <c r="H7" t="s">
        <v>322</v>
      </c>
    </row>
    <row r="8" spans="3:8">
      <c r="C8">
        <v>5</v>
      </c>
      <c r="D8" t="s">
        <v>321</v>
      </c>
      <c r="G8">
        <v>5</v>
      </c>
      <c r="H8" t="s">
        <v>320</v>
      </c>
    </row>
    <row r="9" spans="3:8">
      <c r="C9">
        <v>6</v>
      </c>
      <c r="D9" t="s">
        <v>319</v>
      </c>
      <c r="G9">
        <v>6</v>
      </c>
      <c r="H9" t="s">
        <v>318</v>
      </c>
    </row>
    <row r="11" spans="3:8">
      <c r="E11">
        <v>2</v>
      </c>
    </row>
    <row r="12" spans="3:8">
      <c r="E12" t="str">
        <f>VLOOKUP(E11,C4:D9,2)</f>
        <v>two</v>
      </c>
      <c r="F12" t="str">
        <f>_xlfn.XLOOKUP(E11,E19:E24,F19:F24)</f>
        <v>two</v>
      </c>
    </row>
    <row r="18" spans="5:7">
      <c r="E18" s="78" t="s">
        <v>67</v>
      </c>
      <c r="F18" s="78" t="s">
        <v>317</v>
      </c>
      <c r="G18" s="78" t="s">
        <v>316</v>
      </c>
    </row>
    <row r="19" spans="5:7">
      <c r="E19">
        <v>1</v>
      </c>
      <c r="F19" t="str">
        <f t="shared" ref="F19:F24" si="0">VLOOKUP(E19,C4:D9,2)</f>
        <v>one</v>
      </c>
      <c r="G19" t="str">
        <f t="shared" ref="G19:G24" si="1">VLOOKUP(E19,G4:H9,2)</f>
        <v>qw</v>
      </c>
    </row>
    <row r="20" spans="5:7">
      <c r="E20">
        <v>2</v>
      </c>
      <c r="F20" t="str">
        <f t="shared" si="0"/>
        <v>two</v>
      </c>
      <c r="G20" t="str">
        <f t="shared" si="1"/>
        <v>qwe</v>
      </c>
    </row>
    <row r="21" spans="5:7">
      <c r="E21">
        <v>3</v>
      </c>
      <c r="F21" t="str">
        <f t="shared" si="0"/>
        <v>three</v>
      </c>
      <c r="G21" t="str">
        <f t="shared" si="1"/>
        <v>r</v>
      </c>
    </row>
    <row r="22" spans="5:7">
      <c r="E22">
        <v>4</v>
      </c>
      <c r="F22" t="str">
        <f t="shared" si="0"/>
        <v>four</v>
      </c>
      <c r="G22" t="str">
        <f t="shared" si="1"/>
        <v>wq</v>
      </c>
    </row>
    <row r="23" spans="5:7">
      <c r="E23">
        <v>5</v>
      </c>
      <c r="F23" t="str">
        <f t="shared" si="0"/>
        <v>five</v>
      </c>
      <c r="G23" t="str">
        <f t="shared" si="1"/>
        <v>rwq</v>
      </c>
    </row>
    <row r="24" spans="5:7">
      <c r="E24">
        <v>6</v>
      </c>
      <c r="F24" t="str">
        <f t="shared" si="0"/>
        <v>six</v>
      </c>
      <c r="G24" t="str">
        <f t="shared" si="1"/>
        <v>ewq</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39807-3D9C-493D-A63D-F4D66014DC11}">
  <dimension ref="B2:E37"/>
  <sheetViews>
    <sheetView showGridLines="0" zoomScale="150" zoomScaleNormal="150" workbookViewId="0">
      <selection activeCell="E7" sqref="E7"/>
    </sheetView>
  </sheetViews>
  <sheetFormatPr defaultColWidth="11.6328125" defaultRowHeight="15.5"/>
  <cols>
    <col min="1" max="1" width="11.6328125" style="1"/>
    <col min="2" max="2" width="10.36328125" style="1" customWidth="1"/>
    <col min="3" max="3" width="15.81640625" style="1" bestFit="1" customWidth="1"/>
    <col min="4" max="4" width="9.453125" style="1" bestFit="1" customWidth="1"/>
    <col min="5" max="5" width="12.1796875" style="1" customWidth="1"/>
    <col min="6" max="16384" width="11.6328125" style="1"/>
  </cols>
  <sheetData>
    <row r="2" spans="2:5">
      <c r="B2" s="87" t="s">
        <v>195</v>
      </c>
      <c r="C2" s="86"/>
      <c r="D2" s="86"/>
      <c r="E2" s="86"/>
    </row>
    <row r="3" spans="2:5">
      <c r="B3" s="1" t="s">
        <v>369</v>
      </c>
    </row>
    <row r="5" spans="2:5">
      <c r="B5" s="4" t="s">
        <v>67</v>
      </c>
      <c r="C5" s="4" t="s">
        <v>116</v>
      </c>
      <c r="D5" s="4" t="s">
        <v>64</v>
      </c>
      <c r="E5" s="99" t="s">
        <v>368</v>
      </c>
    </row>
    <row r="6" spans="2:5">
      <c r="B6" s="3">
        <v>1295</v>
      </c>
      <c r="C6" s="3" t="s">
        <v>79</v>
      </c>
      <c r="D6" s="3" t="s">
        <v>11</v>
      </c>
      <c r="E6" s="98">
        <v>2500</v>
      </c>
    </row>
    <row r="7" spans="2:5">
      <c r="B7" s="3">
        <f t="shared" ref="B7:B37" si="0">B6+3</f>
        <v>1298</v>
      </c>
      <c r="C7" s="3" t="s">
        <v>190</v>
      </c>
      <c r="D7" s="3" t="s">
        <v>55</v>
      </c>
      <c r="E7" s="98">
        <v>100</v>
      </c>
    </row>
    <row r="8" spans="2:5">
      <c r="B8" s="3">
        <f t="shared" si="0"/>
        <v>1301</v>
      </c>
      <c r="C8" s="3" t="s">
        <v>99</v>
      </c>
      <c r="D8" s="3" t="s">
        <v>11</v>
      </c>
      <c r="E8" s="98">
        <v>6000</v>
      </c>
    </row>
    <row r="9" spans="2:5">
      <c r="B9" s="3">
        <f t="shared" si="0"/>
        <v>1304</v>
      </c>
      <c r="C9" s="3" t="s">
        <v>189</v>
      </c>
      <c r="D9" s="3" t="s">
        <v>11</v>
      </c>
      <c r="E9" s="98">
        <v>450</v>
      </c>
    </row>
    <row r="10" spans="2:5">
      <c r="B10" s="3">
        <f t="shared" si="0"/>
        <v>1307</v>
      </c>
      <c r="C10" s="3" t="s">
        <v>96</v>
      </c>
      <c r="D10" s="3" t="s">
        <v>25</v>
      </c>
      <c r="E10" s="98">
        <v>320</v>
      </c>
    </row>
    <row r="11" spans="2:5">
      <c r="B11" s="3">
        <f t="shared" si="0"/>
        <v>1310</v>
      </c>
      <c r="C11" s="3" t="s">
        <v>184</v>
      </c>
      <c r="D11" s="3" t="s">
        <v>14</v>
      </c>
      <c r="E11" s="98">
        <v>200</v>
      </c>
    </row>
    <row r="12" spans="2:5">
      <c r="B12" s="3">
        <f t="shared" si="0"/>
        <v>1313</v>
      </c>
      <c r="C12" s="3" t="s">
        <v>94</v>
      </c>
      <c r="D12" s="3" t="s">
        <v>14</v>
      </c>
      <c r="E12" s="98">
        <v>200</v>
      </c>
    </row>
    <row r="13" spans="2:5">
      <c r="B13" s="3">
        <f t="shared" si="0"/>
        <v>1316</v>
      </c>
      <c r="C13" s="3" t="s">
        <v>93</v>
      </c>
      <c r="D13" s="3" t="s">
        <v>25</v>
      </c>
      <c r="E13" s="98">
        <v>999</v>
      </c>
    </row>
    <row r="14" spans="2:5">
      <c r="B14" s="3">
        <f t="shared" si="0"/>
        <v>1319</v>
      </c>
      <c r="C14" s="3" t="s">
        <v>92</v>
      </c>
      <c r="D14" s="3" t="s">
        <v>25</v>
      </c>
      <c r="E14" s="98">
        <v>1000</v>
      </c>
    </row>
    <row r="15" spans="2:5">
      <c r="B15" s="3">
        <f t="shared" si="0"/>
        <v>1322</v>
      </c>
      <c r="C15" s="3" t="s">
        <v>178</v>
      </c>
      <c r="D15" s="3" t="s">
        <v>14</v>
      </c>
      <c r="E15" s="98">
        <v>15000</v>
      </c>
    </row>
    <row r="16" spans="2:5">
      <c r="B16" s="3">
        <f t="shared" si="0"/>
        <v>1325</v>
      </c>
      <c r="C16" s="3" t="s">
        <v>91</v>
      </c>
      <c r="D16" s="3" t="s">
        <v>25</v>
      </c>
      <c r="E16" s="98">
        <v>600</v>
      </c>
    </row>
    <row r="17" spans="2:5">
      <c r="B17" s="3">
        <f t="shared" si="0"/>
        <v>1328</v>
      </c>
      <c r="C17" s="3" t="s">
        <v>90</v>
      </c>
      <c r="D17" s="3" t="s">
        <v>14</v>
      </c>
      <c r="E17" s="98">
        <v>850</v>
      </c>
    </row>
    <row r="18" spans="2:5">
      <c r="B18" s="3">
        <f t="shared" si="0"/>
        <v>1331</v>
      </c>
      <c r="C18" s="3" t="s">
        <v>89</v>
      </c>
      <c r="D18" s="3" t="s">
        <v>14</v>
      </c>
      <c r="E18" s="98">
        <v>1250</v>
      </c>
    </row>
    <row r="19" spans="2:5">
      <c r="B19" s="3">
        <f t="shared" si="0"/>
        <v>1334</v>
      </c>
      <c r="C19" s="3" t="s">
        <v>367</v>
      </c>
      <c r="D19" s="3" t="s">
        <v>25</v>
      </c>
      <c r="E19" s="98">
        <v>4500</v>
      </c>
    </row>
    <row r="20" spans="2:5">
      <c r="B20" s="3">
        <f t="shared" si="0"/>
        <v>1337</v>
      </c>
      <c r="C20" s="3" t="s">
        <v>86</v>
      </c>
      <c r="D20" s="3" t="s">
        <v>25</v>
      </c>
      <c r="E20" s="98">
        <v>3600</v>
      </c>
    </row>
    <row r="21" spans="2:5">
      <c r="B21" s="3">
        <f t="shared" si="0"/>
        <v>1340</v>
      </c>
      <c r="C21" s="3" t="s">
        <v>85</v>
      </c>
      <c r="D21" s="3" t="s">
        <v>19</v>
      </c>
      <c r="E21" s="98">
        <v>850</v>
      </c>
    </row>
    <row r="22" spans="2:5">
      <c r="B22" s="3">
        <f t="shared" si="0"/>
        <v>1343</v>
      </c>
      <c r="C22" s="3" t="s">
        <v>84</v>
      </c>
      <c r="D22" s="3" t="s">
        <v>14</v>
      </c>
      <c r="E22" s="98">
        <v>320</v>
      </c>
    </row>
    <row r="23" spans="2:5">
      <c r="B23" s="3">
        <f t="shared" si="0"/>
        <v>1346</v>
      </c>
      <c r="C23" s="3" t="s">
        <v>83</v>
      </c>
      <c r="D23" s="3" t="s">
        <v>11</v>
      </c>
      <c r="E23" s="98">
        <v>6500</v>
      </c>
    </row>
    <row r="24" spans="2:5">
      <c r="B24" s="3">
        <f t="shared" si="0"/>
        <v>1349</v>
      </c>
      <c r="C24" s="3" t="s">
        <v>81</v>
      </c>
      <c r="D24" s="3" t="s">
        <v>11</v>
      </c>
      <c r="E24" s="98">
        <v>100</v>
      </c>
    </row>
    <row r="25" spans="2:5">
      <c r="B25" s="3">
        <f t="shared" si="0"/>
        <v>1352</v>
      </c>
      <c r="C25" s="3" t="s">
        <v>80</v>
      </c>
      <c r="D25" s="3" t="s">
        <v>11</v>
      </c>
      <c r="E25" s="98">
        <v>550</v>
      </c>
    </row>
    <row r="26" spans="2:5">
      <c r="B26" s="3">
        <f t="shared" si="0"/>
        <v>1355</v>
      </c>
      <c r="C26" s="1" t="s">
        <v>366</v>
      </c>
      <c r="D26" s="3" t="s">
        <v>19</v>
      </c>
      <c r="E26" s="98">
        <v>250</v>
      </c>
    </row>
    <row r="27" spans="2:5">
      <c r="B27" s="3">
        <f t="shared" si="0"/>
        <v>1358</v>
      </c>
      <c r="C27" s="1" t="s">
        <v>365</v>
      </c>
      <c r="D27" s="3" t="s">
        <v>19</v>
      </c>
      <c r="E27" s="98">
        <v>3000</v>
      </c>
    </row>
    <row r="28" spans="2:5">
      <c r="B28" s="3">
        <f t="shared" si="0"/>
        <v>1361</v>
      </c>
      <c r="C28" s="1" t="s">
        <v>364</v>
      </c>
      <c r="D28" s="3" t="s">
        <v>19</v>
      </c>
      <c r="E28" s="98">
        <v>7500</v>
      </c>
    </row>
    <row r="29" spans="2:5">
      <c r="B29" s="3">
        <f t="shared" si="0"/>
        <v>1364</v>
      </c>
      <c r="C29" s="1" t="s">
        <v>363</v>
      </c>
      <c r="D29" s="3" t="s">
        <v>19</v>
      </c>
      <c r="E29" s="98">
        <v>450</v>
      </c>
    </row>
    <row r="30" spans="2:5">
      <c r="B30" s="3">
        <f t="shared" si="0"/>
        <v>1367</v>
      </c>
      <c r="C30" s="1" t="s">
        <v>362</v>
      </c>
      <c r="D30" s="3" t="s">
        <v>19</v>
      </c>
      <c r="E30" s="98">
        <v>280</v>
      </c>
    </row>
    <row r="31" spans="2:5">
      <c r="B31" s="3">
        <f t="shared" si="0"/>
        <v>1370</v>
      </c>
      <c r="C31" s="1" t="s">
        <v>361</v>
      </c>
      <c r="D31" s="3" t="s">
        <v>55</v>
      </c>
      <c r="E31" s="98">
        <v>12500</v>
      </c>
    </row>
    <row r="32" spans="2:5">
      <c r="B32" s="3">
        <f t="shared" si="0"/>
        <v>1373</v>
      </c>
      <c r="C32" s="1" t="s">
        <v>360</v>
      </c>
      <c r="D32" s="3" t="s">
        <v>11</v>
      </c>
      <c r="E32" s="98">
        <v>10000</v>
      </c>
    </row>
    <row r="33" spans="2:5">
      <c r="B33" s="3">
        <f t="shared" si="0"/>
        <v>1376</v>
      </c>
      <c r="C33" s="1" t="s">
        <v>359</v>
      </c>
      <c r="D33" s="3" t="s">
        <v>11</v>
      </c>
      <c r="E33" s="98">
        <v>780</v>
      </c>
    </row>
    <row r="34" spans="2:5">
      <c r="B34" s="3">
        <f t="shared" si="0"/>
        <v>1379</v>
      </c>
      <c r="C34" s="1" t="s">
        <v>358</v>
      </c>
      <c r="D34" s="3" t="s">
        <v>25</v>
      </c>
      <c r="E34" s="98">
        <v>450</v>
      </c>
    </row>
    <row r="35" spans="2:5">
      <c r="B35" s="3">
        <f t="shared" si="0"/>
        <v>1382</v>
      </c>
      <c r="C35" s="1" t="s">
        <v>357</v>
      </c>
      <c r="D35" s="3" t="s">
        <v>14</v>
      </c>
      <c r="E35" s="98">
        <v>800</v>
      </c>
    </row>
    <row r="36" spans="2:5">
      <c r="B36" s="3">
        <f t="shared" si="0"/>
        <v>1385</v>
      </c>
      <c r="C36" s="1" t="s">
        <v>356</v>
      </c>
      <c r="D36" s="3" t="s">
        <v>14</v>
      </c>
      <c r="E36" s="98">
        <v>800</v>
      </c>
    </row>
    <row r="37" spans="2:5">
      <c r="B37" s="3">
        <f t="shared" si="0"/>
        <v>1388</v>
      </c>
      <c r="C37" s="1" t="s">
        <v>355</v>
      </c>
      <c r="D37" s="3" t="s">
        <v>14</v>
      </c>
      <c r="E37" s="98">
        <v>750</v>
      </c>
    </row>
  </sheetData>
  <conditionalFormatting sqref="E6:E37">
    <cfRule type="top10" dxfId="2" priority="1" bottom="1" rank="10"/>
  </conditionalFormatting>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EC23A-AA91-4D9D-B032-C51CC8DB22E8}">
  <dimension ref="C2:F6"/>
  <sheetViews>
    <sheetView workbookViewId="0">
      <selection activeCell="G6" sqref="G6"/>
    </sheetView>
  </sheetViews>
  <sheetFormatPr defaultRowHeight="14.5"/>
  <cols>
    <col min="4" max="4" width="8.90625" customWidth="1"/>
    <col min="5" max="5" width="20.7265625" customWidth="1"/>
    <col min="6" max="6" width="18" customWidth="1"/>
  </cols>
  <sheetData>
    <row r="2" spans="3:6">
      <c r="C2" s="219" t="s">
        <v>630</v>
      </c>
      <c r="D2" s="220" t="s">
        <v>631</v>
      </c>
    </row>
    <row r="3" spans="3:6">
      <c r="C3">
        <v>96</v>
      </c>
      <c r="D3">
        <v>55</v>
      </c>
      <c r="E3" s="221" t="str">
        <f t="shared" ref="E3:F6" si="0">REPT("|",C3)</f>
        <v>||||||||||||||||||||||||||||||||||||||||||||||||||||||||||||||||||||||||||||||||||||||||||||||||</v>
      </c>
      <c r="F3" s="222" t="str">
        <f t="shared" si="0"/>
        <v>|||||||||||||||||||||||||||||||||||||||||||||||||||||||</v>
      </c>
    </row>
    <row r="4" spans="3:6">
      <c r="C4">
        <v>28</v>
      </c>
      <c r="D4">
        <v>43</v>
      </c>
      <c r="E4" s="221" t="str">
        <f t="shared" si="0"/>
        <v>||||||||||||||||||||||||||||</v>
      </c>
      <c r="F4" s="222" t="str">
        <f t="shared" si="0"/>
        <v>|||||||||||||||||||||||||||||||||||||||||||</v>
      </c>
    </row>
    <row r="5" spans="3:6">
      <c r="C5">
        <v>61</v>
      </c>
      <c r="D5">
        <v>54</v>
      </c>
      <c r="E5" s="221" t="str">
        <f t="shared" si="0"/>
        <v>|||||||||||||||||||||||||||||||||||||||||||||||||||||||||||||</v>
      </c>
      <c r="F5" s="222" t="str">
        <f t="shared" si="0"/>
        <v>||||||||||||||||||||||||||||||||||||||||||||||||||||||</v>
      </c>
    </row>
    <row r="6" spans="3:6">
      <c r="C6">
        <v>21</v>
      </c>
      <c r="D6">
        <v>89</v>
      </c>
      <c r="E6" s="221" t="str">
        <f t="shared" si="0"/>
        <v>|||||||||||||||||||||</v>
      </c>
      <c r="F6" s="222" t="str">
        <f t="shared" si="0"/>
        <v>|||||||||||||||||||||||||||||||||||||||||||||||||||||||||||||||||||||||||||||||||||||||||</v>
      </c>
    </row>
  </sheetData>
  <pageMargins left="0.7" right="0.7" top="0.75" bottom="0.75" header="0.3" footer="0.3"/>
  <extLst>
    <ext xmlns:x14="http://schemas.microsoft.com/office/spreadsheetml/2009/9/main" uri="{05C60535-1F16-4fd2-B633-F4F36F0B64E0}">
      <x14:sparklineGroups xmlns:xm="http://schemas.microsoft.com/office/excel/2006/main">
        <x14:sparklineGroup manualMax="0" manualMin="0" type="column" displayEmptyCellsAs="gap" xr2:uid="{F83CE768-2047-454E-9F03-7CD585EFB725}">
          <x14:colorSeries rgb="FF376092"/>
          <x14:colorNegative rgb="FFD00000"/>
          <x14:colorAxis rgb="FF000000"/>
          <x14:colorMarkers rgb="FFD00000"/>
          <x14:colorFirst rgb="FFD00000"/>
          <x14:colorLast rgb="FFD00000"/>
          <x14:colorHigh rgb="FFD00000"/>
          <x14:colorLow rgb="FFD00000"/>
          <x14:sparklines>
            <x14:sparkline>
              <xm:f>'horizontal bar chart'!C3:D3</xm:f>
              <xm:sqref>G3</xm:sqref>
            </x14:sparkline>
            <x14:sparkline>
              <xm:f>'horizontal bar chart'!D3:E3</xm:f>
              <xm:sqref>H3</xm:sqref>
            </x14:sparkline>
            <x14:sparkline>
              <xm:f>'horizontal bar chart'!C4:D4</xm:f>
              <xm:sqref>G4</xm:sqref>
            </x14:sparkline>
            <x14:sparkline>
              <xm:f>'horizontal bar chart'!D4:E4</xm:f>
              <xm:sqref>H4</xm:sqref>
            </x14:sparkline>
            <x14:sparkline>
              <xm:f>'horizontal bar chart'!C5:D5</xm:f>
              <xm:sqref>G5</xm:sqref>
            </x14:sparkline>
            <x14:sparkline>
              <xm:f>'horizontal bar chart'!D5:E5</xm:f>
              <xm:sqref>H5</xm:sqref>
            </x14:sparkline>
            <x14:sparkline>
              <xm:f>'horizontal bar chart'!C6:D6</xm:f>
              <xm:sqref>G6</xm:sqref>
            </x14:sparkline>
            <x14:sparkline>
              <xm:f>'horizontal bar chart'!D6:E6</xm:f>
              <xm:sqref>H6</xm:sqref>
            </x14:sparkline>
          </x14:sparklines>
        </x14:sparklineGroup>
      </x14:sparklineGroup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F9655-B186-4C1C-9EF8-F7FA3EE878F4}">
  <dimension ref="B2:D13"/>
  <sheetViews>
    <sheetView zoomScale="75" zoomScaleNormal="75" workbookViewId="0">
      <selection activeCell="D9" sqref="D9"/>
    </sheetView>
  </sheetViews>
  <sheetFormatPr defaultRowHeight="14.5"/>
  <cols>
    <col min="2" max="2" width="11.54296875" bestFit="1" customWidth="1"/>
    <col min="3" max="3" width="9.81640625" bestFit="1" customWidth="1"/>
  </cols>
  <sheetData>
    <row r="2" spans="2:4">
      <c r="B2" s="48" t="s">
        <v>62</v>
      </c>
      <c r="C2" s="48" t="s">
        <v>632</v>
      </c>
    </row>
    <row r="3" spans="2:4">
      <c r="B3" t="s">
        <v>633</v>
      </c>
      <c r="C3">
        <v>1415.9</v>
      </c>
      <c r="D3" s="55" t="str">
        <f>IF(B3=$D$13,C3,"")</f>
        <v/>
      </c>
    </row>
    <row r="4" spans="2:4">
      <c r="B4" t="s">
        <v>634</v>
      </c>
      <c r="C4">
        <v>1342.3</v>
      </c>
      <c r="D4" s="55" t="str">
        <f t="shared" ref="D4:D9" si="0">IF(B4=$D$13,C4,"")</f>
        <v/>
      </c>
    </row>
    <row r="5" spans="2:4">
      <c r="B5" t="s">
        <v>635</v>
      </c>
      <c r="C5">
        <v>330.9</v>
      </c>
      <c r="D5" s="55">
        <f t="shared" si="0"/>
        <v>330.9</v>
      </c>
    </row>
    <row r="6" spans="2:4">
      <c r="B6" t="s">
        <v>636</v>
      </c>
      <c r="C6">
        <v>272.2</v>
      </c>
      <c r="D6" s="55" t="str">
        <f t="shared" si="0"/>
        <v/>
      </c>
    </row>
    <row r="7" spans="2:4">
      <c r="B7" t="s">
        <v>637</v>
      </c>
      <c r="C7">
        <v>225.1</v>
      </c>
      <c r="D7" s="55" t="str">
        <f t="shared" si="0"/>
        <v/>
      </c>
    </row>
    <row r="8" spans="2:4">
      <c r="B8" t="s">
        <v>638</v>
      </c>
      <c r="C8">
        <v>213.3</v>
      </c>
      <c r="D8" s="55" t="str">
        <f t="shared" si="0"/>
        <v/>
      </c>
    </row>
    <row r="9" spans="2:4">
      <c r="B9" t="s">
        <v>639</v>
      </c>
      <c r="C9">
        <v>211.4</v>
      </c>
      <c r="D9" s="55" t="str">
        <f t="shared" si="0"/>
        <v/>
      </c>
    </row>
    <row r="13" spans="2:4">
      <c r="C13" t="s">
        <v>640</v>
      </c>
      <c r="D13" t="s">
        <v>635</v>
      </c>
    </row>
  </sheetData>
  <dataValidations count="1">
    <dataValidation type="list" allowBlank="1" showInputMessage="1" showErrorMessage="1" sqref="D13" xr:uid="{B5086208-4BCD-43CA-96D4-6FF71FBF3CE6}">
      <formula1>$B$3:$B$9</formula1>
    </dataValidation>
  </dataValidation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DDE41-0C47-420F-8F55-A859B5214BD6}">
  <dimension ref="B2:C9"/>
  <sheetViews>
    <sheetView workbookViewId="0">
      <selection activeCell="K19" sqref="K19"/>
    </sheetView>
  </sheetViews>
  <sheetFormatPr defaultRowHeight="14.5"/>
  <cols>
    <col min="2" max="2" width="12.36328125" bestFit="1" customWidth="1"/>
  </cols>
  <sheetData>
    <row r="2" spans="2:3">
      <c r="B2" s="223" t="s">
        <v>641</v>
      </c>
      <c r="C2" s="223" t="s">
        <v>642</v>
      </c>
    </row>
    <row r="3" spans="2:3">
      <c r="B3" t="s">
        <v>643</v>
      </c>
      <c r="C3" s="224" t="b">
        <v>0</v>
      </c>
    </row>
    <row r="4" spans="2:3">
      <c r="B4" t="s">
        <v>644</v>
      </c>
      <c r="C4" s="224" t="b">
        <v>1</v>
      </c>
    </row>
    <row r="5" spans="2:3">
      <c r="B5" t="s">
        <v>645</v>
      </c>
      <c r="C5" s="224" t="b">
        <v>0</v>
      </c>
    </row>
    <row r="6" spans="2:3">
      <c r="B6" t="s">
        <v>646</v>
      </c>
      <c r="C6" s="224" t="b">
        <v>0</v>
      </c>
    </row>
    <row r="7" spans="2:3">
      <c r="B7" t="s">
        <v>647</v>
      </c>
      <c r="C7" s="224"/>
    </row>
    <row r="8" spans="2:3">
      <c r="B8" t="s">
        <v>648</v>
      </c>
      <c r="C8" s="224" t="b">
        <v>0</v>
      </c>
    </row>
    <row r="9" spans="2:3">
      <c r="B9" t="s">
        <v>649</v>
      </c>
      <c r="C9" s="224" t="b">
        <v>0</v>
      </c>
    </row>
  </sheetData>
  <pageMargins left="0.7" right="0.7" top="0.75" bottom="0.75" header="0.3" footer="0.3"/>
  <pageSetup paperSize="9" orientation="portrait" horizontalDpi="300" verticalDpi="300" r:id="rId1"/>
  <drawing r:id="rId2"/>
  <legacyDrawing r:id="rId3"/>
  <mc:AlternateContent xmlns:mc="http://schemas.openxmlformats.org/markup-compatibility/2006">
    <mc:Choice Requires="x14">
      <controls>
        <mc:AlternateContent xmlns:mc="http://schemas.openxmlformats.org/markup-compatibility/2006">
          <mc:Choice Requires="x14">
            <control shapeId="46081" r:id="rId4" name="Check Box 1">
              <controlPr defaultSize="0" autoFill="0" autoLine="0" autoPict="0">
                <anchor moveWithCells="1">
                  <from>
                    <xdr:col>2</xdr:col>
                    <xdr:colOff>57150</xdr:colOff>
                    <xdr:row>1</xdr:row>
                    <xdr:rowOff>101600</xdr:rowOff>
                  </from>
                  <to>
                    <xdr:col>2</xdr:col>
                    <xdr:colOff>393700</xdr:colOff>
                    <xdr:row>3</xdr:row>
                    <xdr:rowOff>95250</xdr:rowOff>
                  </to>
                </anchor>
              </controlPr>
            </control>
          </mc:Choice>
        </mc:AlternateContent>
        <mc:AlternateContent xmlns:mc="http://schemas.openxmlformats.org/markup-compatibility/2006">
          <mc:Choice Requires="x14">
            <control shapeId="46082" r:id="rId5" name="Check Box 2">
              <controlPr defaultSize="0" autoFill="0" autoLine="0" autoPict="0">
                <anchor moveWithCells="1">
                  <from>
                    <xdr:col>2</xdr:col>
                    <xdr:colOff>57150</xdr:colOff>
                    <xdr:row>2</xdr:row>
                    <xdr:rowOff>101600</xdr:rowOff>
                  </from>
                  <to>
                    <xdr:col>2</xdr:col>
                    <xdr:colOff>393700</xdr:colOff>
                    <xdr:row>4</xdr:row>
                    <xdr:rowOff>95250</xdr:rowOff>
                  </to>
                </anchor>
              </controlPr>
            </control>
          </mc:Choice>
        </mc:AlternateContent>
        <mc:AlternateContent xmlns:mc="http://schemas.openxmlformats.org/markup-compatibility/2006">
          <mc:Choice Requires="x14">
            <control shapeId="46083" r:id="rId6" name="Check Box 3">
              <controlPr defaultSize="0" autoFill="0" autoLine="0" autoPict="0">
                <anchor moveWithCells="1">
                  <from>
                    <xdr:col>2</xdr:col>
                    <xdr:colOff>57150</xdr:colOff>
                    <xdr:row>3</xdr:row>
                    <xdr:rowOff>101600</xdr:rowOff>
                  </from>
                  <to>
                    <xdr:col>2</xdr:col>
                    <xdr:colOff>393700</xdr:colOff>
                    <xdr:row>5</xdr:row>
                    <xdr:rowOff>95250</xdr:rowOff>
                  </to>
                </anchor>
              </controlPr>
            </control>
          </mc:Choice>
        </mc:AlternateContent>
        <mc:AlternateContent xmlns:mc="http://schemas.openxmlformats.org/markup-compatibility/2006">
          <mc:Choice Requires="x14">
            <control shapeId="46084" r:id="rId7" name="Check Box 4">
              <controlPr defaultSize="0" autoFill="0" autoLine="0" autoPict="0">
                <anchor moveWithCells="1">
                  <from>
                    <xdr:col>2</xdr:col>
                    <xdr:colOff>57150</xdr:colOff>
                    <xdr:row>4</xdr:row>
                    <xdr:rowOff>101600</xdr:rowOff>
                  </from>
                  <to>
                    <xdr:col>2</xdr:col>
                    <xdr:colOff>393700</xdr:colOff>
                    <xdr:row>6</xdr:row>
                    <xdr:rowOff>95250</xdr:rowOff>
                  </to>
                </anchor>
              </controlPr>
            </control>
          </mc:Choice>
        </mc:AlternateContent>
        <mc:AlternateContent xmlns:mc="http://schemas.openxmlformats.org/markup-compatibility/2006">
          <mc:Choice Requires="x14">
            <control shapeId="46085" r:id="rId8" name="Check Box 5">
              <controlPr defaultSize="0" autoFill="0" autoLine="0" autoPict="0">
                <anchor moveWithCells="1">
                  <from>
                    <xdr:col>2</xdr:col>
                    <xdr:colOff>57150</xdr:colOff>
                    <xdr:row>5</xdr:row>
                    <xdr:rowOff>101600</xdr:rowOff>
                  </from>
                  <to>
                    <xdr:col>2</xdr:col>
                    <xdr:colOff>393700</xdr:colOff>
                    <xdr:row>7</xdr:row>
                    <xdr:rowOff>95250</xdr:rowOff>
                  </to>
                </anchor>
              </controlPr>
            </control>
          </mc:Choice>
        </mc:AlternateContent>
        <mc:AlternateContent xmlns:mc="http://schemas.openxmlformats.org/markup-compatibility/2006">
          <mc:Choice Requires="x14">
            <control shapeId="46086" r:id="rId9" name="Check Box 6">
              <controlPr defaultSize="0" autoFill="0" autoLine="0" autoPict="0">
                <anchor moveWithCells="1">
                  <from>
                    <xdr:col>2</xdr:col>
                    <xdr:colOff>57150</xdr:colOff>
                    <xdr:row>6</xdr:row>
                    <xdr:rowOff>101600</xdr:rowOff>
                  </from>
                  <to>
                    <xdr:col>2</xdr:col>
                    <xdr:colOff>393700</xdr:colOff>
                    <xdr:row>8</xdr:row>
                    <xdr:rowOff>95250</xdr:rowOff>
                  </to>
                </anchor>
              </controlPr>
            </control>
          </mc:Choice>
        </mc:AlternateContent>
        <mc:AlternateContent xmlns:mc="http://schemas.openxmlformats.org/markup-compatibility/2006">
          <mc:Choice Requires="x14">
            <control shapeId="46087" r:id="rId10" name="Check Box 7">
              <controlPr defaultSize="0" autoFill="0" autoLine="0" autoPict="0">
                <anchor moveWithCells="1">
                  <from>
                    <xdr:col>2</xdr:col>
                    <xdr:colOff>57150</xdr:colOff>
                    <xdr:row>7</xdr:row>
                    <xdr:rowOff>101600</xdr:rowOff>
                  </from>
                  <to>
                    <xdr:col>2</xdr:col>
                    <xdr:colOff>393700</xdr:colOff>
                    <xdr:row>9</xdr:row>
                    <xdr:rowOff>95250</xdr:rowOff>
                  </to>
                </anchor>
              </controlPr>
            </control>
          </mc:Choice>
        </mc:AlternateContent>
        <mc:AlternateContent xmlns:mc="http://schemas.openxmlformats.org/markup-compatibility/2006">
          <mc:Choice Requires="x14">
            <control shapeId="46088" r:id="rId11" name="Check Box 8">
              <controlPr defaultSize="0" autoFill="0" autoLine="0" autoPict="0">
                <anchor moveWithCells="1">
                  <from>
                    <xdr:col>2</xdr:col>
                    <xdr:colOff>57150</xdr:colOff>
                    <xdr:row>3</xdr:row>
                    <xdr:rowOff>101600</xdr:rowOff>
                  </from>
                  <to>
                    <xdr:col>2</xdr:col>
                    <xdr:colOff>393700</xdr:colOff>
                    <xdr:row>5</xdr:row>
                    <xdr:rowOff>95250</xdr:rowOff>
                  </to>
                </anchor>
              </controlPr>
            </control>
          </mc:Choice>
        </mc:AlternateContent>
        <mc:AlternateContent xmlns:mc="http://schemas.openxmlformats.org/markup-compatibility/2006">
          <mc:Choice Requires="x14">
            <control shapeId="46089" r:id="rId12" name="Check Box 9">
              <controlPr defaultSize="0" autoFill="0" autoLine="0" autoPict="0">
                <anchor moveWithCells="1">
                  <from>
                    <xdr:col>2</xdr:col>
                    <xdr:colOff>57150</xdr:colOff>
                    <xdr:row>4</xdr:row>
                    <xdr:rowOff>101600</xdr:rowOff>
                  </from>
                  <to>
                    <xdr:col>2</xdr:col>
                    <xdr:colOff>393700</xdr:colOff>
                    <xdr:row>6</xdr:row>
                    <xdr:rowOff>95250</xdr:rowOff>
                  </to>
                </anchor>
              </controlPr>
            </control>
          </mc:Choice>
        </mc:AlternateContent>
        <mc:AlternateContent xmlns:mc="http://schemas.openxmlformats.org/markup-compatibility/2006">
          <mc:Choice Requires="x14">
            <control shapeId="46090" r:id="rId13" name="Check Box 10">
              <controlPr defaultSize="0" autoFill="0" autoLine="0" autoPict="0">
                <anchor moveWithCells="1">
                  <from>
                    <xdr:col>2</xdr:col>
                    <xdr:colOff>57150</xdr:colOff>
                    <xdr:row>5</xdr:row>
                    <xdr:rowOff>101600</xdr:rowOff>
                  </from>
                  <to>
                    <xdr:col>2</xdr:col>
                    <xdr:colOff>393700</xdr:colOff>
                    <xdr:row>7</xdr:row>
                    <xdr:rowOff>95250</xdr:rowOff>
                  </to>
                </anchor>
              </controlPr>
            </control>
          </mc:Choice>
        </mc:AlternateContent>
        <mc:AlternateContent xmlns:mc="http://schemas.openxmlformats.org/markup-compatibility/2006">
          <mc:Choice Requires="x14">
            <control shapeId="46091" r:id="rId14" name="Check Box 11">
              <controlPr defaultSize="0" autoFill="0" autoLine="0" autoPict="0">
                <anchor moveWithCells="1">
                  <from>
                    <xdr:col>2</xdr:col>
                    <xdr:colOff>57150</xdr:colOff>
                    <xdr:row>6</xdr:row>
                    <xdr:rowOff>101600</xdr:rowOff>
                  </from>
                  <to>
                    <xdr:col>2</xdr:col>
                    <xdr:colOff>393700</xdr:colOff>
                    <xdr:row>8</xdr:row>
                    <xdr:rowOff>95250</xdr:rowOff>
                  </to>
                </anchor>
              </controlPr>
            </control>
          </mc:Choice>
        </mc:AlternateContent>
        <mc:AlternateContent xmlns:mc="http://schemas.openxmlformats.org/markup-compatibility/2006">
          <mc:Choice Requires="x14">
            <control shapeId="46092" r:id="rId15" name="Check Box 12">
              <controlPr defaultSize="0" autoFill="0" autoLine="0" autoPict="0">
                <anchor moveWithCells="1">
                  <from>
                    <xdr:col>2</xdr:col>
                    <xdr:colOff>57150</xdr:colOff>
                    <xdr:row>7</xdr:row>
                    <xdr:rowOff>101600</xdr:rowOff>
                  </from>
                  <to>
                    <xdr:col>2</xdr:col>
                    <xdr:colOff>393700</xdr:colOff>
                    <xdr:row>9</xdr:row>
                    <xdr:rowOff>95250</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DF311-1B9A-4070-BE70-BE6FF44B83BD}">
  <dimension ref="B2:K10"/>
  <sheetViews>
    <sheetView showGridLines="0" zoomScale="150" zoomScaleNormal="150" workbookViewId="0">
      <selection activeCell="E6" sqref="E6"/>
    </sheetView>
  </sheetViews>
  <sheetFormatPr defaultColWidth="11.6328125" defaultRowHeight="15.5"/>
  <cols>
    <col min="1" max="1" width="8" style="1" customWidth="1"/>
    <col min="2" max="2" width="9.453125" style="1" customWidth="1"/>
    <col min="3" max="3" width="12.90625" style="1" bestFit="1" customWidth="1"/>
    <col min="4" max="4" width="10" style="1" bestFit="1" customWidth="1"/>
    <col min="5" max="6" width="11.6328125" style="1"/>
    <col min="7" max="7" width="9.81640625" style="1" customWidth="1"/>
    <col min="8" max="8" width="14.36328125" style="1" customWidth="1"/>
    <col min="9" max="16384" width="11.6328125" style="1"/>
  </cols>
  <sheetData>
    <row r="2" spans="2:11">
      <c r="B2" s="87" t="s">
        <v>265</v>
      </c>
      <c r="C2" s="86"/>
      <c r="D2" s="86"/>
      <c r="E2" s="86"/>
      <c r="F2" s="86"/>
      <c r="G2" s="86"/>
      <c r="H2" s="86"/>
      <c r="I2" s="86"/>
      <c r="J2" s="86"/>
      <c r="K2" s="86"/>
    </row>
    <row r="3" spans="2:11">
      <c r="B3" s="1" t="s">
        <v>354</v>
      </c>
    </row>
    <row r="5" spans="2:11">
      <c r="B5" s="85" t="s">
        <v>353</v>
      </c>
      <c r="C5" s="85" t="s">
        <v>352</v>
      </c>
      <c r="D5" s="85" t="s">
        <v>351</v>
      </c>
      <c r="E5" s="17" t="s">
        <v>350</v>
      </c>
      <c r="G5" s="424" t="s">
        <v>349</v>
      </c>
      <c r="H5" s="424"/>
    </row>
    <row r="6" spans="2:11">
      <c r="B6" s="82" t="s">
        <v>348</v>
      </c>
      <c r="C6" s="11">
        <v>550000</v>
      </c>
      <c r="D6" s="11">
        <v>30000</v>
      </c>
      <c r="E6" s="97" t="str">
        <f>IF(AND(C6&gt;=$H$6,D6&gt;=$H$7),"Pass","Fail")</f>
        <v>Pass</v>
      </c>
      <c r="F6" s="1" t="str">
        <f>IF((C6&gt;=$H$6)*(D6&gt;=$H$7),"Pass","Fail")</f>
        <v>Pass</v>
      </c>
      <c r="G6" s="1" t="s">
        <v>162</v>
      </c>
      <c r="H6" s="11">
        <v>500000</v>
      </c>
    </row>
    <row r="7" spans="2:11">
      <c r="B7" s="82" t="s">
        <v>347</v>
      </c>
      <c r="C7" s="11">
        <v>450000</v>
      </c>
      <c r="D7" s="11">
        <v>350000</v>
      </c>
      <c r="E7" s="97" t="str">
        <f>IF(AND(C7&gt;=$H$6,D7&gt;=$H$7),"Pass","Fail")</f>
        <v>Fail</v>
      </c>
      <c r="F7" s="1" t="str">
        <f>IF((C7&gt;=$H$6)*(D7&gt;=$H$7),"Pass","Fail")</f>
        <v>Fail</v>
      </c>
      <c r="G7" s="1" t="s">
        <v>257</v>
      </c>
      <c r="H7" s="11">
        <v>25000</v>
      </c>
    </row>
    <row r="8" spans="2:11">
      <c r="B8" s="82" t="s">
        <v>346</v>
      </c>
      <c r="C8" s="11">
        <v>295800</v>
      </c>
      <c r="D8" s="11">
        <v>45800</v>
      </c>
      <c r="E8" s="97" t="str">
        <f>IF(AND(C8&gt;=$H$6,D8&gt;=$H$7),"Pass","Fail")</f>
        <v>Fail</v>
      </c>
      <c r="F8" s="1" t="str">
        <f>IF((C8&gt;=$H$6)*(D8&gt;=$H$7),"Pass","Fail")</f>
        <v>Fail</v>
      </c>
    </row>
    <row r="9" spans="2:11">
      <c r="B9" s="82" t="s">
        <v>345</v>
      </c>
      <c r="C9" s="11">
        <v>780500</v>
      </c>
      <c r="D9" s="11">
        <v>50250</v>
      </c>
      <c r="E9" s="97" t="str">
        <f>IF(AND(C9&gt;=$H$6,D9&gt;=$H$7),"Pass","Fail")</f>
        <v>Pass</v>
      </c>
      <c r="F9" s="1" t="str">
        <f>IF((C9&gt;=$H$6)*(D9&gt;=$H$7),"Pass","Fail")</f>
        <v>Pass</v>
      </c>
    </row>
    <row r="10" spans="2:11">
      <c r="B10" s="82" t="s">
        <v>344</v>
      </c>
      <c r="C10" s="11">
        <v>805000</v>
      </c>
      <c r="D10" s="11">
        <v>12500</v>
      </c>
      <c r="E10" s="97" t="str">
        <f>IF(AND(C10&gt;=$H$6,D10&gt;=$H$7),"Pass","Fail")</f>
        <v>Fail</v>
      </c>
      <c r="F10" s="1" t="str">
        <f>IF((C10&gt;=$H$6)*(D10&gt;=$H$7),"Pass","Fail")</f>
        <v>Fail</v>
      </c>
    </row>
  </sheetData>
  <mergeCells count="1">
    <mergeCell ref="G5:H5"/>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6CB20-4EA0-4B4C-A52F-E717576BB83B}">
  <dimension ref="A1:D13"/>
  <sheetViews>
    <sheetView topLeftCell="A7" zoomScale="60" zoomScaleNormal="60" workbookViewId="0">
      <selection activeCell="H13" sqref="H13"/>
    </sheetView>
  </sheetViews>
  <sheetFormatPr defaultRowHeight="14.5"/>
  <cols>
    <col min="3" max="3" width="16.81640625" bestFit="1" customWidth="1"/>
    <col min="4" max="4" width="11.6328125" bestFit="1" customWidth="1"/>
  </cols>
  <sheetData>
    <row r="1" spans="1:4">
      <c r="A1" t="s">
        <v>650</v>
      </c>
      <c r="B1" t="s">
        <v>651</v>
      </c>
      <c r="C1" t="s">
        <v>652</v>
      </c>
      <c r="D1">
        <v>12</v>
      </c>
    </row>
    <row r="2" spans="1:4">
      <c r="A2" cm="1">
        <f t="array" ref="A2:A13">_xlfn.SEQUENCE(12)</f>
        <v>1</v>
      </c>
      <c r="B2" t="s">
        <v>653</v>
      </c>
      <c r="C2" s="225">
        <v>324123413</v>
      </c>
      <c r="D2" t="e">
        <f>IF(A2=$D$1,C2,NA())</f>
        <v>#N/A</v>
      </c>
    </row>
    <row r="3" spans="1:4">
      <c r="A3">
        <v>2</v>
      </c>
      <c r="B3" t="s">
        <v>654</v>
      </c>
      <c r="C3" s="225">
        <v>1234123414</v>
      </c>
      <c r="D3" t="e">
        <f t="shared" ref="D3:D13" si="0">IF(A3=$D$1,C3,NA())</f>
        <v>#N/A</v>
      </c>
    </row>
    <row r="4" spans="1:4">
      <c r="A4">
        <v>3</v>
      </c>
      <c r="B4" t="s">
        <v>655</v>
      </c>
      <c r="C4" s="225">
        <v>3212341</v>
      </c>
      <c r="D4" t="e">
        <f t="shared" si="0"/>
        <v>#N/A</v>
      </c>
    </row>
    <row r="5" spans="1:4">
      <c r="A5">
        <v>4</v>
      </c>
      <c r="B5" t="s">
        <v>656</v>
      </c>
      <c r="C5" s="225">
        <v>23421234</v>
      </c>
      <c r="D5" t="e">
        <f t="shared" si="0"/>
        <v>#N/A</v>
      </c>
    </row>
    <row r="6" spans="1:4">
      <c r="A6">
        <v>5</v>
      </c>
      <c r="B6" t="s">
        <v>128</v>
      </c>
      <c r="C6" s="225">
        <v>4312342</v>
      </c>
      <c r="D6" t="e">
        <f t="shared" si="0"/>
        <v>#N/A</v>
      </c>
    </row>
    <row r="7" spans="1:4">
      <c r="A7">
        <v>6</v>
      </c>
      <c r="B7" t="s">
        <v>657</v>
      </c>
      <c r="C7" s="225">
        <v>2341234</v>
      </c>
      <c r="D7" t="e">
        <f t="shared" si="0"/>
        <v>#N/A</v>
      </c>
    </row>
    <row r="8" spans="1:4">
      <c r="A8">
        <v>7</v>
      </c>
      <c r="B8" t="s">
        <v>658</v>
      </c>
      <c r="C8" s="225">
        <v>1234234</v>
      </c>
      <c r="D8" t="e">
        <f t="shared" si="0"/>
        <v>#N/A</v>
      </c>
    </row>
    <row r="9" spans="1:4">
      <c r="A9">
        <v>8</v>
      </c>
      <c r="B9" t="s">
        <v>659</v>
      </c>
      <c r="C9" s="225">
        <v>1234123443</v>
      </c>
      <c r="D9" t="e">
        <f t="shared" si="0"/>
        <v>#N/A</v>
      </c>
    </row>
    <row r="10" spans="1:4">
      <c r="A10">
        <v>9</v>
      </c>
      <c r="B10" t="s">
        <v>660</v>
      </c>
      <c r="C10" s="225">
        <v>3231241324</v>
      </c>
      <c r="D10" t="e">
        <f t="shared" si="0"/>
        <v>#N/A</v>
      </c>
    </row>
    <row r="11" spans="1:4">
      <c r="A11">
        <v>10</v>
      </c>
      <c r="B11" t="s">
        <v>661</v>
      </c>
      <c r="C11" s="225">
        <v>23242143123</v>
      </c>
      <c r="D11" t="e">
        <f t="shared" si="0"/>
        <v>#N/A</v>
      </c>
    </row>
    <row r="12" spans="1:4">
      <c r="A12">
        <v>11</v>
      </c>
      <c r="B12" t="s">
        <v>662</v>
      </c>
      <c r="C12" s="225">
        <v>42321234</v>
      </c>
      <c r="D12" t="e">
        <f t="shared" si="0"/>
        <v>#N/A</v>
      </c>
    </row>
    <row r="13" spans="1:4">
      <c r="A13">
        <v>12</v>
      </c>
      <c r="B13" t="s">
        <v>663</v>
      </c>
      <c r="C13" s="225">
        <v>12341234123</v>
      </c>
      <c r="D13">
        <f t="shared" si="0"/>
        <v>12341234123</v>
      </c>
    </row>
  </sheetData>
  <phoneticPr fontId="40"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7105" r:id="rId4" name="Spinner 1">
              <controlPr defaultSize="0" autoPict="0">
                <anchor moveWithCells="1" sizeWithCells="1">
                  <from>
                    <xdr:col>4</xdr:col>
                    <xdr:colOff>425450</xdr:colOff>
                    <xdr:row>2</xdr:row>
                    <xdr:rowOff>12700</xdr:rowOff>
                  </from>
                  <to>
                    <xdr:col>6</xdr:col>
                    <xdr:colOff>44450</xdr:colOff>
                    <xdr:row>6</xdr:row>
                    <xdr:rowOff>12700</xdr:rowOff>
                  </to>
                </anchor>
              </controlPr>
            </control>
          </mc:Choice>
        </mc:AlternateContent>
      </controls>
    </mc:Choice>
  </mc:AlternateConten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D20B5-403B-455C-B4D1-E927189338BA}">
  <dimension ref="D4:H19"/>
  <sheetViews>
    <sheetView topLeftCell="A4" workbookViewId="0">
      <selection activeCell="D17" sqref="D17"/>
    </sheetView>
  </sheetViews>
  <sheetFormatPr defaultRowHeight="14.5"/>
  <cols>
    <col min="4" max="4" width="11.81640625" bestFit="1" customWidth="1"/>
    <col min="5" max="5" width="9.7265625" customWidth="1"/>
  </cols>
  <sheetData>
    <row r="4" spans="4:8">
      <c r="D4" s="212" t="s">
        <v>62</v>
      </c>
      <c r="E4" s="212" t="s">
        <v>600</v>
      </c>
    </row>
    <row r="5" spans="4:8">
      <c r="D5" s="213" t="s">
        <v>601</v>
      </c>
      <c r="E5" s="213">
        <v>21</v>
      </c>
    </row>
    <row r="6" spans="4:8">
      <c r="D6" s="213" t="s">
        <v>602</v>
      </c>
      <c r="E6" s="213">
        <v>42</v>
      </c>
    </row>
    <row r="7" spans="4:8">
      <c r="D7" s="213" t="s">
        <v>603</v>
      </c>
      <c r="E7" s="213">
        <v>70</v>
      </c>
    </row>
    <row r="8" spans="4:8">
      <c r="D8" s="213" t="s">
        <v>330</v>
      </c>
      <c r="E8" s="213">
        <v>121</v>
      </c>
    </row>
    <row r="9" spans="4:8">
      <c r="D9" s="213" t="s">
        <v>32</v>
      </c>
      <c r="E9" s="213">
        <v>43</v>
      </c>
    </row>
    <row r="10" spans="4:8">
      <c r="D10" s="213" t="s">
        <v>17</v>
      </c>
      <c r="E10" s="213">
        <v>41</v>
      </c>
    </row>
    <row r="11" spans="4:8">
      <c r="D11" s="213" t="s">
        <v>604</v>
      </c>
      <c r="E11" s="213">
        <v>67</v>
      </c>
    </row>
    <row r="12" spans="4:8">
      <c r="D12" s="213" t="s">
        <v>605</v>
      </c>
      <c r="E12" s="213">
        <v>56</v>
      </c>
    </row>
    <row r="13" spans="4:8">
      <c r="D13" s="213"/>
      <c r="E13" s="213"/>
    </row>
    <row r="14" spans="4:8">
      <c r="D14" s="213"/>
      <c r="E14" s="213"/>
    </row>
    <row r="15" spans="4:8">
      <c r="D15" s="428" t="s">
        <v>606</v>
      </c>
      <c r="E15" s="428"/>
      <c r="G15" s="428" t="s">
        <v>607</v>
      </c>
      <c r="H15" s="428"/>
    </row>
    <row r="16" spans="4:8">
      <c r="D16" s="214" t="s">
        <v>62</v>
      </c>
      <c r="E16" s="214" t="s">
        <v>600</v>
      </c>
      <c r="G16" s="214" t="s">
        <v>62</v>
      </c>
      <c r="H16" s="214" t="s">
        <v>600</v>
      </c>
    </row>
    <row r="17" spans="4:8">
      <c r="D17" t="str" cm="1">
        <f t="array" ref="D17:E19">_xlfn._xlws.SORT(_xlfn._xlws.FILTER(D5:E12,E5:E12&gt;=LARGE(E5:E12,3)),2,-1)</f>
        <v>United States</v>
      </c>
      <c r="E17">
        <v>121</v>
      </c>
      <c r="G17" t="str" cm="1">
        <f t="array" ref="G17:H19">_xlfn._xlws.SORT(_xlfn._xlws.FILTER(D5:E12,E5:E12&lt;=SMALL(E5:E12,3)),2,1)</f>
        <v>South Korea</v>
      </c>
      <c r="H17">
        <v>21</v>
      </c>
    </row>
    <row r="18" spans="4:8">
      <c r="D18" t="str">
        <v>China</v>
      </c>
      <c r="E18">
        <v>70</v>
      </c>
      <c r="G18" t="str">
        <v>France</v>
      </c>
      <c r="H18">
        <v>41</v>
      </c>
    </row>
    <row r="19" spans="4:8">
      <c r="D19" t="str">
        <v>GB</v>
      </c>
      <c r="E19">
        <v>67</v>
      </c>
      <c r="G19" t="str">
        <v>Jaoan</v>
      </c>
      <c r="H19">
        <v>42</v>
      </c>
    </row>
  </sheetData>
  <mergeCells count="2">
    <mergeCell ref="D15:E15"/>
    <mergeCell ref="G15:H15"/>
  </mergeCell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E5F28-70AF-434B-9741-2BB62877C7A8}">
  <dimension ref="A1:H70"/>
  <sheetViews>
    <sheetView workbookViewId="0">
      <selection activeCell="G5" sqref="G5"/>
    </sheetView>
  </sheetViews>
  <sheetFormatPr defaultRowHeight="14.5"/>
  <cols>
    <col min="1" max="1" width="14.08984375" customWidth="1"/>
    <col min="3" max="3" width="13.36328125" customWidth="1"/>
    <col min="7" max="7" width="11.90625" bestFit="1" customWidth="1"/>
  </cols>
  <sheetData>
    <row r="1" spans="1:8">
      <c r="G1" t="s">
        <v>665</v>
      </c>
      <c r="H1" t="s">
        <v>76</v>
      </c>
    </row>
    <row r="2" spans="1:8" ht="15" thickBot="1">
      <c r="A2" s="227" t="s">
        <v>665</v>
      </c>
      <c r="B2" s="227" t="s">
        <v>116</v>
      </c>
      <c r="C2" s="227" t="s">
        <v>664</v>
      </c>
    </row>
    <row r="3" spans="1:8">
      <c r="A3" t="s">
        <v>666</v>
      </c>
      <c r="B3" t="s">
        <v>668</v>
      </c>
      <c r="C3" s="226">
        <v>60270</v>
      </c>
    </row>
    <row r="4" spans="1:8" ht="15" thickBot="1">
      <c r="A4" t="s">
        <v>76</v>
      </c>
      <c r="B4" t="s">
        <v>669</v>
      </c>
      <c r="C4" s="226">
        <v>39567</v>
      </c>
      <c r="G4" s="227" t="s">
        <v>116</v>
      </c>
      <c r="H4" s="227" t="s">
        <v>674</v>
      </c>
    </row>
    <row r="5" spans="1:8">
      <c r="A5" t="s">
        <v>666</v>
      </c>
      <c r="B5" t="s">
        <v>670</v>
      </c>
      <c r="C5" s="226">
        <v>45697</v>
      </c>
      <c r="G5" t="str" cm="1">
        <f t="array" ref="G5:H7">_xlfn._xlws.SORT(_xlfn._xlws.FILTER(Salarytable[[Name]:[Yearly Salary]],Salarytable[Departament]=$H$1,"no one works here"),2,-1)</f>
        <v>Damian</v>
      </c>
      <c r="H5" s="226">
        <v>123456</v>
      </c>
    </row>
    <row r="6" spans="1:8">
      <c r="A6" t="s">
        <v>76</v>
      </c>
      <c r="B6" t="s">
        <v>671</v>
      </c>
      <c r="C6" s="226">
        <v>123456</v>
      </c>
      <c r="G6" t="str">
        <v>Kuba</v>
      </c>
      <c r="H6" s="226">
        <v>45000</v>
      </c>
    </row>
    <row r="7" spans="1:8">
      <c r="A7" t="s">
        <v>76</v>
      </c>
      <c r="B7" t="s">
        <v>668</v>
      </c>
      <c r="C7" s="226">
        <v>45000</v>
      </c>
      <c r="G7" t="str">
        <v>Dominika</v>
      </c>
      <c r="H7" s="226">
        <v>39567</v>
      </c>
    </row>
    <row r="8" spans="1:8">
      <c r="A8" t="s">
        <v>667</v>
      </c>
      <c r="B8" t="s">
        <v>672</v>
      </c>
      <c r="C8" s="226">
        <v>234122</v>
      </c>
      <c r="H8" s="226"/>
    </row>
    <row r="9" spans="1:8">
      <c r="A9" t="s">
        <v>667</v>
      </c>
      <c r="B9" t="s">
        <v>673</v>
      </c>
      <c r="C9" s="226">
        <v>98340</v>
      </c>
      <c r="H9" s="226"/>
    </row>
    <row r="10" spans="1:8">
      <c r="H10" s="226"/>
    </row>
    <row r="11" spans="1:8">
      <c r="H11" s="226"/>
    </row>
    <row r="12" spans="1:8">
      <c r="H12" s="226"/>
    </row>
    <row r="13" spans="1:8">
      <c r="H13" s="226"/>
    </row>
    <row r="14" spans="1:8">
      <c r="H14" s="226"/>
    </row>
    <row r="15" spans="1:8">
      <c r="H15" s="226"/>
    </row>
    <row r="16" spans="1:8">
      <c r="H16" s="226"/>
    </row>
    <row r="17" spans="8:8">
      <c r="H17" s="226"/>
    </row>
    <row r="18" spans="8:8">
      <c r="H18" s="226"/>
    </row>
    <row r="19" spans="8:8">
      <c r="H19" s="226"/>
    </row>
    <row r="20" spans="8:8">
      <c r="H20" s="226"/>
    </row>
    <row r="21" spans="8:8">
      <c r="H21" s="226"/>
    </row>
    <row r="22" spans="8:8">
      <c r="H22" s="226"/>
    </row>
    <row r="23" spans="8:8">
      <c r="H23" s="226"/>
    </row>
    <row r="24" spans="8:8">
      <c r="H24" s="226"/>
    </row>
    <row r="25" spans="8:8">
      <c r="H25" s="226"/>
    </row>
    <row r="26" spans="8:8">
      <c r="H26" s="226"/>
    </row>
    <row r="27" spans="8:8">
      <c r="H27" s="226"/>
    </row>
    <row r="28" spans="8:8">
      <c r="H28" s="226"/>
    </row>
    <row r="29" spans="8:8">
      <c r="H29" s="226"/>
    </row>
    <row r="30" spans="8:8">
      <c r="H30" s="226"/>
    </row>
    <row r="31" spans="8:8">
      <c r="H31" s="226"/>
    </row>
    <row r="32" spans="8:8">
      <c r="H32" s="226"/>
    </row>
    <row r="33" spans="8:8">
      <c r="H33" s="226"/>
    </row>
    <row r="34" spans="8:8">
      <c r="H34" s="226"/>
    </row>
    <row r="35" spans="8:8">
      <c r="H35" s="226"/>
    </row>
    <row r="36" spans="8:8">
      <c r="H36" s="226"/>
    </row>
    <row r="37" spans="8:8">
      <c r="H37" s="226"/>
    </row>
    <row r="38" spans="8:8">
      <c r="H38" s="226"/>
    </row>
    <row r="39" spans="8:8">
      <c r="H39" s="226"/>
    </row>
    <row r="40" spans="8:8">
      <c r="H40" s="226"/>
    </row>
    <row r="41" spans="8:8">
      <c r="H41" s="226"/>
    </row>
    <row r="42" spans="8:8">
      <c r="H42" s="226"/>
    </row>
    <row r="43" spans="8:8">
      <c r="H43" s="226"/>
    </row>
    <row r="44" spans="8:8">
      <c r="H44" s="226"/>
    </row>
    <row r="45" spans="8:8">
      <c r="H45" s="226"/>
    </row>
    <row r="46" spans="8:8">
      <c r="H46" s="226"/>
    </row>
    <row r="47" spans="8:8">
      <c r="H47" s="226"/>
    </row>
    <row r="48" spans="8:8">
      <c r="H48" s="226"/>
    </row>
    <row r="49" spans="8:8">
      <c r="H49" s="226"/>
    </row>
    <row r="50" spans="8:8">
      <c r="H50" s="226"/>
    </row>
    <row r="51" spans="8:8">
      <c r="H51" s="226"/>
    </row>
    <row r="52" spans="8:8">
      <c r="H52" s="226"/>
    </row>
    <row r="53" spans="8:8">
      <c r="H53" s="226"/>
    </row>
    <row r="54" spans="8:8">
      <c r="H54" s="226"/>
    </row>
    <row r="55" spans="8:8">
      <c r="H55" s="226"/>
    </row>
    <row r="56" spans="8:8">
      <c r="H56" s="226"/>
    </row>
    <row r="57" spans="8:8">
      <c r="H57" s="226"/>
    </row>
    <row r="58" spans="8:8">
      <c r="H58" s="226"/>
    </row>
    <row r="59" spans="8:8">
      <c r="H59" s="226"/>
    </row>
    <row r="60" spans="8:8">
      <c r="H60" s="226"/>
    </row>
    <row r="61" spans="8:8">
      <c r="H61" s="226"/>
    </row>
    <row r="62" spans="8:8">
      <c r="H62" s="226"/>
    </row>
    <row r="63" spans="8:8">
      <c r="H63" s="226"/>
    </row>
    <row r="64" spans="8:8">
      <c r="H64" s="226"/>
    </row>
    <row r="65" spans="8:8">
      <c r="H65" s="226"/>
    </row>
    <row r="66" spans="8:8">
      <c r="H66" s="226"/>
    </row>
    <row r="67" spans="8:8">
      <c r="H67" s="226"/>
    </row>
    <row r="68" spans="8:8">
      <c r="H68" s="226"/>
    </row>
    <row r="69" spans="8:8">
      <c r="H69" s="226"/>
    </row>
    <row r="70" spans="8:8">
      <c r="H70" s="226"/>
    </row>
  </sheetData>
  <dataValidations count="1">
    <dataValidation type="list" allowBlank="1" showInputMessage="1" showErrorMessage="1" sqref="H1" xr:uid="{183061AE-5F4E-4025-86CA-3BCC7991D47E}">
      <formula1>$A$3:$A$9</formula1>
    </dataValidation>
  </dataValidations>
  <pageMargins left="0.7" right="0.7" top="0.75" bottom="0.75" header="0.3" footer="0.3"/>
  <drawing r:id="rId1"/>
  <tableParts count="1">
    <tablePart r:id="rId2"/>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D7E4A-DEAE-4CAB-97A4-D7D19417E2CE}">
  <dimension ref="B2:K20"/>
  <sheetViews>
    <sheetView showGridLines="0" workbookViewId="0">
      <selection activeCell="K17" sqref="K17"/>
    </sheetView>
  </sheetViews>
  <sheetFormatPr defaultColWidth="11.6328125" defaultRowHeight="15.5"/>
  <cols>
    <col min="1" max="1" width="4.54296875" style="1" customWidth="1"/>
    <col min="2" max="7" width="11.6328125" style="1"/>
    <col min="8" max="8" width="16" style="1" bestFit="1" customWidth="1"/>
    <col min="9" max="9" width="17.08984375" style="1" bestFit="1" customWidth="1"/>
    <col min="10" max="10" width="14.1796875" style="1" bestFit="1" customWidth="1"/>
    <col min="11" max="11" width="16" style="1" bestFit="1" customWidth="1"/>
    <col min="12" max="16384" width="11.6328125" style="1"/>
  </cols>
  <sheetData>
    <row r="2" spans="2:11">
      <c r="B2" s="146" t="s">
        <v>423</v>
      </c>
      <c r="C2" s="146"/>
      <c r="D2" s="146"/>
      <c r="E2" s="146"/>
      <c r="F2" s="146"/>
      <c r="H2" s="1">
        <v>1</v>
      </c>
    </row>
    <row r="3" spans="2:11">
      <c r="H3" s="141" t="s">
        <v>311</v>
      </c>
      <c r="I3" s="1" t="s">
        <v>422</v>
      </c>
    </row>
    <row r="4" spans="2:11">
      <c r="B4" s="144" t="s">
        <v>421</v>
      </c>
      <c r="C4" s="143"/>
      <c r="D4" s="143"/>
      <c r="E4" s="143"/>
      <c r="F4" s="143"/>
      <c r="H4" s="82" t="s">
        <v>420</v>
      </c>
      <c r="I4" s="142">
        <v>35666</v>
      </c>
    </row>
    <row r="5" spans="2:11">
      <c r="B5" s="93"/>
      <c r="C5" s="145"/>
      <c r="D5" s="145"/>
      <c r="E5" s="145"/>
      <c r="F5" s="145"/>
      <c r="H5" s="82" t="s">
        <v>419</v>
      </c>
      <c r="I5" s="1">
        <v>32067</v>
      </c>
    </row>
    <row r="6" spans="2:11">
      <c r="B6" s="144" t="s">
        <v>418</v>
      </c>
      <c r="C6" s="143"/>
      <c r="D6" s="143"/>
      <c r="E6" s="143"/>
      <c r="F6" s="143"/>
      <c r="H6" s="82" t="s">
        <v>417</v>
      </c>
      <c r="I6" s="1">
        <v>29572</v>
      </c>
    </row>
    <row r="7" spans="2:11">
      <c r="B7" s="93"/>
      <c r="C7" s="145"/>
      <c r="D7" s="145"/>
      <c r="E7" s="145"/>
      <c r="F7" s="145"/>
      <c r="H7" s="82" t="s">
        <v>416</v>
      </c>
      <c r="I7" s="1">
        <v>11184</v>
      </c>
    </row>
    <row r="8" spans="2:11">
      <c r="B8" s="144" t="s">
        <v>415</v>
      </c>
      <c r="C8" s="143"/>
      <c r="D8" s="143"/>
      <c r="E8" s="143"/>
      <c r="F8" s="143"/>
      <c r="H8" s="82" t="s">
        <v>414</v>
      </c>
      <c r="I8" s="1">
        <v>10050</v>
      </c>
    </row>
    <row r="9" spans="2:11">
      <c r="H9" s="82" t="s">
        <v>301</v>
      </c>
      <c r="I9" s="1">
        <v>118539</v>
      </c>
    </row>
    <row r="13" spans="2:11">
      <c r="H13" s="1">
        <v>2</v>
      </c>
    </row>
    <row r="14" spans="2:11">
      <c r="H14" s="1" t="s">
        <v>413</v>
      </c>
    </row>
    <row r="15" spans="2:11">
      <c r="H15" s="142">
        <v>812135.12999999872</v>
      </c>
      <c r="J15" s="1">
        <v>3</v>
      </c>
    </row>
    <row r="16" spans="2:11">
      <c r="J16" s="141" t="s">
        <v>311</v>
      </c>
      <c r="K16" s="1" t="s">
        <v>413</v>
      </c>
    </row>
    <row r="17" spans="10:11">
      <c r="J17" s="82" t="s">
        <v>412</v>
      </c>
      <c r="K17" s="140">
        <v>0.29489445925088847</v>
      </c>
    </row>
    <row r="18" spans="10:11">
      <c r="J18" s="82" t="s">
        <v>411</v>
      </c>
      <c r="K18" s="140">
        <v>0.49722371940738486</v>
      </c>
    </row>
    <row r="19" spans="10:11">
      <c r="J19" s="82" t="s">
        <v>410</v>
      </c>
      <c r="K19" s="140">
        <v>0.20788182134172675</v>
      </c>
    </row>
    <row r="20" spans="10:11">
      <c r="J20" s="82" t="s">
        <v>301</v>
      </c>
      <c r="K20" s="140">
        <v>1</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5D4D5-EC38-441E-89C5-B3AAAAFD29AA}">
  <dimension ref="A2:Z1000"/>
  <sheetViews>
    <sheetView showGridLines="0" topLeftCell="A11" workbookViewId="0">
      <selection activeCell="E16" sqref="E16"/>
    </sheetView>
  </sheetViews>
  <sheetFormatPr defaultColWidth="14.453125" defaultRowHeight="15" customHeight="1"/>
  <cols>
    <col min="1" max="1" width="9.81640625" style="100" customWidth="1"/>
    <col min="2" max="2" width="22.1796875" style="100" customWidth="1"/>
    <col min="3" max="12" width="10.1796875" style="100" customWidth="1"/>
    <col min="13" max="13" width="10.81640625" style="100" customWidth="1"/>
    <col min="14" max="26" width="8.81640625" style="100" customWidth="1"/>
    <col min="27" max="16384" width="14.453125" style="100"/>
  </cols>
  <sheetData>
    <row r="2" spans="1:26" ht="15.5">
      <c r="B2" s="124" t="s">
        <v>195</v>
      </c>
      <c r="C2" s="124"/>
      <c r="D2" s="124"/>
      <c r="E2" s="124"/>
      <c r="F2" s="124"/>
      <c r="G2" s="124"/>
      <c r="H2" s="124"/>
      <c r="I2" s="124"/>
      <c r="J2" s="123"/>
      <c r="K2" s="123"/>
      <c r="L2" s="123"/>
      <c r="M2" s="123"/>
    </row>
    <row r="3" spans="1:26" ht="33.75" customHeight="1">
      <c r="B3" s="429" t="s">
        <v>383</v>
      </c>
      <c r="C3" s="430"/>
      <c r="D3" s="430"/>
      <c r="E3" s="430"/>
      <c r="F3" s="430"/>
      <c r="G3" s="430"/>
      <c r="H3" s="430"/>
      <c r="I3" s="430"/>
      <c r="J3" s="430"/>
      <c r="K3" s="430"/>
      <c r="L3" s="430"/>
      <c r="M3" s="430"/>
    </row>
    <row r="5" spans="1:26" ht="14.5">
      <c r="B5" s="431" t="s">
        <v>263</v>
      </c>
      <c r="C5" s="432"/>
    </row>
    <row r="6" spans="1:26" ht="14.5">
      <c r="B6" s="122" t="s">
        <v>382</v>
      </c>
      <c r="C6" s="121">
        <v>2.5000000000000001E-2</v>
      </c>
    </row>
    <row r="7" spans="1:26" ht="14.5">
      <c r="B7" s="120" t="s">
        <v>381</v>
      </c>
      <c r="C7" s="119">
        <v>0.11</v>
      </c>
    </row>
    <row r="8" spans="1:26" ht="14.5">
      <c r="B8" s="120" t="s">
        <v>380</v>
      </c>
      <c r="C8" s="119">
        <v>0.1</v>
      </c>
    </row>
    <row r="9" spans="1:26" ht="14.5">
      <c r="B9" s="118" t="s">
        <v>379</v>
      </c>
      <c r="C9" s="117">
        <v>5.5E-2</v>
      </c>
    </row>
    <row r="10" spans="1:26" ht="14.5">
      <c r="B10" s="101"/>
      <c r="C10" s="116"/>
    </row>
    <row r="11" spans="1:26" ht="14.5">
      <c r="B11" s="115" t="s">
        <v>378</v>
      </c>
      <c r="C11" s="114">
        <v>6</v>
      </c>
    </row>
    <row r="12" spans="1:26" ht="14.5">
      <c r="B12" s="101"/>
      <c r="C12" s="101"/>
    </row>
    <row r="13" spans="1:26" ht="14.5">
      <c r="B13" s="112"/>
      <c r="C13" s="431" t="s">
        <v>377</v>
      </c>
      <c r="D13" s="432"/>
      <c r="E13" s="432"/>
      <c r="F13" s="432"/>
      <c r="G13" s="432"/>
      <c r="H13" s="432"/>
      <c r="I13" s="432"/>
      <c r="J13" s="432"/>
      <c r="K13" s="432"/>
      <c r="L13" s="432"/>
      <c r="M13" s="432"/>
    </row>
    <row r="14" spans="1:26" ht="14.5">
      <c r="B14" s="112"/>
      <c r="C14" s="112"/>
      <c r="D14" s="112">
        <f t="shared" ref="D14:M14" si="0">C14+1</f>
        <v>1</v>
      </c>
      <c r="E14" s="112">
        <f>D14+1</f>
        <v>2</v>
      </c>
      <c r="F14" s="112">
        <f>E14+1</f>
        <v>3</v>
      </c>
      <c r="G14" s="112">
        <f t="shared" si="0"/>
        <v>4</v>
      </c>
      <c r="H14" s="112">
        <f t="shared" si="0"/>
        <v>5</v>
      </c>
      <c r="I14" s="112">
        <f t="shared" si="0"/>
        <v>6</v>
      </c>
      <c r="J14" s="112">
        <f t="shared" si="0"/>
        <v>7</v>
      </c>
      <c r="K14" s="112">
        <f t="shared" si="0"/>
        <v>8</v>
      </c>
      <c r="L14" s="112">
        <f t="shared" si="0"/>
        <v>9</v>
      </c>
      <c r="M14" s="112">
        <f t="shared" si="0"/>
        <v>10</v>
      </c>
    </row>
    <row r="15" spans="1:26" ht="14.5">
      <c r="B15" s="101" t="s">
        <v>272</v>
      </c>
      <c r="C15" s="101"/>
      <c r="D15" s="111"/>
      <c r="E15" s="110"/>
      <c r="F15" s="110"/>
      <c r="G15" s="110"/>
      <c r="H15" s="110"/>
      <c r="I15" s="110"/>
      <c r="J15" s="110"/>
      <c r="K15" s="110"/>
      <c r="L15" s="110"/>
      <c r="M15" s="110"/>
    </row>
    <row r="16" spans="1:26" ht="14.5">
      <c r="A16" s="101"/>
      <c r="B16" s="107" t="s">
        <v>376</v>
      </c>
      <c r="C16" s="101"/>
      <c r="D16" s="111">
        <v>55995</v>
      </c>
      <c r="E16" s="110">
        <f>IF(E14&lt;=$C$11,D16*(1+$C$6),0)</f>
        <v>57394.874999999993</v>
      </c>
      <c r="F16" s="110">
        <f t="shared" ref="F16:M16" si="1">IF(F14&lt;=$C$11,E16*(1+$C$6),0)</f>
        <v>58829.74687499999</v>
      </c>
      <c r="G16" s="110">
        <f t="shared" si="1"/>
        <v>60300.490546874986</v>
      </c>
      <c r="H16" s="110">
        <f t="shared" si="1"/>
        <v>61808.002810546852</v>
      </c>
      <c r="I16" s="110">
        <f t="shared" si="1"/>
        <v>63353.202880810517</v>
      </c>
      <c r="J16" s="110">
        <f t="shared" si="1"/>
        <v>0</v>
      </c>
      <c r="K16" s="110">
        <f t="shared" si="1"/>
        <v>0</v>
      </c>
      <c r="L16" s="110">
        <f t="shared" si="1"/>
        <v>0</v>
      </c>
      <c r="M16" s="110">
        <f t="shared" si="1"/>
        <v>0</v>
      </c>
      <c r="N16" s="101"/>
      <c r="O16" s="101"/>
      <c r="P16" s="101"/>
      <c r="Q16" s="101"/>
      <c r="R16" s="101"/>
      <c r="S16" s="101"/>
      <c r="T16" s="101"/>
      <c r="U16" s="101"/>
      <c r="V16" s="101"/>
      <c r="W16" s="101"/>
      <c r="X16" s="101"/>
      <c r="Y16" s="101"/>
      <c r="Z16" s="101"/>
    </row>
    <row r="17" spans="1:26" ht="14.5">
      <c r="A17" s="101"/>
      <c r="B17" s="105" t="s">
        <v>271</v>
      </c>
      <c r="C17" s="105"/>
      <c r="D17" s="104">
        <f t="shared" ref="D17:M17" si="2">D16</f>
        <v>55995</v>
      </c>
      <c r="E17" s="104">
        <f t="shared" si="2"/>
        <v>57394.874999999993</v>
      </c>
      <c r="F17" s="104">
        <f t="shared" si="2"/>
        <v>58829.74687499999</v>
      </c>
      <c r="G17" s="104">
        <f t="shared" si="2"/>
        <v>60300.490546874986</v>
      </c>
      <c r="H17" s="104">
        <f t="shared" si="2"/>
        <v>61808.002810546852</v>
      </c>
      <c r="I17" s="104">
        <f t="shared" si="2"/>
        <v>63353.202880810517</v>
      </c>
      <c r="J17" s="104">
        <f t="shared" si="2"/>
        <v>0</v>
      </c>
      <c r="K17" s="104">
        <f t="shared" si="2"/>
        <v>0</v>
      </c>
      <c r="L17" s="104">
        <f t="shared" si="2"/>
        <v>0</v>
      </c>
      <c r="M17" s="104">
        <f t="shared" si="2"/>
        <v>0</v>
      </c>
      <c r="N17" s="101"/>
      <c r="O17" s="101"/>
      <c r="P17" s="101"/>
      <c r="Q17" s="101"/>
      <c r="R17" s="101"/>
      <c r="S17" s="101"/>
      <c r="T17" s="101"/>
      <c r="U17" s="101"/>
      <c r="V17" s="101"/>
      <c r="W17" s="101"/>
      <c r="X17" s="101"/>
      <c r="Y17" s="101"/>
      <c r="Z17" s="101"/>
    </row>
    <row r="18" spans="1:26" ht="14.5">
      <c r="A18" s="101"/>
      <c r="B18" s="101" t="s">
        <v>375</v>
      </c>
      <c r="C18" s="109"/>
      <c r="D18" s="108"/>
      <c r="E18" s="108"/>
      <c r="F18" s="108"/>
      <c r="G18" s="108"/>
      <c r="H18" s="108"/>
      <c r="I18" s="108"/>
      <c r="J18" s="108"/>
      <c r="K18" s="108"/>
      <c r="L18" s="108"/>
      <c r="M18" s="108"/>
      <c r="N18" s="101"/>
      <c r="O18" s="101"/>
      <c r="P18" s="101"/>
      <c r="Q18" s="101"/>
      <c r="R18" s="101"/>
      <c r="S18" s="101"/>
      <c r="T18" s="101"/>
      <c r="U18" s="101"/>
      <c r="V18" s="101"/>
      <c r="W18" s="101"/>
      <c r="X18" s="101"/>
      <c r="Y18" s="101"/>
      <c r="Z18" s="101"/>
    </row>
    <row r="19" spans="1:26" ht="14.5">
      <c r="A19" s="101"/>
      <c r="B19" s="107" t="s">
        <v>374</v>
      </c>
      <c r="C19" s="101"/>
      <c r="D19" s="106">
        <f t="shared" ref="D19:M19" si="3">D$17*$C7</f>
        <v>6159.45</v>
      </c>
      <c r="E19" s="106">
        <f t="shared" si="3"/>
        <v>6313.4362499999988</v>
      </c>
      <c r="F19" s="106">
        <f t="shared" si="3"/>
        <v>6471.2721562499992</v>
      </c>
      <c r="G19" s="106">
        <f t="shared" si="3"/>
        <v>6633.0539601562486</v>
      </c>
      <c r="H19" s="106">
        <f t="shared" si="3"/>
        <v>6798.880309160154</v>
      </c>
      <c r="I19" s="106">
        <f t="shared" si="3"/>
        <v>6968.852316889157</v>
      </c>
      <c r="J19" s="106">
        <f t="shared" si="3"/>
        <v>0</v>
      </c>
      <c r="K19" s="106">
        <f t="shared" si="3"/>
        <v>0</v>
      </c>
      <c r="L19" s="106">
        <f t="shared" si="3"/>
        <v>0</v>
      </c>
      <c r="M19" s="106">
        <f t="shared" si="3"/>
        <v>0</v>
      </c>
      <c r="N19" s="101"/>
      <c r="O19" s="101"/>
      <c r="P19" s="101"/>
      <c r="Q19" s="101"/>
      <c r="R19" s="101"/>
      <c r="S19" s="101"/>
      <c r="T19" s="101"/>
      <c r="U19" s="101"/>
      <c r="V19" s="101"/>
      <c r="W19" s="101"/>
      <c r="X19" s="101"/>
      <c r="Y19" s="101"/>
      <c r="Z19" s="101"/>
    </row>
    <row r="20" spans="1:26" ht="14.5">
      <c r="A20" s="101"/>
      <c r="B20" s="107" t="s">
        <v>373</v>
      </c>
      <c r="C20" s="101"/>
      <c r="D20" s="106">
        <f t="shared" ref="D20:M20" si="4">D$17*$C8</f>
        <v>5599.5</v>
      </c>
      <c r="E20" s="106">
        <f t="shared" si="4"/>
        <v>5739.4874999999993</v>
      </c>
      <c r="F20" s="106">
        <f t="shared" si="4"/>
        <v>5882.9746874999992</v>
      </c>
      <c r="G20" s="106">
        <f t="shared" si="4"/>
        <v>6030.0490546874989</v>
      </c>
      <c r="H20" s="106">
        <f t="shared" si="4"/>
        <v>6180.8002810546859</v>
      </c>
      <c r="I20" s="106">
        <f t="shared" si="4"/>
        <v>6335.3202880810522</v>
      </c>
      <c r="J20" s="106">
        <f t="shared" si="4"/>
        <v>0</v>
      </c>
      <c r="K20" s="106">
        <f t="shared" si="4"/>
        <v>0</v>
      </c>
      <c r="L20" s="106">
        <f t="shared" si="4"/>
        <v>0</v>
      </c>
      <c r="M20" s="106">
        <f t="shared" si="4"/>
        <v>0</v>
      </c>
      <c r="N20" s="101"/>
      <c r="O20" s="101"/>
      <c r="P20" s="101"/>
      <c r="Q20" s="101"/>
      <c r="R20" s="101"/>
      <c r="S20" s="101"/>
      <c r="T20" s="101"/>
      <c r="U20" s="101"/>
      <c r="V20" s="101"/>
      <c r="W20" s="101"/>
      <c r="X20" s="101"/>
      <c r="Y20" s="101"/>
      <c r="Z20" s="101"/>
    </row>
    <row r="21" spans="1:26" ht="15.75" customHeight="1">
      <c r="A21" s="101"/>
      <c r="B21" s="107" t="s">
        <v>372</v>
      </c>
      <c r="C21" s="101"/>
      <c r="D21" s="106">
        <f t="shared" ref="D21:M21" si="5">D$17*$C9</f>
        <v>3079.7249999999999</v>
      </c>
      <c r="E21" s="106">
        <f t="shared" si="5"/>
        <v>3156.7181249999994</v>
      </c>
      <c r="F21" s="106">
        <f t="shared" si="5"/>
        <v>3235.6360781249996</v>
      </c>
      <c r="G21" s="106">
        <f t="shared" si="5"/>
        <v>3316.5269800781243</v>
      </c>
      <c r="H21" s="106">
        <f t="shared" si="5"/>
        <v>3399.440154580077</v>
      </c>
      <c r="I21" s="106">
        <f t="shared" si="5"/>
        <v>3484.4261584445785</v>
      </c>
      <c r="J21" s="106">
        <f t="shared" si="5"/>
        <v>0</v>
      </c>
      <c r="K21" s="106">
        <f t="shared" si="5"/>
        <v>0</v>
      </c>
      <c r="L21" s="106">
        <f t="shared" si="5"/>
        <v>0</v>
      </c>
      <c r="M21" s="106">
        <f t="shared" si="5"/>
        <v>0</v>
      </c>
      <c r="N21" s="101"/>
      <c r="O21" s="101"/>
      <c r="P21" s="101"/>
      <c r="Q21" s="101"/>
      <c r="R21" s="101"/>
      <c r="S21" s="101"/>
      <c r="T21" s="101"/>
      <c r="U21" s="101"/>
      <c r="V21" s="101"/>
      <c r="W21" s="101"/>
      <c r="X21" s="101"/>
      <c r="Y21" s="101"/>
      <c r="Z21" s="101"/>
    </row>
    <row r="22" spans="1:26" ht="15.75" customHeight="1">
      <c r="A22" s="101"/>
      <c r="B22" s="105" t="s">
        <v>371</v>
      </c>
      <c r="C22" s="105"/>
      <c r="D22" s="104">
        <f t="shared" ref="D22:M22" si="6">SUM(D19:D21)</f>
        <v>14838.675000000001</v>
      </c>
      <c r="E22" s="104">
        <f t="shared" si="6"/>
        <v>15209.641874999998</v>
      </c>
      <c r="F22" s="104">
        <f t="shared" si="6"/>
        <v>15589.882921875</v>
      </c>
      <c r="G22" s="104">
        <f t="shared" si="6"/>
        <v>15979.629994921872</v>
      </c>
      <c r="H22" s="104">
        <f t="shared" si="6"/>
        <v>16379.120744794918</v>
      </c>
      <c r="I22" s="104">
        <f t="shared" si="6"/>
        <v>16788.598763414786</v>
      </c>
      <c r="J22" s="104">
        <f t="shared" si="6"/>
        <v>0</v>
      </c>
      <c r="K22" s="104">
        <f t="shared" si="6"/>
        <v>0</v>
      </c>
      <c r="L22" s="104">
        <f t="shared" si="6"/>
        <v>0</v>
      </c>
      <c r="M22" s="104">
        <f t="shared" si="6"/>
        <v>0</v>
      </c>
      <c r="N22" s="101"/>
      <c r="O22" s="101"/>
      <c r="P22" s="101"/>
      <c r="Q22" s="101"/>
      <c r="R22" s="101"/>
      <c r="S22" s="101"/>
      <c r="T22" s="101"/>
      <c r="U22" s="101"/>
      <c r="V22" s="101"/>
      <c r="W22" s="101"/>
      <c r="X22" s="101"/>
      <c r="Y22" s="101"/>
      <c r="Z22" s="101"/>
    </row>
    <row r="23" spans="1:26" ht="15.75" customHeight="1">
      <c r="B23" s="103" t="s">
        <v>370</v>
      </c>
      <c r="C23" s="103"/>
      <c r="D23" s="102">
        <f t="shared" ref="D23:M23" si="7">D17-D22</f>
        <v>41156.324999999997</v>
      </c>
      <c r="E23" s="102">
        <f t="shared" si="7"/>
        <v>42185.233124999999</v>
      </c>
      <c r="F23" s="102">
        <f t="shared" si="7"/>
        <v>43239.863953124994</v>
      </c>
      <c r="G23" s="102">
        <f t="shared" si="7"/>
        <v>44320.860551953112</v>
      </c>
      <c r="H23" s="102">
        <f t="shared" si="7"/>
        <v>45428.882065751932</v>
      </c>
      <c r="I23" s="102">
        <f t="shared" si="7"/>
        <v>46564.604117395735</v>
      </c>
      <c r="J23" s="102">
        <f t="shared" si="7"/>
        <v>0</v>
      </c>
      <c r="K23" s="102">
        <f t="shared" si="7"/>
        <v>0</v>
      </c>
      <c r="L23" s="102">
        <f t="shared" si="7"/>
        <v>0</v>
      </c>
      <c r="M23" s="102">
        <f t="shared" si="7"/>
        <v>0</v>
      </c>
    </row>
    <row r="24" spans="1:26" ht="15.75" customHeight="1">
      <c r="A24" s="101"/>
      <c r="B24" s="101"/>
      <c r="C24" s="101"/>
      <c r="D24" s="101"/>
      <c r="E24" s="101"/>
      <c r="F24" s="101"/>
      <c r="G24" s="101"/>
      <c r="H24" s="101"/>
      <c r="I24" s="101"/>
      <c r="J24" s="101"/>
      <c r="K24" s="101"/>
      <c r="L24" s="101"/>
      <c r="M24" s="101"/>
      <c r="N24" s="101"/>
      <c r="O24" s="101"/>
      <c r="P24" s="101"/>
      <c r="Q24" s="101"/>
      <c r="R24" s="101"/>
      <c r="S24" s="101"/>
      <c r="T24" s="101"/>
      <c r="U24" s="101"/>
      <c r="V24" s="101"/>
      <c r="W24" s="101"/>
      <c r="X24" s="101"/>
      <c r="Y24" s="101"/>
      <c r="Z24" s="101"/>
    </row>
    <row r="25" spans="1:26" ht="15.75" customHeight="1">
      <c r="A25" s="101"/>
      <c r="B25" s="101"/>
      <c r="C25" s="101"/>
      <c r="D25" s="101"/>
      <c r="E25" s="101"/>
      <c r="F25" s="101"/>
      <c r="G25" s="101"/>
      <c r="H25" s="101"/>
      <c r="I25" s="101"/>
      <c r="J25" s="101"/>
      <c r="K25" s="101"/>
      <c r="L25" s="101"/>
      <c r="M25" s="101"/>
      <c r="N25" s="101"/>
      <c r="O25" s="101"/>
      <c r="P25" s="101"/>
      <c r="Q25" s="101"/>
      <c r="R25" s="101"/>
      <c r="S25" s="101"/>
      <c r="T25" s="101"/>
      <c r="U25" s="101"/>
      <c r="V25" s="101"/>
      <c r="W25" s="101"/>
      <c r="X25" s="101"/>
      <c r="Y25" s="101"/>
      <c r="Z25" s="101"/>
    </row>
    <row r="26" spans="1:26" ht="15.75" customHeight="1">
      <c r="A26" s="101"/>
      <c r="B26" s="101"/>
      <c r="C26" s="101"/>
      <c r="D26" s="101"/>
      <c r="E26" s="101"/>
      <c r="F26" s="101"/>
      <c r="G26" s="101"/>
      <c r="H26" s="101"/>
      <c r="I26" s="101"/>
      <c r="J26" s="101"/>
      <c r="K26" s="101"/>
      <c r="L26" s="101"/>
      <c r="M26" s="101"/>
      <c r="N26" s="101"/>
      <c r="O26" s="101"/>
      <c r="P26" s="101"/>
      <c r="Q26" s="101"/>
      <c r="R26" s="101"/>
      <c r="S26" s="101"/>
      <c r="T26" s="101"/>
      <c r="U26" s="101"/>
      <c r="V26" s="101"/>
      <c r="W26" s="101"/>
      <c r="X26" s="101"/>
      <c r="Y26" s="101"/>
      <c r="Z26" s="101"/>
    </row>
    <row r="27" spans="1:26" ht="15.75" customHeight="1">
      <c r="A27" s="101"/>
      <c r="B27" s="101"/>
      <c r="C27" s="101"/>
      <c r="D27" s="101"/>
      <c r="E27" s="101"/>
      <c r="F27" s="101"/>
      <c r="G27" s="101"/>
      <c r="H27" s="101"/>
      <c r="I27" s="101"/>
      <c r="J27" s="101"/>
      <c r="K27" s="101"/>
      <c r="L27" s="101"/>
      <c r="M27" s="101"/>
      <c r="N27" s="101"/>
      <c r="O27" s="101"/>
      <c r="P27" s="101"/>
      <c r="Q27" s="101"/>
      <c r="R27" s="101"/>
      <c r="S27" s="101"/>
      <c r="T27" s="101"/>
      <c r="U27" s="101"/>
      <c r="V27" s="101"/>
      <c r="W27" s="101"/>
      <c r="X27" s="101"/>
      <c r="Y27" s="101"/>
      <c r="Z27" s="101"/>
    </row>
    <row r="28" spans="1:26" ht="15.75" customHeight="1">
      <c r="A28" s="101"/>
      <c r="B28" s="101"/>
      <c r="C28" s="101"/>
      <c r="D28" s="101"/>
      <c r="E28" s="101"/>
      <c r="F28" s="101"/>
      <c r="G28" s="101"/>
      <c r="H28" s="101"/>
      <c r="I28" s="101"/>
      <c r="J28" s="101"/>
      <c r="K28" s="101"/>
      <c r="L28" s="101"/>
      <c r="M28" s="101"/>
      <c r="N28" s="101"/>
      <c r="O28" s="101"/>
      <c r="P28" s="101"/>
      <c r="Q28" s="101"/>
      <c r="R28" s="101"/>
      <c r="S28" s="101"/>
      <c r="T28" s="101"/>
      <c r="U28" s="101"/>
      <c r="V28" s="101"/>
      <c r="W28" s="101"/>
      <c r="X28" s="101"/>
      <c r="Y28" s="101"/>
      <c r="Z28" s="101"/>
    </row>
    <row r="29" spans="1:26" ht="15.75" customHeight="1"/>
    <row r="30" spans="1:26" ht="15.75" customHeight="1"/>
    <row r="31" spans="1:26" ht="15.75" customHeight="1"/>
    <row r="32" spans="1:26" ht="15.75" customHeight="1"/>
    <row r="33" s="100" customFormat="1" ht="15.75" customHeight="1"/>
    <row r="34" s="100" customFormat="1" ht="15.75" customHeight="1"/>
    <row r="35" s="100" customFormat="1" ht="15.75" customHeight="1"/>
    <row r="36" s="100" customFormat="1" ht="15.75" customHeight="1"/>
    <row r="37" s="100" customFormat="1" ht="15.75" customHeight="1"/>
    <row r="38" s="100" customFormat="1" ht="15.75" customHeight="1"/>
    <row r="39" s="100" customFormat="1" ht="15.75" customHeight="1"/>
    <row r="40" s="100" customFormat="1" ht="15.75" customHeight="1"/>
    <row r="41" s="100" customFormat="1" ht="15.75" customHeight="1"/>
    <row r="42" s="100" customFormat="1" ht="15.75" customHeight="1"/>
    <row r="43" s="100" customFormat="1" ht="15.75" customHeight="1"/>
    <row r="44" s="100" customFormat="1" ht="15.75" customHeight="1"/>
    <row r="45" s="100" customFormat="1" ht="15.75" customHeight="1"/>
    <row r="46" s="100" customFormat="1" ht="15.75" customHeight="1"/>
    <row r="47" s="100" customFormat="1" ht="15.75" customHeight="1"/>
    <row r="48" s="100" customFormat="1" ht="15.75" customHeight="1"/>
    <row r="49" s="100" customFormat="1" ht="15.75" customHeight="1"/>
    <row r="50" s="100" customFormat="1" ht="15.75" customHeight="1"/>
    <row r="51" s="100" customFormat="1" ht="15.75" customHeight="1"/>
    <row r="52" s="100" customFormat="1" ht="15.75" customHeight="1"/>
    <row r="53" s="100" customFormat="1" ht="15.75" customHeight="1"/>
    <row r="54" s="100" customFormat="1" ht="15.75" customHeight="1"/>
    <row r="55" s="100" customFormat="1" ht="15.75" customHeight="1"/>
    <row r="56" s="100" customFormat="1" ht="15.75" customHeight="1"/>
    <row r="57" s="100" customFormat="1" ht="15.75" customHeight="1"/>
    <row r="58" s="100" customFormat="1" ht="15.75" customHeight="1"/>
    <row r="59" s="100" customFormat="1" ht="15.75" customHeight="1"/>
    <row r="60" s="100" customFormat="1" ht="15.75" customHeight="1"/>
    <row r="61" s="100" customFormat="1" ht="15.75" customHeight="1"/>
    <row r="62" s="100" customFormat="1" ht="15.75" customHeight="1"/>
    <row r="63" s="100" customFormat="1" ht="15.75" customHeight="1"/>
    <row r="64" s="100" customFormat="1" ht="15.75" customHeight="1"/>
    <row r="65" s="100" customFormat="1" ht="15.75" customHeight="1"/>
    <row r="66" s="100" customFormat="1" ht="15.75" customHeight="1"/>
    <row r="67" s="100" customFormat="1" ht="15.75" customHeight="1"/>
    <row r="68" s="100" customFormat="1" ht="15.75" customHeight="1"/>
    <row r="69" s="100" customFormat="1" ht="15.75" customHeight="1"/>
    <row r="70" s="100" customFormat="1" ht="15.75" customHeight="1"/>
    <row r="71" s="100" customFormat="1" ht="15.75" customHeight="1"/>
    <row r="72" s="100" customFormat="1" ht="15.75" customHeight="1"/>
    <row r="73" s="100" customFormat="1" ht="15.75" customHeight="1"/>
    <row r="74" s="100" customFormat="1" ht="15.75" customHeight="1"/>
    <row r="75" s="100" customFormat="1" ht="15.75" customHeight="1"/>
    <row r="76" s="100" customFormat="1" ht="15.75" customHeight="1"/>
    <row r="77" s="100" customFormat="1" ht="15.75" customHeight="1"/>
    <row r="78" s="100" customFormat="1" ht="15.75" customHeight="1"/>
    <row r="79" s="100" customFormat="1" ht="15.75" customHeight="1"/>
    <row r="80" s="100" customFormat="1" ht="15.75" customHeight="1"/>
    <row r="81" s="100" customFormat="1" ht="15.75" customHeight="1"/>
    <row r="82" s="100" customFormat="1" ht="15.75" customHeight="1"/>
    <row r="83" s="100" customFormat="1" ht="15.75" customHeight="1"/>
    <row r="84" s="100" customFormat="1" ht="15.75" customHeight="1"/>
    <row r="85" s="100" customFormat="1" ht="15.75" customHeight="1"/>
    <row r="86" s="100" customFormat="1" ht="15.75" customHeight="1"/>
    <row r="87" s="100" customFormat="1" ht="15.75" customHeight="1"/>
    <row r="88" s="100" customFormat="1" ht="15.75" customHeight="1"/>
    <row r="89" s="100" customFormat="1" ht="15.75" customHeight="1"/>
    <row r="90" s="100" customFormat="1" ht="15.75" customHeight="1"/>
    <row r="91" s="100" customFormat="1" ht="15.75" customHeight="1"/>
    <row r="92" s="100" customFormat="1" ht="15.75" customHeight="1"/>
    <row r="93" s="100" customFormat="1" ht="15.75" customHeight="1"/>
    <row r="94" s="100" customFormat="1" ht="15.75" customHeight="1"/>
    <row r="95" s="100" customFormat="1" ht="15.75" customHeight="1"/>
    <row r="96" s="100" customFormat="1" ht="15.75" customHeight="1"/>
    <row r="97" s="100" customFormat="1" ht="15.75" customHeight="1"/>
    <row r="98" s="100" customFormat="1" ht="15.75" customHeight="1"/>
    <row r="99" s="100" customFormat="1" ht="15.75" customHeight="1"/>
    <row r="100" s="100" customFormat="1" ht="15.75" customHeight="1"/>
    <row r="101" s="100" customFormat="1" ht="15.75" customHeight="1"/>
    <row r="102" s="100" customFormat="1" ht="15.75" customHeight="1"/>
    <row r="103" s="100" customFormat="1" ht="15.75" customHeight="1"/>
    <row r="104" s="100" customFormat="1" ht="15.75" customHeight="1"/>
    <row r="105" s="100" customFormat="1" ht="15.75" customHeight="1"/>
    <row r="106" s="100" customFormat="1" ht="15.75" customHeight="1"/>
    <row r="107" s="100" customFormat="1" ht="15.75" customHeight="1"/>
    <row r="108" s="100" customFormat="1" ht="15.75" customHeight="1"/>
    <row r="109" s="100" customFormat="1" ht="15.75" customHeight="1"/>
    <row r="110" s="100" customFormat="1" ht="15.75" customHeight="1"/>
    <row r="111" s="100" customFormat="1" ht="15.75" customHeight="1"/>
    <row r="112" s="100" customFormat="1" ht="15.75" customHeight="1"/>
    <row r="113" s="100" customFormat="1" ht="15.75" customHeight="1"/>
    <row r="114" s="100" customFormat="1" ht="15.75" customHeight="1"/>
    <row r="115" s="100" customFormat="1" ht="15.75" customHeight="1"/>
    <row r="116" s="100" customFormat="1" ht="15.75" customHeight="1"/>
    <row r="117" s="100" customFormat="1" ht="15.75" customHeight="1"/>
    <row r="118" s="100" customFormat="1" ht="15.75" customHeight="1"/>
    <row r="119" s="100" customFormat="1" ht="15.75" customHeight="1"/>
    <row r="120" s="100" customFormat="1" ht="15.75" customHeight="1"/>
    <row r="121" s="100" customFormat="1" ht="15.75" customHeight="1"/>
    <row r="122" s="100" customFormat="1" ht="15.75" customHeight="1"/>
    <row r="123" s="100" customFormat="1" ht="15.75" customHeight="1"/>
    <row r="124" s="100" customFormat="1" ht="15.75" customHeight="1"/>
    <row r="125" s="100" customFormat="1" ht="15.75" customHeight="1"/>
    <row r="126" s="100" customFormat="1" ht="15.75" customHeight="1"/>
    <row r="127" s="100" customFormat="1" ht="15.75" customHeight="1"/>
    <row r="128" s="100" customFormat="1" ht="15.75" customHeight="1"/>
    <row r="129" s="100" customFormat="1" ht="15.75" customHeight="1"/>
    <row r="130" s="100" customFormat="1" ht="15.75" customHeight="1"/>
    <row r="131" s="100" customFormat="1" ht="15.75" customHeight="1"/>
    <row r="132" s="100" customFormat="1" ht="15.75" customHeight="1"/>
    <row r="133" s="100" customFormat="1" ht="15.75" customHeight="1"/>
    <row r="134" s="100" customFormat="1" ht="15.75" customHeight="1"/>
    <row r="135" s="100" customFormat="1" ht="15.75" customHeight="1"/>
    <row r="136" s="100" customFormat="1" ht="15.75" customHeight="1"/>
    <row r="137" s="100" customFormat="1" ht="15.75" customHeight="1"/>
    <row r="138" s="100" customFormat="1" ht="15.75" customHeight="1"/>
    <row r="139" s="100" customFormat="1" ht="15.75" customHeight="1"/>
    <row r="140" s="100" customFormat="1" ht="15.75" customHeight="1"/>
    <row r="141" s="100" customFormat="1" ht="15.75" customHeight="1"/>
    <row r="142" s="100" customFormat="1" ht="15.75" customHeight="1"/>
    <row r="143" s="100" customFormat="1" ht="15.75" customHeight="1"/>
    <row r="144" s="100" customFormat="1" ht="15.75" customHeight="1"/>
    <row r="145" s="100" customFormat="1" ht="15.75" customHeight="1"/>
    <row r="146" s="100" customFormat="1" ht="15.75" customHeight="1"/>
    <row r="147" s="100" customFormat="1" ht="15.75" customHeight="1"/>
    <row r="148" s="100" customFormat="1" ht="15.75" customHeight="1"/>
    <row r="149" s="100" customFormat="1" ht="15.75" customHeight="1"/>
    <row r="150" s="100" customFormat="1" ht="15.75" customHeight="1"/>
    <row r="151" s="100" customFormat="1" ht="15.75" customHeight="1"/>
    <row r="152" s="100" customFormat="1" ht="15.75" customHeight="1"/>
    <row r="153" s="100" customFormat="1" ht="15.75" customHeight="1"/>
    <row r="154" s="100" customFormat="1" ht="15.75" customHeight="1"/>
    <row r="155" s="100" customFormat="1" ht="15.75" customHeight="1"/>
    <row r="156" s="100" customFormat="1" ht="15.75" customHeight="1"/>
    <row r="157" s="100" customFormat="1" ht="15.75" customHeight="1"/>
    <row r="158" s="100" customFormat="1" ht="15.75" customHeight="1"/>
    <row r="159" s="100" customFormat="1" ht="15.75" customHeight="1"/>
    <row r="160" s="100" customFormat="1" ht="15.75" customHeight="1"/>
    <row r="161" s="100" customFormat="1" ht="15.75" customHeight="1"/>
    <row r="162" s="100" customFormat="1" ht="15.75" customHeight="1"/>
    <row r="163" s="100" customFormat="1" ht="15.75" customHeight="1"/>
    <row r="164" s="100" customFormat="1" ht="15.75" customHeight="1"/>
    <row r="165" s="100" customFormat="1" ht="15.75" customHeight="1"/>
    <row r="166" s="100" customFormat="1" ht="15.75" customHeight="1"/>
    <row r="167" s="100" customFormat="1" ht="15.75" customHeight="1"/>
    <row r="168" s="100" customFormat="1" ht="15.75" customHeight="1"/>
    <row r="169" s="100" customFormat="1" ht="15.75" customHeight="1"/>
    <row r="170" s="100" customFormat="1" ht="15.75" customHeight="1"/>
    <row r="171" s="100" customFormat="1" ht="15.75" customHeight="1"/>
    <row r="172" s="100" customFormat="1" ht="15.75" customHeight="1"/>
    <row r="173" s="100" customFormat="1" ht="15.75" customHeight="1"/>
    <row r="174" s="100" customFormat="1" ht="15.75" customHeight="1"/>
    <row r="175" s="100" customFormat="1" ht="15.75" customHeight="1"/>
    <row r="176" s="100" customFormat="1" ht="15.75" customHeight="1"/>
    <row r="177" s="100" customFormat="1" ht="15.75" customHeight="1"/>
    <row r="178" s="100" customFormat="1" ht="15.75" customHeight="1"/>
    <row r="179" s="100" customFormat="1" ht="15.75" customHeight="1"/>
    <row r="180" s="100" customFormat="1" ht="15.75" customHeight="1"/>
    <row r="181" s="100" customFormat="1" ht="15.75" customHeight="1"/>
    <row r="182" s="100" customFormat="1" ht="15.75" customHeight="1"/>
    <row r="183" s="100" customFormat="1" ht="15.75" customHeight="1"/>
    <row r="184" s="100" customFormat="1" ht="15.75" customHeight="1"/>
    <row r="185" s="100" customFormat="1" ht="15.75" customHeight="1"/>
    <row r="186" s="100" customFormat="1" ht="15.75" customHeight="1"/>
    <row r="187" s="100" customFormat="1" ht="15.75" customHeight="1"/>
    <row r="188" s="100" customFormat="1" ht="15.75" customHeight="1"/>
    <row r="189" s="100" customFormat="1" ht="15.75" customHeight="1"/>
    <row r="190" s="100" customFormat="1" ht="15.75" customHeight="1"/>
    <row r="191" s="100" customFormat="1" ht="15.75" customHeight="1"/>
    <row r="192" s="100" customFormat="1" ht="15.75" customHeight="1"/>
    <row r="193" s="100" customFormat="1" ht="15.75" customHeight="1"/>
    <row r="194" s="100" customFormat="1" ht="15.75" customHeight="1"/>
    <row r="195" s="100" customFormat="1" ht="15.75" customHeight="1"/>
    <row r="196" s="100" customFormat="1" ht="15.75" customHeight="1"/>
    <row r="197" s="100" customFormat="1" ht="15.75" customHeight="1"/>
    <row r="198" s="100" customFormat="1" ht="15.75" customHeight="1"/>
    <row r="199" s="100" customFormat="1" ht="15.75" customHeight="1"/>
    <row r="200" s="100" customFormat="1" ht="15.75" customHeight="1"/>
    <row r="201" s="100" customFormat="1" ht="15.75" customHeight="1"/>
    <row r="202" s="100" customFormat="1" ht="15.75" customHeight="1"/>
    <row r="203" s="100" customFormat="1" ht="15.75" customHeight="1"/>
    <row r="204" s="100" customFormat="1" ht="15.75" customHeight="1"/>
    <row r="205" s="100" customFormat="1" ht="15.75" customHeight="1"/>
    <row r="206" s="100" customFormat="1" ht="15.75" customHeight="1"/>
    <row r="207" s="100" customFormat="1" ht="15.75" customHeight="1"/>
    <row r="208" s="100" customFormat="1" ht="15.75" customHeight="1"/>
    <row r="209" s="100" customFormat="1" ht="15.75" customHeight="1"/>
    <row r="210" s="100" customFormat="1" ht="15.75" customHeight="1"/>
    <row r="211" s="100" customFormat="1" ht="15.75" customHeight="1"/>
    <row r="212" s="100" customFormat="1" ht="15.75" customHeight="1"/>
    <row r="213" s="100" customFormat="1" ht="15.75" customHeight="1"/>
    <row r="214" s="100" customFormat="1" ht="15.75" customHeight="1"/>
    <row r="215" s="100" customFormat="1" ht="15.75" customHeight="1"/>
    <row r="216" s="100" customFormat="1" ht="15.75" customHeight="1"/>
    <row r="217" s="100" customFormat="1" ht="15.75" customHeight="1"/>
    <row r="218" s="100" customFormat="1" ht="15.75" customHeight="1"/>
    <row r="219" s="100" customFormat="1" ht="15.75" customHeight="1"/>
    <row r="220" s="100" customFormat="1" ht="15.75" customHeight="1"/>
    <row r="221" s="100" customFormat="1" ht="15.75" customHeight="1"/>
    <row r="222" s="100" customFormat="1" ht="15.75" customHeight="1"/>
    <row r="223" s="100" customFormat="1" ht="15.75" customHeight="1"/>
    <row r="224" s="100" customFormat="1" ht="15.75" customHeight="1"/>
    <row r="225" s="100" customFormat="1" ht="15.75" customHeight="1"/>
    <row r="226" s="100" customFormat="1" ht="15.75" customHeight="1"/>
    <row r="227" s="100" customFormat="1" ht="15.75" customHeight="1"/>
    <row r="228" s="100" customFormat="1" ht="15.75" customHeight="1"/>
    <row r="229" s="100" customFormat="1" ht="15.75" customHeight="1"/>
    <row r="230" s="100" customFormat="1" ht="15.75" customHeight="1"/>
    <row r="231" s="100" customFormat="1" ht="15.75" customHeight="1"/>
    <row r="232" s="100" customFormat="1" ht="15.75" customHeight="1"/>
    <row r="233" s="100" customFormat="1" ht="15.75" customHeight="1"/>
    <row r="234" s="100" customFormat="1" ht="15.75" customHeight="1"/>
    <row r="235" s="100" customFormat="1" ht="15.75" customHeight="1"/>
    <row r="236" s="100" customFormat="1" ht="15.75" customHeight="1"/>
    <row r="237" s="100" customFormat="1" ht="15.75" customHeight="1"/>
    <row r="238" s="100" customFormat="1" ht="15.75" customHeight="1"/>
    <row r="239" s="100" customFormat="1" ht="15.75" customHeight="1"/>
    <row r="240" s="100" customFormat="1" ht="15.75" customHeight="1"/>
    <row r="241" s="100" customFormat="1" ht="15.75" customHeight="1"/>
    <row r="242" s="100" customFormat="1" ht="15.75" customHeight="1"/>
    <row r="243" s="100" customFormat="1" ht="15.75" customHeight="1"/>
    <row r="244" s="100" customFormat="1" ht="15.75" customHeight="1"/>
    <row r="245" s="100" customFormat="1" ht="15.75" customHeight="1"/>
    <row r="246" s="100" customFormat="1" ht="15.75" customHeight="1"/>
    <row r="247" s="100" customFormat="1" ht="15.75" customHeight="1"/>
    <row r="248" s="100" customFormat="1" ht="15.75" customHeight="1"/>
    <row r="249" s="100" customFormat="1" ht="15.75" customHeight="1"/>
    <row r="250" s="100" customFormat="1" ht="15.75" customHeight="1"/>
    <row r="251" s="100" customFormat="1" ht="15.75" customHeight="1"/>
    <row r="252" s="100" customFormat="1" ht="15.75" customHeight="1"/>
    <row r="253" s="100" customFormat="1" ht="15.75" customHeight="1"/>
    <row r="254" s="100" customFormat="1" ht="15.75" customHeight="1"/>
    <row r="255" s="100" customFormat="1" ht="15.75" customHeight="1"/>
    <row r="256" s="100" customFormat="1" ht="15.75" customHeight="1"/>
    <row r="257" s="100" customFormat="1" ht="15.75" customHeight="1"/>
    <row r="258" s="100" customFormat="1" ht="15.75" customHeight="1"/>
    <row r="259" s="100" customFormat="1" ht="15.75" customHeight="1"/>
    <row r="260" s="100" customFormat="1" ht="15.75" customHeight="1"/>
    <row r="261" s="100" customFormat="1" ht="15.75" customHeight="1"/>
    <row r="262" s="100" customFormat="1" ht="15.75" customHeight="1"/>
    <row r="263" s="100" customFormat="1" ht="15.75" customHeight="1"/>
    <row r="264" s="100" customFormat="1" ht="15.75" customHeight="1"/>
    <row r="265" s="100" customFormat="1" ht="15.75" customHeight="1"/>
    <row r="266" s="100" customFormat="1" ht="15.75" customHeight="1"/>
    <row r="267" s="100" customFormat="1" ht="15.75" customHeight="1"/>
    <row r="268" s="100" customFormat="1" ht="15.75" customHeight="1"/>
    <row r="269" s="100" customFormat="1" ht="15.75" customHeight="1"/>
    <row r="270" s="100" customFormat="1" ht="15.75" customHeight="1"/>
    <row r="271" s="100" customFormat="1" ht="15.75" customHeight="1"/>
    <row r="272" s="100" customFormat="1" ht="15.75" customHeight="1"/>
    <row r="273" s="100" customFormat="1" ht="15.75" customHeight="1"/>
    <row r="274" s="100" customFormat="1" ht="15.75" customHeight="1"/>
    <row r="275" s="100" customFormat="1" ht="15.75" customHeight="1"/>
    <row r="276" s="100" customFormat="1" ht="15.75" customHeight="1"/>
    <row r="277" s="100" customFormat="1" ht="15.75" customHeight="1"/>
    <row r="278" s="100" customFormat="1" ht="15.75" customHeight="1"/>
    <row r="279" s="100" customFormat="1" ht="15.75" customHeight="1"/>
    <row r="280" s="100" customFormat="1" ht="15.75" customHeight="1"/>
    <row r="281" s="100" customFormat="1" ht="15.75" customHeight="1"/>
    <row r="282" s="100" customFormat="1" ht="15.75" customHeight="1"/>
    <row r="283" s="100" customFormat="1" ht="15.75" customHeight="1"/>
    <row r="284" s="100" customFormat="1" ht="15.75" customHeight="1"/>
    <row r="285" s="100" customFormat="1" ht="15.75" customHeight="1"/>
    <row r="286" s="100" customFormat="1" ht="15.75" customHeight="1"/>
    <row r="287" s="100" customFormat="1" ht="15.75" customHeight="1"/>
    <row r="288" s="100" customFormat="1" ht="15.75" customHeight="1"/>
    <row r="289" s="100" customFormat="1" ht="15.75" customHeight="1"/>
    <row r="290" s="100" customFormat="1" ht="15.75" customHeight="1"/>
    <row r="291" s="100" customFormat="1" ht="15.75" customHeight="1"/>
    <row r="292" s="100" customFormat="1" ht="15.75" customHeight="1"/>
    <row r="293" s="100" customFormat="1" ht="15.75" customHeight="1"/>
    <row r="294" s="100" customFormat="1" ht="15.75" customHeight="1"/>
    <row r="295" s="100" customFormat="1" ht="15.75" customHeight="1"/>
    <row r="296" s="100" customFormat="1" ht="15.75" customHeight="1"/>
    <row r="297" s="100" customFormat="1" ht="15.75" customHeight="1"/>
    <row r="298" s="100" customFormat="1" ht="15.75" customHeight="1"/>
    <row r="299" s="100" customFormat="1" ht="15.75" customHeight="1"/>
    <row r="300" s="100" customFormat="1" ht="15.75" customHeight="1"/>
    <row r="301" s="100" customFormat="1" ht="15.75" customHeight="1"/>
    <row r="302" s="100" customFormat="1" ht="15.75" customHeight="1"/>
    <row r="303" s="100" customFormat="1" ht="15.75" customHeight="1"/>
    <row r="304" s="100" customFormat="1" ht="15.75" customHeight="1"/>
    <row r="305" s="100" customFormat="1" ht="15.75" customHeight="1"/>
    <row r="306" s="100" customFormat="1" ht="15.75" customHeight="1"/>
    <row r="307" s="100" customFormat="1" ht="15.75" customHeight="1"/>
    <row r="308" s="100" customFormat="1" ht="15.75" customHeight="1"/>
    <row r="309" s="100" customFormat="1" ht="15.75" customHeight="1"/>
    <row r="310" s="100" customFormat="1" ht="15.75" customHeight="1"/>
    <row r="311" s="100" customFormat="1" ht="15.75" customHeight="1"/>
    <row r="312" s="100" customFormat="1" ht="15.75" customHeight="1"/>
    <row r="313" s="100" customFormat="1" ht="15.75" customHeight="1"/>
    <row r="314" s="100" customFormat="1" ht="15.75" customHeight="1"/>
    <row r="315" s="100" customFormat="1" ht="15.75" customHeight="1"/>
    <row r="316" s="100" customFormat="1" ht="15.75" customHeight="1"/>
    <row r="317" s="100" customFormat="1" ht="15.75" customHeight="1"/>
    <row r="318" s="100" customFormat="1" ht="15.75" customHeight="1"/>
    <row r="319" s="100" customFormat="1" ht="15.75" customHeight="1"/>
    <row r="320" s="100" customFormat="1" ht="15.75" customHeight="1"/>
    <row r="321" s="100" customFormat="1" ht="15.75" customHeight="1"/>
    <row r="322" s="100" customFormat="1" ht="15.75" customHeight="1"/>
    <row r="323" s="100" customFormat="1" ht="15.75" customHeight="1"/>
    <row r="324" s="100" customFormat="1" ht="15.75" customHeight="1"/>
    <row r="325" s="100" customFormat="1" ht="15.75" customHeight="1"/>
    <row r="326" s="100" customFormat="1" ht="15.75" customHeight="1"/>
    <row r="327" s="100" customFormat="1" ht="15.75" customHeight="1"/>
    <row r="328" s="100" customFormat="1" ht="15.75" customHeight="1"/>
    <row r="329" s="100" customFormat="1" ht="15.75" customHeight="1"/>
    <row r="330" s="100" customFormat="1" ht="15.75" customHeight="1"/>
    <row r="331" s="100" customFormat="1" ht="15.75" customHeight="1"/>
    <row r="332" s="100" customFormat="1" ht="15.75" customHeight="1"/>
    <row r="333" s="100" customFormat="1" ht="15.75" customHeight="1"/>
    <row r="334" s="100" customFormat="1" ht="15.75" customHeight="1"/>
    <row r="335" s="100" customFormat="1" ht="15.75" customHeight="1"/>
    <row r="336" s="100" customFormat="1" ht="15.75" customHeight="1"/>
    <row r="337" s="100" customFormat="1" ht="15.75" customHeight="1"/>
    <row r="338" s="100" customFormat="1" ht="15.75" customHeight="1"/>
    <row r="339" s="100" customFormat="1" ht="15.75" customHeight="1"/>
    <row r="340" s="100" customFormat="1" ht="15.75" customHeight="1"/>
    <row r="341" s="100" customFormat="1" ht="15.75" customHeight="1"/>
    <row r="342" s="100" customFormat="1" ht="15.75" customHeight="1"/>
    <row r="343" s="100" customFormat="1" ht="15.75" customHeight="1"/>
    <row r="344" s="100" customFormat="1" ht="15.75" customHeight="1"/>
    <row r="345" s="100" customFormat="1" ht="15.75" customHeight="1"/>
    <row r="346" s="100" customFormat="1" ht="15.75" customHeight="1"/>
    <row r="347" s="100" customFormat="1" ht="15.75" customHeight="1"/>
    <row r="348" s="100" customFormat="1" ht="15.75" customHeight="1"/>
    <row r="349" s="100" customFormat="1" ht="15.75" customHeight="1"/>
    <row r="350" s="100" customFormat="1" ht="15.75" customHeight="1"/>
    <row r="351" s="100" customFormat="1" ht="15.75" customHeight="1"/>
    <row r="352" s="100" customFormat="1" ht="15.75" customHeight="1"/>
    <row r="353" s="100" customFormat="1" ht="15.75" customHeight="1"/>
    <row r="354" s="100" customFormat="1" ht="15.75" customHeight="1"/>
    <row r="355" s="100" customFormat="1" ht="15.75" customHeight="1"/>
    <row r="356" s="100" customFormat="1" ht="15.75" customHeight="1"/>
    <row r="357" s="100" customFormat="1" ht="15.75" customHeight="1"/>
    <row r="358" s="100" customFormat="1" ht="15.75" customHeight="1"/>
    <row r="359" s="100" customFormat="1" ht="15.75" customHeight="1"/>
    <row r="360" s="100" customFormat="1" ht="15.75" customHeight="1"/>
    <row r="361" s="100" customFormat="1" ht="15.75" customHeight="1"/>
    <row r="362" s="100" customFormat="1" ht="15.75" customHeight="1"/>
    <row r="363" s="100" customFormat="1" ht="15.75" customHeight="1"/>
    <row r="364" s="100" customFormat="1" ht="15.75" customHeight="1"/>
    <row r="365" s="100" customFormat="1" ht="15.75" customHeight="1"/>
    <row r="366" s="100" customFormat="1" ht="15.75" customHeight="1"/>
    <row r="367" s="100" customFormat="1" ht="15.75" customHeight="1"/>
    <row r="368" s="100" customFormat="1" ht="15.75" customHeight="1"/>
    <row r="369" s="100" customFormat="1" ht="15.75" customHeight="1"/>
    <row r="370" s="100" customFormat="1" ht="15.75" customHeight="1"/>
    <row r="371" s="100" customFormat="1" ht="15.75" customHeight="1"/>
    <row r="372" s="100" customFormat="1" ht="15.75" customHeight="1"/>
    <row r="373" s="100" customFormat="1" ht="15.75" customHeight="1"/>
    <row r="374" s="100" customFormat="1" ht="15.75" customHeight="1"/>
    <row r="375" s="100" customFormat="1" ht="15.75" customHeight="1"/>
    <row r="376" s="100" customFormat="1" ht="15.75" customHeight="1"/>
    <row r="377" s="100" customFormat="1" ht="15.75" customHeight="1"/>
    <row r="378" s="100" customFormat="1" ht="15.75" customHeight="1"/>
    <row r="379" s="100" customFormat="1" ht="15.75" customHeight="1"/>
    <row r="380" s="100" customFormat="1" ht="15.75" customHeight="1"/>
    <row r="381" s="100" customFormat="1" ht="15.75" customHeight="1"/>
    <row r="382" s="100" customFormat="1" ht="15.75" customHeight="1"/>
    <row r="383" s="100" customFormat="1" ht="15.75" customHeight="1"/>
    <row r="384" s="100" customFormat="1" ht="15.75" customHeight="1"/>
    <row r="385" s="100" customFormat="1" ht="15.75" customHeight="1"/>
    <row r="386" s="100" customFormat="1" ht="15.75" customHeight="1"/>
    <row r="387" s="100" customFormat="1" ht="15.75" customHeight="1"/>
    <row r="388" s="100" customFormat="1" ht="15.75" customHeight="1"/>
    <row r="389" s="100" customFormat="1" ht="15.75" customHeight="1"/>
    <row r="390" s="100" customFormat="1" ht="15.75" customHeight="1"/>
    <row r="391" s="100" customFormat="1" ht="15.75" customHeight="1"/>
    <row r="392" s="100" customFormat="1" ht="15.75" customHeight="1"/>
    <row r="393" s="100" customFormat="1" ht="15.75" customHeight="1"/>
    <row r="394" s="100" customFormat="1" ht="15.75" customHeight="1"/>
    <row r="395" s="100" customFormat="1" ht="15.75" customHeight="1"/>
    <row r="396" s="100" customFormat="1" ht="15.75" customHeight="1"/>
    <row r="397" s="100" customFormat="1" ht="15.75" customHeight="1"/>
    <row r="398" s="100" customFormat="1" ht="15.75" customHeight="1"/>
    <row r="399" s="100" customFormat="1" ht="15.75" customHeight="1"/>
    <row r="400" s="100" customFormat="1" ht="15.75" customHeight="1"/>
    <row r="401" s="100" customFormat="1" ht="15.75" customHeight="1"/>
    <row r="402" s="100" customFormat="1" ht="15.75" customHeight="1"/>
    <row r="403" s="100" customFormat="1" ht="15.75" customHeight="1"/>
    <row r="404" s="100" customFormat="1" ht="15.75" customHeight="1"/>
    <row r="405" s="100" customFormat="1" ht="15.75" customHeight="1"/>
    <row r="406" s="100" customFormat="1" ht="15.75" customHeight="1"/>
    <row r="407" s="100" customFormat="1" ht="15.75" customHeight="1"/>
    <row r="408" s="100" customFormat="1" ht="15.75" customHeight="1"/>
    <row r="409" s="100" customFormat="1" ht="15.75" customHeight="1"/>
    <row r="410" s="100" customFormat="1" ht="15.75" customHeight="1"/>
    <row r="411" s="100" customFormat="1" ht="15.75" customHeight="1"/>
    <row r="412" s="100" customFormat="1" ht="15.75" customHeight="1"/>
    <row r="413" s="100" customFormat="1" ht="15.75" customHeight="1"/>
    <row r="414" s="100" customFormat="1" ht="15.75" customHeight="1"/>
    <row r="415" s="100" customFormat="1" ht="15.75" customHeight="1"/>
    <row r="416" s="100" customFormat="1" ht="15.75" customHeight="1"/>
    <row r="417" s="100" customFormat="1" ht="15.75" customHeight="1"/>
    <row r="418" s="100" customFormat="1" ht="15.75" customHeight="1"/>
    <row r="419" s="100" customFormat="1" ht="15.75" customHeight="1"/>
    <row r="420" s="100" customFormat="1" ht="15.75" customHeight="1"/>
    <row r="421" s="100" customFormat="1" ht="15.75" customHeight="1"/>
    <row r="422" s="100" customFormat="1" ht="15.75" customHeight="1"/>
    <row r="423" s="100" customFormat="1" ht="15.75" customHeight="1"/>
    <row r="424" s="100" customFormat="1" ht="15.75" customHeight="1"/>
    <row r="425" s="100" customFormat="1" ht="15.75" customHeight="1"/>
    <row r="426" s="100" customFormat="1" ht="15.75" customHeight="1"/>
    <row r="427" s="100" customFormat="1" ht="15.75" customHeight="1"/>
    <row r="428" s="100" customFormat="1" ht="15.75" customHeight="1"/>
    <row r="429" s="100" customFormat="1" ht="15.75" customHeight="1"/>
    <row r="430" s="100" customFormat="1" ht="15.75" customHeight="1"/>
    <row r="431" s="100" customFormat="1" ht="15.75" customHeight="1"/>
    <row r="432" s="100" customFormat="1" ht="15.75" customHeight="1"/>
    <row r="433" s="100" customFormat="1" ht="15.75" customHeight="1"/>
    <row r="434" s="100" customFormat="1" ht="15.75" customHeight="1"/>
    <row r="435" s="100" customFormat="1" ht="15.75" customHeight="1"/>
    <row r="436" s="100" customFormat="1" ht="15.75" customHeight="1"/>
    <row r="437" s="100" customFormat="1" ht="15.75" customHeight="1"/>
    <row r="438" s="100" customFormat="1" ht="15.75" customHeight="1"/>
    <row r="439" s="100" customFormat="1" ht="15.75" customHeight="1"/>
    <row r="440" s="100" customFormat="1" ht="15.75" customHeight="1"/>
    <row r="441" s="100" customFormat="1" ht="15.75" customHeight="1"/>
    <row r="442" s="100" customFormat="1" ht="15.75" customHeight="1"/>
    <row r="443" s="100" customFormat="1" ht="15.75" customHeight="1"/>
    <row r="444" s="100" customFormat="1" ht="15.75" customHeight="1"/>
    <row r="445" s="100" customFormat="1" ht="15.75" customHeight="1"/>
    <row r="446" s="100" customFormat="1" ht="15.75" customHeight="1"/>
    <row r="447" s="100" customFormat="1" ht="15.75" customHeight="1"/>
    <row r="448" s="100" customFormat="1" ht="15.75" customHeight="1"/>
    <row r="449" s="100" customFormat="1" ht="15.75" customHeight="1"/>
    <row r="450" s="100" customFormat="1" ht="15.75" customHeight="1"/>
    <row r="451" s="100" customFormat="1" ht="15.75" customHeight="1"/>
    <row r="452" s="100" customFormat="1" ht="15.75" customHeight="1"/>
    <row r="453" s="100" customFormat="1" ht="15.75" customHeight="1"/>
    <row r="454" s="100" customFormat="1" ht="15.75" customHeight="1"/>
    <row r="455" s="100" customFormat="1" ht="15.75" customHeight="1"/>
    <row r="456" s="100" customFormat="1" ht="15.75" customHeight="1"/>
    <row r="457" s="100" customFormat="1" ht="15.75" customHeight="1"/>
    <row r="458" s="100" customFormat="1" ht="15.75" customHeight="1"/>
    <row r="459" s="100" customFormat="1" ht="15.75" customHeight="1"/>
    <row r="460" s="100" customFormat="1" ht="15.75" customHeight="1"/>
    <row r="461" s="100" customFormat="1" ht="15.75" customHeight="1"/>
    <row r="462" s="100" customFormat="1" ht="15.75" customHeight="1"/>
    <row r="463" s="100" customFormat="1" ht="15.75" customHeight="1"/>
    <row r="464" s="100" customFormat="1" ht="15.75" customHeight="1"/>
    <row r="465" s="100" customFormat="1" ht="15.75" customHeight="1"/>
    <row r="466" s="100" customFormat="1" ht="15.75" customHeight="1"/>
    <row r="467" s="100" customFormat="1" ht="15.75" customHeight="1"/>
    <row r="468" s="100" customFormat="1" ht="15.75" customHeight="1"/>
    <row r="469" s="100" customFormat="1" ht="15.75" customHeight="1"/>
    <row r="470" s="100" customFormat="1" ht="15.75" customHeight="1"/>
    <row r="471" s="100" customFormat="1" ht="15.75" customHeight="1"/>
    <row r="472" s="100" customFormat="1" ht="15.75" customHeight="1"/>
    <row r="473" s="100" customFormat="1" ht="15.75" customHeight="1"/>
    <row r="474" s="100" customFormat="1" ht="15.75" customHeight="1"/>
    <row r="475" s="100" customFormat="1" ht="15.75" customHeight="1"/>
    <row r="476" s="100" customFormat="1" ht="15.75" customHeight="1"/>
    <row r="477" s="100" customFormat="1" ht="15.75" customHeight="1"/>
    <row r="478" s="100" customFormat="1" ht="15.75" customHeight="1"/>
    <row r="479" s="100" customFormat="1" ht="15.75" customHeight="1"/>
    <row r="480" s="100" customFormat="1" ht="15.75" customHeight="1"/>
    <row r="481" s="100" customFormat="1" ht="15.75" customHeight="1"/>
    <row r="482" s="100" customFormat="1" ht="15.75" customHeight="1"/>
    <row r="483" s="100" customFormat="1" ht="15.75" customHeight="1"/>
    <row r="484" s="100" customFormat="1" ht="15.75" customHeight="1"/>
    <row r="485" s="100" customFormat="1" ht="15.75" customHeight="1"/>
    <row r="486" s="100" customFormat="1" ht="15.75" customHeight="1"/>
    <row r="487" s="100" customFormat="1" ht="15.75" customHeight="1"/>
    <row r="488" s="100" customFormat="1" ht="15.75" customHeight="1"/>
    <row r="489" s="100" customFormat="1" ht="15.75" customHeight="1"/>
    <row r="490" s="100" customFormat="1" ht="15.75" customHeight="1"/>
    <row r="491" s="100" customFormat="1" ht="15.75" customHeight="1"/>
    <row r="492" s="100" customFormat="1" ht="15.75" customHeight="1"/>
    <row r="493" s="100" customFormat="1" ht="15.75" customHeight="1"/>
    <row r="494" s="100" customFormat="1" ht="15.75" customHeight="1"/>
    <row r="495" s="100" customFormat="1" ht="15.75" customHeight="1"/>
    <row r="496" s="100" customFormat="1" ht="15.75" customHeight="1"/>
    <row r="497" s="100" customFormat="1" ht="15.75" customHeight="1"/>
    <row r="498" s="100" customFormat="1" ht="15.75" customHeight="1"/>
    <row r="499" s="100" customFormat="1" ht="15.75" customHeight="1"/>
    <row r="500" s="100" customFormat="1" ht="15.75" customHeight="1"/>
    <row r="501" s="100" customFormat="1" ht="15.75" customHeight="1"/>
    <row r="502" s="100" customFormat="1" ht="15.75" customHeight="1"/>
    <row r="503" s="100" customFormat="1" ht="15.75" customHeight="1"/>
    <row r="504" s="100" customFormat="1" ht="15.75" customHeight="1"/>
    <row r="505" s="100" customFormat="1" ht="15.75" customHeight="1"/>
    <row r="506" s="100" customFormat="1" ht="15.75" customHeight="1"/>
    <row r="507" s="100" customFormat="1" ht="15.75" customHeight="1"/>
    <row r="508" s="100" customFormat="1" ht="15.75" customHeight="1"/>
    <row r="509" s="100" customFormat="1" ht="15.75" customHeight="1"/>
    <row r="510" s="100" customFormat="1" ht="15.75" customHeight="1"/>
    <row r="511" s="100" customFormat="1" ht="15.75" customHeight="1"/>
    <row r="512" s="100" customFormat="1" ht="15.75" customHeight="1"/>
    <row r="513" s="100" customFormat="1" ht="15.75" customHeight="1"/>
    <row r="514" s="100" customFormat="1" ht="15.75" customHeight="1"/>
    <row r="515" s="100" customFormat="1" ht="15.75" customHeight="1"/>
    <row r="516" s="100" customFormat="1" ht="15.75" customHeight="1"/>
    <row r="517" s="100" customFormat="1" ht="15.75" customHeight="1"/>
    <row r="518" s="100" customFormat="1" ht="15.75" customHeight="1"/>
    <row r="519" s="100" customFormat="1" ht="15.75" customHeight="1"/>
    <row r="520" s="100" customFormat="1" ht="15.75" customHeight="1"/>
    <row r="521" s="100" customFormat="1" ht="15.75" customHeight="1"/>
    <row r="522" s="100" customFormat="1" ht="15.75" customHeight="1"/>
    <row r="523" s="100" customFormat="1" ht="15.75" customHeight="1"/>
    <row r="524" s="100" customFormat="1" ht="15.75" customHeight="1"/>
    <row r="525" s="100" customFormat="1" ht="15.75" customHeight="1"/>
    <row r="526" s="100" customFormat="1" ht="15.75" customHeight="1"/>
    <row r="527" s="100" customFormat="1" ht="15.75" customHeight="1"/>
    <row r="528" s="100" customFormat="1" ht="15.75" customHeight="1"/>
    <row r="529" s="100" customFormat="1" ht="15.75" customHeight="1"/>
    <row r="530" s="100" customFormat="1" ht="15.75" customHeight="1"/>
    <row r="531" s="100" customFormat="1" ht="15.75" customHeight="1"/>
    <row r="532" s="100" customFormat="1" ht="15.75" customHeight="1"/>
    <row r="533" s="100" customFormat="1" ht="15.75" customHeight="1"/>
    <row r="534" s="100" customFormat="1" ht="15.75" customHeight="1"/>
    <row r="535" s="100" customFormat="1" ht="15.75" customHeight="1"/>
    <row r="536" s="100" customFormat="1" ht="15.75" customHeight="1"/>
    <row r="537" s="100" customFormat="1" ht="15.75" customHeight="1"/>
    <row r="538" s="100" customFormat="1" ht="15.75" customHeight="1"/>
    <row r="539" s="100" customFormat="1" ht="15.75" customHeight="1"/>
    <row r="540" s="100" customFormat="1" ht="15.75" customHeight="1"/>
    <row r="541" s="100" customFormat="1" ht="15.75" customHeight="1"/>
    <row r="542" s="100" customFormat="1" ht="15.75" customHeight="1"/>
    <row r="543" s="100" customFormat="1" ht="15.75" customHeight="1"/>
    <row r="544" s="100" customFormat="1" ht="15.75" customHeight="1"/>
    <row r="545" s="100" customFormat="1" ht="15.75" customHeight="1"/>
    <row r="546" s="100" customFormat="1" ht="15.75" customHeight="1"/>
    <row r="547" s="100" customFormat="1" ht="15.75" customHeight="1"/>
    <row r="548" s="100" customFormat="1" ht="15.75" customHeight="1"/>
    <row r="549" s="100" customFormat="1" ht="15.75" customHeight="1"/>
    <row r="550" s="100" customFormat="1" ht="15.75" customHeight="1"/>
    <row r="551" s="100" customFormat="1" ht="15.75" customHeight="1"/>
    <row r="552" s="100" customFormat="1" ht="15.75" customHeight="1"/>
    <row r="553" s="100" customFormat="1" ht="15.75" customHeight="1"/>
    <row r="554" s="100" customFormat="1" ht="15.75" customHeight="1"/>
    <row r="555" s="100" customFormat="1" ht="15.75" customHeight="1"/>
    <row r="556" s="100" customFormat="1" ht="15.75" customHeight="1"/>
    <row r="557" s="100" customFormat="1" ht="15.75" customHeight="1"/>
    <row r="558" s="100" customFormat="1" ht="15.75" customHeight="1"/>
    <row r="559" s="100" customFormat="1" ht="15.75" customHeight="1"/>
    <row r="560" s="100" customFormat="1" ht="15.75" customHeight="1"/>
    <row r="561" s="100" customFormat="1" ht="15.75" customHeight="1"/>
    <row r="562" s="100" customFormat="1" ht="15.75" customHeight="1"/>
    <row r="563" s="100" customFormat="1" ht="15.75" customHeight="1"/>
    <row r="564" s="100" customFormat="1" ht="15.75" customHeight="1"/>
    <row r="565" s="100" customFormat="1" ht="15.75" customHeight="1"/>
    <row r="566" s="100" customFormat="1" ht="15.75" customHeight="1"/>
    <row r="567" s="100" customFormat="1" ht="15.75" customHeight="1"/>
    <row r="568" s="100" customFormat="1" ht="15.75" customHeight="1"/>
    <row r="569" s="100" customFormat="1" ht="15.75" customHeight="1"/>
    <row r="570" s="100" customFormat="1" ht="15.75" customHeight="1"/>
    <row r="571" s="100" customFormat="1" ht="15.75" customHeight="1"/>
    <row r="572" s="100" customFormat="1" ht="15.75" customHeight="1"/>
    <row r="573" s="100" customFormat="1" ht="15.75" customHeight="1"/>
    <row r="574" s="100" customFormat="1" ht="15.75" customHeight="1"/>
    <row r="575" s="100" customFormat="1" ht="15.75" customHeight="1"/>
    <row r="576" s="100" customFormat="1" ht="15.75" customHeight="1"/>
    <row r="577" s="100" customFormat="1" ht="15.75" customHeight="1"/>
    <row r="578" s="100" customFormat="1" ht="15.75" customHeight="1"/>
    <row r="579" s="100" customFormat="1" ht="15.75" customHeight="1"/>
    <row r="580" s="100" customFormat="1" ht="15.75" customHeight="1"/>
    <row r="581" s="100" customFormat="1" ht="15.75" customHeight="1"/>
    <row r="582" s="100" customFormat="1" ht="15.75" customHeight="1"/>
    <row r="583" s="100" customFormat="1" ht="15.75" customHeight="1"/>
    <row r="584" s="100" customFormat="1" ht="15.75" customHeight="1"/>
    <row r="585" s="100" customFormat="1" ht="15.75" customHeight="1"/>
    <row r="586" s="100" customFormat="1" ht="15.75" customHeight="1"/>
    <row r="587" s="100" customFormat="1" ht="15.75" customHeight="1"/>
    <row r="588" s="100" customFormat="1" ht="15.75" customHeight="1"/>
    <row r="589" s="100" customFormat="1" ht="15.75" customHeight="1"/>
    <row r="590" s="100" customFormat="1" ht="15.75" customHeight="1"/>
    <row r="591" s="100" customFormat="1" ht="15.75" customHeight="1"/>
    <row r="592" s="100" customFormat="1" ht="15.75" customHeight="1"/>
    <row r="593" s="100" customFormat="1" ht="15.75" customHeight="1"/>
    <row r="594" s="100" customFormat="1" ht="15.75" customHeight="1"/>
    <row r="595" s="100" customFormat="1" ht="15.75" customHeight="1"/>
    <row r="596" s="100" customFormat="1" ht="15.75" customHeight="1"/>
    <row r="597" s="100" customFormat="1" ht="15.75" customHeight="1"/>
    <row r="598" s="100" customFormat="1" ht="15.75" customHeight="1"/>
    <row r="599" s="100" customFormat="1" ht="15.75" customHeight="1"/>
    <row r="600" s="100" customFormat="1" ht="15.75" customHeight="1"/>
    <row r="601" s="100" customFormat="1" ht="15.75" customHeight="1"/>
    <row r="602" s="100" customFormat="1" ht="15.75" customHeight="1"/>
    <row r="603" s="100" customFormat="1" ht="15.75" customHeight="1"/>
    <row r="604" s="100" customFormat="1" ht="15.75" customHeight="1"/>
    <row r="605" s="100" customFormat="1" ht="15.75" customHeight="1"/>
    <row r="606" s="100" customFormat="1" ht="15.75" customHeight="1"/>
    <row r="607" s="100" customFormat="1" ht="15.75" customHeight="1"/>
    <row r="608" s="100" customFormat="1" ht="15.75" customHeight="1"/>
    <row r="609" s="100" customFormat="1" ht="15.75" customHeight="1"/>
    <row r="610" s="100" customFormat="1" ht="15.75" customHeight="1"/>
    <row r="611" s="100" customFormat="1" ht="15.75" customHeight="1"/>
    <row r="612" s="100" customFormat="1" ht="15.75" customHeight="1"/>
    <row r="613" s="100" customFormat="1" ht="15.75" customHeight="1"/>
    <row r="614" s="100" customFormat="1" ht="15.75" customHeight="1"/>
    <row r="615" s="100" customFormat="1" ht="15.75" customHeight="1"/>
    <row r="616" s="100" customFormat="1" ht="15.75" customHeight="1"/>
    <row r="617" s="100" customFormat="1" ht="15.75" customHeight="1"/>
    <row r="618" s="100" customFormat="1" ht="15.75" customHeight="1"/>
    <row r="619" s="100" customFormat="1" ht="15.75" customHeight="1"/>
    <row r="620" s="100" customFormat="1" ht="15.75" customHeight="1"/>
    <row r="621" s="100" customFormat="1" ht="15.75" customHeight="1"/>
    <row r="622" s="100" customFormat="1" ht="15.75" customHeight="1"/>
    <row r="623" s="100" customFormat="1" ht="15.75" customHeight="1"/>
    <row r="624" s="100" customFormat="1" ht="15.75" customHeight="1"/>
    <row r="625" s="100" customFormat="1" ht="15.75" customHeight="1"/>
    <row r="626" s="100" customFormat="1" ht="15.75" customHeight="1"/>
    <row r="627" s="100" customFormat="1" ht="15.75" customHeight="1"/>
    <row r="628" s="100" customFormat="1" ht="15.75" customHeight="1"/>
    <row r="629" s="100" customFormat="1" ht="15.75" customHeight="1"/>
    <row r="630" s="100" customFormat="1" ht="15.75" customHeight="1"/>
    <row r="631" s="100" customFormat="1" ht="15.75" customHeight="1"/>
    <row r="632" s="100" customFormat="1" ht="15.75" customHeight="1"/>
    <row r="633" s="100" customFormat="1" ht="15.75" customHeight="1"/>
    <row r="634" s="100" customFormat="1" ht="15.75" customHeight="1"/>
    <row r="635" s="100" customFormat="1" ht="15.75" customHeight="1"/>
    <row r="636" s="100" customFormat="1" ht="15.75" customHeight="1"/>
    <row r="637" s="100" customFormat="1" ht="15.75" customHeight="1"/>
    <row r="638" s="100" customFormat="1" ht="15.75" customHeight="1"/>
    <row r="639" s="100" customFormat="1" ht="15.75" customHeight="1"/>
    <row r="640" s="100" customFormat="1" ht="15.75" customHeight="1"/>
    <row r="641" s="100" customFormat="1" ht="15.75" customHeight="1"/>
    <row r="642" s="100" customFormat="1" ht="15.75" customHeight="1"/>
    <row r="643" s="100" customFormat="1" ht="15.75" customHeight="1"/>
    <row r="644" s="100" customFormat="1" ht="15.75" customHeight="1"/>
    <row r="645" s="100" customFormat="1" ht="15.75" customHeight="1"/>
    <row r="646" s="100" customFormat="1" ht="15.75" customHeight="1"/>
    <row r="647" s="100" customFormat="1" ht="15.75" customHeight="1"/>
    <row r="648" s="100" customFormat="1" ht="15.75" customHeight="1"/>
    <row r="649" s="100" customFormat="1" ht="15.75" customHeight="1"/>
    <row r="650" s="100" customFormat="1" ht="15.75" customHeight="1"/>
    <row r="651" s="100" customFormat="1" ht="15.75" customHeight="1"/>
    <row r="652" s="100" customFormat="1" ht="15.75" customHeight="1"/>
    <row r="653" s="100" customFormat="1" ht="15.75" customHeight="1"/>
    <row r="654" s="100" customFormat="1" ht="15.75" customHeight="1"/>
    <row r="655" s="100" customFormat="1" ht="15.75" customHeight="1"/>
    <row r="656" s="100" customFormat="1" ht="15.75" customHeight="1"/>
    <row r="657" s="100" customFormat="1" ht="15.75" customHeight="1"/>
    <row r="658" s="100" customFormat="1" ht="15.75" customHeight="1"/>
    <row r="659" s="100" customFormat="1" ht="15.75" customHeight="1"/>
    <row r="660" s="100" customFormat="1" ht="15.75" customHeight="1"/>
    <row r="661" s="100" customFormat="1" ht="15.75" customHeight="1"/>
    <row r="662" s="100" customFormat="1" ht="15.75" customHeight="1"/>
    <row r="663" s="100" customFormat="1" ht="15.75" customHeight="1"/>
    <row r="664" s="100" customFormat="1" ht="15.75" customHeight="1"/>
    <row r="665" s="100" customFormat="1" ht="15.75" customHeight="1"/>
    <row r="666" s="100" customFormat="1" ht="15.75" customHeight="1"/>
    <row r="667" s="100" customFormat="1" ht="15.75" customHeight="1"/>
    <row r="668" s="100" customFormat="1" ht="15.75" customHeight="1"/>
    <row r="669" s="100" customFormat="1" ht="15.75" customHeight="1"/>
    <row r="670" s="100" customFormat="1" ht="15.75" customHeight="1"/>
    <row r="671" s="100" customFormat="1" ht="15.75" customHeight="1"/>
    <row r="672" s="100" customFormat="1" ht="15.75" customHeight="1"/>
    <row r="673" s="100" customFormat="1" ht="15.75" customHeight="1"/>
    <row r="674" s="100" customFormat="1" ht="15.75" customHeight="1"/>
    <row r="675" s="100" customFormat="1" ht="15.75" customHeight="1"/>
    <row r="676" s="100" customFormat="1" ht="15.75" customHeight="1"/>
    <row r="677" s="100" customFormat="1" ht="15.75" customHeight="1"/>
    <row r="678" s="100" customFormat="1" ht="15.75" customHeight="1"/>
    <row r="679" s="100" customFormat="1" ht="15.75" customHeight="1"/>
    <row r="680" s="100" customFormat="1" ht="15.75" customHeight="1"/>
    <row r="681" s="100" customFormat="1" ht="15.75" customHeight="1"/>
    <row r="682" s="100" customFormat="1" ht="15.75" customHeight="1"/>
    <row r="683" s="100" customFormat="1" ht="15.75" customHeight="1"/>
    <row r="684" s="100" customFormat="1" ht="15.75" customHeight="1"/>
    <row r="685" s="100" customFormat="1" ht="15.75" customHeight="1"/>
    <row r="686" s="100" customFormat="1" ht="15.75" customHeight="1"/>
    <row r="687" s="100" customFormat="1" ht="15.75" customHeight="1"/>
    <row r="688" s="100" customFormat="1" ht="15.75" customHeight="1"/>
    <row r="689" s="100" customFormat="1" ht="15.75" customHeight="1"/>
    <row r="690" s="100" customFormat="1" ht="15.75" customHeight="1"/>
    <row r="691" s="100" customFormat="1" ht="15.75" customHeight="1"/>
    <row r="692" s="100" customFormat="1" ht="15.75" customHeight="1"/>
    <row r="693" s="100" customFormat="1" ht="15.75" customHeight="1"/>
    <row r="694" s="100" customFormat="1" ht="15.75" customHeight="1"/>
    <row r="695" s="100" customFormat="1" ht="15.75" customHeight="1"/>
    <row r="696" s="100" customFormat="1" ht="15.75" customHeight="1"/>
    <row r="697" s="100" customFormat="1" ht="15.75" customHeight="1"/>
    <row r="698" s="100" customFormat="1" ht="15.75" customHeight="1"/>
    <row r="699" s="100" customFormat="1" ht="15.75" customHeight="1"/>
    <row r="700" s="100" customFormat="1" ht="15.75" customHeight="1"/>
    <row r="701" s="100" customFormat="1" ht="15.75" customHeight="1"/>
    <row r="702" s="100" customFormat="1" ht="15.75" customHeight="1"/>
    <row r="703" s="100" customFormat="1" ht="15.75" customHeight="1"/>
    <row r="704" s="100" customFormat="1" ht="15.75" customHeight="1"/>
    <row r="705" s="100" customFormat="1" ht="15.75" customHeight="1"/>
    <row r="706" s="100" customFormat="1" ht="15.75" customHeight="1"/>
    <row r="707" s="100" customFormat="1" ht="15.75" customHeight="1"/>
    <row r="708" s="100" customFormat="1" ht="15.75" customHeight="1"/>
    <row r="709" s="100" customFormat="1" ht="15.75" customHeight="1"/>
    <row r="710" s="100" customFormat="1" ht="15.75" customHeight="1"/>
    <row r="711" s="100" customFormat="1" ht="15.75" customHeight="1"/>
    <row r="712" s="100" customFormat="1" ht="15.75" customHeight="1"/>
    <row r="713" s="100" customFormat="1" ht="15.75" customHeight="1"/>
    <row r="714" s="100" customFormat="1" ht="15.75" customHeight="1"/>
    <row r="715" s="100" customFormat="1" ht="15.75" customHeight="1"/>
    <row r="716" s="100" customFormat="1" ht="15.75" customHeight="1"/>
    <row r="717" s="100" customFormat="1" ht="15.75" customHeight="1"/>
    <row r="718" s="100" customFormat="1" ht="15.75" customHeight="1"/>
    <row r="719" s="100" customFormat="1" ht="15.75" customHeight="1"/>
    <row r="720" s="100" customFormat="1" ht="15.75" customHeight="1"/>
    <row r="721" s="100" customFormat="1" ht="15.75" customHeight="1"/>
    <row r="722" s="100" customFormat="1" ht="15.75" customHeight="1"/>
    <row r="723" s="100" customFormat="1" ht="15.75" customHeight="1"/>
    <row r="724" s="100" customFormat="1" ht="15.75" customHeight="1"/>
    <row r="725" s="100" customFormat="1" ht="15.75" customHeight="1"/>
    <row r="726" s="100" customFormat="1" ht="15.75" customHeight="1"/>
    <row r="727" s="100" customFormat="1" ht="15.75" customHeight="1"/>
    <row r="728" s="100" customFormat="1" ht="15.75" customHeight="1"/>
    <row r="729" s="100" customFormat="1" ht="15.75" customHeight="1"/>
    <row r="730" s="100" customFormat="1" ht="15.75" customHeight="1"/>
    <row r="731" s="100" customFormat="1" ht="15.75" customHeight="1"/>
    <row r="732" s="100" customFormat="1" ht="15.75" customHeight="1"/>
    <row r="733" s="100" customFormat="1" ht="15.75" customHeight="1"/>
    <row r="734" s="100" customFormat="1" ht="15.75" customHeight="1"/>
    <row r="735" s="100" customFormat="1" ht="15.75" customHeight="1"/>
    <row r="736" s="100" customFormat="1" ht="15.75" customHeight="1"/>
    <row r="737" s="100" customFormat="1" ht="15.75" customHeight="1"/>
    <row r="738" s="100" customFormat="1" ht="15.75" customHeight="1"/>
    <row r="739" s="100" customFormat="1" ht="15.75" customHeight="1"/>
    <row r="740" s="100" customFormat="1" ht="15.75" customHeight="1"/>
    <row r="741" s="100" customFormat="1" ht="15.75" customHeight="1"/>
    <row r="742" s="100" customFormat="1" ht="15.75" customHeight="1"/>
    <row r="743" s="100" customFormat="1" ht="15.75" customHeight="1"/>
    <row r="744" s="100" customFormat="1" ht="15.75" customHeight="1"/>
    <row r="745" s="100" customFormat="1" ht="15.75" customHeight="1"/>
    <row r="746" s="100" customFormat="1" ht="15.75" customHeight="1"/>
    <row r="747" s="100" customFormat="1" ht="15.75" customHeight="1"/>
    <row r="748" s="100" customFormat="1" ht="15.75" customHeight="1"/>
    <row r="749" s="100" customFormat="1" ht="15.75" customHeight="1"/>
    <row r="750" s="100" customFormat="1" ht="15.75" customHeight="1"/>
    <row r="751" s="100" customFormat="1" ht="15.75" customHeight="1"/>
    <row r="752" s="100" customFormat="1" ht="15.75" customHeight="1"/>
    <row r="753" s="100" customFormat="1" ht="15.75" customHeight="1"/>
    <row r="754" s="100" customFormat="1" ht="15.75" customHeight="1"/>
    <row r="755" s="100" customFormat="1" ht="15.75" customHeight="1"/>
    <row r="756" s="100" customFormat="1" ht="15.75" customHeight="1"/>
    <row r="757" s="100" customFormat="1" ht="15.75" customHeight="1"/>
    <row r="758" s="100" customFormat="1" ht="15.75" customHeight="1"/>
    <row r="759" s="100" customFormat="1" ht="15.75" customHeight="1"/>
    <row r="760" s="100" customFormat="1" ht="15.75" customHeight="1"/>
    <row r="761" s="100" customFormat="1" ht="15.75" customHeight="1"/>
    <row r="762" s="100" customFormat="1" ht="15.75" customHeight="1"/>
    <row r="763" s="100" customFormat="1" ht="15.75" customHeight="1"/>
    <row r="764" s="100" customFormat="1" ht="15.75" customHeight="1"/>
    <row r="765" s="100" customFormat="1" ht="15.75" customHeight="1"/>
    <row r="766" s="100" customFormat="1" ht="15.75" customHeight="1"/>
    <row r="767" s="100" customFormat="1" ht="15.75" customHeight="1"/>
    <row r="768" s="100" customFormat="1" ht="15.75" customHeight="1"/>
    <row r="769" s="100" customFormat="1" ht="15.75" customHeight="1"/>
    <row r="770" s="100" customFormat="1" ht="15.75" customHeight="1"/>
    <row r="771" s="100" customFormat="1" ht="15.75" customHeight="1"/>
    <row r="772" s="100" customFormat="1" ht="15.75" customHeight="1"/>
    <row r="773" s="100" customFormat="1" ht="15.75" customHeight="1"/>
    <row r="774" s="100" customFormat="1" ht="15.75" customHeight="1"/>
    <row r="775" s="100" customFormat="1" ht="15.75" customHeight="1"/>
    <row r="776" s="100" customFormat="1" ht="15.75" customHeight="1"/>
    <row r="777" s="100" customFormat="1" ht="15.75" customHeight="1"/>
    <row r="778" s="100" customFormat="1" ht="15.75" customHeight="1"/>
    <row r="779" s="100" customFormat="1" ht="15.75" customHeight="1"/>
    <row r="780" s="100" customFormat="1" ht="15.75" customHeight="1"/>
    <row r="781" s="100" customFormat="1" ht="15.75" customHeight="1"/>
    <row r="782" s="100" customFormat="1" ht="15.75" customHeight="1"/>
    <row r="783" s="100" customFormat="1" ht="15.75" customHeight="1"/>
    <row r="784" s="100" customFormat="1" ht="15.75" customHeight="1"/>
    <row r="785" s="100" customFormat="1" ht="15.75" customHeight="1"/>
    <row r="786" s="100" customFormat="1" ht="15.75" customHeight="1"/>
    <row r="787" s="100" customFormat="1" ht="15.75" customHeight="1"/>
    <row r="788" s="100" customFormat="1" ht="15.75" customHeight="1"/>
    <row r="789" s="100" customFormat="1" ht="15.75" customHeight="1"/>
    <row r="790" s="100" customFormat="1" ht="15.75" customHeight="1"/>
    <row r="791" s="100" customFormat="1" ht="15.75" customHeight="1"/>
    <row r="792" s="100" customFormat="1" ht="15.75" customHeight="1"/>
    <row r="793" s="100" customFormat="1" ht="15.75" customHeight="1"/>
    <row r="794" s="100" customFormat="1" ht="15.75" customHeight="1"/>
    <row r="795" s="100" customFormat="1" ht="15.75" customHeight="1"/>
    <row r="796" s="100" customFormat="1" ht="15.75" customHeight="1"/>
    <row r="797" s="100" customFormat="1" ht="15.75" customHeight="1"/>
    <row r="798" s="100" customFormat="1" ht="15.75" customHeight="1"/>
    <row r="799" s="100" customFormat="1" ht="15.75" customHeight="1"/>
    <row r="800" s="100" customFormat="1" ht="15.75" customHeight="1"/>
    <row r="801" s="100" customFormat="1" ht="15.75" customHeight="1"/>
    <row r="802" s="100" customFormat="1" ht="15.75" customHeight="1"/>
    <row r="803" s="100" customFormat="1" ht="15.75" customHeight="1"/>
    <row r="804" s="100" customFormat="1" ht="15.75" customHeight="1"/>
    <row r="805" s="100" customFormat="1" ht="15.75" customHeight="1"/>
    <row r="806" s="100" customFormat="1" ht="15.75" customHeight="1"/>
    <row r="807" s="100" customFormat="1" ht="15.75" customHeight="1"/>
    <row r="808" s="100" customFormat="1" ht="15.75" customHeight="1"/>
    <row r="809" s="100" customFormat="1" ht="15.75" customHeight="1"/>
    <row r="810" s="100" customFormat="1" ht="15.75" customHeight="1"/>
    <row r="811" s="100" customFormat="1" ht="15.75" customHeight="1"/>
    <row r="812" s="100" customFormat="1" ht="15.75" customHeight="1"/>
    <row r="813" s="100" customFormat="1" ht="15.75" customHeight="1"/>
    <row r="814" s="100" customFormat="1" ht="15.75" customHeight="1"/>
    <row r="815" s="100" customFormat="1" ht="15.75" customHeight="1"/>
    <row r="816" s="100" customFormat="1" ht="15.75" customHeight="1"/>
    <row r="817" s="100" customFormat="1" ht="15.75" customHeight="1"/>
    <row r="818" s="100" customFormat="1" ht="15.75" customHeight="1"/>
    <row r="819" s="100" customFormat="1" ht="15.75" customHeight="1"/>
    <row r="820" s="100" customFormat="1" ht="15.75" customHeight="1"/>
    <row r="821" s="100" customFormat="1" ht="15.75" customHeight="1"/>
    <row r="822" s="100" customFormat="1" ht="15.75" customHeight="1"/>
    <row r="823" s="100" customFormat="1" ht="15.75" customHeight="1"/>
    <row r="824" s="100" customFormat="1" ht="15.75" customHeight="1"/>
    <row r="825" s="100" customFormat="1" ht="15.75" customHeight="1"/>
    <row r="826" s="100" customFormat="1" ht="15.75" customHeight="1"/>
    <row r="827" s="100" customFormat="1" ht="15.75" customHeight="1"/>
    <row r="828" s="100" customFormat="1" ht="15.75" customHeight="1"/>
    <row r="829" s="100" customFormat="1" ht="15.75" customHeight="1"/>
    <row r="830" s="100" customFormat="1" ht="15.75" customHeight="1"/>
    <row r="831" s="100" customFormat="1" ht="15.75" customHeight="1"/>
    <row r="832" s="100" customFormat="1" ht="15.75" customHeight="1"/>
    <row r="833" s="100" customFormat="1" ht="15.75" customHeight="1"/>
    <row r="834" s="100" customFormat="1" ht="15.75" customHeight="1"/>
    <row r="835" s="100" customFormat="1" ht="15.75" customHeight="1"/>
    <row r="836" s="100" customFormat="1" ht="15.75" customHeight="1"/>
    <row r="837" s="100" customFormat="1" ht="15.75" customHeight="1"/>
    <row r="838" s="100" customFormat="1" ht="15.75" customHeight="1"/>
    <row r="839" s="100" customFormat="1" ht="15.75" customHeight="1"/>
    <row r="840" s="100" customFormat="1" ht="15.75" customHeight="1"/>
    <row r="841" s="100" customFormat="1" ht="15.75" customHeight="1"/>
    <row r="842" s="100" customFormat="1" ht="15.75" customHeight="1"/>
    <row r="843" s="100" customFormat="1" ht="15.75" customHeight="1"/>
    <row r="844" s="100" customFormat="1" ht="15.75" customHeight="1"/>
    <row r="845" s="100" customFormat="1" ht="15.75" customHeight="1"/>
    <row r="846" s="100" customFormat="1" ht="15.75" customHeight="1"/>
    <row r="847" s="100" customFormat="1" ht="15.75" customHeight="1"/>
    <row r="848" s="100" customFormat="1" ht="15.75" customHeight="1"/>
    <row r="849" s="100" customFormat="1" ht="15.75" customHeight="1"/>
    <row r="850" s="100" customFormat="1" ht="15.75" customHeight="1"/>
    <row r="851" s="100" customFormat="1" ht="15.75" customHeight="1"/>
    <row r="852" s="100" customFormat="1" ht="15.75" customHeight="1"/>
    <row r="853" s="100" customFormat="1" ht="15.75" customHeight="1"/>
    <row r="854" s="100" customFormat="1" ht="15.75" customHeight="1"/>
    <row r="855" s="100" customFormat="1" ht="15.75" customHeight="1"/>
    <row r="856" s="100" customFormat="1" ht="15.75" customHeight="1"/>
    <row r="857" s="100" customFormat="1" ht="15.75" customHeight="1"/>
    <row r="858" s="100" customFormat="1" ht="15.75" customHeight="1"/>
    <row r="859" s="100" customFormat="1" ht="15.75" customHeight="1"/>
    <row r="860" s="100" customFormat="1" ht="15.75" customHeight="1"/>
    <row r="861" s="100" customFormat="1" ht="15.75" customHeight="1"/>
    <row r="862" s="100" customFormat="1" ht="15.75" customHeight="1"/>
    <row r="863" s="100" customFormat="1" ht="15.75" customHeight="1"/>
    <row r="864" s="100" customFormat="1" ht="15.75" customHeight="1"/>
    <row r="865" s="100" customFormat="1" ht="15.75" customHeight="1"/>
    <row r="866" s="100" customFormat="1" ht="15.75" customHeight="1"/>
    <row r="867" s="100" customFormat="1" ht="15.75" customHeight="1"/>
    <row r="868" s="100" customFormat="1" ht="15.75" customHeight="1"/>
    <row r="869" s="100" customFormat="1" ht="15.75" customHeight="1"/>
    <row r="870" s="100" customFormat="1" ht="15.75" customHeight="1"/>
    <row r="871" s="100" customFormat="1" ht="15.75" customHeight="1"/>
    <row r="872" s="100" customFormat="1" ht="15.75" customHeight="1"/>
    <row r="873" s="100" customFormat="1" ht="15.75" customHeight="1"/>
    <row r="874" s="100" customFormat="1" ht="15.75" customHeight="1"/>
    <row r="875" s="100" customFormat="1" ht="15.75" customHeight="1"/>
    <row r="876" s="100" customFormat="1" ht="15.75" customHeight="1"/>
    <row r="877" s="100" customFormat="1" ht="15.75" customHeight="1"/>
    <row r="878" s="100" customFormat="1" ht="15.75" customHeight="1"/>
    <row r="879" s="100" customFormat="1" ht="15.75" customHeight="1"/>
    <row r="880" s="100" customFormat="1" ht="15.75" customHeight="1"/>
    <row r="881" s="100" customFormat="1" ht="15.75" customHeight="1"/>
    <row r="882" s="100" customFormat="1" ht="15.75" customHeight="1"/>
    <row r="883" s="100" customFormat="1" ht="15.75" customHeight="1"/>
    <row r="884" s="100" customFormat="1" ht="15.75" customHeight="1"/>
    <row r="885" s="100" customFormat="1" ht="15.75" customHeight="1"/>
    <row r="886" s="100" customFormat="1" ht="15.75" customHeight="1"/>
    <row r="887" s="100" customFormat="1" ht="15.75" customHeight="1"/>
    <row r="888" s="100" customFormat="1" ht="15.75" customHeight="1"/>
    <row r="889" s="100" customFormat="1" ht="15.75" customHeight="1"/>
    <row r="890" s="100" customFormat="1" ht="15.75" customHeight="1"/>
    <row r="891" s="100" customFormat="1" ht="15.75" customHeight="1"/>
    <row r="892" s="100" customFormat="1" ht="15.75" customHeight="1"/>
    <row r="893" s="100" customFormat="1" ht="15.75" customHeight="1"/>
    <row r="894" s="100" customFormat="1" ht="15.75" customHeight="1"/>
    <row r="895" s="100" customFormat="1" ht="15.75" customHeight="1"/>
    <row r="896" s="100" customFormat="1" ht="15.75" customHeight="1"/>
    <row r="897" s="100" customFormat="1" ht="15.75" customHeight="1"/>
    <row r="898" s="100" customFormat="1" ht="15.75" customHeight="1"/>
    <row r="899" s="100" customFormat="1" ht="15.75" customHeight="1"/>
    <row r="900" s="100" customFormat="1" ht="15.75" customHeight="1"/>
    <row r="901" s="100" customFormat="1" ht="15.75" customHeight="1"/>
    <row r="902" s="100" customFormat="1" ht="15.75" customHeight="1"/>
    <row r="903" s="100" customFormat="1" ht="15.75" customHeight="1"/>
    <row r="904" s="100" customFormat="1" ht="15.75" customHeight="1"/>
    <row r="905" s="100" customFormat="1" ht="15.75" customHeight="1"/>
    <row r="906" s="100" customFormat="1" ht="15.75" customHeight="1"/>
    <row r="907" s="100" customFormat="1" ht="15.75" customHeight="1"/>
    <row r="908" s="100" customFormat="1" ht="15.75" customHeight="1"/>
    <row r="909" s="100" customFormat="1" ht="15.75" customHeight="1"/>
    <row r="910" s="100" customFormat="1" ht="15.75" customHeight="1"/>
    <row r="911" s="100" customFormat="1" ht="15.75" customHeight="1"/>
    <row r="912" s="100" customFormat="1" ht="15.75" customHeight="1"/>
    <row r="913" s="100" customFormat="1" ht="15.75" customHeight="1"/>
    <row r="914" s="100" customFormat="1" ht="15.75" customHeight="1"/>
    <row r="915" s="100" customFormat="1" ht="15.75" customHeight="1"/>
    <row r="916" s="100" customFormat="1" ht="15.75" customHeight="1"/>
    <row r="917" s="100" customFormat="1" ht="15.75" customHeight="1"/>
    <row r="918" s="100" customFormat="1" ht="15.75" customHeight="1"/>
    <row r="919" s="100" customFormat="1" ht="15.75" customHeight="1"/>
    <row r="920" s="100" customFormat="1" ht="15.75" customHeight="1"/>
    <row r="921" s="100" customFormat="1" ht="15.75" customHeight="1"/>
    <row r="922" s="100" customFormat="1" ht="15.75" customHeight="1"/>
    <row r="923" s="100" customFormat="1" ht="15.75" customHeight="1"/>
    <row r="924" s="100" customFormat="1" ht="15.75" customHeight="1"/>
    <row r="925" s="100" customFormat="1" ht="15.75" customHeight="1"/>
    <row r="926" s="100" customFormat="1" ht="15.75" customHeight="1"/>
    <row r="927" s="100" customFormat="1" ht="15.75" customHeight="1"/>
    <row r="928" s="100" customFormat="1" ht="15.75" customHeight="1"/>
    <row r="929" s="100" customFormat="1" ht="15.75" customHeight="1"/>
    <row r="930" s="100" customFormat="1" ht="15.75" customHeight="1"/>
    <row r="931" s="100" customFormat="1" ht="15.75" customHeight="1"/>
    <row r="932" s="100" customFormat="1" ht="15.75" customHeight="1"/>
    <row r="933" s="100" customFormat="1" ht="15.75" customHeight="1"/>
    <row r="934" s="100" customFormat="1" ht="15.75" customHeight="1"/>
    <row r="935" s="100" customFormat="1" ht="15.75" customHeight="1"/>
    <row r="936" s="100" customFormat="1" ht="15.75" customHeight="1"/>
    <row r="937" s="100" customFormat="1" ht="15.75" customHeight="1"/>
    <row r="938" s="100" customFormat="1" ht="15.75" customHeight="1"/>
    <row r="939" s="100" customFormat="1" ht="15.75" customHeight="1"/>
    <row r="940" s="100" customFormat="1" ht="15.75" customHeight="1"/>
    <row r="941" s="100" customFormat="1" ht="15.75" customHeight="1"/>
    <row r="942" s="100" customFormat="1" ht="15.75" customHeight="1"/>
    <row r="943" s="100" customFormat="1" ht="15.75" customHeight="1"/>
    <row r="944" s="100" customFormat="1" ht="15.75" customHeight="1"/>
    <row r="945" s="100" customFormat="1" ht="15.75" customHeight="1"/>
    <row r="946" s="100" customFormat="1" ht="15.75" customHeight="1"/>
    <row r="947" s="100" customFormat="1" ht="15.75" customHeight="1"/>
    <row r="948" s="100" customFormat="1" ht="15.75" customHeight="1"/>
    <row r="949" s="100" customFormat="1" ht="15.75" customHeight="1"/>
    <row r="950" s="100" customFormat="1" ht="15.75" customHeight="1"/>
    <row r="951" s="100" customFormat="1" ht="15.75" customHeight="1"/>
    <row r="952" s="100" customFormat="1" ht="15.75" customHeight="1"/>
    <row r="953" s="100" customFormat="1" ht="15.75" customHeight="1"/>
    <row r="954" s="100" customFormat="1" ht="15.75" customHeight="1"/>
    <row r="955" s="100" customFormat="1" ht="15.75" customHeight="1"/>
    <row r="956" s="100" customFormat="1" ht="15.75" customHeight="1"/>
    <row r="957" s="100" customFormat="1" ht="15.75" customHeight="1"/>
    <row r="958" s="100" customFormat="1" ht="15.75" customHeight="1"/>
    <row r="959" s="100" customFormat="1" ht="15.75" customHeight="1"/>
    <row r="960" s="100" customFormat="1" ht="15.75" customHeight="1"/>
    <row r="961" s="100" customFormat="1" ht="15.75" customHeight="1"/>
    <row r="962" s="100" customFormat="1" ht="15.75" customHeight="1"/>
    <row r="963" s="100" customFormat="1" ht="15.75" customHeight="1"/>
    <row r="964" s="100" customFormat="1" ht="15.75" customHeight="1"/>
    <row r="965" s="100" customFormat="1" ht="15.75" customHeight="1"/>
    <row r="966" s="100" customFormat="1" ht="15.75" customHeight="1"/>
    <row r="967" s="100" customFormat="1" ht="15.75" customHeight="1"/>
    <row r="968" s="100" customFormat="1" ht="15.75" customHeight="1"/>
    <row r="969" s="100" customFormat="1" ht="15.75" customHeight="1"/>
    <row r="970" s="100" customFormat="1" ht="15.75" customHeight="1"/>
    <row r="971" s="100" customFormat="1" ht="15.75" customHeight="1"/>
    <row r="972" s="100" customFormat="1" ht="15.75" customHeight="1"/>
    <row r="973" s="100" customFormat="1" ht="15.75" customHeight="1"/>
    <row r="974" s="100" customFormat="1" ht="15.75" customHeight="1"/>
    <row r="975" s="100" customFormat="1" ht="15.75" customHeight="1"/>
    <row r="976" s="100" customFormat="1" ht="15.75" customHeight="1"/>
    <row r="977" s="100" customFormat="1" ht="15.75" customHeight="1"/>
    <row r="978" s="100" customFormat="1" ht="15.75" customHeight="1"/>
    <row r="979" s="100" customFormat="1" ht="15.75" customHeight="1"/>
    <row r="980" s="100" customFormat="1" ht="15.75" customHeight="1"/>
    <row r="981" s="100" customFormat="1" ht="15.75" customHeight="1"/>
    <row r="982" s="100" customFormat="1" ht="15.75" customHeight="1"/>
    <row r="983" s="100" customFormat="1" ht="15.75" customHeight="1"/>
    <row r="984" s="100" customFormat="1" ht="15.75" customHeight="1"/>
    <row r="985" s="100" customFormat="1" ht="15.75" customHeight="1"/>
    <row r="986" s="100" customFormat="1" ht="15.75" customHeight="1"/>
    <row r="987" s="100" customFormat="1" ht="15.75" customHeight="1"/>
    <row r="988" s="100" customFormat="1" ht="15.75" customHeight="1"/>
    <row r="989" s="100" customFormat="1" ht="15.75" customHeight="1"/>
    <row r="990" s="100" customFormat="1" ht="15.75" customHeight="1"/>
    <row r="991" s="100" customFormat="1" ht="15.75" customHeight="1"/>
    <row r="992" s="100" customFormat="1" ht="15.75" customHeight="1"/>
    <row r="993" s="100" customFormat="1" ht="15.75" customHeight="1"/>
    <row r="994" s="100" customFormat="1" ht="15.75" customHeight="1"/>
    <row r="995" s="100" customFormat="1" ht="15.75" customHeight="1"/>
    <row r="996" s="100" customFormat="1" ht="15.75" customHeight="1"/>
    <row r="997" s="100" customFormat="1" ht="15.75" customHeight="1"/>
    <row r="998" s="100" customFormat="1" ht="15.75" customHeight="1"/>
    <row r="999" s="100" customFormat="1" ht="15.75" customHeight="1"/>
    <row r="1000" s="100" customFormat="1" ht="15.75" customHeight="1"/>
  </sheetData>
  <mergeCells count="3">
    <mergeCell ref="B3:M3"/>
    <mergeCell ref="B5:C5"/>
    <mergeCell ref="C13:M13"/>
  </mergeCells>
  <dataValidations count="2">
    <dataValidation type="list" allowBlank="1" showInputMessage="1" showErrorMessage="1" sqref="C11" xr:uid="{2B30410B-657B-FF41-BB60-D059C23D804A}">
      <formula1>$E$14:$M$14</formula1>
    </dataValidation>
    <dataValidation type="decimal" allowBlank="1" showErrorMessage="1" sqref="C6" xr:uid="{00000000-0002-0000-0100-000000000000}">
      <formula1>0</formula1>
      <formula2>0.05</formula2>
    </dataValidation>
  </dataValidations>
  <pageMargins left="0.7" right="0.7" top="0.75" bottom="0.75" header="0" footer="0"/>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102D5-1682-4A7A-BFEA-C0FB0E64ADBD}">
  <dimension ref="B2:K1000"/>
  <sheetViews>
    <sheetView showGridLines="0" topLeftCell="A4" workbookViewId="0">
      <selection activeCell="L14" sqref="L14"/>
    </sheetView>
  </sheetViews>
  <sheetFormatPr defaultColWidth="14.453125" defaultRowHeight="15" customHeight="1"/>
  <cols>
    <col min="1" max="1" width="8.81640625" style="100" customWidth="1"/>
    <col min="2" max="2" width="13.1796875" style="100" customWidth="1"/>
    <col min="3" max="3" width="11.36328125" style="100" customWidth="1"/>
    <col min="4" max="4" width="8.6328125" style="100" customWidth="1"/>
    <col min="5" max="5" width="11.81640625" style="100" customWidth="1"/>
    <col min="6" max="6" width="12.6328125" style="100" customWidth="1"/>
    <col min="7" max="26" width="8.81640625" style="100" customWidth="1"/>
    <col min="27" max="16384" width="14.453125" style="100"/>
  </cols>
  <sheetData>
    <row r="2" spans="2:11" ht="15.5">
      <c r="B2" s="124" t="s">
        <v>265</v>
      </c>
      <c r="C2" s="134"/>
      <c r="D2" s="134"/>
      <c r="E2" s="134"/>
      <c r="F2" s="134"/>
      <c r="G2" s="134"/>
      <c r="H2" s="134"/>
      <c r="I2" s="134"/>
      <c r="J2" s="134"/>
    </row>
    <row r="3" spans="2:11" ht="15.5">
      <c r="B3" s="133" t="s">
        <v>400</v>
      </c>
    </row>
    <row r="5" spans="2:11" ht="14.5">
      <c r="B5" s="132" t="s">
        <v>64</v>
      </c>
      <c r="C5" s="132" t="s">
        <v>162</v>
      </c>
      <c r="D5" s="132" t="s">
        <v>399</v>
      </c>
      <c r="E5" s="132" t="s">
        <v>267</v>
      </c>
      <c r="F5" s="132" t="s">
        <v>266</v>
      </c>
      <c r="H5" s="433" t="s">
        <v>398</v>
      </c>
      <c r="I5" s="432"/>
      <c r="J5" s="432"/>
    </row>
    <row r="6" spans="2:11" ht="14.5">
      <c r="B6" s="128" t="s">
        <v>397</v>
      </c>
      <c r="C6" s="110">
        <v>928221.03910923121</v>
      </c>
      <c r="D6" s="110">
        <v>371488</v>
      </c>
      <c r="E6" s="110">
        <f t="shared" ref="E6:E17" si="0">C6-D6</f>
        <v>556733.03910923121</v>
      </c>
      <c r="F6" s="127">
        <f t="shared" ref="F6:F17" si="1">E6/C6</f>
        <v>0.59978498186541962</v>
      </c>
      <c r="H6" s="131" t="s">
        <v>174</v>
      </c>
      <c r="I6" s="131" t="s">
        <v>387</v>
      </c>
      <c r="J6" s="131" t="s">
        <v>64</v>
      </c>
    </row>
    <row r="7" spans="2:11" ht="14.5">
      <c r="B7" s="128" t="s">
        <v>396</v>
      </c>
      <c r="C7" s="110">
        <v>710961.16420614393</v>
      </c>
      <c r="D7" s="110">
        <v>641971.48397088423</v>
      </c>
      <c r="E7" s="110">
        <f t="shared" si="0"/>
        <v>68989.680235259701</v>
      </c>
      <c r="F7" s="127">
        <f t="shared" si="1"/>
        <v>9.703719936980422E-2</v>
      </c>
      <c r="H7" s="100" cm="1">
        <f t="array" ref="H7:H11">_xlfn.SEQUENCE(5)</f>
        <v>1</v>
      </c>
      <c r="I7" s="126">
        <f>LARGE($F$6:$F$17,H7)</f>
        <v>0.59978498186541962</v>
      </c>
      <c r="J7" s="130" t="str">
        <f>_xlfn.XLOOKUP(I7,$F$6:$F$17,$B$6:$B$17)</f>
        <v>Coca-Cola</v>
      </c>
    </row>
    <row r="8" spans="2:11" ht="14.5">
      <c r="B8" s="128" t="s">
        <v>395</v>
      </c>
      <c r="C8" s="110">
        <v>464919.49454723072</v>
      </c>
      <c r="D8" s="110">
        <v>188254.89367011236</v>
      </c>
      <c r="E8" s="110">
        <f t="shared" si="0"/>
        <v>276664.60087711836</v>
      </c>
      <c r="F8" s="127">
        <f t="shared" si="1"/>
        <v>0.59508066261354042</v>
      </c>
      <c r="H8" s="100">
        <v>2</v>
      </c>
      <c r="I8" s="126">
        <f>LARGE($F$6:$F$17,H8)</f>
        <v>0.59508066261354042</v>
      </c>
      <c r="J8" s="130" t="str">
        <f>_xlfn.XLOOKUP(I8,$F$6:$F$17,$B$6:$B$17)</f>
        <v>Sprite</v>
      </c>
    </row>
    <row r="9" spans="2:11" ht="14.5">
      <c r="B9" s="128" t="s">
        <v>394</v>
      </c>
      <c r="C9" s="110">
        <v>654490.73178517609</v>
      </c>
      <c r="D9" s="110">
        <v>331570.26180720341</v>
      </c>
      <c r="E9" s="110">
        <f t="shared" si="0"/>
        <v>322920.46997797268</v>
      </c>
      <c r="F9" s="127">
        <f t="shared" si="1"/>
        <v>0.49339196767107935</v>
      </c>
      <c r="H9" s="100">
        <v>3</v>
      </c>
      <c r="I9" s="126">
        <f>LARGE($F$6:$F$17,H9)</f>
        <v>0.5938677191757904</v>
      </c>
      <c r="J9" s="130" t="str">
        <f>_xlfn.XLOOKUP(I9,$F$6:$F$17,$B$6:$B$17)</f>
        <v>Costa Coffee</v>
      </c>
    </row>
    <row r="10" spans="2:11" ht="14.5">
      <c r="B10" s="128" t="s">
        <v>393</v>
      </c>
      <c r="C10" s="110">
        <v>606331.70080129837</v>
      </c>
      <c r="D10" s="110">
        <v>395368.37020345603</v>
      </c>
      <c r="E10" s="110">
        <f t="shared" si="0"/>
        <v>210963.33059784235</v>
      </c>
      <c r="F10" s="127">
        <f t="shared" si="1"/>
        <v>0.34793386247006963</v>
      </c>
      <c r="H10" s="100">
        <v>4</v>
      </c>
      <c r="I10" s="126">
        <f>LARGE($F$6:$F$17,H10)</f>
        <v>0.53928038081778928</v>
      </c>
      <c r="J10" s="130" t="str">
        <f>_xlfn.XLOOKUP(I10,$F$6:$F$17,$B$6:$B$17)</f>
        <v>Aquarius</v>
      </c>
    </row>
    <row r="11" spans="2:11" ht="14.5">
      <c r="B11" s="128" t="s">
        <v>392</v>
      </c>
      <c r="C11" s="110">
        <v>956480.40389837697</v>
      </c>
      <c r="D11" s="110">
        <v>737076.41459250427</v>
      </c>
      <c r="E11" s="110">
        <f t="shared" si="0"/>
        <v>219403.9893058727</v>
      </c>
      <c r="F11" s="127">
        <f t="shared" si="1"/>
        <v>0.22938681065669139</v>
      </c>
      <c r="H11" s="100">
        <v>5</v>
      </c>
      <c r="I11" s="126">
        <f>LARGE($F$6:$F$17,H11)</f>
        <v>0.49339196767107935</v>
      </c>
      <c r="J11" s="130" t="str">
        <f>_xlfn.XLOOKUP(I11,$F$6:$F$17,$B$6:$B$17)</f>
        <v>Fanta</v>
      </c>
    </row>
    <row r="12" spans="2:11" ht="14.5">
      <c r="B12" s="128" t="s">
        <v>391</v>
      </c>
      <c r="C12" s="110">
        <v>307894.79200595815</v>
      </c>
      <c r="D12" s="110">
        <v>188970</v>
      </c>
      <c r="E12" s="110">
        <f t="shared" si="0"/>
        <v>118924.79200595815</v>
      </c>
      <c r="F12" s="127">
        <f t="shared" si="1"/>
        <v>0.38625139201333686</v>
      </c>
    </row>
    <row r="13" spans="2:11" ht="14.5">
      <c r="B13" s="128" t="s">
        <v>390</v>
      </c>
      <c r="C13" s="110">
        <v>277939</v>
      </c>
      <c r="D13" s="110">
        <v>112880</v>
      </c>
      <c r="E13" s="110">
        <f t="shared" si="0"/>
        <v>165059</v>
      </c>
      <c r="F13" s="127">
        <f t="shared" si="1"/>
        <v>0.5938677191757904</v>
      </c>
      <c r="H13" s="433" t="s">
        <v>389</v>
      </c>
      <c r="I13" s="432"/>
      <c r="J13" s="432"/>
    </row>
    <row r="14" spans="2:11" ht="14.5">
      <c r="B14" s="128" t="s">
        <v>388</v>
      </c>
      <c r="C14" s="110">
        <v>443867.62060388428</v>
      </c>
      <c r="D14" s="110">
        <v>268369.34836526302</v>
      </c>
      <c r="E14" s="110">
        <f t="shared" si="0"/>
        <v>175498.27223862126</v>
      </c>
      <c r="F14" s="127">
        <f t="shared" si="1"/>
        <v>0.39538426344290423</v>
      </c>
      <c r="H14" s="129" t="s">
        <v>174</v>
      </c>
      <c r="I14" s="129" t="s">
        <v>387</v>
      </c>
      <c r="J14" s="129" t="s">
        <v>64</v>
      </c>
    </row>
    <row r="15" spans="2:11" ht="14.5">
      <c r="B15" s="128" t="s">
        <v>386</v>
      </c>
      <c r="C15" s="110">
        <v>146516.05366568686</v>
      </c>
      <c r="D15" s="110">
        <v>85987</v>
      </c>
      <c r="E15" s="110">
        <f t="shared" si="0"/>
        <v>60529.053665686864</v>
      </c>
      <c r="F15" s="127">
        <f t="shared" si="1"/>
        <v>0.41312233131666981</v>
      </c>
      <c r="H15" s="100" cm="1">
        <f t="array" ref="H15:H19">_xlfn.SEQUENCE(5)</f>
        <v>1</v>
      </c>
      <c r="I15" s="126">
        <f>SMALL($F$6:$F$17,H15)</f>
        <v>9.703719936980422E-2</v>
      </c>
      <c r="J15" s="125" t="str">
        <f>_xlfn.XLOOKUP(I15,F6:F17,B6:B17)</f>
        <v>Diet Coke</v>
      </c>
      <c r="K15" s="100" cm="1">
        <f t="array" ref="K15:K19">_xlfn.SEQUENCE(5)</f>
        <v>1</v>
      </c>
    </row>
    <row r="16" spans="2:11" ht="14.5">
      <c r="B16" s="128" t="s">
        <v>385</v>
      </c>
      <c r="C16" s="110">
        <v>468784.31852435984</v>
      </c>
      <c r="D16" s="110">
        <v>414121.48049809661</v>
      </c>
      <c r="E16" s="110">
        <f t="shared" si="0"/>
        <v>54662.838026263227</v>
      </c>
      <c r="F16" s="127">
        <f t="shared" si="1"/>
        <v>0.11660551743354175</v>
      </c>
      <c r="H16" s="100">
        <v>2</v>
      </c>
      <c r="I16" s="126">
        <f>SMALL($F$6:$F$17,H16)</f>
        <v>0.11660551743354175</v>
      </c>
      <c r="J16" s="125" t="str">
        <f>_xlfn.XLOOKUP(I16,F7:F18,B7:B18)</f>
        <v>Georgia Coffee</v>
      </c>
      <c r="K16" s="100">
        <v>2</v>
      </c>
    </row>
    <row r="17" spans="2:11" ht="14.5">
      <c r="B17" s="128" t="s">
        <v>384</v>
      </c>
      <c r="C17" s="110">
        <v>716204.3100096666</v>
      </c>
      <c r="D17" s="110">
        <v>329969.37696431158</v>
      </c>
      <c r="E17" s="110">
        <f t="shared" si="0"/>
        <v>386234.93304535502</v>
      </c>
      <c r="F17" s="127">
        <f t="shared" si="1"/>
        <v>0.53928038081778928</v>
      </c>
      <c r="H17" s="100">
        <v>3</v>
      </c>
      <c r="I17" s="126">
        <f>SMALL($F$6:$F$17,H17)</f>
        <v>0.22938681065669139</v>
      </c>
      <c r="J17" s="125" t="str">
        <f>_xlfn.XLOOKUP(I17,F8:F19,B8:B19)</f>
        <v>Honest Tea</v>
      </c>
      <c r="K17" s="100">
        <v>3</v>
      </c>
    </row>
    <row r="18" spans="2:11" ht="14.5">
      <c r="H18" s="100">
        <v>4</v>
      </c>
      <c r="I18" s="126">
        <f>SMALL($F$6:$F$17,H18)</f>
        <v>0.34793386247006963</v>
      </c>
      <c r="J18" s="125" t="str">
        <f>_xlfn.XLOOKUP(I18,F9:F20,B9:B20)</f>
        <v>Vitamin Water</v>
      </c>
      <c r="K18" s="100">
        <v>4</v>
      </c>
    </row>
    <row r="19" spans="2:11" ht="14.5">
      <c r="H19" s="100">
        <v>5</v>
      </c>
      <c r="I19" s="126">
        <f>SMALL($F$6:$F$17,H19)</f>
        <v>0.38625139201333686</v>
      </c>
      <c r="J19" s="125" t="str">
        <f>_xlfn.XLOOKUP(I19,F10:F21,B10:B21)</f>
        <v>Powerade</v>
      </c>
      <c r="K19" s="100">
        <v>5</v>
      </c>
    </row>
    <row r="21" spans="2:11" ht="15.75" customHeight="1"/>
    <row r="22" spans="2:11" ht="15.75" customHeight="1"/>
    <row r="23" spans="2:11" ht="15.75" customHeight="1"/>
    <row r="24" spans="2:11" ht="15.75" customHeight="1"/>
    <row r="25" spans="2:11" ht="15.75" customHeight="1"/>
    <row r="26" spans="2:11" ht="15.75" customHeight="1"/>
    <row r="27" spans="2:11" ht="15.75" customHeight="1"/>
    <row r="28" spans="2:11" ht="15.75" customHeight="1"/>
    <row r="29" spans="2:11" ht="15.75" customHeight="1"/>
    <row r="30" spans="2:11" ht="15.75" customHeight="1"/>
    <row r="31" spans="2:11" ht="15.75" customHeight="1"/>
    <row r="32" spans="2:11" ht="15.75" customHeight="1"/>
    <row r="33" s="100" customFormat="1" ht="15.75" customHeight="1"/>
    <row r="34" s="100" customFormat="1" ht="15.75" customHeight="1"/>
    <row r="35" s="100" customFormat="1" ht="15.75" customHeight="1"/>
    <row r="36" s="100" customFormat="1" ht="15.75" customHeight="1"/>
    <row r="37" s="100" customFormat="1" ht="15.75" customHeight="1"/>
    <row r="38" s="100" customFormat="1" ht="15.75" customHeight="1"/>
    <row r="39" s="100" customFormat="1" ht="15.75" customHeight="1"/>
    <row r="40" s="100" customFormat="1" ht="15.75" customHeight="1"/>
    <row r="41" s="100" customFormat="1" ht="15.75" customHeight="1"/>
    <row r="42" s="100" customFormat="1" ht="15.75" customHeight="1"/>
    <row r="43" s="100" customFormat="1" ht="15.75" customHeight="1"/>
    <row r="44" s="100" customFormat="1" ht="15.75" customHeight="1"/>
    <row r="45" s="100" customFormat="1" ht="15.75" customHeight="1"/>
    <row r="46" s="100" customFormat="1" ht="15.75" customHeight="1"/>
    <row r="47" s="100" customFormat="1" ht="15.75" customHeight="1"/>
    <row r="48" s="100" customFormat="1" ht="15.75" customHeight="1"/>
    <row r="49" s="100" customFormat="1" ht="15.75" customHeight="1"/>
    <row r="50" s="100" customFormat="1" ht="15.75" customHeight="1"/>
    <row r="51" s="100" customFormat="1" ht="15.75" customHeight="1"/>
    <row r="52" s="100" customFormat="1" ht="15.75" customHeight="1"/>
    <row r="53" s="100" customFormat="1" ht="15.75" customHeight="1"/>
    <row r="54" s="100" customFormat="1" ht="15.75" customHeight="1"/>
    <row r="55" s="100" customFormat="1" ht="15.75" customHeight="1"/>
    <row r="56" s="100" customFormat="1" ht="15.75" customHeight="1"/>
    <row r="57" s="100" customFormat="1" ht="15.75" customHeight="1"/>
    <row r="58" s="100" customFormat="1" ht="15.75" customHeight="1"/>
    <row r="59" s="100" customFormat="1" ht="15.75" customHeight="1"/>
    <row r="60" s="100" customFormat="1" ht="15.75" customHeight="1"/>
    <row r="61" s="100" customFormat="1" ht="15.75" customHeight="1"/>
    <row r="62" s="100" customFormat="1" ht="15.75" customHeight="1"/>
    <row r="63" s="100" customFormat="1" ht="15.75" customHeight="1"/>
    <row r="64" s="100" customFormat="1" ht="15.75" customHeight="1"/>
    <row r="65" s="100" customFormat="1" ht="15.75" customHeight="1"/>
    <row r="66" s="100" customFormat="1" ht="15.75" customHeight="1"/>
    <row r="67" s="100" customFormat="1" ht="15.75" customHeight="1"/>
    <row r="68" s="100" customFormat="1" ht="15.75" customHeight="1"/>
    <row r="69" s="100" customFormat="1" ht="15.75" customHeight="1"/>
    <row r="70" s="100" customFormat="1" ht="15.75" customHeight="1"/>
    <row r="71" s="100" customFormat="1" ht="15.75" customHeight="1"/>
    <row r="72" s="100" customFormat="1" ht="15.75" customHeight="1"/>
    <row r="73" s="100" customFormat="1" ht="15.75" customHeight="1"/>
    <row r="74" s="100" customFormat="1" ht="15.75" customHeight="1"/>
    <row r="75" s="100" customFormat="1" ht="15.75" customHeight="1"/>
    <row r="76" s="100" customFormat="1" ht="15.75" customHeight="1"/>
    <row r="77" s="100" customFormat="1" ht="15.75" customHeight="1"/>
    <row r="78" s="100" customFormat="1" ht="15.75" customHeight="1"/>
    <row r="79" s="100" customFormat="1" ht="15.75" customHeight="1"/>
    <row r="80" s="100" customFormat="1" ht="15.75" customHeight="1"/>
    <row r="81" s="100" customFormat="1" ht="15.75" customHeight="1"/>
    <row r="82" s="100" customFormat="1" ht="15.75" customHeight="1"/>
    <row r="83" s="100" customFormat="1" ht="15.75" customHeight="1"/>
    <row r="84" s="100" customFormat="1" ht="15.75" customHeight="1"/>
    <row r="85" s="100" customFormat="1" ht="15.75" customHeight="1"/>
    <row r="86" s="100" customFormat="1" ht="15.75" customHeight="1"/>
    <row r="87" s="100" customFormat="1" ht="15.75" customHeight="1"/>
    <row r="88" s="100" customFormat="1" ht="15.75" customHeight="1"/>
    <row r="89" s="100" customFormat="1" ht="15.75" customHeight="1"/>
    <row r="90" s="100" customFormat="1" ht="15.75" customHeight="1"/>
    <row r="91" s="100" customFormat="1" ht="15.75" customHeight="1"/>
    <row r="92" s="100" customFormat="1" ht="15.75" customHeight="1"/>
    <row r="93" s="100" customFormat="1" ht="15.75" customHeight="1"/>
    <row r="94" s="100" customFormat="1" ht="15.75" customHeight="1"/>
    <row r="95" s="100" customFormat="1" ht="15.75" customHeight="1"/>
    <row r="96" s="100" customFormat="1" ht="15.75" customHeight="1"/>
    <row r="97" s="100" customFormat="1" ht="15.75" customHeight="1"/>
    <row r="98" s="100" customFormat="1" ht="15.75" customHeight="1"/>
    <row r="99" s="100" customFormat="1" ht="15.75" customHeight="1"/>
    <row r="100" s="100" customFormat="1" ht="15.75" customHeight="1"/>
    <row r="101" s="100" customFormat="1" ht="15.75" customHeight="1"/>
    <row r="102" s="100" customFormat="1" ht="15.75" customHeight="1"/>
    <row r="103" s="100" customFormat="1" ht="15.75" customHeight="1"/>
    <row r="104" s="100" customFormat="1" ht="15.75" customHeight="1"/>
    <row r="105" s="100" customFormat="1" ht="15.75" customHeight="1"/>
    <row r="106" s="100" customFormat="1" ht="15.75" customHeight="1"/>
    <row r="107" s="100" customFormat="1" ht="15.75" customHeight="1"/>
    <row r="108" s="100" customFormat="1" ht="15.75" customHeight="1"/>
    <row r="109" s="100" customFormat="1" ht="15.75" customHeight="1"/>
    <row r="110" s="100" customFormat="1" ht="15.75" customHeight="1"/>
    <row r="111" s="100" customFormat="1" ht="15.75" customHeight="1"/>
    <row r="112" s="100" customFormat="1" ht="15.75" customHeight="1"/>
    <row r="113" s="100" customFormat="1" ht="15.75" customHeight="1"/>
    <row r="114" s="100" customFormat="1" ht="15.75" customHeight="1"/>
    <row r="115" s="100" customFormat="1" ht="15.75" customHeight="1"/>
    <row r="116" s="100" customFormat="1" ht="15.75" customHeight="1"/>
    <row r="117" s="100" customFormat="1" ht="15.75" customHeight="1"/>
    <row r="118" s="100" customFormat="1" ht="15.75" customHeight="1"/>
    <row r="119" s="100" customFormat="1" ht="15.75" customHeight="1"/>
    <row r="120" s="100" customFormat="1" ht="15.75" customHeight="1"/>
    <row r="121" s="100" customFormat="1" ht="15.75" customHeight="1"/>
    <row r="122" s="100" customFormat="1" ht="15.75" customHeight="1"/>
    <row r="123" s="100" customFormat="1" ht="15.75" customHeight="1"/>
    <row r="124" s="100" customFormat="1" ht="15.75" customHeight="1"/>
    <row r="125" s="100" customFormat="1" ht="15.75" customHeight="1"/>
    <row r="126" s="100" customFormat="1" ht="15.75" customHeight="1"/>
    <row r="127" s="100" customFormat="1" ht="15.75" customHeight="1"/>
    <row r="128" s="100" customFormat="1" ht="15.75" customHeight="1"/>
    <row r="129" s="100" customFormat="1" ht="15.75" customHeight="1"/>
    <row r="130" s="100" customFormat="1" ht="15.75" customHeight="1"/>
    <row r="131" s="100" customFormat="1" ht="15.75" customHeight="1"/>
    <row r="132" s="100" customFormat="1" ht="15.75" customHeight="1"/>
    <row r="133" s="100" customFormat="1" ht="15.75" customHeight="1"/>
    <row r="134" s="100" customFormat="1" ht="15.75" customHeight="1"/>
    <row r="135" s="100" customFormat="1" ht="15.75" customHeight="1"/>
    <row r="136" s="100" customFormat="1" ht="15.75" customHeight="1"/>
    <row r="137" s="100" customFormat="1" ht="15.75" customHeight="1"/>
    <row r="138" s="100" customFormat="1" ht="15.75" customHeight="1"/>
    <row r="139" s="100" customFormat="1" ht="15.75" customHeight="1"/>
    <row r="140" s="100" customFormat="1" ht="15.75" customHeight="1"/>
    <row r="141" s="100" customFormat="1" ht="15.75" customHeight="1"/>
    <row r="142" s="100" customFormat="1" ht="15.75" customHeight="1"/>
    <row r="143" s="100" customFormat="1" ht="15.75" customHeight="1"/>
    <row r="144" s="100" customFormat="1" ht="15.75" customHeight="1"/>
    <row r="145" s="100" customFormat="1" ht="15.75" customHeight="1"/>
    <row r="146" s="100" customFormat="1" ht="15.75" customHeight="1"/>
    <row r="147" s="100" customFormat="1" ht="15.75" customHeight="1"/>
    <row r="148" s="100" customFormat="1" ht="15.75" customHeight="1"/>
    <row r="149" s="100" customFormat="1" ht="15.75" customHeight="1"/>
    <row r="150" s="100" customFormat="1" ht="15.75" customHeight="1"/>
    <row r="151" s="100" customFormat="1" ht="15.75" customHeight="1"/>
    <row r="152" s="100" customFormat="1" ht="15.75" customHeight="1"/>
    <row r="153" s="100" customFormat="1" ht="15.75" customHeight="1"/>
    <row r="154" s="100" customFormat="1" ht="15.75" customHeight="1"/>
    <row r="155" s="100" customFormat="1" ht="15.75" customHeight="1"/>
    <row r="156" s="100" customFormat="1" ht="15.75" customHeight="1"/>
    <row r="157" s="100" customFormat="1" ht="15.75" customHeight="1"/>
    <row r="158" s="100" customFormat="1" ht="15.75" customHeight="1"/>
    <row r="159" s="100" customFormat="1" ht="15.75" customHeight="1"/>
    <row r="160" s="100" customFormat="1" ht="15.75" customHeight="1"/>
    <row r="161" s="100" customFormat="1" ht="15.75" customHeight="1"/>
    <row r="162" s="100" customFormat="1" ht="15.75" customHeight="1"/>
    <row r="163" s="100" customFormat="1" ht="15.75" customHeight="1"/>
    <row r="164" s="100" customFormat="1" ht="15.75" customHeight="1"/>
    <row r="165" s="100" customFormat="1" ht="15.75" customHeight="1"/>
    <row r="166" s="100" customFormat="1" ht="15.75" customHeight="1"/>
    <row r="167" s="100" customFormat="1" ht="15.75" customHeight="1"/>
    <row r="168" s="100" customFormat="1" ht="15.75" customHeight="1"/>
    <row r="169" s="100" customFormat="1" ht="15.75" customHeight="1"/>
    <row r="170" s="100" customFormat="1" ht="15.75" customHeight="1"/>
    <row r="171" s="100" customFormat="1" ht="15.75" customHeight="1"/>
    <row r="172" s="100" customFormat="1" ht="15.75" customHeight="1"/>
    <row r="173" s="100" customFormat="1" ht="15.75" customHeight="1"/>
    <row r="174" s="100" customFormat="1" ht="15.75" customHeight="1"/>
    <row r="175" s="100" customFormat="1" ht="15.75" customHeight="1"/>
    <row r="176" s="100" customFormat="1" ht="15.75" customHeight="1"/>
    <row r="177" s="100" customFormat="1" ht="15.75" customHeight="1"/>
    <row r="178" s="100" customFormat="1" ht="15.75" customHeight="1"/>
    <row r="179" s="100" customFormat="1" ht="15.75" customHeight="1"/>
    <row r="180" s="100" customFormat="1" ht="15.75" customHeight="1"/>
    <row r="181" s="100" customFormat="1" ht="15.75" customHeight="1"/>
    <row r="182" s="100" customFormat="1" ht="15.75" customHeight="1"/>
    <row r="183" s="100" customFormat="1" ht="15.75" customHeight="1"/>
    <row r="184" s="100" customFormat="1" ht="15.75" customHeight="1"/>
    <row r="185" s="100" customFormat="1" ht="15.75" customHeight="1"/>
    <row r="186" s="100" customFormat="1" ht="15.75" customHeight="1"/>
    <row r="187" s="100" customFormat="1" ht="15.75" customHeight="1"/>
    <row r="188" s="100" customFormat="1" ht="15.75" customHeight="1"/>
    <row r="189" s="100" customFormat="1" ht="15.75" customHeight="1"/>
    <row r="190" s="100" customFormat="1" ht="15.75" customHeight="1"/>
    <row r="191" s="100" customFormat="1" ht="15.75" customHeight="1"/>
    <row r="192" s="100" customFormat="1" ht="15.75" customHeight="1"/>
    <row r="193" s="100" customFormat="1" ht="15.75" customHeight="1"/>
    <row r="194" s="100" customFormat="1" ht="15.75" customHeight="1"/>
    <row r="195" s="100" customFormat="1" ht="15.75" customHeight="1"/>
    <row r="196" s="100" customFormat="1" ht="15.75" customHeight="1"/>
    <row r="197" s="100" customFormat="1" ht="15.75" customHeight="1"/>
    <row r="198" s="100" customFormat="1" ht="15.75" customHeight="1"/>
    <row r="199" s="100" customFormat="1" ht="15.75" customHeight="1"/>
    <row r="200" s="100" customFormat="1" ht="15.75" customHeight="1"/>
    <row r="201" s="100" customFormat="1" ht="15.75" customHeight="1"/>
    <row r="202" s="100" customFormat="1" ht="15.75" customHeight="1"/>
    <row r="203" s="100" customFormat="1" ht="15.75" customHeight="1"/>
    <row r="204" s="100" customFormat="1" ht="15.75" customHeight="1"/>
    <row r="205" s="100" customFormat="1" ht="15.75" customHeight="1"/>
    <row r="206" s="100" customFormat="1" ht="15.75" customHeight="1"/>
    <row r="207" s="100" customFormat="1" ht="15.75" customHeight="1"/>
    <row r="208" s="100" customFormat="1" ht="15.75" customHeight="1"/>
    <row r="209" s="100" customFormat="1" ht="15.75" customHeight="1"/>
    <row r="210" s="100" customFormat="1" ht="15.75" customHeight="1"/>
    <row r="211" s="100" customFormat="1" ht="15.75" customHeight="1"/>
    <row r="212" s="100" customFormat="1" ht="15.75" customHeight="1"/>
    <row r="213" s="100" customFormat="1" ht="15.75" customHeight="1"/>
    <row r="214" s="100" customFormat="1" ht="15.75" customHeight="1"/>
    <row r="215" s="100" customFormat="1" ht="15.75" customHeight="1"/>
    <row r="216" s="100" customFormat="1" ht="15.75" customHeight="1"/>
    <row r="217" s="100" customFormat="1" ht="15.75" customHeight="1"/>
    <row r="218" s="100" customFormat="1" ht="15.75" customHeight="1"/>
    <row r="219" s="100" customFormat="1" ht="15.75" customHeight="1"/>
    <row r="220" s="100" customFormat="1" ht="15.75" customHeight="1"/>
    <row r="221" s="100" customFormat="1" ht="15.75" customHeight="1"/>
    <row r="222" s="100" customFormat="1" ht="15.75" customHeight="1"/>
    <row r="223" s="100" customFormat="1" ht="15.75" customHeight="1"/>
    <row r="224" s="100" customFormat="1" ht="15.75" customHeight="1"/>
    <row r="225" s="100" customFormat="1" ht="15.75" customHeight="1"/>
    <row r="226" s="100" customFormat="1" ht="15.75" customHeight="1"/>
    <row r="227" s="100" customFormat="1" ht="15.75" customHeight="1"/>
    <row r="228" s="100" customFormat="1" ht="15.75" customHeight="1"/>
    <row r="229" s="100" customFormat="1" ht="15.75" customHeight="1"/>
    <row r="230" s="100" customFormat="1" ht="15.75" customHeight="1"/>
    <row r="231" s="100" customFormat="1" ht="15.75" customHeight="1"/>
    <row r="232" s="100" customFormat="1" ht="15.75" customHeight="1"/>
    <row r="233" s="100" customFormat="1" ht="15.75" customHeight="1"/>
    <row r="234" s="100" customFormat="1" ht="15.75" customHeight="1"/>
    <row r="235" s="100" customFormat="1" ht="15.75" customHeight="1"/>
    <row r="236" s="100" customFormat="1" ht="15.75" customHeight="1"/>
    <row r="237" s="100" customFormat="1" ht="15.75" customHeight="1"/>
    <row r="238" s="100" customFormat="1" ht="15.75" customHeight="1"/>
    <row r="239" s="100" customFormat="1" ht="15.75" customHeight="1"/>
    <row r="240" s="100" customFormat="1" ht="15.75" customHeight="1"/>
    <row r="241" s="100" customFormat="1" ht="15.75" customHeight="1"/>
    <row r="242" s="100" customFormat="1" ht="15.75" customHeight="1"/>
    <row r="243" s="100" customFormat="1" ht="15.75" customHeight="1"/>
    <row r="244" s="100" customFormat="1" ht="15.75" customHeight="1"/>
    <row r="245" s="100" customFormat="1" ht="15.75" customHeight="1"/>
    <row r="246" s="100" customFormat="1" ht="15.75" customHeight="1"/>
    <row r="247" s="100" customFormat="1" ht="15.75" customHeight="1"/>
    <row r="248" s="100" customFormat="1" ht="15.75" customHeight="1"/>
    <row r="249" s="100" customFormat="1" ht="15.75" customHeight="1"/>
    <row r="250" s="100" customFormat="1" ht="15.75" customHeight="1"/>
    <row r="251" s="100" customFormat="1" ht="15.75" customHeight="1"/>
    <row r="252" s="100" customFormat="1" ht="15.75" customHeight="1"/>
    <row r="253" s="100" customFormat="1" ht="15.75" customHeight="1"/>
    <row r="254" s="100" customFormat="1" ht="15.75" customHeight="1"/>
    <row r="255" s="100" customFormat="1" ht="15.75" customHeight="1"/>
    <row r="256" s="100" customFormat="1" ht="15.75" customHeight="1"/>
    <row r="257" s="100" customFormat="1" ht="15.75" customHeight="1"/>
    <row r="258" s="100" customFormat="1" ht="15.75" customHeight="1"/>
    <row r="259" s="100" customFormat="1" ht="15.75" customHeight="1"/>
    <row r="260" s="100" customFormat="1" ht="15.75" customHeight="1"/>
    <row r="261" s="100" customFormat="1" ht="15.75" customHeight="1"/>
    <row r="262" s="100" customFormat="1" ht="15.75" customHeight="1"/>
    <row r="263" s="100" customFormat="1" ht="15.75" customHeight="1"/>
    <row r="264" s="100" customFormat="1" ht="15.75" customHeight="1"/>
    <row r="265" s="100" customFormat="1" ht="15.75" customHeight="1"/>
    <row r="266" s="100" customFormat="1" ht="15.75" customHeight="1"/>
    <row r="267" s="100" customFormat="1" ht="15.75" customHeight="1"/>
    <row r="268" s="100" customFormat="1" ht="15.75" customHeight="1"/>
    <row r="269" s="100" customFormat="1" ht="15.75" customHeight="1"/>
    <row r="270" s="100" customFormat="1" ht="15.75" customHeight="1"/>
    <row r="271" s="100" customFormat="1" ht="15.75" customHeight="1"/>
    <row r="272" s="100" customFormat="1" ht="15.75" customHeight="1"/>
    <row r="273" s="100" customFormat="1" ht="15.75" customHeight="1"/>
    <row r="274" s="100" customFormat="1" ht="15.75" customHeight="1"/>
    <row r="275" s="100" customFormat="1" ht="15.75" customHeight="1"/>
    <row r="276" s="100" customFormat="1" ht="15.75" customHeight="1"/>
    <row r="277" s="100" customFormat="1" ht="15.75" customHeight="1"/>
    <row r="278" s="100" customFormat="1" ht="15.75" customHeight="1"/>
    <row r="279" s="100" customFormat="1" ht="15.75" customHeight="1"/>
    <row r="280" s="100" customFormat="1" ht="15.75" customHeight="1"/>
    <row r="281" s="100" customFormat="1" ht="15.75" customHeight="1"/>
    <row r="282" s="100" customFormat="1" ht="15.75" customHeight="1"/>
    <row r="283" s="100" customFormat="1" ht="15.75" customHeight="1"/>
    <row r="284" s="100" customFormat="1" ht="15.75" customHeight="1"/>
    <row r="285" s="100" customFormat="1" ht="15.75" customHeight="1"/>
    <row r="286" s="100" customFormat="1" ht="15.75" customHeight="1"/>
    <row r="287" s="100" customFormat="1" ht="15.75" customHeight="1"/>
    <row r="288" s="100" customFormat="1" ht="15.75" customHeight="1"/>
    <row r="289" s="100" customFormat="1" ht="15.75" customHeight="1"/>
    <row r="290" s="100" customFormat="1" ht="15.75" customHeight="1"/>
    <row r="291" s="100" customFormat="1" ht="15.75" customHeight="1"/>
    <row r="292" s="100" customFormat="1" ht="15.75" customHeight="1"/>
    <row r="293" s="100" customFormat="1" ht="15.75" customHeight="1"/>
    <row r="294" s="100" customFormat="1" ht="15.75" customHeight="1"/>
    <row r="295" s="100" customFormat="1" ht="15.75" customHeight="1"/>
    <row r="296" s="100" customFormat="1" ht="15.75" customHeight="1"/>
    <row r="297" s="100" customFormat="1" ht="15.75" customHeight="1"/>
    <row r="298" s="100" customFormat="1" ht="15.75" customHeight="1"/>
    <row r="299" s="100" customFormat="1" ht="15.75" customHeight="1"/>
    <row r="300" s="100" customFormat="1" ht="15.75" customHeight="1"/>
    <row r="301" s="100" customFormat="1" ht="15.75" customHeight="1"/>
    <row r="302" s="100" customFormat="1" ht="15.75" customHeight="1"/>
    <row r="303" s="100" customFormat="1" ht="15.75" customHeight="1"/>
    <row r="304" s="100" customFormat="1" ht="15.75" customHeight="1"/>
    <row r="305" s="100" customFormat="1" ht="15.75" customHeight="1"/>
    <row r="306" s="100" customFormat="1" ht="15.75" customHeight="1"/>
    <row r="307" s="100" customFormat="1" ht="15.75" customHeight="1"/>
    <row r="308" s="100" customFormat="1" ht="15.75" customHeight="1"/>
    <row r="309" s="100" customFormat="1" ht="15.75" customHeight="1"/>
    <row r="310" s="100" customFormat="1" ht="15.75" customHeight="1"/>
    <row r="311" s="100" customFormat="1" ht="15.75" customHeight="1"/>
    <row r="312" s="100" customFormat="1" ht="15.75" customHeight="1"/>
    <row r="313" s="100" customFormat="1" ht="15.75" customHeight="1"/>
    <row r="314" s="100" customFormat="1" ht="15.75" customHeight="1"/>
    <row r="315" s="100" customFormat="1" ht="15.75" customHeight="1"/>
    <row r="316" s="100" customFormat="1" ht="15.75" customHeight="1"/>
    <row r="317" s="100" customFormat="1" ht="15.75" customHeight="1"/>
    <row r="318" s="100" customFormat="1" ht="15.75" customHeight="1"/>
    <row r="319" s="100" customFormat="1" ht="15.75" customHeight="1"/>
    <row r="320" s="100" customFormat="1" ht="15.75" customHeight="1"/>
    <row r="321" s="100" customFormat="1" ht="15.75" customHeight="1"/>
    <row r="322" s="100" customFormat="1" ht="15.75" customHeight="1"/>
    <row r="323" s="100" customFormat="1" ht="15.75" customHeight="1"/>
    <row r="324" s="100" customFormat="1" ht="15.75" customHeight="1"/>
    <row r="325" s="100" customFormat="1" ht="15.75" customHeight="1"/>
    <row r="326" s="100" customFormat="1" ht="15.75" customHeight="1"/>
    <row r="327" s="100" customFormat="1" ht="15.75" customHeight="1"/>
    <row r="328" s="100" customFormat="1" ht="15.75" customHeight="1"/>
    <row r="329" s="100" customFormat="1" ht="15.75" customHeight="1"/>
    <row r="330" s="100" customFormat="1" ht="15.75" customHeight="1"/>
    <row r="331" s="100" customFormat="1" ht="15.75" customHeight="1"/>
    <row r="332" s="100" customFormat="1" ht="15.75" customHeight="1"/>
    <row r="333" s="100" customFormat="1" ht="15.75" customHeight="1"/>
    <row r="334" s="100" customFormat="1" ht="15.75" customHeight="1"/>
    <row r="335" s="100" customFormat="1" ht="15.75" customHeight="1"/>
    <row r="336" s="100" customFormat="1" ht="15.75" customHeight="1"/>
    <row r="337" s="100" customFormat="1" ht="15.75" customHeight="1"/>
    <row r="338" s="100" customFormat="1" ht="15.75" customHeight="1"/>
    <row r="339" s="100" customFormat="1" ht="15.75" customHeight="1"/>
    <row r="340" s="100" customFormat="1" ht="15.75" customHeight="1"/>
    <row r="341" s="100" customFormat="1" ht="15.75" customHeight="1"/>
    <row r="342" s="100" customFormat="1" ht="15.75" customHeight="1"/>
    <row r="343" s="100" customFormat="1" ht="15.75" customHeight="1"/>
    <row r="344" s="100" customFormat="1" ht="15.75" customHeight="1"/>
    <row r="345" s="100" customFormat="1" ht="15.75" customHeight="1"/>
    <row r="346" s="100" customFormat="1" ht="15.75" customHeight="1"/>
    <row r="347" s="100" customFormat="1" ht="15.75" customHeight="1"/>
    <row r="348" s="100" customFormat="1" ht="15.75" customHeight="1"/>
    <row r="349" s="100" customFormat="1" ht="15.75" customHeight="1"/>
    <row r="350" s="100" customFormat="1" ht="15.75" customHeight="1"/>
    <row r="351" s="100" customFormat="1" ht="15.75" customHeight="1"/>
    <row r="352" s="100" customFormat="1" ht="15.75" customHeight="1"/>
    <row r="353" s="100" customFormat="1" ht="15.75" customHeight="1"/>
    <row r="354" s="100" customFormat="1" ht="15.75" customHeight="1"/>
    <row r="355" s="100" customFormat="1" ht="15.75" customHeight="1"/>
    <row r="356" s="100" customFormat="1" ht="15.75" customHeight="1"/>
    <row r="357" s="100" customFormat="1" ht="15.75" customHeight="1"/>
    <row r="358" s="100" customFormat="1" ht="15.75" customHeight="1"/>
    <row r="359" s="100" customFormat="1" ht="15.75" customHeight="1"/>
    <row r="360" s="100" customFormat="1" ht="15.75" customHeight="1"/>
    <row r="361" s="100" customFormat="1" ht="15.75" customHeight="1"/>
    <row r="362" s="100" customFormat="1" ht="15.75" customHeight="1"/>
    <row r="363" s="100" customFormat="1" ht="15.75" customHeight="1"/>
    <row r="364" s="100" customFormat="1" ht="15.75" customHeight="1"/>
    <row r="365" s="100" customFormat="1" ht="15.75" customHeight="1"/>
    <row r="366" s="100" customFormat="1" ht="15.75" customHeight="1"/>
    <row r="367" s="100" customFormat="1" ht="15.75" customHeight="1"/>
    <row r="368" s="100" customFormat="1" ht="15.75" customHeight="1"/>
    <row r="369" s="100" customFormat="1" ht="15.75" customHeight="1"/>
    <row r="370" s="100" customFormat="1" ht="15.75" customHeight="1"/>
    <row r="371" s="100" customFormat="1" ht="15.75" customHeight="1"/>
    <row r="372" s="100" customFormat="1" ht="15.75" customHeight="1"/>
    <row r="373" s="100" customFormat="1" ht="15.75" customHeight="1"/>
    <row r="374" s="100" customFormat="1" ht="15.75" customHeight="1"/>
    <row r="375" s="100" customFormat="1" ht="15.75" customHeight="1"/>
    <row r="376" s="100" customFormat="1" ht="15.75" customHeight="1"/>
    <row r="377" s="100" customFormat="1" ht="15.75" customHeight="1"/>
    <row r="378" s="100" customFormat="1" ht="15.75" customHeight="1"/>
    <row r="379" s="100" customFormat="1" ht="15.75" customHeight="1"/>
    <row r="380" s="100" customFormat="1" ht="15.75" customHeight="1"/>
    <row r="381" s="100" customFormat="1" ht="15.75" customHeight="1"/>
    <row r="382" s="100" customFormat="1" ht="15.75" customHeight="1"/>
    <row r="383" s="100" customFormat="1" ht="15.75" customHeight="1"/>
    <row r="384" s="100" customFormat="1" ht="15.75" customHeight="1"/>
    <row r="385" s="100" customFormat="1" ht="15.75" customHeight="1"/>
    <row r="386" s="100" customFormat="1" ht="15.75" customHeight="1"/>
    <row r="387" s="100" customFormat="1" ht="15.75" customHeight="1"/>
    <row r="388" s="100" customFormat="1" ht="15.75" customHeight="1"/>
    <row r="389" s="100" customFormat="1" ht="15.75" customHeight="1"/>
    <row r="390" s="100" customFormat="1" ht="15.75" customHeight="1"/>
    <row r="391" s="100" customFormat="1" ht="15.75" customHeight="1"/>
    <row r="392" s="100" customFormat="1" ht="15.75" customHeight="1"/>
    <row r="393" s="100" customFormat="1" ht="15.75" customHeight="1"/>
    <row r="394" s="100" customFormat="1" ht="15.75" customHeight="1"/>
    <row r="395" s="100" customFormat="1" ht="15.75" customHeight="1"/>
    <row r="396" s="100" customFormat="1" ht="15.75" customHeight="1"/>
    <row r="397" s="100" customFormat="1" ht="15.75" customHeight="1"/>
    <row r="398" s="100" customFormat="1" ht="15.75" customHeight="1"/>
    <row r="399" s="100" customFormat="1" ht="15.75" customHeight="1"/>
    <row r="400" s="100" customFormat="1" ht="15.75" customHeight="1"/>
    <row r="401" s="100" customFormat="1" ht="15.75" customHeight="1"/>
    <row r="402" s="100" customFormat="1" ht="15.75" customHeight="1"/>
    <row r="403" s="100" customFormat="1" ht="15.75" customHeight="1"/>
    <row r="404" s="100" customFormat="1" ht="15.75" customHeight="1"/>
    <row r="405" s="100" customFormat="1" ht="15.75" customHeight="1"/>
    <row r="406" s="100" customFormat="1" ht="15.75" customHeight="1"/>
    <row r="407" s="100" customFormat="1" ht="15.75" customHeight="1"/>
    <row r="408" s="100" customFormat="1" ht="15.75" customHeight="1"/>
    <row r="409" s="100" customFormat="1" ht="15.75" customHeight="1"/>
    <row r="410" s="100" customFormat="1" ht="15.75" customHeight="1"/>
    <row r="411" s="100" customFormat="1" ht="15.75" customHeight="1"/>
    <row r="412" s="100" customFormat="1" ht="15.75" customHeight="1"/>
    <row r="413" s="100" customFormat="1" ht="15.75" customHeight="1"/>
    <row r="414" s="100" customFormat="1" ht="15.75" customHeight="1"/>
    <row r="415" s="100" customFormat="1" ht="15.75" customHeight="1"/>
    <row r="416" s="100" customFormat="1" ht="15.75" customHeight="1"/>
    <row r="417" s="100" customFormat="1" ht="15.75" customHeight="1"/>
    <row r="418" s="100" customFormat="1" ht="15.75" customHeight="1"/>
    <row r="419" s="100" customFormat="1" ht="15.75" customHeight="1"/>
    <row r="420" s="100" customFormat="1" ht="15.75" customHeight="1"/>
    <row r="421" s="100" customFormat="1" ht="15.75" customHeight="1"/>
    <row r="422" s="100" customFormat="1" ht="15.75" customHeight="1"/>
    <row r="423" s="100" customFormat="1" ht="15.75" customHeight="1"/>
    <row r="424" s="100" customFormat="1" ht="15.75" customHeight="1"/>
    <row r="425" s="100" customFormat="1" ht="15.75" customHeight="1"/>
    <row r="426" s="100" customFormat="1" ht="15.75" customHeight="1"/>
    <row r="427" s="100" customFormat="1" ht="15.75" customHeight="1"/>
    <row r="428" s="100" customFormat="1" ht="15.75" customHeight="1"/>
    <row r="429" s="100" customFormat="1" ht="15.75" customHeight="1"/>
    <row r="430" s="100" customFormat="1" ht="15.75" customHeight="1"/>
    <row r="431" s="100" customFormat="1" ht="15.75" customHeight="1"/>
    <row r="432" s="100" customFormat="1" ht="15.75" customHeight="1"/>
    <row r="433" s="100" customFormat="1" ht="15.75" customHeight="1"/>
    <row r="434" s="100" customFormat="1" ht="15.75" customHeight="1"/>
    <row r="435" s="100" customFormat="1" ht="15.75" customHeight="1"/>
    <row r="436" s="100" customFormat="1" ht="15.75" customHeight="1"/>
    <row r="437" s="100" customFormat="1" ht="15.75" customHeight="1"/>
    <row r="438" s="100" customFormat="1" ht="15.75" customHeight="1"/>
    <row r="439" s="100" customFormat="1" ht="15.75" customHeight="1"/>
    <row r="440" s="100" customFormat="1" ht="15.75" customHeight="1"/>
    <row r="441" s="100" customFormat="1" ht="15.75" customHeight="1"/>
    <row r="442" s="100" customFormat="1" ht="15.75" customHeight="1"/>
    <row r="443" s="100" customFormat="1" ht="15.75" customHeight="1"/>
    <row r="444" s="100" customFormat="1" ht="15.75" customHeight="1"/>
    <row r="445" s="100" customFormat="1" ht="15.75" customHeight="1"/>
    <row r="446" s="100" customFormat="1" ht="15.75" customHeight="1"/>
    <row r="447" s="100" customFormat="1" ht="15.75" customHeight="1"/>
    <row r="448" s="100" customFormat="1" ht="15.75" customHeight="1"/>
    <row r="449" s="100" customFormat="1" ht="15.75" customHeight="1"/>
    <row r="450" s="100" customFormat="1" ht="15.75" customHeight="1"/>
    <row r="451" s="100" customFormat="1" ht="15.75" customHeight="1"/>
    <row r="452" s="100" customFormat="1" ht="15.75" customHeight="1"/>
    <row r="453" s="100" customFormat="1" ht="15.75" customHeight="1"/>
    <row r="454" s="100" customFormat="1" ht="15.75" customHeight="1"/>
    <row r="455" s="100" customFormat="1" ht="15.75" customHeight="1"/>
    <row r="456" s="100" customFormat="1" ht="15.75" customHeight="1"/>
    <row r="457" s="100" customFormat="1" ht="15.75" customHeight="1"/>
    <row r="458" s="100" customFormat="1" ht="15.75" customHeight="1"/>
    <row r="459" s="100" customFormat="1" ht="15.75" customHeight="1"/>
    <row r="460" s="100" customFormat="1" ht="15.75" customHeight="1"/>
    <row r="461" s="100" customFormat="1" ht="15.75" customHeight="1"/>
    <row r="462" s="100" customFormat="1" ht="15.75" customHeight="1"/>
    <row r="463" s="100" customFormat="1" ht="15.75" customHeight="1"/>
    <row r="464" s="100" customFormat="1" ht="15.75" customHeight="1"/>
    <row r="465" s="100" customFormat="1" ht="15.75" customHeight="1"/>
    <row r="466" s="100" customFormat="1" ht="15.75" customHeight="1"/>
    <row r="467" s="100" customFormat="1" ht="15.75" customHeight="1"/>
    <row r="468" s="100" customFormat="1" ht="15.75" customHeight="1"/>
    <row r="469" s="100" customFormat="1" ht="15.75" customHeight="1"/>
    <row r="470" s="100" customFormat="1" ht="15.75" customHeight="1"/>
    <row r="471" s="100" customFormat="1" ht="15.75" customHeight="1"/>
    <row r="472" s="100" customFormat="1" ht="15.75" customHeight="1"/>
    <row r="473" s="100" customFormat="1" ht="15.75" customHeight="1"/>
    <row r="474" s="100" customFormat="1" ht="15.75" customHeight="1"/>
    <row r="475" s="100" customFormat="1" ht="15.75" customHeight="1"/>
    <row r="476" s="100" customFormat="1" ht="15.75" customHeight="1"/>
    <row r="477" s="100" customFormat="1" ht="15.75" customHeight="1"/>
    <row r="478" s="100" customFormat="1" ht="15.75" customHeight="1"/>
    <row r="479" s="100" customFormat="1" ht="15.75" customHeight="1"/>
    <row r="480" s="100" customFormat="1" ht="15.75" customHeight="1"/>
    <row r="481" s="100" customFormat="1" ht="15.75" customHeight="1"/>
    <row r="482" s="100" customFormat="1" ht="15.75" customHeight="1"/>
    <row r="483" s="100" customFormat="1" ht="15.75" customHeight="1"/>
    <row r="484" s="100" customFormat="1" ht="15.75" customHeight="1"/>
    <row r="485" s="100" customFormat="1" ht="15.75" customHeight="1"/>
    <row r="486" s="100" customFormat="1" ht="15.75" customHeight="1"/>
    <row r="487" s="100" customFormat="1" ht="15.75" customHeight="1"/>
    <row r="488" s="100" customFormat="1" ht="15.75" customHeight="1"/>
    <row r="489" s="100" customFormat="1" ht="15.75" customHeight="1"/>
    <row r="490" s="100" customFormat="1" ht="15.75" customHeight="1"/>
    <row r="491" s="100" customFormat="1" ht="15.75" customHeight="1"/>
    <row r="492" s="100" customFormat="1" ht="15.75" customHeight="1"/>
    <row r="493" s="100" customFormat="1" ht="15.75" customHeight="1"/>
    <row r="494" s="100" customFormat="1" ht="15.75" customHeight="1"/>
    <row r="495" s="100" customFormat="1" ht="15.75" customHeight="1"/>
    <row r="496" s="100" customFormat="1" ht="15.75" customHeight="1"/>
    <row r="497" s="100" customFormat="1" ht="15.75" customHeight="1"/>
    <row r="498" s="100" customFormat="1" ht="15.75" customHeight="1"/>
    <row r="499" s="100" customFormat="1" ht="15.75" customHeight="1"/>
    <row r="500" s="100" customFormat="1" ht="15.75" customHeight="1"/>
    <row r="501" s="100" customFormat="1" ht="15.75" customHeight="1"/>
    <row r="502" s="100" customFormat="1" ht="15.75" customHeight="1"/>
    <row r="503" s="100" customFormat="1" ht="15.75" customHeight="1"/>
    <row r="504" s="100" customFormat="1" ht="15.75" customHeight="1"/>
    <row r="505" s="100" customFormat="1" ht="15.75" customHeight="1"/>
    <row r="506" s="100" customFormat="1" ht="15.75" customHeight="1"/>
    <row r="507" s="100" customFormat="1" ht="15.75" customHeight="1"/>
    <row r="508" s="100" customFormat="1" ht="15.75" customHeight="1"/>
    <row r="509" s="100" customFormat="1" ht="15.75" customHeight="1"/>
    <row r="510" s="100" customFormat="1" ht="15.75" customHeight="1"/>
    <row r="511" s="100" customFormat="1" ht="15.75" customHeight="1"/>
    <row r="512" s="100" customFormat="1" ht="15.75" customHeight="1"/>
    <row r="513" s="100" customFormat="1" ht="15.75" customHeight="1"/>
    <row r="514" s="100" customFormat="1" ht="15.75" customHeight="1"/>
    <row r="515" s="100" customFormat="1" ht="15.75" customHeight="1"/>
    <row r="516" s="100" customFormat="1" ht="15.75" customHeight="1"/>
    <row r="517" s="100" customFormat="1" ht="15.75" customHeight="1"/>
    <row r="518" s="100" customFormat="1" ht="15.75" customHeight="1"/>
    <row r="519" s="100" customFormat="1" ht="15.75" customHeight="1"/>
    <row r="520" s="100" customFormat="1" ht="15.75" customHeight="1"/>
    <row r="521" s="100" customFormat="1" ht="15.75" customHeight="1"/>
    <row r="522" s="100" customFormat="1" ht="15.75" customHeight="1"/>
    <row r="523" s="100" customFormat="1" ht="15.75" customHeight="1"/>
    <row r="524" s="100" customFormat="1" ht="15.75" customHeight="1"/>
    <row r="525" s="100" customFormat="1" ht="15.75" customHeight="1"/>
    <row r="526" s="100" customFormat="1" ht="15.75" customHeight="1"/>
    <row r="527" s="100" customFormat="1" ht="15.75" customHeight="1"/>
    <row r="528" s="100" customFormat="1" ht="15.75" customHeight="1"/>
    <row r="529" s="100" customFormat="1" ht="15.75" customHeight="1"/>
    <row r="530" s="100" customFormat="1" ht="15.75" customHeight="1"/>
    <row r="531" s="100" customFormat="1" ht="15.75" customHeight="1"/>
    <row r="532" s="100" customFormat="1" ht="15.75" customHeight="1"/>
    <row r="533" s="100" customFormat="1" ht="15.75" customHeight="1"/>
    <row r="534" s="100" customFormat="1" ht="15.75" customHeight="1"/>
    <row r="535" s="100" customFormat="1" ht="15.75" customHeight="1"/>
    <row r="536" s="100" customFormat="1" ht="15.75" customHeight="1"/>
    <row r="537" s="100" customFormat="1" ht="15.75" customHeight="1"/>
    <row r="538" s="100" customFormat="1" ht="15.75" customHeight="1"/>
    <row r="539" s="100" customFormat="1" ht="15.75" customHeight="1"/>
    <row r="540" s="100" customFormat="1" ht="15.75" customHeight="1"/>
    <row r="541" s="100" customFormat="1" ht="15.75" customHeight="1"/>
    <row r="542" s="100" customFormat="1" ht="15.75" customHeight="1"/>
    <row r="543" s="100" customFormat="1" ht="15.75" customHeight="1"/>
    <row r="544" s="100" customFormat="1" ht="15.75" customHeight="1"/>
    <row r="545" s="100" customFormat="1" ht="15.75" customHeight="1"/>
    <row r="546" s="100" customFormat="1" ht="15.75" customHeight="1"/>
    <row r="547" s="100" customFormat="1" ht="15.75" customHeight="1"/>
    <row r="548" s="100" customFormat="1" ht="15.75" customHeight="1"/>
    <row r="549" s="100" customFormat="1" ht="15.75" customHeight="1"/>
    <row r="550" s="100" customFormat="1" ht="15.75" customHeight="1"/>
    <row r="551" s="100" customFormat="1" ht="15.75" customHeight="1"/>
    <row r="552" s="100" customFormat="1" ht="15.75" customHeight="1"/>
    <row r="553" s="100" customFormat="1" ht="15.75" customHeight="1"/>
    <row r="554" s="100" customFormat="1" ht="15.75" customHeight="1"/>
    <row r="555" s="100" customFormat="1" ht="15.75" customHeight="1"/>
    <row r="556" s="100" customFormat="1" ht="15.75" customHeight="1"/>
    <row r="557" s="100" customFormat="1" ht="15.75" customHeight="1"/>
    <row r="558" s="100" customFormat="1" ht="15.75" customHeight="1"/>
    <row r="559" s="100" customFormat="1" ht="15.75" customHeight="1"/>
    <row r="560" s="100" customFormat="1" ht="15.75" customHeight="1"/>
    <row r="561" s="100" customFormat="1" ht="15.75" customHeight="1"/>
    <row r="562" s="100" customFormat="1" ht="15.75" customHeight="1"/>
    <row r="563" s="100" customFormat="1" ht="15.75" customHeight="1"/>
    <row r="564" s="100" customFormat="1" ht="15.75" customHeight="1"/>
    <row r="565" s="100" customFormat="1" ht="15.75" customHeight="1"/>
    <row r="566" s="100" customFormat="1" ht="15.75" customHeight="1"/>
    <row r="567" s="100" customFormat="1" ht="15.75" customHeight="1"/>
    <row r="568" s="100" customFormat="1" ht="15.75" customHeight="1"/>
    <row r="569" s="100" customFormat="1" ht="15.75" customHeight="1"/>
    <row r="570" s="100" customFormat="1" ht="15.75" customHeight="1"/>
    <row r="571" s="100" customFormat="1" ht="15.75" customHeight="1"/>
    <row r="572" s="100" customFormat="1" ht="15.75" customHeight="1"/>
    <row r="573" s="100" customFormat="1" ht="15.75" customHeight="1"/>
    <row r="574" s="100" customFormat="1" ht="15.75" customHeight="1"/>
    <row r="575" s="100" customFormat="1" ht="15.75" customHeight="1"/>
    <row r="576" s="100" customFormat="1" ht="15.75" customHeight="1"/>
    <row r="577" s="100" customFormat="1" ht="15.75" customHeight="1"/>
    <row r="578" s="100" customFormat="1" ht="15.75" customHeight="1"/>
    <row r="579" s="100" customFormat="1" ht="15.75" customHeight="1"/>
    <row r="580" s="100" customFormat="1" ht="15.75" customHeight="1"/>
    <row r="581" s="100" customFormat="1" ht="15.75" customHeight="1"/>
    <row r="582" s="100" customFormat="1" ht="15.75" customHeight="1"/>
    <row r="583" s="100" customFormat="1" ht="15.75" customHeight="1"/>
    <row r="584" s="100" customFormat="1" ht="15.75" customHeight="1"/>
    <row r="585" s="100" customFormat="1" ht="15.75" customHeight="1"/>
    <row r="586" s="100" customFormat="1" ht="15.75" customHeight="1"/>
    <row r="587" s="100" customFormat="1" ht="15.75" customHeight="1"/>
    <row r="588" s="100" customFormat="1" ht="15.75" customHeight="1"/>
    <row r="589" s="100" customFormat="1" ht="15.75" customHeight="1"/>
    <row r="590" s="100" customFormat="1" ht="15.75" customHeight="1"/>
    <row r="591" s="100" customFormat="1" ht="15.75" customHeight="1"/>
    <row r="592" s="100" customFormat="1" ht="15.75" customHeight="1"/>
    <row r="593" s="100" customFormat="1" ht="15.75" customHeight="1"/>
    <row r="594" s="100" customFormat="1" ht="15.75" customHeight="1"/>
    <row r="595" s="100" customFormat="1" ht="15.75" customHeight="1"/>
    <row r="596" s="100" customFormat="1" ht="15.75" customHeight="1"/>
    <row r="597" s="100" customFormat="1" ht="15.75" customHeight="1"/>
    <row r="598" s="100" customFormat="1" ht="15.75" customHeight="1"/>
    <row r="599" s="100" customFormat="1" ht="15.75" customHeight="1"/>
    <row r="600" s="100" customFormat="1" ht="15.75" customHeight="1"/>
    <row r="601" s="100" customFormat="1" ht="15.75" customHeight="1"/>
    <row r="602" s="100" customFormat="1" ht="15.75" customHeight="1"/>
    <row r="603" s="100" customFormat="1" ht="15.75" customHeight="1"/>
    <row r="604" s="100" customFormat="1" ht="15.75" customHeight="1"/>
    <row r="605" s="100" customFormat="1" ht="15.75" customHeight="1"/>
    <row r="606" s="100" customFormat="1" ht="15.75" customHeight="1"/>
    <row r="607" s="100" customFormat="1" ht="15.75" customHeight="1"/>
    <row r="608" s="100" customFormat="1" ht="15.75" customHeight="1"/>
    <row r="609" s="100" customFormat="1" ht="15.75" customHeight="1"/>
    <row r="610" s="100" customFormat="1" ht="15.75" customHeight="1"/>
    <row r="611" s="100" customFormat="1" ht="15.75" customHeight="1"/>
    <row r="612" s="100" customFormat="1" ht="15.75" customHeight="1"/>
    <row r="613" s="100" customFormat="1" ht="15.75" customHeight="1"/>
    <row r="614" s="100" customFormat="1" ht="15.75" customHeight="1"/>
    <row r="615" s="100" customFormat="1" ht="15.75" customHeight="1"/>
    <row r="616" s="100" customFormat="1" ht="15.75" customHeight="1"/>
    <row r="617" s="100" customFormat="1" ht="15.75" customHeight="1"/>
    <row r="618" s="100" customFormat="1" ht="15.75" customHeight="1"/>
    <row r="619" s="100" customFormat="1" ht="15.75" customHeight="1"/>
    <row r="620" s="100" customFormat="1" ht="15.75" customHeight="1"/>
    <row r="621" s="100" customFormat="1" ht="15.75" customHeight="1"/>
    <row r="622" s="100" customFormat="1" ht="15.75" customHeight="1"/>
    <row r="623" s="100" customFormat="1" ht="15.75" customHeight="1"/>
    <row r="624" s="100" customFormat="1" ht="15.75" customHeight="1"/>
    <row r="625" s="100" customFormat="1" ht="15.75" customHeight="1"/>
    <row r="626" s="100" customFormat="1" ht="15.75" customHeight="1"/>
    <row r="627" s="100" customFormat="1" ht="15.75" customHeight="1"/>
    <row r="628" s="100" customFormat="1" ht="15.75" customHeight="1"/>
    <row r="629" s="100" customFormat="1" ht="15.75" customHeight="1"/>
    <row r="630" s="100" customFormat="1" ht="15.75" customHeight="1"/>
    <row r="631" s="100" customFormat="1" ht="15.75" customHeight="1"/>
    <row r="632" s="100" customFormat="1" ht="15.75" customHeight="1"/>
    <row r="633" s="100" customFormat="1" ht="15.75" customHeight="1"/>
    <row r="634" s="100" customFormat="1" ht="15.75" customHeight="1"/>
    <row r="635" s="100" customFormat="1" ht="15.75" customHeight="1"/>
    <row r="636" s="100" customFormat="1" ht="15.75" customHeight="1"/>
    <row r="637" s="100" customFormat="1" ht="15.75" customHeight="1"/>
    <row r="638" s="100" customFormat="1" ht="15.75" customHeight="1"/>
    <row r="639" s="100" customFormat="1" ht="15.75" customHeight="1"/>
    <row r="640" s="100" customFormat="1" ht="15.75" customHeight="1"/>
    <row r="641" s="100" customFormat="1" ht="15.75" customHeight="1"/>
    <row r="642" s="100" customFormat="1" ht="15.75" customHeight="1"/>
    <row r="643" s="100" customFormat="1" ht="15.75" customHeight="1"/>
    <row r="644" s="100" customFormat="1" ht="15.75" customHeight="1"/>
    <row r="645" s="100" customFormat="1" ht="15.75" customHeight="1"/>
    <row r="646" s="100" customFormat="1" ht="15.75" customHeight="1"/>
    <row r="647" s="100" customFormat="1" ht="15.75" customHeight="1"/>
    <row r="648" s="100" customFormat="1" ht="15.75" customHeight="1"/>
    <row r="649" s="100" customFormat="1" ht="15.75" customHeight="1"/>
    <row r="650" s="100" customFormat="1" ht="15.75" customHeight="1"/>
    <row r="651" s="100" customFormat="1" ht="15.75" customHeight="1"/>
    <row r="652" s="100" customFormat="1" ht="15.75" customHeight="1"/>
    <row r="653" s="100" customFormat="1" ht="15.75" customHeight="1"/>
    <row r="654" s="100" customFormat="1" ht="15.75" customHeight="1"/>
    <row r="655" s="100" customFormat="1" ht="15.75" customHeight="1"/>
    <row r="656" s="100" customFormat="1" ht="15.75" customHeight="1"/>
    <row r="657" s="100" customFormat="1" ht="15.75" customHeight="1"/>
    <row r="658" s="100" customFormat="1" ht="15.75" customHeight="1"/>
    <row r="659" s="100" customFormat="1" ht="15.75" customHeight="1"/>
    <row r="660" s="100" customFormat="1" ht="15.75" customHeight="1"/>
    <row r="661" s="100" customFormat="1" ht="15.75" customHeight="1"/>
    <row r="662" s="100" customFormat="1" ht="15.75" customHeight="1"/>
    <row r="663" s="100" customFormat="1" ht="15.75" customHeight="1"/>
    <row r="664" s="100" customFormat="1" ht="15.75" customHeight="1"/>
    <row r="665" s="100" customFormat="1" ht="15.75" customHeight="1"/>
    <row r="666" s="100" customFormat="1" ht="15.75" customHeight="1"/>
    <row r="667" s="100" customFormat="1" ht="15.75" customHeight="1"/>
    <row r="668" s="100" customFormat="1" ht="15.75" customHeight="1"/>
    <row r="669" s="100" customFormat="1" ht="15.75" customHeight="1"/>
    <row r="670" s="100" customFormat="1" ht="15.75" customHeight="1"/>
    <row r="671" s="100" customFormat="1" ht="15.75" customHeight="1"/>
    <row r="672" s="100" customFormat="1" ht="15.75" customHeight="1"/>
    <row r="673" s="100" customFormat="1" ht="15.75" customHeight="1"/>
    <row r="674" s="100" customFormat="1" ht="15.75" customHeight="1"/>
    <row r="675" s="100" customFormat="1" ht="15.75" customHeight="1"/>
    <row r="676" s="100" customFormat="1" ht="15.75" customHeight="1"/>
    <row r="677" s="100" customFormat="1" ht="15.75" customHeight="1"/>
    <row r="678" s="100" customFormat="1" ht="15.75" customHeight="1"/>
    <row r="679" s="100" customFormat="1" ht="15.75" customHeight="1"/>
    <row r="680" s="100" customFormat="1" ht="15.75" customHeight="1"/>
    <row r="681" s="100" customFormat="1" ht="15.75" customHeight="1"/>
    <row r="682" s="100" customFormat="1" ht="15.75" customHeight="1"/>
    <row r="683" s="100" customFormat="1" ht="15.75" customHeight="1"/>
    <row r="684" s="100" customFormat="1" ht="15.75" customHeight="1"/>
    <row r="685" s="100" customFormat="1" ht="15.75" customHeight="1"/>
    <row r="686" s="100" customFormat="1" ht="15.75" customHeight="1"/>
    <row r="687" s="100" customFormat="1" ht="15.75" customHeight="1"/>
    <row r="688" s="100" customFormat="1" ht="15.75" customHeight="1"/>
    <row r="689" s="100" customFormat="1" ht="15.75" customHeight="1"/>
    <row r="690" s="100" customFormat="1" ht="15.75" customHeight="1"/>
    <row r="691" s="100" customFormat="1" ht="15.75" customHeight="1"/>
    <row r="692" s="100" customFormat="1" ht="15.75" customHeight="1"/>
    <row r="693" s="100" customFormat="1" ht="15.75" customHeight="1"/>
    <row r="694" s="100" customFormat="1" ht="15.75" customHeight="1"/>
    <row r="695" s="100" customFormat="1" ht="15.75" customHeight="1"/>
    <row r="696" s="100" customFormat="1" ht="15.75" customHeight="1"/>
    <row r="697" s="100" customFormat="1" ht="15.75" customHeight="1"/>
    <row r="698" s="100" customFormat="1" ht="15.75" customHeight="1"/>
    <row r="699" s="100" customFormat="1" ht="15.75" customHeight="1"/>
    <row r="700" s="100" customFormat="1" ht="15.75" customHeight="1"/>
    <row r="701" s="100" customFormat="1" ht="15.75" customHeight="1"/>
    <row r="702" s="100" customFormat="1" ht="15.75" customHeight="1"/>
    <row r="703" s="100" customFormat="1" ht="15.75" customHeight="1"/>
    <row r="704" s="100" customFormat="1" ht="15.75" customHeight="1"/>
    <row r="705" s="100" customFormat="1" ht="15.75" customHeight="1"/>
    <row r="706" s="100" customFormat="1" ht="15.75" customHeight="1"/>
    <row r="707" s="100" customFormat="1" ht="15.75" customHeight="1"/>
    <row r="708" s="100" customFormat="1" ht="15.75" customHeight="1"/>
    <row r="709" s="100" customFormat="1" ht="15.75" customHeight="1"/>
    <row r="710" s="100" customFormat="1" ht="15.75" customHeight="1"/>
    <row r="711" s="100" customFormat="1" ht="15.75" customHeight="1"/>
    <row r="712" s="100" customFormat="1" ht="15.75" customHeight="1"/>
    <row r="713" s="100" customFormat="1" ht="15.75" customHeight="1"/>
    <row r="714" s="100" customFormat="1" ht="15.75" customHeight="1"/>
    <row r="715" s="100" customFormat="1" ht="15.75" customHeight="1"/>
    <row r="716" s="100" customFormat="1" ht="15.75" customHeight="1"/>
    <row r="717" s="100" customFormat="1" ht="15.75" customHeight="1"/>
    <row r="718" s="100" customFormat="1" ht="15.75" customHeight="1"/>
    <row r="719" s="100" customFormat="1" ht="15.75" customHeight="1"/>
    <row r="720" s="100" customFormat="1" ht="15.75" customHeight="1"/>
    <row r="721" s="100" customFormat="1" ht="15.75" customHeight="1"/>
    <row r="722" s="100" customFormat="1" ht="15.75" customHeight="1"/>
    <row r="723" s="100" customFormat="1" ht="15.75" customHeight="1"/>
    <row r="724" s="100" customFormat="1" ht="15.75" customHeight="1"/>
    <row r="725" s="100" customFormat="1" ht="15.75" customHeight="1"/>
    <row r="726" s="100" customFormat="1" ht="15.75" customHeight="1"/>
    <row r="727" s="100" customFormat="1" ht="15.75" customHeight="1"/>
    <row r="728" s="100" customFormat="1" ht="15.75" customHeight="1"/>
    <row r="729" s="100" customFormat="1" ht="15.75" customHeight="1"/>
    <row r="730" s="100" customFormat="1" ht="15.75" customHeight="1"/>
    <row r="731" s="100" customFormat="1" ht="15.75" customHeight="1"/>
    <row r="732" s="100" customFormat="1" ht="15.75" customHeight="1"/>
    <row r="733" s="100" customFormat="1" ht="15.75" customHeight="1"/>
    <row r="734" s="100" customFormat="1" ht="15.75" customHeight="1"/>
    <row r="735" s="100" customFormat="1" ht="15.75" customHeight="1"/>
    <row r="736" s="100" customFormat="1" ht="15.75" customHeight="1"/>
    <row r="737" s="100" customFormat="1" ht="15.75" customHeight="1"/>
    <row r="738" s="100" customFormat="1" ht="15.75" customHeight="1"/>
    <row r="739" s="100" customFormat="1" ht="15.75" customHeight="1"/>
    <row r="740" s="100" customFormat="1" ht="15.75" customHeight="1"/>
    <row r="741" s="100" customFormat="1" ht="15.75" customHeight="1"/>
    <row r="742" s="100" customFormat="1" ht="15.75" customHeight="1"/>
    <row r="743" s="100" customFormat="1" ht="15.75" customHeight="1"/>
    <row r="744" s="100" customFormat="1" ht="15.75" customHeight="1"/>
    <row r="745" s="100" customFormat="1" ht="15.75" customHeight="1"/>
    <row r="746" s="100" customFormat="1" ht="15.75" customHeight="1"/>
    <row r="747" s="100" customFormat="1" ht="15.75" customHeight="1"/>
    <row r="748" s="100" customFormat="1" ht="15.75" customHeight="1"/>
    <row r="749" s="100" customFormat="1" ht="15.75" customHeight="1"/>
    <row r="750" s="100" customFormat="1" ht="15.75" customHeight="1"/>
    <row r="751" s="100" customFormat="1" ht="15.75" customHeight="1"/>
    <row r="752" s="100" customFormat="1" ht="15.75" customHeight="1"/>
    <row r="753" s="100" customFormat="1" ht="15.75" customHeight="1"/>
    <row r="754" s="100" customFormat="1" ht="15.75" customHeight="1"/>
    <row r="755" s="100" customFormat="1" ht="15.75" customHeight="1"/>
    <row r="756" s="100" customFormat="1" ht="15.75" customHeight="1"/>
    <row r="757" s="100" customFormat="1" ht="15.75" customHeight="1"/>
    <row r="758" s="100" customFormat="1" ht="15.75" customHeight="1"/>
    <row r="759" s="100" customFormat="1" ht="15.75" customHeight="1"/>
    <row r="760" s="100" customFormat="1" ht="15.75" customHeight="1"/>
    <row r="761" s="100" customFormat="1" ht="15.75" customHeight="1"/>
    <row r="762" s="100" customFormat="1" ht="15.75" customHeight="1"/>
    <row r="763" s="100" customFormat="1" ht="15.75" customHeight="1"/>
    <row r="764" s="100" customFormat="1" ht="15.75" customHeight="1"/>
    <row r="765" s="100" customFormat="1" ht="15.75" customHeight="1"/>
    <row r="766" s="100" customFormat="1" ht="15.75" customHeight="1"/>
    <row r="767" s="100" customFormat="1" ht="15.75" customHeight="1"/>
    <row r="768" s="100" customFormat="1" ht="15.75" customHeight="1"/>
    <row r="769" s="100" customFormat="1" ht="15.75" customHeight="1"/>
    <row r="770" s="100" customFormat="1" ht="15.75" customHeight="1"/>
    <row r="771" s="100" customFormat="1" ht="15.75" customHeight="1"/>
    <row r="772" s="100" customFormat="1" ht="15.75" customHeight="1"/>
    <row r="773" s="100" customFormat="1" ht="15.75" customHeight="1"/>
    <row r="774" s="100" customFormat="1" ht="15.75" customHeight="1"/>
    <row r="775" s="100" customFormat="1" ht="15.75" customHeight="1"/>
    <row r="776" s="100" customFormat="1" ht="15.75" customHeight="1"/>
    <row r="777" s="100" customFormat="1" ht="15.75" customHeight="1"/>
    <row r="778" s="100" customFormat="1" ht="15.75" customHeight="1"/>
    <row r="779" s="100" customFormat="1" ht="15.75" customHeight="1"/>
    <row r="780" s="100" customFormat="1" ht="15.75" customHeight="1"/>
    <row r="781" s="100" customFormat="1" ht="15.75" customHeight="1"/>
    <row r="782" s="100" customFormat="1" ht="15.75" customHeight="1"/>
    <row r="783" s="100" customFormat="1" ht="15.75" customHeight="1"/>
    <row r="784" s="100" customFormat="1" ht="15.75" customHeight="1"/>
    <row r="785" s="100" customFormat="1" ht="15.75" customHeight="1"/>
    <row r="786" s="100" customFormat="1" ht="15.75" customHeight="1"/>
    <row r="787" s="100" customFormat="1" ht="15.75" customHeight="1"/>
    <row r="788" s="100" customFormat="1" ht="15.75" customHeight="1"/>
    <row r="789" s="100" customFormat="1" ht="15.75" customHeight="1"/>
    <row r="790" s="100" customFormat="1" ht="15.75" customHeight="1"/>
    <row r="791" s="100" customFormat="1" ht="15.75" customHeight="1"/>
    <row r="792" s="100" customFormat="1" ht="15.75" customHeight="1"/>
    <row r="793" s="100" customFormat="1" ht="15.75" customHeight="1"/>
    <row r="794" s="100" customFormat="1" ht="15.75" customHeight="1"/>
    <row r="795" s="100" customFormat="1" ht="15.75" customHeight="1"/>
    <row r="796" s="100" customFormat="1" ht="15.75" customHeight="1"/>
    <row r="797" s="100" customFormat="1" ht="15.75" customHeight="1"/>
    <row r="798" s="100" customFormat="1" ht="15.75" customHeight="1"/>
    <row r="799" s="100" customFormat="1" ht="15.75" customHeight="1"/>
    <row r="800" s="100" customFormat="1" ht="15.75" customHeight="1"/>
    <row r="801" s="100" customFormat="1" ht="15.75" customHeight="1"/>
    <row r="802" s="100" customFormat="1" ht="15.75" customHeight="1"/>
    <row r="803" s="100" customFormat="1" ht="15.75" customHeight="1"/>
    <row r="804" s="100" customFormat="1" ht="15.75" customHeight="1"/>
    <row r="805" s="100" customFormat="1" ht="15.75" customHeight="1"/>
    <row r="806" s="100" customFormat="1" ht="15.75" customHeight="1"/>
    <row r="807" s="100" customFormat="1" ht="15.75" customHeight="1"/>
    <row r="808" s="100" customFormat="1" ht="15.75" customHeight="1"/>
    <row r="809" s="100" customFormat="1" ht="15.75" customHeight="1"/>
    <row r="810" s="100" customFormat="1" ht="15.75" customHeight="1"/>
    <row r="811" s="100" customFormat="1" ht="15.75" customHeight="1"/>
    <row r="812" s="100" customFormat="1" ht="15.75" customHeight="1"/>
    <row r="813" s="100" customFormat="1" ht="15.75" customHeight="1"/>
    <row r="814" s="100" customFormat="1" ht="15.75" customHeight="1"/>
    <row r="815" s="100" customFormat="1" ht="15.75" customHeight="1"/>
    <row r="816" s="100" customFormat="1" ht="15.75" customHeight="1"/>
    <row r="817" s="100" customFormat="1" ht="15.75" customHeight="1"/>
    <row r="818" s="100" customFormat="1" ht="15.75" customHeight="1"/>
    <row r="819" s="100" customFormat="1" ht="15.75" customHeight="1"/>
    <row r="820" s="100" customFormat="1" ht="15.75" customHeight="1"/>
    <row r="821" s="100" customFormat="1" ht="15.75" customHeight="1"/>
    <row r="822" s="100" customFormat="1" ht="15.75" customHeight="1"/>
    <row r="823" s="100" customFormat="1" ht="15.75" customHeight="1"/>
    <row r="824" s="100" customFormat="1" ht="15.75" customHeight="1"/>
    <row r="825" s="100" customFormat="1" ht="15.75" customHeight="1"/>
    <row r="826" s="100" customFormat="1" ht="15.75" customHeight="1"/>
    <row r="827" s="100" customFormat="1" ht="15.75" customHeight="1"/>
    <row r="828" s="100" customFormat="1" ht="15.75" customHeight="1"/>
    <row r="829" s="100" customFormat="1" ht="15.75" customHeight="1"/>
    <row r="830" s="100" customFormat="1" ht="15.75" customHeight="1"/>
    <row r="831" s="100" customFormat="1" ht="15.75" customHeight="1"/>
    <row r="832" s="100" customFormat="1" ht="15.75" customHeight="1"/>
    <row r="833" s="100" customFormat="1" ht="15.75" customHeight="1"/>
    <row r="834" s="100" customFormat="1" ht="15.75" customHeight="1"/>
    <row r="835" s="100" customFormat="1" ht="15.75" customHeight="1"/>
    <row r="836" s="100" customFormat="1" ht="15.75" customHeight="1"/>
    <row r="837" s="100" customFormat="1" ht="15.75" customHeight="1"/>
    <row r="838" s="100" customFormat="1" ht="15.75" customHeight="1"/>
    <row r="839" s="100" customFormat="1" ht="15.75" customHeight="1"/>
    <row r="840" s="100" customFormat="1" ht="15.75" customHeight="1"/>
    <row r="841" s="100" customFormat="1" ht="15.75" customHeight="1"/>
    <row r="842" s="100" customFormat="1" ht="15.75" customHeight="1"/>
    <row r="843" s="100" customFormat="1" ht="15.75" customHeight="1"/>
    <row r="844" s="100" customFormat="1" ht="15.75" customHeight="1"/>
    <row r="845" s="100" customFormat="1" ht="15.75" customHeight="1"/>
    <row r="846" s="100" customFormat="1" ht="15.75" customHeight="1"/>
    <row r="847" s="100" customFormat="1" ht="15.75" customHeight="1"/>
    <row r="848" s="100" customFormat="1" ht="15.75" customHeight="1"/>
    <row r="849" s="100" customFormat="1" ht="15.75" customHeight="1"/>
    <row r="850" s="100" customFormat="1" ht="15.75" customHeight="1"/>
    <row r="851" s="100" customFormat="1" ht="15.75" customHeight="1"/>
    <row r="852" s="100" customFormat="1" ht="15.75" customHeight="1"/>
    <row r="853" s="100" customFormat="1" ht="15.75" customHeight="1"/>
    <row r="854" s="100" customFormat="1" ht="15.75" customHeight="1"/>
    <row r="855" s="100" customFormat="1" ht="15.75" customHeight="1"/>
    <row r="856" s="100" customFormat="1" ht="15.75" customHeight="1"/>
    <row r="857" s="100" customFormat="1" ht="15.75" customHeight="1"/>
    <row r="858" s="100" customFormat="1" ht="15.75" customHeight="1"/>
    <row r="859" s="100" customFormat="1" ht="15.75" customHeight="1"/>
    <row r="860" s="100" customFormat="1" ht="15.75" customHeight="1"/>
    <row r="861" s="100" customFormat="1" ht="15.75" customHeight="1"/>
    <row r="862" s="100" customFormat="1" ht="15.75" customHeight="1"/>
    <row r="863" s="100" customFormat="1" ht="15.75" customHeight="1"/>
    <row r="864" s="100" customFormat="1" ht="15.75" customHeight="1"/>
    <row r="865" s="100" customFormat="1" ht="15.75" customHeight="1"/>
    <row r="866" s="100" customFormat="1" ht="15.75" customHeight="1"/>
    <row r="867" s="100" customFormat="1" ht="15.75" customHeight="1"/>
    <row r="868" s="100" customFormat="1" ht="15.75" customHeight="1"/>
    <row r="869" s="100" customFormat="1" ht="15.75" customHeight="1"/>
    <row r="870" s="100" customFormat="1" ht="15.75" customHeight="1"/>
    <row r="871" s="100" customFormat="1" ht="15.75" customHeight="1"/>
    <row r="872" s="100" customFormat="1" ht="15.75" customHeight="1"/>
    <row r="873" s="100" customFormat="1" ht="15.75" customHeight="1"/>
    <row r="874" s="100" customFormat="1" ht="15.75" customHeight="1"/>
    <row r="875" s="100" customFormat="1" ht="15.75" customHeight="1"/>
    <row r="876" s="100" customFormat="1" ht="15.75" customHeight="1"/>
    <row r="877" s="100" customFormat="1" ht="15.75" customHeight="1"/>
    <row r="878" s="100" customFormat="1" ht="15.75" customHeight="1"/>
    <row r="879" s="100" customFormat="1" ht="15.75" customHeight="1"/>
    <row r="880" s="100" customFormat="1" ht="15.75" customHeight="1"/>
    <row r="881" s="100" customFormat="1" ht="15.75" customHeight="1"/>
    <row r="882" s="100" customFormat="1" ht="15.75" customHeight="1"/>
    <row r="883" s="100" customFormat="1" ht="15.75" customHeight="1"/>
    <row r="884" s="100" customFormat="1" ht="15.75" customHeight="1"/>
    <row r="885" s="100" customFormat="1" ht="15.75" customHeight="1"/>
    <row r="886" s="100" customFormat="1" ht="15.75" customHeight="1"/>
    <row r="887" s="100" customFormat="1" ht="15.75" customHeight="1"/>
    <row r="888" s="100" customFormat="1" ht="15.75" customHeight="1"/>
    <row r="889" s="100" customFormat="1" ht="15.75" customHeight="1"/>
    <row r="890" s="100" customFormat="1" ht="15.75" customHeight="1"/>
    <row r="891" s="100" customFormat="1" ht="15.75" customHeight="1"/>
    <row r="892" s="100" customFormat="1" ht="15.75" customHeight="1"/>
    <row r="893" s="100" customFormat="1" ht="15.75" customHeight="1"/>
    <row r="894" s="100" customFormat="1" ht="15.75" customHeight="1"/>
    <row r="895" s="100" customFormat="1" ht="15.75" customHeight="1"/>
    <row r="896" s="100" customFormat="1" ht="15.75" customHeight="1"/>
    <row r="897" s="100" customFormat="1" ht="15.75" customHeight="1"/>
    <row r="898" s="100" customFormat="1" ht="15.75" customHeight="1"/>
    <row r="899" s="100" customFormat="1" ht="15.75" customHeight="1"/>
    <row r="900" s="100" customFormat="1" ht="15.75" customHeight="1"/>
    <row r="901" s="100" customFormat="1" ht="15.75" customHeight="1"/>
    <row r="902" s="100" customFormat="1" ht="15.75" customHeight="1"/>
    <row r="903" s="100" customFormat="1" ht="15.75" customHeight="1"/>
    <row r="904" s="100" customFormat="1" ht="15.75" customHeight="1"/>
    <row r="905" s="100" customFormat="1" ht="15.75" customHeight="1"/>
    <row r="906" s="100" customFormat="1" ht="15.75" customHeight="1"/>
    <row r="907" s="100" customFormat="1" ht="15.75" customHeight="1"/>
    <row r="908" s="100" customFormat="1" ht="15.75" customHeight="1"/>
    <row r="909" s="100" customFormat="1" ht="15.75" customHeight="1"/>
    <row r="910" s="100" customFormat="1" ht="15.75" customHeight="1"/>
    <row r="911" s="100" customFormat="1" ht="15.75" customHeight="1"/>
    <row r="912" s="100" customFormat="1" ht="15.75" customHeight="1"/>
    <row r="913" s="100" customFormat="1" ht="15.75" customHeight="1"/>
    <row r="914" s="100" customFormat="1" ht="15.75" customHeight="1"/>
    <row r="915" s="100" customFormat="1" ht="15.75" customHeight="1"/>
    <row r="916" s="100" customFormat="1" ht="15.75" customHeight="1"/>
    <row r="917" s="100" customFormat="1" ht="15.75" customHeight="1"/>
    <row r="918" s="100" customFormat="1" ht="15.75" customHeight="1"/>
    <row r="919" s="100" customFormat="1" ht="15.75" customHeight="1"/>
    <row r="920" s="100" customFormat="1" ht="15.75" customHeight="1"/>
    <row r="921" s="100" customFormat="1" ht="15.75" customHeight="1"/>
    <row r="922" s="100" customFormat="1" ht="15.75" customHeight="1"/>
    <row r="923" s="100" customFormat="1" ht="15.75" customHeight="1"/>
    <row r="924" s="100" customFormat="1" ht="15.75" customHeight="1"/>
    <row r="925" s="100" customFormat="1" ht="15.75" customHeight="1"/>
    <row r="926" s="100" customFormat="1" ht="15.75" customHeight="1"/>
    <row r="927" s="100" customFormat="1" ht="15.75" customHeight="1"/>
    <row r="928" s="100" customFormat="1" ht="15.75" customHeight="1"/>
    <row r="929" s="100" customFormat="1" ht="15.75" customHeight="1"/>
    <row r="930" s="100" customFormat="1" ht="15.75" customHeight="1"/>
    <row r="931" s="100" customFormat="1" ht="15.75" customHeight="1"/>
    <row r="932" s="100" customFormat="1" ht="15.75" customHeight="1"/>
    <row r="933" s="100" customFormat="1" ht="15.75" customHeight="1"/>
    <row r="934" s="100" customFormat="1" ht="15.75" customHeight="1"/>
    <row r="935" s="100" customFormat="1" ht="15.75" customHeight="1"/>
    <row r="936" s="100" customFormat="1" ht="15.75" customHeight="1"/>
    <row r="937" s="100" customFormat="1" ht="15.75" customHeight="1"/>
    <row r="938" s="100" customFormat="1" ht="15.75" customHeight="1"/>
    <row r="939" s="100" customFormat="1" ht="15.75" customHeight="1"/>
    <row r="940" s="100" customFormat="1" ht="15.75" customHeight="1"/>
    <row r="941" s="100" customFormat="1" ht="15.75" customHeight="1"/>
    <row r="942" s="100" customFormat="1" ht="15.75" customHeight="1"/>
    <row r="943" s="100" customFormat="1" ht="15.75" customHeight="1"/>
    <row r="944" s="100" customFormat="1" ht="15.75" customHeight="1"/>
    <row r="945" s="100" customFormat="1" ht="15.75" customHeight="1"/>
    <row r="946" s="100" customFormat="1" ht="15.75" customHeight="1"/>
    <row r="947" s="100" customFormat="1" ht="15.75" customHeight="1"/>
    <row r="948" s="100" customFormat="1" ht="15.75" customHeight="1"/>
    <row r="949" s="100" customFormat="1" ht="15.75" customHeight="1"/>
    <row r="950" s="100" customFormat="1" ht="15.75" customHeight="1"/>
    <row r="951" s="100" customFormat="1" ht="15.75" customHeight="1"/>
    <row r="952" s="100" customFormat="1" ht="15.75" customHeight="1"/>
    <row r="953" s="100" customFormat="1" ht="15.75" customHeight="1"/>
    <row r="954" s="100" customFormat="1" ht="15.75" customHeight="1"/>
    <row r="955" s="100" customFormat="1" ht="15.75" customHeight="1"/>
    <row r="956" s="100" customFormat="1" ht="15.75" customHeight="1"/>
    <row r="957" s="100" customFormat="1" ht="15.75" customHeight="1"/>
    <row r="958" s="100" customFormat="1" ht="15.75" customHeight="1"/>
    <row r="959" s="100" customFormat="1" ht="15.75" customHeight="1"/>
    <row r="960" s="100" customFormat="1" ht="15.75" customHeight="1"/>
    <row r="961" s="100" customFormat="1" ht="15.75" customHeight="1"/>
    <row r="962" s="100" customFormat="1" ht="15.75" customHeight="1"/>
    <row r="963" s="100" customFormat="1" ht="15.75" customHeight="1"/>
    <row r="964" s="100" customFormat="1" ht="15.75" customHeight="1"/>
    <row r="965" s="100" customFormat="1" ht="15.75" customHeight="1"/>
    <row r="966" s="100" customFormat="1" ht="15.75" customHeight="1"/>
    <row r="967" s="100" customFormat="1" ht="15.75" customHeight="1"/>
    <row r="968" s="100" customFormat="1" ht="15.75" customHeight="1"/>
    <row r="969" s="100" customFormat="1" ht="15.75" customHeight="1"/>
    <row r="970" s="100" customFormat="1" ht="15.75" customHeight="1"/>
    <row r="971" s="100" customFormat="1" ht="15.75" customHeight="1"/>
    <row r="972" s="100" customFormat="1" ht="15.75" customHeight="1"/>
    <row r="973" s="100" customFormat="1" ht="15.75" customHeight="1"/>
    <row r="974" s="100" customFormat="1" ht="15.75" customHeight="1"/>
    <row r="975" s="100" customFormat="1" ht="15.75" customHeight="1"/>
    <row r="976" s="100" customFormat="1" ht="15.75" customHeight="1"/>
    <row r="977" s="100" customFormat="1" ht="15.75" customHeight="1"/>
    <row r="978" s="100" customFormat="1" ht="15.75" customHeight="1"/>
    <row r="979" s="100" customFormat="1" ht="15.75" customHeight="1"/>
    <row r="980" s="100" customFormat="1" ht="15.75" customHeight="1"/>
    <row r="981" s="100" customFormat="1" ht="15.75" customHeight="1"/>
    <row r="982" s="100" customFormat="1" ht="15.75" customHeight="1"/>
    <row r="983" s="100" customFormat="1" ht="15.75" customHeight="1"/>
    <row r="984" s="100" customFormat="1" ht="15.75" customHeight="1"/>
    <row r="985" s="100" customFormat="1" ht="15.75" customHeight="1"/>
    <row r="986" s="100" customFormat="1" ht="15.75" customHeight="1"/>
    <row r="987" s="100" customFormat="1" ht="15.75" customHeight="1"/>
    <row r="988" s="100" customFormat="1" ht="15.75" customHeight="1"/>
    <row r="989" s="100" customFormat="1" ht="15.75" customHeight="1"/>
    <row r="990" s="100" customFormat="1" ht="15.75" customHeight="1"/>
    <row r="991" s="100" customFormat="1" ht="15.75" customHeight="1"/>
    <row r="992" s="100" customFormat="1" ht="15.75" customHeight="1"/>
    <row r="993" s="100" customFormat="1" ht="15.75" customHeight="1"/>
    <row r="994" s="100" customFormat="1" ht="15.75" customHeight="1"/>
    <row r="995" s="100" customFormat="1" ht="15.75" customHeight="1"/>
    <row r="996" s="100" customFormat="1" ht="15.75" customHeight="1"/>
    <row r="997" s="100" customFormat="1" ht="15.75" customHeight="1"/>
    <row r="998" s="100" customFormat="1" ht="15.75" customHeight="1"/>
    <row r="999" s="100" customFormat="1" ht="15.75" customHeight="1"/>
    <row r="1000" s="100" customFormat="1" ht="15.75" customHeight="1"/>
  </sheetData>
  <mergeCells count="2">
    <mergeCell ref="H5:J5"/>
    <mergeCell ref="H13:J13"/>
  </mergeCells>
  <pageMargins left="0.7" right="0.7" top="0.75" bottom="0.75" header="0" footer="0"/>
  <pageSetup orientation="landscape"/>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39E54-E1A4-4EDC-B4A3-B7FB5C53D598}">
  <dimension ref="B2:Q1000"/>
  <sheetViews>
    <sheetView showGridLines="0" workbookViewId="0">
      <selection activeCell="H13" sqref="H13"/>
    </sheetView>
  </sheetViews>
  <sheetFormatPr defaultColWidth="14.453125" defaultRowHeight="15" customHeight="1"/>
  <cols>
    <col min="1" max="1" width="8.81640625" style="100" customWidth="1"/>
    <col min="2" max="2" width="15.36328125" style="100" customWidth="1"/>
    <col min="3" max="3" width="14" style="100" customWidth="1"/>
    <col min="4" max="4" width="13.6328125" style="100" customWidth="1"/>
    <col min="5" max="5" width="4" style="100" customWidth="1"/>
    <col min="6" max="14" width="9.6328125" style="100" customWidth="1"/>
    <col min="15" max="17" width="10.81640625" style="100" customWidth="1"/>
    <col min="18" max="26" width="8.81640625" style="100" customWidth="1"/>
    <col min="27" max="16384" width="14.453125" style="100"/>
  </cols>
  <sheetData>
    <row r="2" spans="2:17" ht="15.5">
      <c r="B2" s="124" t="s">
        <v>256</v>
      </c>
      <c r="C2" s="134"/>
      <c r="D2" s="134"/>
      <c r="E2" s="134"/>
      <c r="F2" s="134"/>
      <c r="G2" s="134"/>
      <c r="H2" s="134"/>
      <c r="I2" s="134"/>
      <c r="J2" s="134"/>
      <c r="K2" s="134"/>
      <c r="L2" s="134"/>
      <c r="M2" s="134"/>
      <c r="N2" s="134"/>
      <c r="O2" s="134"/>
      <c r="P2" s="134"/>
      <c r="Q2" s="134"/>
    </row>
    <row r="3" spans="2:17" ht="14.5">
      <c r="B3" s="128" t="s">
        <v>409</v>
      </c>
      <c r="F3" s="139"/>
      <c r="G3" s="139"/>
      <c r="H3" s="101"/>
      <c r="I3" s="139"/>
      <c r="J3" s="139"/>
      <c r="K3" s="139"/>
      <c r="L3" s="139"/>
      <c r="M3" s="139"/>
      <c r="N3" s="139"/>
      <c r="O3" s="139"/>
      <c r="P3" s="139"/>
      <c r="Q3" s="139"/>
    </row>
    <row r="4" spans="2:17" ht="14.5">
      <c r="F4" s="139"/>
      <c r="G4" s="139"/>
      <c r="H4" s="101"/>
      <c r="I4" s="139"/>
      <c r="J4" s="139"/>
      <c r="K4" s="139"/>
      <c r="L4" s="139"/>
      <c r="M4" s="139"/>
      <c r="N4" s="139"/>
      <c r="O4" s="139"/>
      <c r="P4" s="139"/>
      <c r="Q4" s="139"/>
    </row>
    <row r="5" spans="2:17" ht="14.5">
      <c r="B5" s="112" t="s">
        <v>408</v>
      </c>
      <c r="C5" s="113" t="s">
        <v>407</v>
      </c>
      <c r="D5" s="113" t="s">
        <v>406</v>
      </c>
      <c r="F5" s="138">
        <v>44562</v>
      </c>
      <c r="G5" s="138">
        <f t="shared" ref="G5:Q5" si="0">EDATE(F5,1)</f>
        <v>44593</v>
      </c>
      <c r="H5" s="138">
        <f t="shared" si="0"/>
        <v>44621</v>
      </c>
      <c r="I5" s="138">
        <f t="shared" si="0"/>
        <v>44652</v>
      </c>
      <c r="J5" s="138">
        <f t="shared" si="0"/>
        <v>44682</v>
      </c>
      <c r="K5" s="138">
        <f t="shared" si="0"/>
        <v>44713</v>
      </c>
      <c r="L5" s="138">
        <f t="shared" si="0"/>
        <v>44743</v>
      </c>
      <c r="M5" s="138">
        <f t="shared" si="0"/>
        <v>44774</v>
      </c>
      <c r="N5" s="138">
        <f t="shared" si="0"/>
        <v>44805</v>
      </c>
      <c r="O5" s="138">
        <f t="shared" si="0"/>
        <v>44835</v>
      </c>
      <c r="P5" s="138">
        <f t="shared" si="0"/>
        <v>44866</v>
      </c>
      <c r="Q5" s="138">
        <f t="shared" si="0"/>
        <v>44896</v>
      </c>
    </row>
    <row r="6" spans="2:17" ht="14.5">
      <c r="B6" s="128" t="s">
        <v>405</v>
      </c>
      <c r="C6" s="137">
        <v>5000</v>
      </c>
      <c r="D6" s="136">
        <v>44635</v>
      </c>
      <c r="F6" s="135">
        <f t="shared" ref="F6:Q6" si="1">IF(MONTH(F$5)&lt;=MONTH($D6),IF(MONTH(F$5)=MONTH($D6),DAY($D6)/DAY(EOMONTH(F$5,0))*$C6,$C6),0)</f>
        <v>5000</v>
      </c>
      <c r="G6" s="135">
        <f t="shared" si="1"/>
        <v>5000</v>
      </c>
      <c r="H6" s="135">
        <f t="shared" si="1"/>
        <v>2419.3548387096776</v>
      </c>
      <c r="I6" s="135">
        <f t="shared" si="1"/>
        <v>0</v>
      </c>
      <c r="J6" s="135">
        <f t="shared" si="1"/>
        <v>0</v>
      </c>
      <c r="K6" s="135">
        <f t="shared" si="1"/>
        <v>0</v>
      </c>
      <c r="L6" s="135">
        <f t="shared" si="1"/>
        <v>0</v>
      </c>
      <c r="M6" s="135">
        <f t="shared" si="1"/>
        <v>0</v>
      </c>
      <c r="N6" s="135">
        <f t="shared" si="1"/>
        <v>0</v>
      </c>
      <c r="O6" s="135">
        <f t="shared" si="1"/>
        <v>0</v>
      </c>
      <c r="P6" s="135">
        <f t="shared" si="1"/>
        <v>0</v>
      </c>
      <c r="Q6" s="135">
        <f t="shared" si="1"/>
        <v>0</v>
      </c>
    </row>
    <row r="7" spans="2:17" ht="14.5">
      <c r="B7" s="128" t="s">
        <v>404</v>
      </c>
      <c r="C7" s="137">
        <v>7000</v>
      </c>
      <c r="D7" s="136">
        <v>44729</v>
      </c>
      <c r="F7" s="135">
        <f t="shared" ref="F7:N10" si="2">IF(MONTH(F$5)&lt;=MONTH($D7),IF(MONTH(F$5)=MONTH($D7),DAY($D7)/DAY(EOMONTH(F$5,0))*$C7,$C7),0)</f>
        <v>7000</v>
      </c>
      <c r="G7" s="135">
        <f t="shared" si="2"/>
        <v>7000</v>
      </c>
      <c r="H7" s="135">
        <f t="shared" si="2"/>
        <v>7000</v>
      </c>
      <c r="I7" s="135">
        <f t="shared" si="2"/>
        <v>7000</v>
      </c>
      <c r="J7" s="135">
        <f t="shared" si="2"/>
        <v>7000</v>
      </c>
      <c r="K7" s="135">
        <f t="shared" si="2"/>
        <v>3966.6666666666665</v>
      </c>
      <c r="L7" s="135">
        <f t="shared" si="2"/>
        <v>0</v>
      </c>
      <c r="M7" s="135">
        <f t="shared" si="2"/>
        <v>0</v>
      </c>
      <c r="N7" s="135">
        <f t="shared" si="2"/>
        <v>0</v>
      </c>
      <c r="O7" s="135">
        <f t="shared" ref="O7:Q10" si="3">IF(MONTH(O$5)&lt;=MONTH($D7),$C7,0)</f>
        <v>0</v>
      </c>
      <c r="P7" s="135">
        <f t="shared" si="3"/>
        <v>0</v>
      </c>
      <c r="Q7" s="135">
        <f t="shared" si="3"/>
        <v>0</v>
      </c>
    </row>
    <row r="8" spans="2:17" ht="14.5">
      <c r="B8" s="128" t="s">
        <v>403</v>
      </c>
      <c r="C8" s="137">
        <v>5000</v>
      </c>
      <c r="D8" s="136">
        <v>44597</v>
      </c>
      <c r="F8" s="135">
        <f t="shared" si="2"/>
        <v>5000</v>
      </c>
      <c r="G8" s="135">
        <f t="shared" si="2"/>
        <v>892.85714285714289</v>
      </c>
      <c r="H8" s="135">
        <f t="shared" si="2"/>
        <v>0</v>
      </c>
      <c r="I8" s="135">
        <f t="shared" si="2"/>
        <v>0</v>
      </c>
      <c r="J8" s="135">
        <f t="shared" si="2"/>
        <v>0</v>
      </c>
      <c r="K8" s="135">
        <f t="shared" si="2"/>
        <v>0</v>
      </c>
      <c r="L8" s="135">
        <f t="shared" si="2"/>
        <v>0</v>
      </c>
      <c r="M8" s="135">
        <f t="shared" si="2"/>
        <v>0</v>
      </c>
      <c r="N8" s="135">
        <f t="shared" si="2"/>
        <v>0</v>
      </c>
      <c r="O8" s="135">
        <f t="shared" si="3"/>
        <v>0</v>
      </c>
      <c r="P8" s="135">
        <f t="shared" si="3"/>
        <v>0</v>
      </c>
      <c r="Q8" s="135">
        <f t="shared" si="3"/>
        <v>0</v>
      </c>
    </row>
    <row r="9" spans="2:17" ht="14.5">
      <c r="B9" s="128" t="s">
        <v>402</v>
      </c>
      <c r="C9" s="137">
        <v>4000</v>
      </c>
      <c r="D9" s="136">
        <v>44798</v>
      </c>
      <c r="F9" s="135">
        <f t="shared" si="2"/>
        <v>4000</v>
      </c>
      <c r="G9" s="135">
        <f t="shared" si="2"/>
        <v>4000</v>
      </c>
      <c r="H9" s="135">
        <f t="shared" si="2"/>
        <v>4000</v>
      </c>
      <c r="I9" s="135">
        <f t="shared" si="2"/>
        <v>4000</v>
      </c>
      <c r="J9" s="135">
        <f t="shared" si="2"/>
        <v>4000</v>
      </c>
      <c r="K9" s="135">
        <f t="shared" si="2"/>
        <v>4000</v>
      </c>
      <c r="L9" s="135">
        <f t="shared" si="2"/>
        <v>4000</v>
      </c>
      <c r="M9" s="135">
        <f t="shared" si="2"/>
        <v>3225.8064516129029</v>
      </c>
      <c r="N9" s="135">
        <f t="shared" si="2"/>
        <v>0</v>
      </c>
      <c r="O9" s="135">
        <f t="shared" si="3"/>
        <v>0</v>
      </c>
      <c r="P9" s="135">
        <f t="shared" si="3"/>
        <v>0</v>
      </c>
      <c r="Q9" s="135">
        <f t="shared" si="3"/>
        <v>0</v>
      </c>
    </row>
    <row r="10" spans="2:17" ht="14.5">
      <c r="B10" s="128" t="s">
        <v>401</v>
      </c>
      <c r="C10" s="137">
        <v>3500</v>
      </c>
      <c r="D10" s="136">
        <v>44579</v>
      </c>
      <c r="F10" s="135">
        <f t="shared" si="2"/>
        <v>2032.2580645161293</v>
      </c>
      <c r="G10" s="135">
        <f t="shared" si="2"/>
        <v>0</v>
      </c>
      <c r="H10" s="135">
        <f t="shared" si="2"/>
        <v>0</v>
      </c>
      <c r="I10" s="135">
        <f t="shared" si="2"/>
        <v>0</v>
      </c>
      <c r="J10" s="135">
        <f t="shared" si="2"/>
        <v>0</v>
      </c>
      <c r="K10" s="135">
        <f t="shared" si="2"/>
        <v>0</v>
      </c>
      <c r="L10" s="135">
        <f t="shared" si="2"/>
        <v>0</v>
      </c>
      <c r="M10" s="135">
        <f t="shared" si="2"/>
        <v>0</v>
      </c>
      <c r="N10" s="135">
        <f t="shared" si="2"/>
        <v>0</v>
      </c>
      <c r="O10" s="135">
        <f t="shared" si="3"/>
        <v>0</v>
      </c>
      <c r="P10" s="135">
        <f t="shared" si="3"/>
        <v>0</v>
      </c>
      <c r="Q10" s="135">
        <f t="shared" si="3"/>
        <v>0</v>
      </c>
    </row>
    <row r="11" spans="2:17" ht="15" customHeight="1">
      <c r="F11" s="135"/>
    </row>
    <row r="21" s="100" customFormat="1" ht="15.75" customHeight="1"/>
    <row r="22" s="100" customFormat="1" ht="15.75" customHeight="1"/>
    <row r="23" s="100" customFormat="1" ht="15.75" customHeight="1"/>
    <row r="24" s="100" customFormat="1" ht="15.75" customHeight="1"/>
    <row r="25" s="100" customFormat="1" ht="15.75" customHeight="1"/>
    <row r="26" s="100" customFormat="1" ht="15.75" customHeight="1"/>
    <row r="27" s="100" customFormat="1" ht="15.75" customHeight="1"/>
    <row r="28" s="100" customFormat="1" ht="15.75" customHeight="1"/>
    <row r="29" s="100" customFormat="1" ht="15.75" customHeight="1"/>
    <row r="30" s="100" customFormat="1" ht="15.75" customHeight="1"/>
    <row r="31" s="100" customFormat="1" ht="15.75" customHeight="1"/>
    <row r="32" s="100" customFormat="1" ht="15.75" customHeight="1"/>
    <row r="33" s="100" customFormat="1" ht="15.75" customHeight="1"/>
    <row r="34" s="100" customFormat="1" ht="15.75" customHeight="1"/>
    <row r="35" s="100" customFormat="1" ht="15.75" customHeight="1"/>
    <row r="36" s="100" customFormat="1" ht="15.75" customHeight="1"/>
    <row r="37" s="100" customFormat="1" ht="15.75" customHeight="1"/>
    <row r="38" s="100" customFormat="1" ht="15.75" customHeight="1"/>
    <row r="39" s="100" customFormat="1" ht="15.75" customHeight="1"/>
    <row r="40" s="100" customFormat="1" ht="15.75" customHeight="1"/>
    <row r="41" s="100" customFormat="1" ht="15.75" customHeight="1"/>
    <row r="42" s="100" customFormat="1" ht="15.75" customHeight="1"/>
    <row r="43" s="100" customFormat="1" ht="15.75" customHeight="1"/>
    <row r="44" s="100" customFormat="1" ht="15.75" customHeight="1"/>
    <row r="45" s="100" customFormat="1" ht="15.75" customHeight="1"/>
    <row r="46" s="100" customFormat="1" ht="15.75" customHeight="1"/>
    <row r="47" s="100" customFormat="1" ht="15.75" customHeight="1"/>
    <row r="48" s="100" customFormat="1" ht="15.75" customHeight="1"/>
    <row r="49" s="100" customFormat="1" ht="15.75" customHeight="1"/>
    <row r="50" s="100" customFormat="1" ht="15.75" customHeight="1"/>
    <row r="51" s="100" customFormat="1" ht="15.75" customHeight="1"/>
    <row r="52" s="100" customFormat="1" ht="15.75" customHeight="1"/>
    <row r="53" s="100" customFormat="1" ht="15.75" customHeight="1"/>
    <row r="54" s="100" customFormat="1" ht="15.75" customHeight="1"/>
    <row r="55" s="100" customFormat="1" ht="15.75" customHeight="1"/>
    <row r="56" s="100" customFormat="1" ht="15.75" customHeight="1"/>
    <row r="57" s="100" customFormat="1" ht="15.75" customHeight="1"/>
    <row r="58" s="100" customFormat="1" ht="15.75" customHeight="1"/>
    <row r="59" s="100" customFormat="1" ht="15.75" customHeight="1"/>
    <row r="60" s="100" customFormat="1" ht="15.75" customHeight="1"/>
    <row r="61" s="100" customFormat="1" ht="15.75" customHeight="1"/>
    <row r="62" s="100" customFormat="1" ht="15.75" customHeight="1"/>
    <row r="63" s="100" customFormat="1" ht="15.75" customHeight="1"/>
    <row r="64" s="100" customFormat="1" ht="15.75" customHeight="1"/>
    <row r="65" s="100" customFormat="1" ht="15.75" customHeight="1"/>
    <row r="66" s="100" customFormat="1" ht="15.75" customHeight="1"/>
    <row r="67" s="100" customFormat="1" ht="15.75" customHeight="1"/>
    <row r="68" s="100" customFormat="1" ht="15.75" customHeight="1"/>
    <row r="69" s="100" customFormat="1" ht="15.75" customHeight="1"/>
    <row r="70" s="100" customFormat="1" ht="15.75" customHeight="1"/>
    <row r="71" s="100" customFormat="1" ht="15.75" customHeight="1"/>
    <row r="72" s="100" customFormat="1" ht="15.75" customHeight="1"/>
    <row r="73" s="100" customFormat="1" ht="15.75" customHeight="1"/>
    <row r="74" s="100" customFormat="1" ht="15.75" customHeight="1"/>
    <row r="75" s="100" customFormat="1" ht="15.75" customHeight="1"/>
    <row r="76" s="100" customFormat="1" ht="15.75" customHeight="1"/>
    <row r="77" s="100" customFormat="1" ht="15.75" customHeight="1"/>
    <row r="78" s="100" customFormat="1" ht="15.75" customHeight="1"/>
    <row r="79" s="100" customFormat="1" ht="15.75" customHeight="1"/>
    <row r="80" s="100" customFormat="1" ht="15.75" customHeight="1"/>
    <row r="81" s="100" customFormat="1" ht="15.75" customHeight="1"/>
    <row r="82" s="100" customFormat="1" ht="15.75" customHeight="1"/>
    <row r="83" s="100" customFormat="1" ht="15.75" customHeight="1"/>
    <row r="84" s="100" customFormat="1" ht="15.75" customHeight="1"/>
    <row r="85" s="100" customFormat="1" ht="15.75" customHeight="1"/>
    <row r="86" s="100" customFormat="1" ht="15.75" customHeight="1"/>
    <row r="87" s="100" customFormat="1" ht="15.75" customHeight="1"/>
    <row r="88" s="100" customFormat="1" ht="15.75" customHeight="1"/>
    <row r="89" s="100" customFormat="1" ht="15.75" customHeight="1"/>
    <row r="90" s="100" customFormat="1" ht="15.75" customHeight="1"/>
    <row r="91" s="100" customFormat="1" ht="15.75" customHeight="1"/>
    <row r="92" s="100" customFormat="1" ht="15.75" customHeight="1"/>
    <row r="93" s="100" customFormat="1" ht="15.75" customHeight="1"/>
    <row r="94" s="100" customFormat="1" ht="15.75" customHeight="1"/>
    <row r="95" s="100" customFormat="1" ht="15.75" customHeight="1"/>
    <row r="96" s="100" customFormat="1" ht="15.75" customHeight="1"/>
    <row r="97" s="100" customFormat="1" ht="15.75" customHeight="1"/>
    <row r="98" s="100" customFormat="1" ht="15.75" customHeight="1"/>
    <row r="99" s="100" customFormat="1" ht="15.75" customHeight="1"/>
    <row r="100" s="100" customFormat="1" ht="15.75" customHeight="1"/>
    <row r="101" s="100" customFormat="1" ht="15.75" customHeight="1"/>
    <row r="102" s="100" customFormat="1" ht="15.75" customHeight="1"/>
    <row r="103" s="100" customFormat="1" ht="15.75" customHeight="1"/>
    <row r="104" s="100" customFormat="1" ht="15.75" customHeight="1"/>
    <row r="105" s="100" customFormat="1" ht="15.75" customHeight="1"/>
    <row r="106" s="100" customFormat="1" ht="15.75" customHeight="1"/>
    <row r="107" s="100" customFormat="1" ht="15.75" customHeight="1"/>
    <row r="108" s="100" customFormat="1" ht="15.75" customHeight="1"/>
    <row r="109" s="100" customFormat="1" ht="15.75" customHeight="1"/>
    <row r="110" s="100" customFormat="1" ht="15.75" customHeight="1"/>
    <row r="111" s="100" customFormat="1" ht="15.75" customHeight="1"/>
    <row r="112" s="100" customFormat="1" ht="15.75" customHeight="1"/>
    <row r="113" s="100" customFormat="1" ht="15.75" customHeight="1"/>
    <row r="114" s="100" customFormat="1" ht="15.75" customHeight="1"/>
    <row r="115" s="100" customFormat="1" ht="15.75" customHeight="1"/>
    <row r="116" s="100" customFormat="1" ht="15.75" customHeight="1"/>
    <row r="117" s="100" customFormat="1" ht="15.75" customHeight="1"/>
    <row r="118" s="100" customFormat="1" ht="15.75" customHeight="1"/>
    <row r="119" s="100" customFormat="1" ht="15.75" customHeight="1"/>
    <row r="120" s="100" customFormat="1" ht="15.75" customHeight="1"/>
    <row r="121" s="100" customFormat="1" ht="15.75" customHeight="1"/>
    <row r="122" s="100" customFormat="1" ht="15.75" customHeight="1"/>
    <row r="123" s="100" customFormat="1" ht="15.75" customHeight="1"/>
    <row r="124" s="100" customFormat="1" ht="15.75" customHeight="1"/>
    <row r="125" s="100" customFormat="1" ht="15.75" customHeight="1"/>
    <row r="126" s="100" customFormat="1" ht="15.75" customHeight="1"/>
    <row r="127" s="100" customFormat="1" ht="15.75" customHeight="1"/>
    <row r="128" s="100" customFormat="1" ht="15.75" customHeight="1"/>
    <row r="129" s="100" customFormat="1" ht="15.75" customHeight="1"/>
    <row r="130" s="100" customFormat="1" ht="15.75" customHeight="1"/>
    <row r="131" s="100" customFormat="1" ht="15.75" customHeight="1"/>
    <row r="132" s="100" customFormat="1" ht="15.75" customHeight="1"/>
    <row r="133" s="100" customFormat="1" ht="15.75" customHeight="1"/>
    <row r="134" s="100" customFormat="1" ht="15.75" customHeight="1"/>
    <row r="135" s="100" customFormat="1" ht="15.75" customHeight="1"/>
    <row r="136" s="100" customFormat="1" ht="15.75" customHeight="1"/>
    <row r="137" s="100" customFormat="1" ht="15.75" customHeight="1"/>
    <row r="138" s="100" customFormat="1" ht="15.75" customHeight="1"/>
    <row r="139" s="100" customFormat="1" ht="15.75" customHeight="1"/>
    <row r="140" s="100" customFormat="1" ht="15.75" customHeight="1"/>
    <row r="141" s="100" customFormat="1" ht="15.75" customHeight="1"/>
    <row r="142" s="100" customFormat="1" ht="15.75" customHeight="1"/>
    <row r="143" s="100" customFormat="1" ht="15.75" customHeight="1"/>
    <row r="144" s="100" customFormat="1" ht="15.75" customHeight="1"/>
    <row r="145" s="100" customFormat="1" ht="15.75" customHeight="1"/>
    <row r="146" s="100" customFormat="1" ht="15.75" customHeight="1"/>
    <row r="147" s="100" customFormat="1" ht="15.75" customHeight="1"/>
    <row r="148" s="100" customFormat="1" ht="15.75" customHeight="1"/>
    <row r="149" s="100" customFormat="1" ht="15.75" customHeight="1"/>
    <row r="150" s="100" customFormat="1" ht="15.75" customHeight="1"/>
    <row r="151" s="100" customFormat="1" ht="15.75" customHeight="1"/>
    <row r="152" s="100" customFormat="1" ht="15.75" customHeight="1"/>
    <row r="153" s="100" customFormat="1" ht="15.75" customHeight="1"/>
    <row r="154" s="100" customFormat="1" ht="15.75" customHeight="1"/>
    <row r="155" s="100" customFormat="1" ht="15.75" customHeight="1"/>
    <row r="156" s="100" customFormat="1" ht="15.75" customHeight="1"/>
    <row r="157" s="100" customFormat="1" ht="15.75" customHeight="1"/>
    <row r="158" s="100" customFormat="1" ht="15.75" customHeight="1"/>
    <row r="159" s="100" customFormat="1" ht="15.75" customHeight="1"/>
    <row r="160" s="100" customFormat="1" ht="15.75" customHeight="1"/>
    <row r="161" s="100" customFormat="1" ht="15.75" customHeight="1"/>
    <row r="162" s="100" customFormat="1" ht="15.75" customHeight="1"/>
    <row r="163" s="100" customFormat="1" ht="15.75" customHeight="1"/>
    <row r="164" s="100" customFormat="1" ht="15.75" customHeight="1"/>
    <row r="165" s="100" customFormat="1" ht="15.75" customHeight="1"/>
    <row r="166" s="100" customFormat="1" ht="15.75" customHeight="1"/>
    <row r="167" s="100" customFormat="1" ht="15.75" customHeight="1"/>
    <row r="168" s="100" customFormat="1" ht="15.75" customHeight="1"/>
    <row r="169" s="100" customFormat="1" ht="15.75" customHeight="1"/>
    <row r="170" s="100" customFormat="1" ht="15.75" customHeight="1"/>
    <row r="171" s="100" customFormat="1" ht="15.75" customHeight="1"/>
    <row r="172" s="100" customFormat="1" ht="15.75" customHeight="1"/>
    <row r="173" s="100" customFormat="1" ht="15.75" customHeight="1"/>
    <row r="174" s="100" customFormat="1" ht="15.75" customHeight="1"/>
    <row r="175" s="100" customFormat="1" ht="15.75" customHeight="1"/>
    <row r="176" s="100" customFormat="1" ht="15.75" customHeight="1"/>
    <row r="177" s="100" customFormat="1" ht="15.75" customHeight="1"/>
    <row r="178" s="100" customFormat="1" ht="15.75" customHeight="1"/>
    <row r="179" s="100" customFormat="1" ht="15.75" customHeight="1"/>
    <row r="180" s="100" customFormat="1" ht="15.75" customHeight="1"/>
    <row r="181" s="100" customFormat="1" ht="15.75" customHeight="1"/>
    <row r="182" s="100" customFormat="1" ht="15.75" customHeight="1"/>
    <row r="183" s="100" customFormat="1" ht="15.75" customHeight="1"/>
    <row r="184" s="100" customFormat="1" ht="15.75" customHeight="1"/>
    <row r="185" s="100" customFormat="1" ht="15.75" customHeight="1"/>
    <row r="186" s="100" customFormat="1" ht="15.75" customHeight="1"/>
    <row r="187" s="100" customFormat="1" ht="15.75" customHeight="1"/>
    <row r="188" s="100" customFormat="1" ht="15.75" customHeight="1"/>
    <row r="189" s="100" customFormat="1" ht="15.75" customHeight="1"/>
    <row r="190" s="100" customFormat="1" ht="15.75" customHeight="1"/>
    <row r="191" s="100" customFormat="1" ht="15.75" customHeight="1"/>
    <row r="192" s="100" customFormat="1" ht="15.75" customHeight="1"/>
    <row r="193" s="100" customFormat="1" ht="15.75" customHeight="1"/>
    <row r="194" s="100" customFormat="1" ht="15.75" customHeight="1"/>
    <row r="195" s="100" customFormat="1" ht="15.75" customHeight="1"/>
    <row r="196" s="100" customFormat="1" ht="15.75" customHeight="1"/>
    <row r="197" s="100" customFormat="1" ht="15.75" customHeight="1"/>
    <row r="198" s="100" customFormat="1" ht="15.75" customHeight="1"/>
    <row r="199" s="100" customFormat="1" ht="15.75" customHeight="1"/>
    <row r="200" s="100" customFormat="1" ht="15.75" customHeight="1"/>
    <row r="201" s="100" customFormat="1" ht="15.75" customHeight="1"/>
    <row r="202" s="100" customFormat="1" ht="15.75" customHeight="1"/>
    <row r="203" s="100" customFormat="1" ht="15.75" customHeight="1"/>
    <row r="204" s="100" customFormat="1" ht="15.75" customHeight="1"/>
    <row r="205" s="100" customFormat="1" ht="15.75" customHeight="1"/>
    <row r="206" s="100" customFormat="1" ht="15.75" customHeight="1"/>
    <row r="207" s="100" customFormat="1" ht="15.75" customHeight="1"/>
    <row r="208" s="100" customFormat="1" ht="15.75" customHeight="1"/>
    <row r="209" s="100" customFormat="1" ht="15.75" customHeight="1"/>
    <row r="210" s="100" customFormat="1" ht="15.75" customHeight="1"/>
    <row r="211" s="100" customFormat="1" ht="15.75" customHeight="1"/>
    <row r="212" s="100" customFormat="1" ht="15.75" customHeight="1"/>
    <row r="213" s="100" customFormat="1" ht="15.75" customHeight="1"/>
    <row r="214" s="100" customFormat="1" ht="15.75" customHeight="1"/>
    <row r="215" s="100" customFormat="1" ht="15.75" customHeight="1"/>
    <row r="216" s="100" customFormat="1" ht="15.75" customHeight="1"/>
    <row r="217" s="100" customFormat="1" ht="15.75" customHeight="1"/>
    <row r="218" s="100" customFormat="1" ht="15.75" customHeight="1"/>
    <row r="219" s="100" customFormat="1" ht="15.75" customHeight="1"/>
    <row r="220" s="100" customFormat="1" ht="15.75" customHeight="1"/>
    <row r="221" s="100" customFormat="1" ht="15.75" customHeight="1"/>
    <row r="222" s="100" customFormat="1" ht="15.75" customHeight="1"/>
    <row r="223" s="100" customFormat="1" ht="15.75" customHeight="1"/>
    <row r="224" s="100" customFormat="1" ht="15.75" customHeight="1"/>
    <row r="225" s="100" customFormat="1" ht="15.75" customHeight="1"/>
    <row r="226" s="100" customFormat="1" ht="15.75" customHeight="1"/>
    <row r="227" s="100" customFormat="1" ht="15.75" customHeight="1"/>
    <row r="228" s="100" customFormat="1" ht="15.75" customHeight="1"/>
    <row r="229" s="100" customFormat="1" ht="15.75" customHeight="1"/>
    <row r="230" s="100" customFormat="1" ht="15.75" customHeight="1"/>
    <row r="231" s="100" customFormat="1" ht="15.75" customHeight="1"/>
    <row r="232" s="100" customFormat="1" ht="15.75" customHeight="1"/>
    <row r="233" s="100" customFormat="1" ht="15.75" customHeight="1"/>
    <row r="234" s="100" customFormat="1" ht="15.75" customHeight="1"/>
    <row r="235" s="100" customFormat="1" ht="15.75" customHeight="1"/>
    <row r="236" s="100" customFormat="1" ht="15.75" customHeight="1"/>
    <row r="237" s="100" customFormat="1" ht="15.75" customHeight="1"/>
    <row r="238" s="100" customFormat="1" ht="15.75" customHeight="1"/>
    <row r="239" s="100" customFormat="1" ht="15.75" customHeight="1"/>
    <row r="240" s="100" customFormat="1" ht="15.75" customHeight="1"/>
    <row r="241" s="100" customFormat="1" ht="15.75" customHeight="1"/>
    <row r="242" s="100" customFormat="1" ht="15.75" customHeight="1"/>
    <row r="243" s="100" customFormat="1" ht="15.75" customHeight="1"/>
    <row r="244" s="100" customFormat="1" ht="15.75" customHeight="1"/>
    <row r="245" s="100" customFormat="1" ht="15.75" customHeight="1"/>
    <row r="246" s="100" customFormat="1" ht="15.75" customHeight="1"/>
    <row r="247" s="100" customFormat="1" ht="15.75" customHeight="1"/>
    <row r="248" s="100" customFormat="1" ht="15.75" customHeight="1"/>
    <row r="249" s="100" customFormat="1" ht="15.75" customHeight="1"/>
    <row r="250" s="100" customFormat="1" ht="15.75" customHeight="1"/>
    <row r="251" s="100" customFormat="1" ht="15.75" customHeight="1"/>
    <row r="252" s="100" customFormat="1" ht="15.75" customHeight="1"/>
    <row r="253" s="100" customFormat="1" ht="15.75" customHeight="1"/>
    <row r="254" s="100" customFormat="1" ht="15.75" customHeight="1"/>
    <row r="255" s="100" customFormat="1" ht="15.75" customHeight="1"/>
    <row r="256" s="100" customFormat="1" ht="15.75" customHeight="1"/>
    <row r="257" s="100" customFormat="1" ht="15.75" customHeight="1"/>
    <row r="258" s="100" customFormat="1" ht="15.75" customHeight="1"/>
    <row r="259" s="100" customFormat="1" ht="15.75" customHeight="1"/>
    <row r="260" s="100" customFormat="1" ht="15.75" customHeight="1"/>
    <row r="261" s="100" customFormat="1" ht="15.75" customHeight="1"/>
    <row r="262" s="100" customFormat="1" ht="15.75" customHeight="1"/>
    <row r="263" s="100" customFormat="1" ht="15.75" customHeight="1"/>
    <row r="264" s="100" customFormat="1" ht="15.75" customHeight="1"/>
    <row r="265" s="100" customFormat="1" ht="15.75" customHeight="1"/>
    <row r="266" s="100" customFormat="1" ht="15.75" customHeight="1"/>
    <row r="267" s="100" customFormat="1" ht="15.75" customHeight="1"/>
    <row r="268" s="100" customFormat="1" ht="15.75" customHeight="1"/>
    <row r="269" s="100" customFormat="1" ht="15.75" customHeight="1"/>
    <row r="270" s="100" customFormat="1" ht="15.75" customHeight="1"/>
    <row r="271" s="100" customFormat="1" ht="15.75" customHeight="1"/>
    <row r="272" s="100" customFormat="1" ht="15.75" customHeight="1"/>
    <row r="273" s="100" customFormat="1" ht="15.75" customHeight="1"/>
    <row r="274" s="100" customFormat="1" ht="15.75" customHeight="1"/>
    <row r="275" s="100" customFormat="1" ht="15.75" customHeight="1"/>
    <row r="276" s="100" customFormat="1" ht="15.75" customHeight="1"/>
    <row r="277" s="100" customFormat="1" ht="15.75" customHeight="1"/>
    <row r="278" s="100" customFormat="1" ht="15.75" customHeight="1"/>
    <row r="279" s="100" customFormat="1" ht="15.75" customHeight="1"/>
    <row r="280" s="100" customFormat="1" ht="15.75" customHeight="1"/>
    <row r="281" s="100" customFormat="1" ht="15.75" customHeight="1"/>
    <row r="282" s="100" customFormat="1" ht="15.75" customHeight="1"/>
    <row r="283" s="100" customFormat="1" ht="15.75" customHeight="1"/>
    <row r="284" s="100" customFormat="1" ht="15.75" customHeight="1"/>
    <row r="285" s="100" customFormat="1" ht="15.75" customHeight="1"/>
    <row r="286" s="100" customFormat="1" ht="15.75" customHeight="1"/>
    <row r="287" s="100" customFormat="1" ht="15.75" customHeight="1"/>
    <row r="288" s="100" customFormat="1" ht="15.75" customHeight="1"/>
    <row r="289" s="100" customFormat="1" ht="15.75" customHeight="1"/>
    <row r="290" s="100" customFormat="1" ht="15.75" customHeight="1"/>
    <row r="291" s="100" customFormat="1" ht="15.75" customHeight="1"/>
    <row r="292" s="100" customFormat="1" ht="15.75" customHeight="1"/>
    <row r="293" s="100" customFormat="1" ht="15.75" customHeight="1"/>
    <row r="294" s="100" customFormat="1" ht="15.75" customHeight="1"/>
    <row r="295" s="100" customFormat="1" ht="15.75" customHeight="1"/>
    <row r="296" s="100" customFormat="1" ht="15.75" customHeight="1"/>
    <row r="297" s="100" customFormat="1" ht="15.75" customHeight="1"/>
    <row r="298" s="100" customFormat="1" ht="15.75" customHeight="1"/>
    <row r="299" s="100" customFormat="1" ht="15.75" customHeight="1"/>
    <row r="300" s="100" customFormat="1" ht="15.75" customHeight="1"/>
    <row r="301" s="100" customFormat="1" ht="15.75" customHeight="1"/>
    <row r="302" s="100" customFormat="1" ht="15.75" customHeight="1"/>
    <row r="303" s="100" customFormat="1" ht="15.75" customHeight="1"/>
    <row r="304" s="100" customFormat="1" ht="15.75" customHeight="1"/>
    <row r="305" s="100" customFormat="1" ht="15.75" customHeight="1"/>
    <row r="306" s="100" customFormat="1" ht="15.75" customHeight="1"/>
    <row r="307" s="100" customFormat="1" ht="15.75" customHeight="1"/>
    <row r="308" s="100" customFormat="1" ht="15.75" customHeight="1"/>
    <row r="309" s="100" customFormat="1" ht="15.75" customHeight="1"/>
    <row r="310" s="100" customFormat="1" ht="15.75" customHeight="1"/>
    <row r="311" s="100" customFormat="1" ht="15.75" customHeight="1"/>
    <row r="312" s="100" customFormat="1" ht="15.75" customHeight="1"/>
    <row r="313" s="100" customFormat="1" ht="15.75" customHeight="1"/>
    <row r="314" s="100" customFormat="1" ht="15.75" customHeight="1"/>
    <row r="315" s="100" customFormat="1" ht="15.75" customHeight="1"/>
    <row r="316" s="100" customFormat="1" ht="15.75" customHeight="1"/>
    <row r="317" s="100" customFormat="1" ht="15.75" customHeight="1"/>
    <row r="318" s="100" customFormat="1" ht="15.75" customHeight="1"/>
    <row r="319" s="100" customFormat="1" ht="15.75" customHeight="1"/>
    <row r="320" s="100" customFormat="1" ht="15.75" customHeight="1"/>
    <row r="321" s="100" customFormat="1" ht="15.75" customHeight="1"/>
    <row r="322" s="100" customFormat="1" ht="15.75" customHeight="1"/>
    <row r="323" s="100" customFormat="1" ht="15.75" customHeight="1"/>
    <row r="324" s="100" customFormat="1" ht="15.75" customHeight="1"/>
    <row r="325" s="100" customFormat="1" ht="15.75" customHeight="1"/>
    <row r="326" s="100" customFormat="1" ht="15.75" customHeight="1"/>
    <row r="327" s="100" customFormat="1" ht="15.75" customHeight="1"/>
    <row r="328" s="100" customFormat="1" ht="15.75" customHeight="1"/>
    <row r="329" s="100" customFormat="1" ht="15.75" customHeight="1"/>
    <row r="330" s="100" customFormat="1" ht="15.75" customHeight="1"/>
    <row r="331" s="100" customFormat="1" ht="15.75" customHeight="1"/>
    <row r="332" s="100" customFormat="1" ht="15.75" customHeight="1"/>
    <row r="333" s="100" customFormat="1" ht="15.75" customHeight="1"/>
    <row r="334" s="100" customFormat="1" ht="15.75" customHeight="1"/>
    <row r="335" s="100" customFormat="1" ht="15.75" customHeight="1"/>
    <row r="336" s="100" customFormat="1" ht="15.75" customHeight="1"/>
    <row r="337" s="100" customFormat="1" ht="15.75" customHeight="1"/>
    <row r="338" s="100" customFormat="1" ht="15.75" customHeight="1"/>
    <row r="339" s="100" customFormat="1" ht="15.75" customHeight="1"/>
    <row r="340" s="100" customFormat="1" ht="15.75" customHeight="1"/>
    <row r="341" s="100" customFormat="1" ht="15.75" customHeight="1"/>
    <row r="342" s="100" customFormat="1" ht="15.75" customHeight="1"/>
    <row r="343" s="100" customFormat="1" ht="15.75" customHeight="1"/>
    <row r="344" s="100" customFormat="1" ht="15.75" customHeight="1"/>
    <row r="345" s="100" customFormat="1" ht="15.75" customHeight="1"/>
    <row r="346" s="100" customFormat="1" ht="15.75" customHeight="1"/>
    <row r="347" s="100" customFormat="1" ht="15.75" customHeight="1"/>
    <row r="348" s="100" customFormat="1" ht="15.75" customHeight="1"/>
    <row r="349" s="100" customFormat="1" ht="15.75" customHeight="1"/>
    <row r="350" s="100" customFormat="1" ht="15.75" customHeight="1"/>
    <row r="351" s="100" customFormat="1" ht="15.75" customHeight="1"/>
    <row r="352" s="100" customFormat="1" ht="15.75" customHeight="1"/>
    <row r="353" s="100" customFormat="1" ht="15.75" customHeight="1"/>
    <row r="354" s="100" customFormat="1" ht="15.75" customHeight="1"/>
    <row r="355" s="100" customFormat="1" ht="15.75" customHeight="1"/>
    <row r="356" s="100" customFormat="1" ht="15.75" customHeight="1"/>
    <row r="357" s="100" customFormat="1" ht="15.75" customHeight="1"/>
    <row r="358" s="100" customFormat="1" ht="15.75" customHeight="1"/>
    <row r="359" s="100" customFormat="1" ht="15.75" customHeight="1"/>
    <row r="360" s="100" customFormat="1" ht="15.75" customHeight="1"/>
    <row r="361" s="100" customFormat="1" ht="15.75" customHeight="1"/>
    <row r="362" s="100" customFormat="1" ht="15.75" customHeight="1"/>
    <row r="363" s="100" customFormat="1" ht="15.75" customHeight="1"/>
    <row r="364" s="100" customFormat="1" ht="15.75" customHeight="1"/>
    <row r="365" s="100" customFormat="1" ht="15.75" customHeight="1"/>
    <row r="366" s="100" customFormat="1" ht="15.75" customHeight="1"/>
    <row r="367" s="100" customFormat="1" ht="15.75" customHeight="1"/>
    <row r="368" s="100" customFormat="1" ht="15.75" customHeight="1"/>
    <row r="369" s="100" customFormat="1" ht="15.75" customHeight="1"/>
    <row r="370" s="100" customFormat="1" ht="15.75" customHeight="1"/>
    <row r="371" s="100" customFormat="1" ht="15.75" customHeight="1"/>
    <row r="372" s="100" customFormat="1" ht="15.75" customHeight="1"/>
    <row r="373" s="100" customFormat="1" ht="15.75" customHeight="1"/>
    <row r="374" s="100" customFormat="1" ht="15.75" customHeight="1"/>
    <row r="375" s="100" customFormat="1" ht="15.75" customHeight="1"/>
    <row r="376" s="100" customFormat="1" ht="15.75" customHeight="1"/>
    <row r="377" s="100" customFormat="1" ht="15.75" customHeight="1"/>
    <row r="378" s="100" customFormat="1" ht="15.75" customHeight="1"/>
    <row r="379" s="100" customFormat="1" ht="15.75" customHeight="1"/>
    <row r="380" s="100" customFormat="1" ht="15.75" customHeight="1"/>
    <row r="381" s="100" customFormat="1" ht="15.75" customHeight="1"/>
    <row r="382" s="100" customFormat="1" ht="15.75" customHeight="1"/>
    <row r="383" s="100" customFormat="1" ht="15.75" customHeight="1"/>
    <row r="384" s="100" customFormat="1" ht="15.75" customHeight="1"/>
    <row r="385" s="100" customFormat="1" ht="15.75" customHeight="1"/>
    <row r="386" s="100" customFormat="1" ht="15.75" customHeight="1"/>
    <row r="387" s="100" customFormat="1" ht="15.75" customHeight="1"/>
    <row r="388" s="100" customFormat="1" ht="15.75" customHeight="1"/>
    <row r="389" s="100" customFormat="1" ht="15.75" customHeight="1"/>
    <row r="390" s="100" customFormat="1" ht="15.75" customHeight="1"/>
    <row r="391" s="100" customFormat="1" ht="15.75" customHeight="1"/>
    <row r="392" s="100" customFormat="1" ht="15.75" customHeight="1"/>
    <row r="393" s="100" customFormat="1" ht="15.75" customHeight="1"/>
    <row r="394" s="100" customFormat="1" ht="15.75" customHeight="1"/>
    <row r="395" s="100" customFormat="1" ht="15.75" customHeight="1"/>
    <row r="396" s="100" customFormat="1" ht="15.75" customHeight="1"/>
    <row r="397" s="100" customFormat="1" ht="15.75" customHeight="1"/>
    <row r="398" s="100" customFormat="1" ht="15.75" customHeight="1"/>
    <row r="399" s="100" customFormat="1" ht="15.75" customHeight="1"/>
    <row r="400" s="100" customFormat="1" ht="15.75" customHeight="1"/>
    <row r="401" s="100" customFormat="1" ht="15.75" customHeight="1"/>
    <row r="402" s="100" customFormat="1" ht="15.75" customHeight="1"/>
    <row r="403" s="100" customFormat="1" ht="15.75" customHeight="1"/>
    <row r="404" s="100" customFormat="1" ht="15.75" customHeight="1"/>
    <row r="405" s="100" customFormat="1" ht="15.75" customHeight="1"/>
    <row r="406" s="100" customFormat="1" ht="15.75" customHeight="1"/>
    <row r="407" s="100" customFormat="1" ht="15.75" customHeight="1"/>
    <row r="408" s="100" customFormat="1" ht="15.75" customHeight="1"/>
    <row r="409" s="100" customFormat="1" ht="15.75" customHeight="1"/>
    <row r="410" s="100" customFormat="1" ht="15.75" customHeight="1"/>
    <row r="411" s="100" customFormat="1" ht="15.75" customHeight="1"/>
    <row r="412" s="100" customFormat="1" ht="15.75" customHeight="1"/>
    <row r="413" s="100" customFormat="1" ht="15.75" customHeight="1"/>
    <row r="414" s="100" customFormat="1" ht="15.75" customHeight="1"/>
    <row r="415" s="100" customFormat="1" ht="15.75" customHeight="1"/>
    <row r="416" s="100" customFormat="1" ht="15.75" customHeight="1"/>
    <row r="417" s="100" customFormat="1" ht="15.75" customHeight="1"/>
    <row r="418" s="100" customFormat="1" ht="15.75" customHeight="1"/>
    <row r="419" s="100" customFormat="1" ht="15.75" customHeight="1"/>
    <row r="420" s="100" customFormat="1" ht="15.75" customHeight="1"/>
    <row r="421" s="100" customFormat="1" ht="15.75" customHeight="1"/>
    <row r="422" s="100" customFormat="1" ht="15.75" customHeight="1"/>
    <row r="423" s="100" customFormat="1" ht="15.75" customHeight="1"/>
    <row r="424" s="100" customFormat="1" ht="15.75" customHeight="1"/>
    <row r="425" s="100" customFormat="1" ht="15.75" customHeight="1"/>
    <row r="426" s="100" customFormat="1" ht="15.75" customHeight="1"/>
    <row r="427" s="100" customFormat="1" ht="15.75" customHeight="1"/>
    <row r="428" s="100" customFormat="1" ht="15.75" customHeight="1"/>
    <row r="429" s="100" customFormat="1" ht="15.75" customHeight="1"/>
    <row r="430" s="100" customFormat="1" ht="15.75" customHeight="1"/>
    <row r="431" s="100" customFormat="1" ht="15.75" customHeight="1"/>
    <row r="432" s="100" customFormat="1" ht="15.75" customHeight="1"/>
    <row r="433" s="100" customFormat="1" ht="15.75" customHeight="1"/>
    <row r="434" s="100" customFormat="1" ht="15.75" customHeight="1"/>
    <row r="435" s="100" customFormat="1" ht="15.75" customHeight="1"/>
    <row r="436" s="100" customFormat="1" ht="15.75" customHeight="1"/>
    <row r="437" s="100" customFormat="1" ht="15.75" customHeight="1"/>
    <row r="438" s="100" customFormat="1" ht="15.75" customHeight="1"/>
    <row r="439" s="100" customFormat="1" ht="15.75" customHeight="1"/>
    <row r="440" s="100" customFormat="1" ht="15.75" customHeight="1"/>
    <row r="441" s="100" customFormat="1" ht="15.75" customHeight="1"/>
    <row r="442" s="100" customFormat="1" ht="15.75" customHeight="1"/>
    <row r="443" s="100" customFormat="1" ht="15.75" customHeight="1"/>
    <row r="444" s="100" customFormat="1" ht="15.75" customHeight="1"/>
    <row r="445" s="100" customFormat="1" ht="15.75" customHeight="1"/>
    <row r="446" s="100" customFormat="1" ht="15.75" customHeight="1"/>
    <row r="447" s="100" customFormat="1" ht="15.75" customHeight="1"/>
    <row r="448" s="100" customFormat="1" ht="15.75" customHeight="1"/>
    <row r="449" s="100" customFormat="1" ht="15.75" customHeight="1"/>
    <row r="450" s="100" customFormat="1" ht="15.75" customHeight="1"/>
    <row r="451" s="100" customFormat="1" ht="15.75" customHeight="1"/>
    <row r="452" s="100" customFormat="1" ht="15.75" customHeight="1"/>
    <row r="453" s="100" customFormat="1" ht="15.75" customHeight="1"/>
    <row r="454" s="100" customFormat="1" ht="15.75" customHeight="1"/>
    <row r="455" s="100" customFormat="1" ht="15.75" customHeight="1"/>
    <row r="456" s="100" customFormat="1" ht="15.75" customHeight="1"/>
    <row r="457" s="100" customFormat="1" ht="15.75" customHeight="1"/>
    <row r="458" s="100" customFormat="1" ht="15.75" customHeight="1"/>
    <row r="459" s="100" customFormat="1" ht="15.75" customHeight="1"/>
    <row r="460" s="100" customFormat="1" ht="15.75" customHeight="1"/>
    <row r="461" s="100" customFormat="1" ht="15.75" customHeight="1"/>
    <row r="462" s="100" customFormat="1" ht="15.75" customHeight="1"/>
    <row r="463" s="100" customFormat="1" ht="15.75" customHeight="1"/>
    <row r="464" s="100" customFormat="1" ht="15.75" customHeight="1"/>
    <row r="465" s="100" customFormat="1" ht="15.75" customHeight="1"/>
    <row r="466" s="100" customFormat="1" ht="15.75" customHeight="1"/>
    <row r="467" s="100" customFormat="1" ht="15.75" customHeight="1"/>
    <row r="468" s="100" customFormat="1" ht="15.75" customHeight="1"/>
    <row r="469" s="100" customFormat="1" ht="15.75" customHeight="1"/>
    <row r="470" s="100" customFormat="1" ht="15.75" customHeight="1"/>
    <row r="471" s="100" customFormat="1" ht="15.75" customHeight="1"/>
    <row r="472" s="100" customFormat="1" ht="15.75" customHeight="1"/>
    <row r="473" s="100" customFormat="1" ht="15.75" customHeight="1"/>
    <row r="474" s="100" customFormat="1" ht="15.75" customHeight="1"/>
    <row r="475" s="100" customFormat="1" ht="15.75" customHeight="1"/>
    <row r="476" s="100" customFormat="1" ht="15.75" customHeight="1"/>
    <row r="477" s="100" customFormat="1" ht="15.75" customHeight="1"/>
    <row r="478" s="100" customFormat="1" ht="15.75" customHeight="1"/>
    <row r="479" s="100" customFormat="1" ht="15.75" customHeight="1"/>
    <row r="480" s="100" customFormat="1" ht="15.75" customHeight="1"/>
    <row r="481" s="100" customFormat="1" ht="15.75" customHeight="1"/>
    <row r="482" s="100" customFormat="1" ht="15.75" customHeight="1"/>
    <row r="483" s="100" customFormat="1" ht="15.75" customHeight="1"/>
    <row r="484" s="100" customFormat="1" ht="15.75" customHeight="1"/>
    <row r="485" s="100" customFormat="1" ht="15.75" customHeight="1"/>
    <row r="486" s="100" customFormat="1" ht="15.75" customHeight="1"/>
    <row r="487" s="100" customFormat="1" ht="15.75" customHeight="1"/>
    <row r="488" s="100" customFormat="1" ht="15.75" customHeight="1"/>
    <row r="489" s="100" customFormat="1" ht="15.75" customHeight="1"/>
    <row r="490" s="100" customFormat="1" ht="15.75" customHeight="1"/>
    <row r="491" s="100" customFormat="1" ht="15.75" customHeight="1"/>
    <row r="492" s="100" customFormat="1" ht="15.75" customHeight="1"/>
    <row r="493" s="100" customFormat="1" ht="15.75" customHeight="1"/>
    <row r="494" s="100" customFormat="1" ht="15.75" customHeight="1"/>
    <row r="495" s="100" customFormat="1" ht="15.75" customHeight="1"/>
    <row r="496" s="100" customFormat="1" ht="15.75" customHeight="1"/>
    <row r="497" s="100" customFormat="1" ht="15.75" customHeight="1"/>
    <row r="498" s="100" customFormat="1" ht="15.75" customHeight="1"/>
    <row r="499" s="100" customFormat="1" ht="15.75" customHeight="1"/>
    <row r="500" s="100" customFormat="1" ht="15.75" customHeight="1"/>
    <row r="501" s="100" customFormat="1" ht="15.75" customHeight="1"/>
    <row r="502" s="100" customFormat="1" ht="15.75" customHeight="1"/>
    <row r="503" s="100" customFormat="1" ht="15.75" customHeight="1"/>
    <row r="504" s="100" customFormat="1" ht="15.75" customHeight="1"/>
    <row r="505" s="100" customFormat="1" ht="15.75" customHeight="1"/>
    <row r="506" s="100" customFormat="1" ht="15.75" customHeight="1"/>
    <row r="507" s="100" customFormat="1" ht="15.75" customHeight="1"/>
    <row r="508" s="100" customFormat="1" ht="15.75" customHeight="1"/>
    <row r="509" s="100" customFormat="1" ht="15.75" customHeight="1"/>
    <row r="510" s="100" customFormat="1" ht="15.75" customHeight="1"/>
    <row r="511" s="100" customFormat="1" ht="15.75" customHeight="1"/>
    <row r="512" s="100" customFormat="1" ht="15.75" customHeight="1"/>
    <row r="513" s="100" customFormat="1" ht="15.75" customHeight="1"/>
    <row r="514" s="100" customFormat="1" ht="15.75" customHeight="1"/>
    <row r="515" s="100" customFormat="1" ht="15.75" customHeight="1"/>
    <row r="516" s="100" customFormat="1" ht="15.75" customHeight="1"/>
    <row r="517" s="100" customFormat="1" ht="15.75" customHeight="1"/>
    <row r="518" s="100" customFormat="1" ht="15.75" customHeight="1"/>
    <row r="519" s="100" customFormat="1" ht="15.75" customHeight="1"/>
    <row r="520" s="100" customFormat="1" ht="15.75" customHeight="1"/>
    <row r="521" s="100" customFormat="1" ht="15.75" customHeight="1"/>
    <row r="522" s="100" customFormat="1" ht="15.75" customHeight="1"/>
    <row r="523" s="100" customFormat="1" ht="15.75" customHeight="1"/>
    <row r="524" s="100" customFormat="1" ht="15.75" customHeight="1"/>
    <row r="525" s="100" customFormat="1" ht="15.75" customHeight="1"/>
    <row r="526" s="100" customFormat="1" ht="15.75" customHeight="1"/>
    <row r="527" s="100" customFormat="1" ht="15.75" customHeight="1"/>
    <row r="528" s="100" customFormat="1" ht="15.75" customHeight="1"/>
    <row r="529" s="100" customFormat="1" ht="15.75" customHeight="1"/>
    <row r="530" s="100" customFormat="1" ht="15.75" customHeight="1"/>
    <row r="531" s="100" customFormat="1" ht="15.75" customHeight="1"/>
    <row r="532" s="100" customFormat="1" ht="15.75" customHeight="1"/>
    <row r="533" s="100" customFormat="1" ht="15.75" customHeight="1"/>
    <row r="534" s="100" customFormat="1" ht="15.75" customHeight="1"/>
    <row r="535" s="100" customFormat="1" ht="15.75" customHeight="1"/>
    <row r="536" s="100" customFormat="1" ht="15.75" customHeight="1"/>
    <row r="537" s="100" customFormat="1" ht="15.75" customHeight="1"/>
    <row r="538" s="100" customFormat="1" ht="15.75" customHeight="1"/>
    <row r="539" s="100" customFormat="1" ht="15.75" customHeight="1"/>
    <row r="540" s="100" customFormat="1" ht="15.75" customHeight="1"/>
    <row r="541" s="100" customFormat="1" ht="15.75" customHeight="1"/>
    <row r="542" s="100" customFormat="1" ht="15.75" customHeight="1"/>
    <row r="543" s="100" customFormat="1" ht="15.75" customHeight="1"/>
    <row r="544" s="100" customFormat="1" ht="15.75" customHeight="1"/>
    <row r="545" s="100" customFormat="1" ht="15.75" customHeight="1"/>
    <row r="546" s="100" customFormat="1" ht="15.75" customHeight="1"/>
    <row r="547" s="100" customFormat="1" ht="15.75" customHeight="1"/>
    <row r="548" s="100" customFormat="1" ht="15.75" customHeight="1"/>
    <row r="549" s="100" customFormat="1" ht="15.75" customHeight="1"/>
    <row r="550" s="100" customFormat="1" ht="15.75" customHeight="1"/>
    <row r="551" s="100" customFormat="1" ht="15.75" customHeight="1"/>
    <row r="552" s="100" customFormat="1" ht="15.75" customHeight="1"/>
    <row r="553" s="100" customFormat="1" ht="15.75" customHeight="1"/>
    <row r="554" s="100" customFormat="1" ht="15.75" customHeight="1"/>
    <row r="555" s="100" customFormat="1" ht="15.75" customHeight="1"/>
    <row r="556" s="100" customFormat="1" ht="15.75" customHeight="1"/>
    <row r="557" s="100" customFormat="1" ht="15.75" customHeight="1"/>
    <row r="558" s="100" customFormat="1" ht="15.75" customHeight="1"/>
    <row r="559" s="100" customFormat="1" ht="15.75" customHeight="1"/>
    <row r="560" s="100" customFormat="1" ht="15.75" customHeight="1"/>
    <row r="561" s="100" customFormat="1" ht="15.75" customHeight="1"/>
    <row r="562" s="100" customFormat="1" ht="15.75" customHeight="1"/>
    <row r="563" s="100" customFormat="1" ht="15.75" customHeight="1"/>
    <row r="564" s="100" customFormat="1" ht="15.75" customHeight="1"/>
    <row r="565" s="100" customFormat="1" ht="15.75" customHeight="1"/>
    <row r="566" s="100" customFormat="1" ht="15.75" customHeight="1"/>
    <row r="567" s="100" customFormat="1" ht="15.75" customHeight="1"/>
    <row r="568" s="100" customFormat="1" ht="15.75" customHeight="1"/>
    <row r="569" s="100" customFormat="1" ht="15.75" customHeight="1"/>
    <row r="570" s="100" customFormat="1" ht="15.75" customHeight="1"/>
    <row r="571" s="100" customFormat="1" ht="15.75" customHeight="1"/>
    <row r="572" s="100" customFormat="1" ht="15.75" customHeight="1"/>
    <row r="573" s="100" customFormat="1" ht="15.75" customHeight="1"/>
    <row r="574" s="100" customFormat="1" ht="15.75" customHeight="1"/>
    <row r="575" s="100" customFormat="1" ht="15.75" customHeight="1"/>
    <row r="576" s="100" customFormat="1" ht="15.75" customHeight="1"/>
    <row r="577" s="100" customFormat="1" ht="15.75" customHeight="1"/>
    <row r="578" s="100" customFormat="1" ht="15.75" customHeight="1"/>
    <row r="579" s="100" customFormat="1" ht="15.75" customHeight="1"/>
    <row r="580" s="100" customFormat="1" ht="15.75" customHeight="1"/>
    <row r="581" s="100" customFormat="1" ht="15.75" customHeight="1"/>
    <row r="582" s="100" customFormat="1" ht="15.75" customHeight="1"/>
    <row r="583" s="100" customFormat="1" ht="15.75" customHeight="1"/>
    <row r="584" s="100" customFormat="1" ht="15.75" customHeight="1"/>
    <row r="585" s="100" customFormat="1" ht="15.75" customHeight="1"/>
    <row r="586" s="100" customFormat="1" ht="15.75" customHeight="1"/>
    <row r="587" s="100" customFormat="1" ht="15.75" customHeight="1"/>
    <row r="588" s="100" customFormat="1" ht="15.75" customHeight="1"/>
    <row r="589" s="100" customFormat="1" ht="15.75" customHeight="1"/>
    <row r="590" s="100" customFormat="1" ht="15.75" customHeight="1"/>
    <row r="591" s="100" customFormat="1" ht="15.75" customHeight="1"/>
    <row r="592" s="100" customFormat="1" ht="15.75" customHeight="1"/>
    <row r="593" s="100" customFormat="1" ht="15.75" customHeight="1"/>
    <row r="594" s="100" customFormat="1" ht="15.75" customHeight="1"/>
    <row r="595" s="100" customFormat="1" ht="15.75" customHeight="1"/>
    <row r="596" s="100" customFormat="1" ht="15.75" customHeight="1"/>
    <row r="597" s="100" customFormat="1" ht="15.75" customHeight="1"/>
    <row r="598" s="100" customFormat="1" ht="15.75" customHeight="1"/>
    <row r="599" s="100" customFormat="1" ht="15.75" customHeight="1"/>
    <row r="600" s="100" customFormat="1" ht="15.75" customHeight="1"/>
    <row r="601" s="100" customFormat="1" ht="15.75" customHeight="1"/>
    <row r="602" s="100" customFormat="1" ht="15.75" customHeight="1"/>
    <row r="603" s="100" customFormat="1" ht="15.75" customHeight="1"/>
    <row r="604" s="100" customFormat="1" ht="15.75" customHeight="1"/>
    <row r="605" s="100" customFormat="1" ht="15.75" customHeight="1"/>
    <row r="606" s="100" customFormat="1" ht="15.75" customHeight="1"/>
    <row r="607" s="100" customFormat="1" ht="15.75" customHeight="1"/>
    <row r="608" s="100" customFormat="1" ht="15.75" customHeight="1"/>
    <row r="609" s="100" customFormat="1" ht="15.75" customHeight="1"/>
    <row r="610" s="100" customFormat="1" ht="15.75" customHeight="1"/>
    <row r="611" s="100" customFormat="1" ht="15.75" customHeight="1"/>
    <row r="612" s="100" customFormat="1" ht="15.75" customHeight="1"/>
    <row r="613" s="100" customFormat="1" ht="15.75" customHeight="1"/>
    <row r="614" s="100" customFormat="1" ht="15.75" customHeight="1"/>
    <row r="615" s="100" customFormat="1" ht="15.75" customHeight="1"/>
    <row r="616" s="100" customFormat="1" ht="15.75" customHeight="1"/>
    <row r="617" s="100" customFormat="1" ht="15.75" customHeight="1"/>
    <row r="618" s="100" customFormat="1" ht="15.75" customHeight="1"/>
    <row r="619" s="100" customFormat="1" ht="15.75" customHeight="1"/>
    <row r="620" s="100" customFormat="1" ht="15.75" customHeight="1"/>
    <row r="621" s="100" customFormat="1" ht="15.75" customHeight="1"/>
    <row r="622" s="100" customFormat="1" ht="15.75" customHeight="1"/>
    <row r="623" s="100" customFormat="1" ht="15.75" customHeight="1"/>
    <row r="624" s="100" customFormat="1" ht="15.75" customHeight="1"/>
    <row r="625" s="100" customFormat="1" ht="15.75" customHeight="1"/>
    <row r="626" s="100" customFormat="1" ht="15.75" customHeight="1"/>
    <row r="627" s="100" customFormat="1" ht="15.75" customHeight="1"/>
    <row r="628" s="100" customFormat="1" ht="15.75" customHeight="1"/>
    <row r="629" s="100" customFormat="1" ht="15.75" customHeight="1"/>
    <row r="630" s="100" customFormat="1" ht="15.75" customHeight="1"/>
    <row r="631" s="100" customFormat="1" ht="15.75" customHeight="1"/>
    <row r="632" s="100" customFormat="1" ht="15.75" customHeight="1"/>
    <row r="633" s="100" customFormat="1" ht="15.75" customHeight="1"/>
    <row r="634" s="100" customFormat="1" ht="15.75" customHeight="1"/>
    <row r="635" s="100" customFormat="1" ht="15.75" customHeight="1"/>
    <row r="636" s="100" customFormat="1" ht="15.75" customHeight="1"/>
    <row r="637" s="100" customFormat="1" ht="15.75" customHeight="1"/>
    <row r="638" s="100" customFormat="1" ht="15.75" customHeight="1"/>
    <row r="639" s="100" customFormat="1" ht="15.75" customHeight="1"/>
    <row r="640" s="100" customFormat="1" ht="15.75" customHeight="1"/>
    <row r="641" s="100" customFormat="1" ht="15.75" customHeight="1"/>
    <row r="642" s="100" customFormat="1" ht="15.75" customHeight="1"/>
    <row r="643" s="100" customFormat="1" ht="15.75" customHeight="1"/>
    <row r="644" s="100" customFormat="1" ht="15.75" customHeight="1"/>
    <row r="645" s="100" customFormat="1" ht="15.75" customHeight="1"/>
    <row r="646" s="100" customFormat="1" ht="15.75" customHeight="1"/>
    <row r="647" s="100" customFormat="1" ht="15.75" customHeight="1"/>
    <row r="648" s="100" customFormat="1" ht="15.75" customHeight="1"/>
    <row r="649" s="100" customFormat="1" ht="15.75" customHeight="1"/>
    <row r="650" s="100" customFormat="1" ht="15.75" customHeight="1"/>
    <row r="651" s="100" customFormat="1" ht="15.75" customHeight="1"/>
    <row r="652" s="100" customFormat="1" ht="15.75" customHeight="1"/>
    <row r="653" s="100" customFormat="1" ht="15.75" customHeight="1"/>
    <row r="654" s="100" customFormat="1" ht="15.75" customHeight="1"/>
    <row r="655" s="100" customFormat="1" ht="15.75" customHeight="1"/>
    <row r="656" s="100" customFormat="1" ht="15.75" customHeight="1"/>
    <row r="657" s="100" customFormat="1" ht="15.75" customHeight="1"/>
    <row r="658" s="100" customFormat="1" ht="15.75" customHeight="1"/>
    <row r="659" s="100" customFormat="1" ht="15.75" customHeight="1"/>
    <row r="660" s="100" customFormat="1" ht="15.75" customHeight="1"/>
    <row r="661" s="100" customFormat="1" ht="15.75" customHeight="1"/>
    <row r="662" s="100" customFormat="1" ht="15.75" customHeight="1"/>
    <row r="663" s="100" customFormat="1" ht="15.75" customHeight="1"/>
    <row r="664" s="100" customFormat="1" ht="15.75" customHeight="1"/>
    <row r="665" s="100" customFormat="1" ht="15.75" customHeight="1"/>
    <row r="666" s="100" customFormat="1" ht="15.75" customHeight="1"/>
    <row r="667" s="100" customFormat="1" ht="15.75" customHeight="1"/>
    <row r="668" s="100" customFormat="1" ht="15.75" customHeight="1"/>
    <row r="669" s="100" customFormat="1" ht="15.75" customHeight="1"/>
    <row r="670" s="100" customFormat="1" ht="15.75" customHeight="1"/>
    <row r="671" s="100" customFormat="1" ht="15.75" customHeight="1"/>
    <row r="672" s="100" customFormat="1" ht="15.75" customHeight="1"/>
    <row r="673" s="100" customFormat="1" ht="15.75" customHeight="1"/>
    <row r="674" s="100" customFormat="1" ht="15.75" customHeight="1"/>
    <row r="675" s="100" customFormat="1" ht="15.75" customHeight="1"/>
    <row r="676" s="100" customFormat="1" ht="15.75" customHeight="1"/>
    <row r="677" s="100" customFormat="1" ht="15.75" customHeight="1"/>
    <row r="678" s="100" customFormat="1" ht="15.75" customHeight="1"/>
    <row r="679" s="100" customFormat="1" ht="15.75" customHeight="1"/>
    <row r="680" s="100" customFormat="1" ht="15.75" customHeight="1"/>
    <row r="681" s="100" customFormat="1" ht="15.75" customHeight="1"/>
    <row r="682" s="100" customFormat="1" ht="15.75" customHeight="1"/>
    <row r="683" s="100" customFormat="1" ht="15.75" customHeight="1"/>
    <row r="684" s="100" customFormat="1" ht="15.75" customHeight="1"/>
    <row r="685" s="100" customFormat="1" ht="15.75" customHeight="1"/>
    <row r="686" s="100" customFormat="1" ht="15.75" customHeight="1"/>
    <row r="687" s="100" customFormat="1" ht="15.75" customHeight="1"/>
    <row r="688" s="100" customFormat="1" ht="15.75" customHeight="1"/>
    <row r="689" s="100" customFormat="1" ht="15.75" customHeight="1"/>
    <row r="690" s="100" customFormat="1" ht="15.75" customHeight="1"/>
    <row r="691" s="100" customFormat="1" ht="15.75" customHeight="1"/>
    <row r="692" s="100" customFormat="1" ht="15.75" customHeight="1"/>
    <row r="693" s="100" customFormat="1" ht="15.75" customHeight="1"/>
    <row r="694" s="100" customFormat="1" ht="15.75" customHeight="1"/>
    <row r="695" s="100" customFormat="1" ht="15.75" customHeight="1"/>
    <row r="696" s="100" customFormat="1" ht="15.75" customHeight="1"/>
    <row r="697" s="100" customFormat="1" ht="15.75" customHeight="1"/>
    <row r="698" s="100" customFormat="1" ht="15.75" customHeight="1"/>
    <row r="699" s="100" customFormat="1" ht="15.75" customHeight="1"/>
    <row r="700" s="100" customFormat="1" ht="15.75" customHeight="1"/>
    <row r="701" s="100" customFormat="1" ht="15.75" customHeight="1"/>
    <row r="702" s="100" customFormat="1" ht="15.75" customHeight="1"/>
    <row r="703" s="100" customFormat="1" ht="15.75" customHeight="1"/>
    <row r="704" s="100" customFormat="1" ht="15.75" customHeight="1"/>
    <row r="705" s="100" customFormat="1" ht="15.75" customHeight="1"/>
    <row r="706" s="100" customFormat="1" ht="15.75" customHeight="1"/>
    <row r="707" s="100" customFormat="1" ht="15.75" customHeight="1"/>
    <row r="708" s="100" customFormat="1" ht="15.75" customHeight="1"/>
    <row r="709" s="100" customFormat="1" ht="15.75" customHeight="1"/>
    <row r="710" s="100" customFormat="1" ht="15.75" customHeight="1"/>
    <row r="711" s="100" customFormat="1" ht="15.75" customHeight="1"/>
    <row r="712" s="100" customFormat="1" ht="15.75" customHeight="1"/>
    <row r="713" s="100" customFormat="1" ht="15.75" customHeight="1"/>
    <row r="714" s="100" customFormat="1" ht="15.75" customHeight="1"/>
    <row r="715" s="100" customFormat="1" ht="15.75" customHeight="1"/>
    <row r="716" s="100" customFormat="1" ht="15.75" customHeight="1"/>
    <row r="717" s="100" customFormat="1" ht="15.75" customHeight="1"/>
    <row r="718" s="100" customFormat="1" ht="15.75" customHeight="1"/>
    <row r="719" s="100" customFormat="1" ht="15.75" customHeight="1"/>
    <row r="720" s="100" customFormat="1" ht="15.75" customHeight="1"/>
    <row r="721" s="100" customFormat="1" ht="15.75" customHeight="1"/>
    <row r="722" s="100" customFormat="1" ht="15.75" customHeight="1"/>
    <row r="723" s="100" customFormat="1" ht="15.75" customHeight="1"/>
    <row r="724" s="100" customFormat="1" ht="15.75" customHeight="1"/>
    <row r="725" s="100" customFormat="1" ht="15.75" customHeight="1"/>
    <row r="726" s="100" customFormat="1" ht="15.75" customHeight="1"/>
    <row r="727" s="100" customFormat="1" ht="15.75" customHeight="1"/>
    <row r="728" s="100" customFormat="1" ht="15.75" customHeight="1"/>
    <row r="729" s="100" customFormat="1" ht="15.75" customHeight="1"/>
    <row r="730" s="100" customFormat="1" ht="15.75" customHeight="1"/>
    <row r="731" s="100" customFormat="1" ht="15.75" customHeight="1"/>
    <row r="732" s="100" customFormat="1" ht="15.75" customHeight="1"/>
    <row r="733" s="100" customFormat="1" ht="15.75" customHeight="1"/>
    <row r="734" s="100" customFormat="1" ht="15.75" customHeight="1"/>
    <row r="735" s="100" customFormat="1" ht="15.75" customHeight="1"/>
    <row r="736" s="100" customFormat="1" ht="15.75" customHeight="1"/>
    <row r="737" s="100" customFormat="1" ht="15.75" customHeight="1"/>
    <row r="738" s="100" customFormat="1" ht="15.75" customHeight="1"/>
    <row r="739" s="100" customFormat="1" ht="15.75" customHeight="1"/>
    <row r="740" s="100" customFormat="1" ht="15.75" customHeight="1"/>
    <row r="741" s="100" customFormat="1" ht="15.75" customHeight="1"/>
    <row r="742" s="100" customFormat="1" ht="15.75" customHeight="1"/>
    <row r="743" s="100" customFormat="1" ht="15.75" customHeight="1"/>
    <row r="744" s="100" customFormat="1" ht="15.75" customHeight="1"/>
    <row r="745" s="100" customFormat="1" ht="15.75" customHeight="1"/>
    <row r="746" s="100" customFormat="1" ht="15.75" customHeight="1"/>
    <row r="747" s="100" customFormat="1" ht="15.75" customHeight="1"/>
    <row r="748" s="100" customFormat="1" ht="15.75" customHeight="1"/>
    <row r="749" s="100" customFormat="1" ht="15.75" customHeight="1"/>
    <row r="750" s="100" customFormat="1" ht="15.75" customHeight="1"/>
    <row r="751" s="100" customFormat="1" ht="15.75" customHeight="1"/>
    <row r="752" s="100" customFormat="1" ht="15.75" customHeight="1"/>
    <row r="753" s="100" customFormat="1" ht="15.75" customHeight="1"/>
    <row r="754" s="100" customFormat="1" ht="15.75" customHeight="1"/>
    <row r="755" s="100" customFormat="1" ht="15.75" customHeight="1"/>
    <row r="756" s="100" customFormat="1" ht="15.75" customHeight="1"/>
    <row r="757" s="100" customFormat="1" ht="15.75" customHeight="1"/>
    <row r="758" s="100" customFormat="1" ht="15.75" customHeight="1"/>
    <row r="759" s="100" customFormat="1" ht="15.75" customHeight="1"/>
    <row r="760" s="100" customFormat="1" ht="15.75" customHeight="1"/>
    <row r="761" s="100" customFormat="1" ht="15.75" customHeight="1"/>
    <row r="762" s="100" customFormat="1" ht="15.75" customHeight="1"/>
    <row r="763" s="100" customFormat="1" ht="15.75" customHeight="1"/>
    <row r="764" s="100" customFormat="1" ht="15.75" customHeight="1"/>
    <row r="765" s="100" customFormat="1" ht="15.75" customHeight="1"/>
    <row r="766" s="100" customFormat="1" ht="15.75" customHeight="1"/>
    <row r="767" s="100" customFormat="1" ht="15.75" customHeight="1"/>
    <row r="768" s="100" customFormat="1" ht="15.75" customHeight="1"/>
    <row r="769" s="100" customFormat="1" ht="15.75" customHeight="1"/>
    <row r="770" s="100" customFormat="1" ht="15.75" customHeight="1"/>
    <row r="771" s="100" customFormat="1" ht="15.75" customHeight="1"/>
    <row r="772" s="100" customFormat="1" ht="15.75" customHeight="1"/>
    <row r="773" s="100" customFormat="1" ht="15.75" customHeight="1"/>
    <row r="774" s="100" customFormat="1" ht="15.75" customHeight="1"/>
    <row r="775" s="100" customFormat="1" ht="15.75" customHeight="1"/>
    <row r="776" s="100" customFormat="1" ht="15.75" customHeight="1"/>
    <row r="777" s="100" customFormat="1" ht="15.75" customHeight="1"/>
    <row r="778" s="100" customFormat="1" ht="15.75" customHeight="1"/>
    <row r="779" s="100" customFormat="1" ht="15.75" customHeight="1"/>
    <row r="780" s="100" customFormat="1" ht="15.75" customHeight="1"/>
    <row r="781" s="100" customFormat="1" ht="15.75" customHeight="1"/>
    <row r="782" s="100" customFormat="1" ht="15.75" customHeight="1"/>
    <row r="783" s="100" customFormat="1" ht="15.75" customHeight="1"/>
    <row r="784" s="100" customFormat="1" ht="15.75" customHeight="1"/>
    <row r="785" s="100" customFormat="1" ht="15.75" customHeight="1"/>
    <row r="786" s="100" customFormat="1" ht="15.75" customHeight="1"/>
    <row r="787" s="100" customFormat="1" ht="15.75" customHeight="1"/>
    <row r="788" s="100" customFormat="1" ht="15.75" customHeight="1"/>
    <row r="789" s="100" customFormat="1" ht="15.75" customHeight="1"/>
    <row r="790" s="100" customFormat="1" ht="15.75" customHeight="1"/>
    <row r="791" s="100" customFormat="1" ht="15.75" customHeight="1"/>
    <row r="792" s="100" customFormat="1" ht="15.75" customHeight="1"/>
    <row r="793" s="100" customFormat="1" ht="15.75" customHeight="1"/>
    <row r="794" s="100" customFormat="1" ht="15.75" customHeight="1"/>
    <row r="795" s="100" customFormat="1" ht="15.75" customHeight="1"/>
    <row r="796" s="100" customFormat="1" ht="15.75" customHeight="1"/>
    <row r="797" s="100" customFormat="1" ht="15.75" customHeight="1"/>
    <row r="798" s="100" customFormat="1" ht="15.75" customHeight="1"/>
    <row r="799" s="100" customFormat="1" ht="15.75" customHeight="1"/>
    <row r="800" s="100" customFormat="1" ht="15.75" customHeight="1"/>
    <row r="801" s="100" customFormat="1" ht="15.75" customHeight="1"/>
    <row r="802" s="100" customFormat="1" ht="15.75" customHeight="1"/>
    <row r="803" s="100" customFormat="1" ht="15.75" customHeight="1"/>
    <row r="804" s="100" customFormat="1" ht="15.75" customHeight="1"/>
    <row r="805" s="100" customFormat="1" ht="15.75" customHeight="1"/>
    <row r="806" s="100" customFormat="1" ht="15.75" customHeight="1"/>
    <row r="807" s="100" customFormat="1" ht="15.75" customHeight="1"/>
    <row r="808" s="100" customFormat="1" ht="15.75" customHeight="1"/>
    <row r="809" s="100" customFormat="1" ht="15.75" customHeight="1"/>
    <row r="810" s="100" customFormat="1" ht="15.75" customHeight="1"/>
    <row r="811" s="100" customFormat="1" ht="15.75" customHeight="1"/>
    <row r="812" s="100" customFormat="1" ht="15.75" customHeight="1"/>
    <row r="813" s="100" customFormat="1" ht="15.75" customHeight="1"/>
    <row r="814" s="100" customFormat="1" ht="15.75" customHeight="1"/>
    <row r="815" s="100" customFormat="1" ht="15.75" customHeight="1"/>
    <row r="816" s="100" customFormat="1" ht="15.75" customHeight="1"/>
    <row r="817" s="100" customFormat="1" ht="15.75" customHeight="1"/>
    <row r="818" s="100" customFormat="1" ht="15.75" customHeight="1"/>
    <row r="819" s="100" customFormat="1" ht="15.75" customHeight="1"/>
    <row r="820" s="100" customFormat="1" ht="15.75" customHeight="1"/>
    <row r="821" s="100" customFormat="1" ht="15.75" customHeight="1"/>
    <row r="822" s="100" customFormat="1" ht="15.75" customHeight="1"/>
    <row r="823" s="100" customFormat="1" ht="15.75" customHeight="1"/>
    <row r="824" s="100" customFormat="1" ht="15.75" customHeight="1"/>
    <row r="825" s="100" customFormat="1" ht="15.75" customHeight="1"/>
    <row r="826" s="100" customFormat="1" ht="15.75" customHeight="1"/>
    <row r="827" s="100" customFormat="1" ht="15.75" customHeight="1"/>
    <row r="828" s="100" customFormat="1" ht="15.75" customHeight="1"/>
    <row r="829" s="100" customFormat="1" ht="15.75" customHeight="1"/>
    <row r="830" s="100" customFormat="1" ht="15.75" customHeight="1"/>
    <row r="831" s="100" customFormat="1" ht="15.75" customHeight="1"/>
    <row r="832" s="100" customFormat="1" ht="15.75" customHeight="1"/>
    <row r="833" s="100" customFormat="1" ht="15.75" customHeight="1"/>
    <row r="834" s="100" customFormat="1" ht="15.75" customHeight="1"/>
    <row r="835" s="100" customFormat="1" ht="15.75" customHeight="1"/>
    <row r="836" s="100" customFormat="1" ht="15.75" customHeight="1"/>
    <row r="837" s="100" customFormat="1" ht="15.75" customHeight="1"/>
    <row r="838" s="100" customFormat="1" ht="15.75" customHeight="1"/>
    <row r="839" s="100" customFormat="1" ht="15.75" customHeight="1"/>
    <row r="840" s="100" customFormat="1" ht="15.75" customHeight="1"/>
    <row r="841" s="100" customFormat="1" ht="15.75" customHeight="1"/>
    <row r="842" s="100" customFormat="1" ht="15.75" customHeight="1"/>
    <row r="843" s="100" customFormat="1" ht="15.75" customHeight="1"/>
    <row r="844" s="100" customFormat="1" ht="15.75" customHeight="1"/>
    <row r="845" s="100" customFormat="1" ht="15.75" customHeight="1"/>
    <row r="846" s="100" customFormat="1" ht="15.75" customHeight="1"/>
    <row r="847" s="100" customFormat="1" ht="15.75" customHeight="1"/>
    <row r="848" s="100" customFormat="1" ht="15.75" customHeight="1"/>
    <row r="849" s="100" customFormat="1" ht="15.75" customHeight="1"/>
    <row r="850" s="100" customFormat="1" ht="15.75" customHeight="1"/>
    <row r="851" s="100" customFormat="1" ht="15.75" customHeight="1"/>
    <row r="852" s="100" customFormat="1" ht="15.75" customHeight="1"/>
    <row r="853" s="100" customFormat="1" ht="15.75" customHeight="1"/>
    <row r="854" s="100" customFormat="1" ht="15.75" customHeight="1"/>
    <row r="855" s="100" customFormat="1" ht="15.75" customHeight="1"/>
    <row r="856" s="100" customFormat="1" ht="15.75" customHeight="1"/>
    <row r="857" s="100" customFormat="1" ht="15.75" customHeight="1"/>
    <row r="858" s="100" customFormat="1" ht="15.75" customHeight="1"/>
    <row r="859" s="100" customFormat="1" ht="15.75" customHeight="1"/>
    <row r="860" s="100" customFormat="1" ht="15.75" customHeight="1"/>
    <row r="861" s="100" customFormat="1" ht="15.75" customHeight="1"/>
    <row r="862" s="100" customFormat="1" ht="15.75" customHeight="1"/>
    <row r="863" s="100" customFormat="1" ht="15.75" customHeight="1"/>
    <row r="864" s="100" customFormat="1" ht="15.75" customHeight="1"/>
    <row r="865" s="100" customFormat="1" ht="15.75" customHeight="1"/>
    <row r="866" s="100" customFormat="1" ht="15.75" customHeight="1"/>
    <row r="867" s="100" customFormat="1" ht="15.75" customHeight="1"/>
    <row r="868" s="100" customFormat="1" ht="15.75" customHeight="1"/>
    <row r="869" s="100" customFormat="1" ht="15.75" customHeight="1"/>
    <row r="870" s="100" customFormat="1" ht="15.75" customHeight="1"/>
    <row r="871" s="100" customFormat="1" ht="15.75" customHeight="1"/>
    <row r="872" s="100" customFormat="1" ht="15.75" customHeight="1"/>
    <row r="873" s="100" customFormat="1" ht="15.75" customHeight="1"/>
    <row r="874" s="100" customFormat="1" ht="15.75" customHeight="1"/>
    <row r="875" s="100" customFormat="1" ht="15.75" customHeight="1"/>
    <row r="876" s="100" customFormat="1" ht="15.75" customHeight="1"/>
    <row r="877" s="100" customFormat="1" ht="15.75" customHeight="1"/>
    <row r="878" s="100" customFormat="1" ht="15.75" customHeight="1"/>
    <row r="879" s="100" customFormat="1" ht="15.75" customHeight="1"/>
    <row r="880" s="100" customFormat="1" ht="15.75" customHeight="1"/>
    <row r="881" s="100" customFormat="1" ht="15.75" customHeight="1"/>
    <row r="882" s="100" customFormat="1" ht="15.75" customHeight="1"/>
    <row r="883" s="100" customFormat="1" ht="15.75" customHeight="1"/>
    <row r="884" s="100" customFormat="1" ht="15.75" customHeight="1"/>
    <row r="885" s="100" customFormat="1" ht="15.75" customHeight="1"/>
    <row r="886" s="100" customFormat="1" ht="15.75" customHeight="1"/>
    <row r="887" s="100" customFormat="1" ht="15.75" customHeight="1"/>
    <row r="888" s="100" customFormat="1" ht="15.75" customHeight="1"/>
    <row r="889" s="100" customFormat="1" ht="15.75" customHeight="1"/>
    <row r="890" s="100" customFormat="1" ht="15.75" customHeight="1"/>
    <row r="891" s="100" customFormat="1" ht="15.75" customHeight="1"/>
    <row r="892" s="100" customFormat="1" ht="15.75" customHeight="1"/>
    <row r="893" s="100" customFormat="1" ht="15.75" customHeight="1"/>
    <row r="894" s="100" customFormat="1" ht="15.75" customHeight="1"/>
    <row r="895" s="100" customFormat="1" ht="15.75" customHeight="1"/>
    <row r="896" s="100" customFormat="1" ht="15.75" customHeight="1"/>
    <row r="897" s="100" customFormat="1" ht="15.75" customHeight="1"/>
    <row r="898" s="100" customFormat="1" ht="15.75" customHeight="1"/>
    <row r="899" s="100" customFormat="1" ht="15.75" customHeight="1"/>
    <row r="900" s="100" customFormat="1" ht="15.75" customHeight="1"/>
    <row r="901" s="100" customFormat="1" ht="15.75" customHeight="1"/>
    <row r="902" s="100" customFormat="1" ht="15.75" customHeight="1"/>
    <row r="903" s="100" customFormat="1" ht="15.75" customHeight="1"/>
    <row r="904" s="100" customFormat="1" ht="15.75" customHeight="1"/>
    <row r="905" s="100" customFormat="1" ht="15.75" customHeight="1"/>
    <row r="906" s="100" customFormat="1" ht="15.75" customHeight="1"/>
    <row r="907" s="100" customFormat="1" ht="15.75" customHeight="1"/>
    <row r="908" s="100" customFormat="1" ht="15.75" customHeight="1"/>
    <row r="909" s="100" customFormat="1" ht="15.75" customHeight="1"/>
    <row r="910" s="100" customFormat="1" ht="15.75" customHeight="1"/>
    <row r="911" s="100" customFormat="1" ht="15.75" customHeight="1"/>
    <row r="912" s="100" customFormat="1" ht="15.75" customHeight="1"/>
    <row r="913" s="100" customFormat="1" ht="15.75" customHeight="1"/>
    <row r="914" s="100" customFormat="1" ht="15.75" customHeight="1"/>
    <row r="915" s="100" customFormat="1" ht="15.75" customHeight="1"/>
    <row r="916" s="100" customFormat="1" ht="15.75" customHeight="1"/>
    <row r="917" s="100" customFormat="1" ht="15.75" customHeight="1"/>
    <row r="918" s="100" customFormat="1" ht="15.75" customHeight="1"/>
    <row r="919" s="100" customFormat="1" ht="15.75" customHeight="1"/>
    <row r="920" s="100" customFormat="1" ht="15.75" customHeight="1"/>
    <row r="921" s="100" customFormat="1" ht="15.75" customHeight="1"/>
    <row r="922" s="100" customFormat="1" ht="15.75" customHeight="1"/>
    <row r="923" s="100" customFormat="1" ht="15.75" customHeight="1"/>
    <row r="924" s="100" customFormat="1" ht="15.75" customHeight="1"/>
    <row r="925" s="100" customFormat="1" ht="15.75" customHeight="1"/>
    <row r="926" s="100" customFormat="1" ht="15.75" customHeight="1"/>
    <row r="927" s="100" customFormat="1" ht="15.75" customHeight="1"/>
    <row r="928" s="100" customFormat="1" ht="15.75" customHeight="1"/>
    <row r="929" s="100" customFormat="1" ht="15.75" customHeight="1"/>
    <row r="930" s="100" customFormat="1" ht="15.75" customHeight="1"/>
    <row r="931" s="100" customFormat="1" ht="15.75" customHeight="1"/>
    <row r="932" s="100" customFormat="1" ht="15.75" customHeight="1"/>
    <row r="933" s="100" customFormat="1" ht="15.75" customHeight="1"/>
    <row r="934" s="100" customFormat="1" ht="15.75" customHeight="1"/>
    <row r="935" s="100" customFormat="1" ht="15.75" customHeight="1"/>
    <row r="936" s="100" customFormat="1" ht="15.75" customHeight="1"/>
    <row r="937" s="100" customFormat="1" ht="15.75" customHeight="1"/>
    <row r="938" s="100" customFormat="1" ht="15.75" customHeight="1"/>
    <row r="939" s="100" customFormat="1" ht="15.75" customHeight="1"/>
    <row r="940" s="100" customFormat="1" ht="15.75" customHeight="1"/>
    <row r="941" s="100" customFormat="1" ht="15.75" customHeight="1"/>
    <row r="942" s="100" customFormat="1" ht="15.75" customHeight="1"/>
    <row r="943" s="100" customFormat="1" ht="15.75" customHeight="1"/>
    <row r="944" s="100" customFormat="1" ht="15.75" customHeight="1"/>
    <row r="945" s="100" customFormat="1" ht="15.75" customHeight="1"/>
    <row r="946" s="100" customFormat="1" ht="15.75" customHeight="1"/>
    <row r="947" s="100" customFormat="1" ht="15.75" customHeight="1"/>
    <row r="948" s="100" customFormat="1" ht="15.75" customHeight="1"/>
    <row r="949" s="100" customFormat="1" ht="15.75" customHeight="1"/>
    <row r="950" s="100" customFormat="1" ht="15.75" customHeight="1"/>
    <row r="951" s="100" customFormat="1" ht="15.75" customHeight="1"/>
    <row r="952" s="100" customFormat="1" ht="15.75" customHeight="1"/>
    <row r="953" s="100" customFormat="1" ht="15.75" customHeight="1"/>
    <row r="954" s="100" customFormat="1" ht="15.75" customHeight="1"/>
    <row r="955" s="100" customFormat="1" ht="15.75" customHeight="1"/>
    <row r="956" s="100" customFormat="1" ht="15.75" customHeight="1"/>
    <row r="957" s="100" customFormat="1" ht="15.75" customHeight="1"/>
    <row r="958" s="100" customFormat="1" ht="15.75" customHeight="1"/>
    <row r="959" s="100" customFormat="1" ht="15.75" customHeight="1"/>
    <row r="960" s="100" customFormat="1" ht="15.75" customHeight="1"/>
    <row r="961" s="100" customFormat="1" ht="15.75" customHeight="1"/>
    <row r="962" s="100" customFormat="1" ht="15.75" customHeight="1"/>
    <row r="963" s="100" customFormat="1" ht="15.75" customHeight="1"/>
    <row r="964" s="100" customFormat="1" ht="15.75" customHeight="1"/>
    <row r="965" s="100" customFormat="1" ht="15.75" customHeight="1"/>
    <row r="966" s="100" customFormat="1" ht="15.75" customHeight="1"/>
    <row r="967" s="100" customFormat="1" ht="15.75" customHeight="1"/>
    <row r="968" s="100" customFormat="1" ht="15.75" customHeight="1"/>
    <row r="969" s="100" customFormat="1" ht="15.75" customHeight="1"/>
    <row r="970" s="100" customFormat="1" ht="15.75" customHeight="1"/>
    <row r="971" s="100" customFormat="1" ht="15.75" customHeight="1"/>
    <row r="972" s="100" customFormat="1" ht="15.75" customHeight="1"/>
    <row r="973" s="100" customFormat="1" ht="15.75" customHeight="1"/>
    <row r="974" s="100" customFormat="1" ht="15.75" customHeight="1"/>
    <row r="975" s="100" customFormat="1" ht="15.75" customHeight="1"/>
    <row r="976" s="100" customFormat="1" ht="15.75" customHeight="1"/>
    <row r="977" s="100" customFormat="1" ht="15.75" customHeight="1"/>
    <row r="978" s="100" customFormat="1" ht="15.75" customHeight="1"/>
    <row r="979" s="100" customFormat="1" ht="15.75" customHeight="1"/>
    <row r="980" s="100" customFormat="1" ht="15.75" customHeight="1"/>
    <row r="981" s="100" customFormat="1" ht="15.75" customHeight="1"/>
    <row r="982" s="100" customFormat="1" ht="15.75" customHeight="1"/>
    <row r="983" s="100" customFormat="1" ht="15.75" customHeight="1"/>
    <row r="984" s="100" customFormat="1" ht="15.75" customHeight="1"/>
    <row r="985" s="100" customFormat="1" ht="15.75" customHeight="1"/>
    <row r="986" s="100" customFormat="1" ht="15.75" customHeight="1"/>
    <row r="987" s="100" customFormat="1" ht="15.75" customHeight="1"/>
    <row r="988" s="100" customFormat="1" ht="15.75" customHeight="1"/>
    <row r="989" s="100" customFormat="1" ht="15.75" customHeight="1"/>
    <row r="990" s="100" customFormat="1" ht="15.75" customHeight="1"/>
    <row r="991" s="100" customFormat="1" ht="15.75" customHeight="1"/>
    <row r="992" s="100" customFormat="1" ht="15.75" customHeight="1"/>
    <row r="993" s="100" customFormat="1" ht="15.75" customHeight="1"/>
    <row r="994" s="100" customFormat="1" ht="15.75" customHeight="1"/>
    <row r="995" s="100" customFormat="1" ht="15.75" customHeight="1"/>
    <row r="996" s="100" customFormat="1" ht="15.75" customHeight="1"/>
    <row r="997" s="100" customFormat="1" ht="15.75" customHeight="1"/>
    <row r="998" s="100" customFormat="1" ht="15.75" customHeight="1"/>
    <row r="999" s="100" customFormat="1" ht="15.75" customHeight="1"/>
    <row r="1000" s="100" customFormat="1" ht="15.75" customHeight="1"/>
  </sheetData>
  <pageMargins left="0.7" right="0.7" top="0.75" bottom="0.75" header="0" footer="0"/>
  <pageSetup orientation="landscape"/>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F59F1-A64C-4A61-AA22-0417ECAEE1F4}">
  <dimension ref="B2:F15"/>
  <sheetViews>
    <sheetView showGridLines="0" topLeftCell="A10" zoomScale="172" zoomScaleNormal="150" workbookViewId="0">
      <selection activeCell="C15" sqref="C15"/>
    </sheetView>
  </sheetViews>
  <sheetFormatPr defaultColWidth="11.6328125" defaultRowHeight="15.5"/>
  <cols>
    <col min="1" max="1" width="11.6328125" style="1"/>
    <col min="2" max="2" width="21.453125" style="1" customWidth="1"/>
    <col min="3" max="3" width="10.54296875" style="1" customWidth="1"/>
    <col min="4" max="4" width="7.26953125" style="1" customWidth="1"/>
    <col min="5" max="16384" width="11.6328125" style="1"/>
  </cols>
  <sheetData>
    <row r="2" spans="2:6">
      <c r="B2" s="87" t="s">
        <v>256</v>
      </c>
      <c r="C2" s="86"/>
      <c r="D2" s="86"/>
      <c r="E2" s="86"/>
      <c r="F2" s="86"/>
    </row>
    <row r="3" spans="2:6">
      <c r="B3" s="1" t="s">
        <v>343</v>
      </c>
    </row>
    <row r="5" spans="2:6">
      <c r="B5" s="424" t="s">
        <v>263</v>
      </c>
      <c r="C5" s="424"/>
    </row>
    <row r="6" spans="2:6">
      <c r="B6" s="1" t="s">
        <v>342</v>
      </c>
      <c r="C6" s="96">
        <v>29.99</v>
      </c>
      <c r="D6" s="92"/>
      <c r="E6" s="11"/>
    </row>
    <row r="7" spans="2:6">
      <c r="B7" s="1" t="s">
        <v>341</v>
      </c>
      <c r="C7" s="96">
        <v>8.5</v>
      </c>
      <c r="D7" s="92"/>
    </row>
    <row r="8" spans="2:6">
      <c r="B8" s="1" t="s">
        <v>337</v>
      </c>
      <c r="C8" s="95">
        <v>15000</v>
      </c>
      <c r="D8" s="94"/>
    </row>
    <row r="9" spans="2:6">
      <c r="B9" s="93"/>
      <c r="C9" s="92"/>
    </row>
    <row r="10" spans="2:6">
      <c r="B10" s="424" t="s">
        <v>261</v>
      </c>
      <c r="C10" s="424"/>
    </row>
    <row r="11" spans="2:6">
      <c r="B11" s="82" t="s">
        <v>340</v>
      </c>
      <c r="C11" s="91">
        <f>ROUNDUP(930.665425779432,0)</f>
        <v>931</v>
      </c>
      <c r="D11" s="1" t="s">
        <v>339</v>
      </c>
    </row>
    <row r="12" spans="2:6">
      <c r="B12" s="82" t="s">
        <v>162</v>
      </c>
      <c r="C12" s="90">
        <f>C6*C11</f>
        <v>27920.69</v>
      </c>
    </row>
    <row r="13" spans="2:6">
      <c r="B13" s="82" t="s">
        <v>338</v>
      </c>
      <c r="C13" s="90">
        <f>-C11*C7</f>
        <v>-7913.5</v>
      </c>
    </row>
    <row r="14" spans="2:6">
      <c r="B14" s="82" t="s">
        <v>337</v>
      </c>
      <c r="C14" s="90">
        <f>-C8</f>
        <v>-15000</v>
      </c>
    </row>
    <row r="15" spans="2:6">
      <c r="B15" s="89" t="s">
        <v>257</v>
      </c>
      <c r="C15" s="88">
        <f>SUM(C12:C14)</f>
        <v>5007.1899999999987</v>
      </c>
    </row>
  </sheetData>
  <mergeCells count="2">
    <mergeCell ref="B5:C5"/>
    <mergeCell ref="B10:C10"/>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CD799-F8EF-4005-A0C3-61DC6AF64214}">
  <dimension ref="B2:L22"/>
  <sheetViews>
    <sheetView showGridLines="0" topLeftCell="A4" zoomScale="150" zoomScaleNormal="150" workbookViewId="0">
      <selection activeCell="C7" sqref="C7"/>
    </sheetView>
  </sheetViews>
  <sheetFormatPr defaultColWidth="11.6328125" defaultRowHeight="15.5"/>
  <cols>
    <col min="1" max="10" width="11.6328125" style="1"/>
    <col min="11" max="11" width="16.54296875" style="1" bestFit="1" customWidth="1"/>
    <col min="12" max="16384" width="11.6328125" style="1"/>
  </cols>
  <sheetData>
    <row r="2" spans="2:12">
      <c r="B2" s="87" t="s">
        <v>281</v>
      </c>
      <c r="C2" s="86"/>
      <c r="D2" s="86"/>
      <c r="E2" s="86"/>
      <c r="F2" s="86"/>
      <c r="G2" s="86"/>
    </row>
    <row r="3" spans="2:12">
      <c r="B3" s="1" t="s">
        <v>336</v>
      </c>
    </row>
    <row r="5" spans="2:12">
      <c r="B5" s="85" t="s">
        <v>62</v>
      </c>
      <c r="C5" s="84">
        <v>44927</v>
      </c>
      <c r="D5" s="84">
        <f>EDATE(C5,1)</f>
        <v>44958</v>
      </c>
      <c r="E5" s="84">
        <f>EDATE(D5,1)</f>
        <v>44986</v>
      </c>
    </row>
    <row r="6" spans="2:12">
      <c r="B6" s="1" t="s">
        <v>17</v>
      </c>
      <c r="C6" s="83">
        <f>SUMIFS($F$11:$F$22,$B$11:$B$22,$B6,$C$11:$C$22,C5)</f>
        <v>33403</v>
      </c>
      <c r="D6" s="83">
        <f>SUMIFS($F$11:$F$22,$B$11:$B$22,$B6,$C$11:$C$22,D5)</f>
        <v>22686</v>
      </c>
      <c r="E6" s="83">
        <f>SUMIFS($F$11:$F$22,$B$11:$B$22,$B6,$C$11:$C$22,E5)</f>
        <v>42588</v>
      </c>
      <c r="F6" s="1" t="s">
        <v>335</v>
      </c>
    </row>
    <row r="7" spans="2:12">
      <c r="B7" s="1" t="s">
        <v>17</v>
      </c>
      <c r="C7" s="83" cm="1">
        <f t="array" ref="C7">_xlfn.XLOOKUP($B6&amp;C5,$B$11:$B$22&amp;$C$11:$C$22,$F$11:$F$22)</f>
        <v>33403</v>
      </c>
      <c r="D7" s="83" cm="1">
        <f t="array" ref="D7">_xlfn.XLOOKUP($B6&amp;D5,$B$11:$B$22&amp;$C$11:$C$22,$F$11:$F$22)</f>
        <v>22686</v>
      </c>
      <c r="E7" s="83" cm="1">
        <f t="array" ref="E7">_xlfn.XLOOKUP($B6&amp;E5,$B$11:$B$22&amp;$C$11:$C$22,$F$11:$F$22)</f>
        <v>42588</v>
      </c>
      <c r="F7" s="1" t="s">
        <v>334</v>
      </c>
      <c r="I7" s="85" t="s">
        <v>62</v>
      </c>
      <c r="J7" s="84"/>
      <c r="K7" s="84"/>
      <c r="L7" s="84"/>
    </row>
    <row r="8" spans="2:12">
      <c r="I8" s="1" t="s">
        <v>17</v>
      </c>
      <c r="J8" s="83">
        <f>SUMIFS(F11:F22,B11:B22,I8)</f>
        <v>98677</v>
      </c>
      <c r="K8" s="83" t="s">
        <v>333</v>
      </c>
      <c r="L8" s="83"/>
    </row>
    <row r="9" spans="2:12">
      <c r="J9" s="83"/>
      <c r="K9" s="83"/>
      <c r="L9" s="83"/>
    </row>
    <row r="10" spans="2:12" s="3" customFormat="1">
      <c r="B10" s="17" t="s">
        <v>62</v>
      </c>
      <c r="C10" s="17" t="s">
        <v>105</v>
      </c>
      <c r="D10" s="17" t="s">
        <v>332</v>
      </c>
      <c r="E10" s="17" t="s">
        <v>61</v>
      </c>
      <c r="F10" s="17" t="s">
        <v>162</v>
      </c>
    </row>
    <row r="11" spans="2:12">
      <c r="B11" s="82" t="s">
        <v>331</v>
      </c>
      <c r="C11" s="21">
        <v>44927</v>
      </c>
      <c r="D11" s="81">
        <f t="shared" ref="D11:D22" si="0">F11/E11</f>
        <v>2463.4334103156275</v>
      </c>
      <c r="E11" s="80">
        <v>12.99</v>
      </c>
      <c r="F11" s="79">
        <v>32000</v>
      </c>
    </row>
    <row r="12" spans="2:12">
      <c r="B12" s="82" t="s">
        <v>330</v>
      </c>
      <c r="C12" s="21">
        <v>44927</v>
      </c>
      <c r="D12" s="81">
        <f t="shared" si="0"/>
        <v>705.25050100200406</v>
      </c>
      <c r="E12" s="80">
        <v>24.95</v>
      </c>
      <c r="F12" s="79">
        <v>17596</v>
      </c>
    </row>
    <row r="13" spans="2:12">
      <c r="B13" s="82" t="s">
        <v>329</v>
      </c>
      <c r="C13" s="21">
        <v>44927</v>
      </c>
      <c r="D13" s="81">
        <f t="shared" si="0"/>
        <v>622.12424849699403</v>
      </c>
      <c r="E13" s="80">
        <v>24.95</v>
      </c>
      <c r="F13" s="79">
        <v>15522</v>
      </c>
    </row>
    <row r="14" spans="2:12">
      <c r="B14" s="82" t="s">
        <v>17</v>
      </c>
      <c r="C14" s="21">
        <v>44927</v>
      </c>
      <c r="D14" s="81">
        <f t="shared" si="0"/>
        <v>1674.3358395989976</v>
      </c>
      <c r="E14" s="80">
        <v>19.95</v>
      </c>
      <c r="F14" s="79">
        <v>33403</v>
      </c>
    </row>
    <row r="15" spans="2:12">
      <c r="B15" s="82" t="s">
        <v>331</v>
      </c>
      <c r="C15" s="21">
        <v>44958</v>
      </c>
      <c r="D15" s="81">
        <f t="shared" si="0"/>
        <v>1786.4661654135339</v>
      </c>
      <c r="E15" s="80">
        <v>19.95</v>
      </c>
      <c r="F15" s="79">
        <v>35640</v>
      </c>
    </row>
    <row r="16" spans="2:12">
      <c r="B16" s="82" t="s">
        <v>330</v>
      </c>
      <c r="C16" s="21">
        <v>44958</v>
      </c>
      <c r="D16" s="81">
        <f t="shared" si="0"/>
        <v>1017.4436090225564</v>
      </c>
      <c r="E16" s="80">
        <v>19.95</v>
      </c>
      <c r="F16" s="79">
        <v>20298</v>
      </c>
    </row>
    <row r="17" spans="2:6">
      <c r="B17" s="82" t="s">
        <v>329</v>
      </c>
      <c r="C17" s="21">
        <v>44958</v>
      </c>
      <c r="D17" s="81">
        <f t="shared" si="0"/>
        <v>1196.9924812030076</v>
      </c>
      <c r="E17" s="80">
        <v>19.95</v>
      </c>
      <c r="F17" s="79">
        <v>23880</v>
      </c>
    </row>
    <row r="18" spans="2:6">
      <c r="B18" s="82" t="s">
        <v>17</v>
      </c>
      <c r="C18" s="21">
        <v>44958</v>
      </c>
      <c r="D18" s="81">
        <f t="shared" si="0"/>
        <v>1019.5955056179776</v>
      </c>
      <c r="E18" s="80">
        <v>22.25</v>
      </c>
      <c r="F18" s="79">
        <v>22686</v>
      </c>
    </row>
    <row r="19" spans="2:6">
      <c r="B19" s="82" t="s">
        <v>331</v>
      </c>
      <c r="C19" s="21">
        <v>44986</v>
      </c>
      <c r="D19" s="81">
        <f t="shared" si="0"/>
        <v>957.59398496240601</v>
      </c>
      <c r="E19" s="80">
        <v>19.95</v>
      </c>
      <c r="F19" s="79">
        <v>19104</v>
      </c>
    </row>
    <row r="20" spans="2:6">
      <c r="B20" s="82" t="s">
        <v>330</v>
      </c>
      <c r="C20" s="21">
        <v>44986</v>
      </c>
      <c r="D20" s="81">
        <f t="shared" si="0"/>
        <v>1624.7117794486217</v>
      </c>
      <c r="E20" s="80">
        <v>19.95</v>
      </c>
      <c r="F20" s="79">
        <v>32413</v>
      </c>
    </row>
    <row r="21" spans="2:6">
      <c r="B21" s="82" t="s">
        <v>329</v>
      </c>
      <c r="C21" s="21">
        <v>44986</v>
      </c>
      <c r="D21" s="81">
        <f t="shared" si="0"/>
        <v>1775.6390977443609</v>
      </c>
      <c r="E21" s="80">
        <v>19.95</v>
      </c>
      <c r="F21" s="79">
        <v>35424</v>
      </c>
    </row>
    <row r="22" spans="2:6">
      <c r="B22" s="82" t="s">
        <v>17</v>
      </c>
      <c r="C22" s="21">
        <v>44986</v>
      </c>
      <c r="D22" s="81">
        <f t="shared" si="0"/>
        <v>2134.7368421052633</v>
      </c>
      <c r="E22" s="80">
        <v>19.95</v>
      </c>
      <c r="F22" s="79">
        <v>42588</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820BD-5261-4EEC-9DCB-B4617C746FEC}">
  <sheetPr codeName="Sheet1"/>
  <dimension ref="B3:K23"/>
  <sheetViews>
    <sheetView showGridLines="0" zoomScale="120" zoomScaleNormal="120" workbookViewId="0">
      <selection activeCell="H13" sqref="H13"/>
    </sheetView>
  </sheetViews>
  <sheetFormatPr defaultRowHeight="14.5"/>
  <cols>
    <col min="4" max="4" width="8.90625" customWidth="1"/>
  </cols>
  <sheetData>
    <row r="3" spans="2:11">
      <c r="H3" t="s">
        <v>824</v>
      </c>
    </row>
    <row r="4" spans="2:11">
      <c r="B4" s="309" t="s">
        <v>66</v>
      </c>
      <c r="C4" s="309" t="s">
        <v>65</v>
      </c>
      <c r="D4" s="309" t="s">
        <v>62</v>
      </c>
      <c r="E4" s="309" t="s">
        <v>823</v>
      </c>
      <c r="H4" s="308" t="s">
        <v>66</v>
      </c>
      <c r="I4" s="307" t="s">
        <v>65</v>
      </c>
      <c r="J4" s="307" t="s">
        <v>62</v>
      </c>
      <c r="K4" s="306" t="s">
        <v>823</v>
      </c>
    </row>
    <row r="5" spans="2:11">
      <c r="B5" s="304" t="s">
        <v>822</v>
      </c>
      <c r="C5" s="304" t="s">
        <v>821</v>
      </c>
      <c r="D5" s="304" t="s">
        <v>51</v>
      </c>
      <c r="E5" s="303">
        <v>55</v>
      </c>
      <c r="H5" s="305" t="str" cm="1">
        <f t="array" ref="H5:K23">_xlfn._xlws.FILTER(Table111[],ISNUMBER(SEARCH($H$3,Table111[First]&amp;Table111[Last]&amp;Table111[Country]&amp;Table111[Age])),"No Match")</f>
        <v>Janet</v>
      </c>
      <c r="I5" t="str">
        <v>Murphy</v>
      </c>
      <c r="J5" t="str">
        <v>USA</v>
      </c>
      <c r="K5">
        <v>55</v>
      </c>
    </row>
    <row r="6" spans="2:11">
      <c r="B6" s="304" t="s">
        <v>820</v>
      </c>
      <c r="C6" s="304" t="s">
        <v>819</v>
      </c>
      <c r="D6" s="304" t="s">
        <v>51</v>
      </c>
      <c r="E6" s="303">
        <v>60</v>
      </c>
      <c r="H6" t="str">
        <v>Janice</v>
      </c>
      <c r="I6" t="str">
        <v>Clark</v>
      </c>
      <c r="J6" t="str">
        <v>USA</v>
      </c>
      <c r="K6">
        <v>60</v>
      </c>
    </row>
    <row r="7" spans="2:11">
      <c r="B7" s="304" t="s">
        <v>818</v>
      </c>
      <c r="C7" s="304" t="s">
        <v>817</v>
      </c>
      <c r="D7" s="304" t="s">
        <v>0</v>
      </c>
      <c r="E7" s="303">
        <v>58</v>
      </c>
      <c r="H7" t="str">
        <v>Charlotte</v>
      </c>
      <c r="I7" t="str">
        <v>Walker</v>
      </c>
      <c r="J7" t="str">
        <v>Spain</v>
      </c>
      <c r="K7">
        <v>58</v>
      </c>
    </row>
    <row r="8" spans="2:11">
      <c r="B8" s="304" t="s">
        <v>816</v>
      </c>
      <c r="C8" s="304" t="s">
        <v>815</v>
      </c>
      <c r="D8" s="304" t="s">
        <v>0</v>
      </c>
      <c r="E8" s="303">
        <v>49</v>
      </c>
      <c r="H8" t="str">
        <v>Natalie</v>
      </c>
      <c r="I8" t="str">
        <v>Robinson</v>
      </c>
      <c r="J8" t="str">
        <v>Spain</v>
      </c>
      <c r="K8">
        <v>49</v>
      </c>
    </row>
    <row r="9" spans="2:11">
      <c r="B9" s="304" t="s">
        <v>814</v>
      </c>
      <c r="C9" s="304" t="s">
        <v>813</v>
      </c>
      <c r="D9" s="304" t="s">
        <v>9</v>
      </c>
      <c r="E9" s="303">
        <v>42</v>
      </c>
      <c r="H9" t="str">
        <v>Doris</v>
      </c>
      <c r="I9" t="str">
        <v>Nguyen</v>
      </c>
      <c r="J9" t="str">
        <v>UK</v>
      </c>
      <c r="K9">
        <v>42</v>
      </c>
    </row>
    <row r="10" spans="2:11">
      <c r="B10" s="304" t="s">
        <v>812</v>
      </c>
      <c r="C10" s="304" t="s">
        <v>811</v>
      </c>
      <c r="D10" s="304" t="s">
        <v>9</v>
      </c>
      <c r="E10" s="303">
        <v>51</v>
      </c>
      <c r="H10" t="str">
        <v>Keith</v>
      </c>
      <c r="I10" t="str">
        <v>Roberts</v>
      </c>
      <c r="J10" t="str">
        <v>UK</v>
      </c>
      <c r="K10">
        <v>51</v>
      </c>
    </row>
    <row r="11" spans="2:11">
      <c r="B11" s="304" t="s">
        <v>810</v>
      </c>
      <c r="C11" s="304" t="s">
        <v>809</v>
      </c>
      <c r="D11" s="304" t="s">
        <v>9</v>
      </c>
      <c r="E11" s="303">
        <v>51</v>
      </c>
      <c r="H11" t="str">
        <v>Kelly</v>
      </c>
      <c r="I11" t="str">
        <v>Jones</v>
      </c>
      <c r="J11" t="str">
        <v>UK</v>
      </c>
      <c r="K11">
        <v>51</v>
      </c>
    </row>
    <row r="12" spans="2:11">
      <c r="B12" s="304" t="s">
        <v>57</v>
      </c>
      <c r="C12" s="304" t="s">
        <v>56</v>
      </c>
      <c r="D12" s="304" t="s">
        <v>9</v>
      </c>
      <c r="E12" s="303">
        <v>50</v>
      </c>
      <c r="H12" t="str">
        <v>Kennedi</v>
      </c>
      <c r="I12" t="str">
        <v>Singh</v>
      </c>
      <c r="J12" t="str">
        <v>UK</v>
      </c>
      <c r="K12">
        <v>50</v>
      </c>
    </row>
    <row r="13" spans="2:11">
      <c r="B13" s="304" t="s">
        <v>808</v>
      </c>
      <c r="C13" s="304" t="s">
        <v>807</v>
      </c>
      <c r="D13" s="304" t="s">
        <v>9</v>
      </c>
      <c r="E13" s="303">
        <v>59</v>
      </c>
      <c r="H13" t="str">
        <v>Joseph</v>
      </c>
      <c r="I13" t="str">
        <v>Mitchell</v>
      </c>
      <c r="J13" t="str">
        <v>UK</v>
      </c>
      <c r="K13">
        <v>59</v>
      </c>
    </row>
    <row r="14" spans="2:11">
      <c r="B14" s="304" t="s">
        <v>36</v>
      </c>
      <c r="C14" s="304" t="s">
        <v>806</v>
      </c>
      <c r="D14" s="304" t="s">
        <v>74</v>
      </c>
      <c r="E14" s="303">
        <v>48</v>
      </c>
      <c r="H14" t="str">
        <v>Steven</v>
      </c>
      <c r="I14" t="str">
        <v>Simpson</v>
      </c>
      <c r="J14" t="str">
        <v>Italy</v>
      </c>
      <c r="K14">
        <v>48</v>
      </c>
    </row>
    <row r="15" spans="2:11">
      <c r="B15" s="304" t="s">
        <v>805</v>
      </c>
      <c r="C15" s="304" t="s">
        <v>804</v>
      </c>
      <c r="D15" s="304" t="s">
        <v>74</v>
      </c>
      <c r="E15" s="303">
        <v>45</v>
      </c>
      <c r="H15" t="str">
        <v>Kenneth</v>
      </c>
      <c r="I15" t="str">
        <v>Anderson</v>
      </c>
      <c r="J15" t="str">
        <v>Italy</v>
      </c>
      <c r="K15">
        <v>45</v>
      </c>
    </row>
    <row r="16" spans="2:11">
      <c r="B16" s="304" t="s">
        <v>803</v>
      </c>
      <c r="C16" s="304" t="s">
        <v>802</v>
      </c>
      <c r="D16" s="304" t="s">
        <v>74</v>
      </c>
      <c r="E16" s="303">
        <v>56</v>
      </c>
      <c r="H16" t="str">
        <v>Nicholas</v>
      </c>
      <c r="I16" t="str">
        <v>Gerrard</v>
      </c>
      <c r="J16" t="str">
        <v>Italy</v>
      </c>
      <c r="K16">
        <v>56</v>
      </c>
    </row>
    <row r="17" spans="2:11">
      <c r="B17" s="304" t="s">
        <v>801</v>
      </c>
      <c r="C17" s="304" t="s">
        <v>800</v>
      </c>
      <c r="D17" s="304" t="s">
        <v>5</v>
      </c>
      <c r="E17" s="303">
        <v>47</v>
      </c>
      <c r="H17" t="str">
        <v>Judith</v>
      </c>
      <c r="I17" t="str">
        <v>Lopez</v>
      </c>
      <c r="J17" t="str">
        <v>Japan</v>
      </c>
      <c r="K17">
        <v>47</v>
      </c>
    </row>
    <row r="18" spans="2:11">
      <c r="B18" s="304" t="s">
        <v>799</v>
      </c>
      <c r="C18" s="304" t="s">
        <v>798</v>
      </c>
      <c r="D18" s="304" t="s">
        <v>5</v>
      </c>
      <c r="E18" s="303">
        <v>60</v>
      </c>
      <c r="H18" t="str">
        <v>Hannah</v>
      </c>
      <c r="I18" t="str">
        <v>Garcia</v>
      </c>
      <c r="J18" t="str">
        <v>Japan</v>
      </c>
      <c r="K18">
        <v>60</v>
      </c>
    </row>
    <row r="19" spans="2:11">
      <c r="B19" s="304" t="s">
        <v>797</v>
      </c>
      <c r="C19" s="304" t="s">
        <v>796</v>
      </c>
      <c r="D19" s="304" t="s">
        <v>5</v>
      </c>
      <c r="E19" s="303">
        <v>44</v>
      </c>
      <c r="H19" t="str">
        <v>Marilyn</v>
      </c>
      <c r="I19" t="str">
        <v>Allen</v>
      </c>
      <c r="J19" t="str">
        <v>Japan</v>
      </c>
      <c r="K19">
        <v>44</v>
      </c>
    </row>
    <row r="20" spans="2:11">
      <c r="B20" s="304" t="s">
        <v>38</v>
      </c>
      <c r="C20" s="304" t="s">
        <v>37</v>
      </c>
      <c r="D20" s="304" t="s">
        <v>5</v>
      </c>
      <c r="E20" s="303">
        <v>57</v>
      </c>
      <c r="H20" t="str">
        <v>Brendan</v>
      </c>
      <c r="I20" t="str">
        <v>Walls</v>
      </c>
      <c r="J20" t="str">
        <v>Japan</v>
      </c>
      <c r="K20">
        <v>57</v>
      </c>
    </row>
    <row r="21" spans="2:11">
      <c r="B21" s="304" t="s">
        <v>795</v>
      </c>
      <c r="C21" s="304" t="s">
        <v>794</v>
      </c>
      <c r="D21" s="304" t="s">
        <v>5</v>
      </c>
      <c r="E21" s="303">
        <v>56</v>
      </c>
      <c r="H21" t="str">
        <v>Carolyn</v>
      </c>
      <c r="I21" t="str">
        <v>Muir</v>
      </c>
      <c r="J21" t="str">
        <v>Japan</v>
      </c>
      <c r="K21">
        <v>56</v>
      </c>
    </row>
    <row r="22" spans="2:11">
      <c r="B22" s="304" t="s">
        <v>793</v>
      </c>
      <c r="C22" s="304" t="s">
        <v>792</v>
      </c>
      <c r="D22" s="304" t="s">
        <v>51</v>
      </c>
      <c r="E22" s="303">
        <v>53</v>
      </c>
      <c r="H22" t="str">
        <v>Teresa</v>
      </c>
      <c r="I22" t="str">
        <v>Jarris</v>
      </c>
      <c r="J22" t="str">
        <v>USA</v>
      </c>
      <c r="K22">
        <v>53</v>
      </c>
    </row>
    <row r="23" spans="2:11">
      <c r="B23" s="304" t="s">
        <v>491</v>
      </c>
      <c r="C23" s="304" t="s">
        <v>58</v>
      </c>
      <c r="D23" s="304" t="s">
        <v>329</v>
      </c>
      <c r="E23" s="303">
        <v>28</v>
      </c>
      <c r="H23" t="str">
        <v>Jack</v>
      </c>
      <c r="I23" t="str">
        <v>Smith</v>
      </c>
      <c r="J23" t="str">
        <v>Canada</v>
      </c>
      <c r="K23">
        <v>28</v>
      </c>
    </row>
  </sheetData>
  <pageMargins left="0.7" right="0.7" top="0.75" bottom="0.75" header="0.3" footer="0.3"/>
  <drawing r:id="rId1"/>
  <legacyDrawing r:id="rId2"/>
  <controls>
    <mc:AlternateContent xmlns:mc="http://schemas.openxmlformats.org/markup-compatibility/2006">
      <mc:Choice Requires="x14">
        <control shapeId="51201" r:id="rId3" name="TextBox1">
          <controlPr defaultSize="0" autoLine="0" linkedCell="H3" r:id="rId4">
            <anchor moveWithCells="1">
              <from>
                <xdr:col>7</xdr:col>
                <xdr:colOff>292100</xdr:colOff>
                <xdr:row>1</xdr:row>
                <xdr:rowOff>50800</xdr:rowOff>
              </from>
              <to>
                <xdr:col>10</xdr:col>
                <xdr:colOff>552450</xdr:colOff>
                <xdr:row>2</xdr:row>
                <xdr:rowOff>107950</xdr:rowOff>
              </to>
            </anchor>
          </controlPr>
        </control>
      </mc:Choice>
      <mc:Fallback>
        <control shapeId="51201" r:id="rId3" name="TextBox1"/>
      </mc:Fallback>
    </mc:AlternateContent>
  </controls>
  <tableParts count="1">
    <tablePart r:id="rId5"/>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315B784A-3304-43C4-8D51-3344DF750BD8}">
            <xm:f>NOT(ISERROR(SEARCH($H$3,H5)))</xm:f>
            <xm:f>$H$3</xm:f>
            <x14:dxf>
              <font>
                <color rgb="FF006100"/>
              </font>
              <fill>
                <patternFill>
                  <bgColor rgb="FFC6EFCE"/>
                </patternFill>
              </fill>
            </x14:dxf>
          </x14:cfRule>
          <xm:sqref>H5:K23</xm:sqref>
        </x14:conditionalFormatting>
      </x14:conditionalFormattings>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728B3-3753-4A08-98E8-C300E44B2433}">
  <dimension ref="B2:H22"/>
  <sheetViews>
    <sheetView showGridLines="0" zoomScaleNormal="100" workbookViewId="0">
      <selection activeCell="I15" sqref="I15"/>
    </sheetView>
  </sheetViews>
  <sheetFormatPr defaultColWidth="8.81640625" defaultRowHeight="14.5"/>
  <cols>
    <col min="2" max="2" width="14.453125" customWidth="1"/>
    <col min="3" max="3" width="12.453125" customWidth="1"/>
    <col min="6" max="6" width="17.453125" customWidth="1"/>
  </cols>
  <sheetData>
    <row r="2" spans="2:8" ht="15.5">
      <c r="B2" s="50" t="s">
        <v>195</v>
      </c>
      <c r="C2" s="50"/>
      <c r="D2" s="50"/>
      <c r="E2" s="50"/>
      <c r="F2" s="50"/>
    </row>
    <row r="3" spans="2:8">
      <c r="B3" t="s">
        <v>194</v>
      </c>
    </row>
    <row r="5" spans="2:8">
      <c r="B5" s="49" t="s">
        <v>193</v>
      </c>
      <c r="C5" s="49" t="s">
        <v>192</v>
      </c>
      <c r="E5" s="434" t="s">
        <v>191</v>
      </c>
      <c r="F5" s="434"/>
    </row>
    <row r="6" spans="2:8">
      <c r="B6" s="47" t="s">
        <v>79</v>
      </c>
      <c r="C6" s="47" t="s">
        <v>6</v>
      </c>
      <c r="E6" s="46" t="s">
        <v>180</v>
      </c>
      <c r="F6" t="s">
        <v>179</v>
      </c>
    </row>
    <row r="7" spans="2:8">
      <c r="B7" s="47" t="s">
        <v>190</v>
      </c>
      <c r="C7" s="47" t="s">
        <v>18</v>
      </c>
      <c r="E7" s="46" t="s">
        <v>177</v>
      </c>
      <c r="F7" s="48" t="str">
        <f>VLOOKUP(F6,B6:C18,2,FALSE)</f>
        <v>Chicago</v>
      </c>
    </row>
    <row r="8" spans="2:8">
      <c r="B8" s="47" t="s">
        <v>99</v>
      </c>
      <c r="C8" s="47" t="s">
        <v>188</v>
      </c>
    </row>
    <row r="9" spans="2:8">
      <c r="B9" s="47" t="s">
        <v>189</v>
      </c>
      <c r="C9" s="47" t="s">
        <v>188</v>
      </c>
      <c r="E9" s="434" t="s">
        <v>187</v>
      </c>
      <c r="F9" s="434"/>
    </row>
    <row r="10" spans="2:8">
      <c r="B10" s="47" t="s">
        <v>97</v>
      </c>
      <c r="C10" s="47" t="s">
        <v>10</v>
      </c>
      <c r="E10" s="46" t="s">
        <v>180</v>
      </c>
      <c r="F10" t="s">
        <v>179</v>
      </c>
      <c r="G10" t="s">
        <v>186</v>
      </c>
      <c r="H10" t="s">
        <v>185</v>
      </c>
    </row>
    <row r="11" spans="2:8">
      <c r="B11" s="47" t="s">
        <v>96</v>
      </c>
      <c r="C11" s="47" t="s">
        <v>10</v>
      </c>
      <c r="E11" s="46" t="s">
        <v>177</v>
      </c>
      <c r="F11" t="str">
        <f>INDEX(C6:C18,MATCH(F10,B6:B18,0))</f>
        <v>Chicago</v>
      </c>
      <c r="G11">
        <f>MATCH(F10,B6:B18,0)</f>
        <v>11</v>
      </c>
      <c r="H11" t="str">
        <f>INDEX(C6:C18,11)</f>
        <v>Chicago</v>
      </c>
    </row>
    <row r="12" spans="2:8">
      <c r="B12" s="47" t="s">
        <v>184</v>
      </c>
      <c r="C12" s="47" t="s">
        <v>10</v>
      </c>
    </row>
    <row r="13" spans="2:8">
      <c r="B13" s="47" t="s">
        <v>94</v>
      </c>
      <c r="C13" s="47" t="s">
        <v>1</v>
      </c>
    </row>
    <row r="14" spans="2:8">
      <c r="B14" s="47" t="s">
        <v>93</v>
      </c>
      <c r="C14" s="47" t="s">
        <v>183</v>
      </c>
    </row>
    <row r="15" spans="2:8">
      <c r="B15" s="47" t="s">
        <v>92</v>
      </c>
      <c r="C15" s="47" t="s">
        <v>181</v>
      </c>
      <c r="E15" s="434" t="s">
        <v>182</v>
      </c>
      <c r="F15" s="434"/>
    </row>
    <row r="16" spans="2:8">
      <c r="B16" s="47" t="s">
        <v>179</v>
      </c>
      <c r="C16" s="47" t="s">
        <v>181</v>
      </c>
      <c r="E16" s="46" t="s">
        <v>180</v>
      </c>
      <c r="F16" t="s">
        <v>179</v>
      </c>
    </row>
    <row r="17" spans="2:6">
      <c r="B17" s="47" t="s">
        <v>178</v>
      </c>
      <c r="C17" s="47" t="s">
        <v>176</v>
      </c>
      <c r="E17" s="46" t="s">
        <v>177</v>
      </c>
      <c r="F17" t="str">
        <f>_xlfn.XLOOKUP(F16,B6:B18,C6:C18)</f>
        <v>Chicago</v>
      </c>
    </row>
    <row r="18" spans="2:6">
      <c r="B18" s="47" t="s">
        <v>91</v>
      </c>
      <c r="C18" s="47" t="s">
        <v>176</v>
      </c>
    </row>
    <row r="20" spans="2:6">
      <c r="E20" s="435"/>
      <c r="F20" s="435"/>
    </row>
    <row r="21" spans="2:6">
      <c r="E21" s="46"/>
    </row>
    <row r="22" spans="2:6">
      <c r="E22" s="46"/>
    </row>
  </sheetData>
  <mergeCells count="4">
    <mergeCell ref="E5:F5"/>
    <mergeCell ref="E9:F9"/>
    <mergeCell ref="E15:F15"/>
    <mergeCell ref="E20:F20"/>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CABE0-8948-44A2-8174-73F738C96043}">
  <dimension ref="B2:I17"/>
  <sheetViews>
    <sheetView showGridLines="0" topLeftCell="A4" zoomScaleNormal="100" workbookViewId="0">
      <selection activeCell="S14" sqref="S14"/>
    </sheetView>
  </sheetViews>
  <sheetFormatPr defaultColWidth="8.81640625" defaultRowHeight="14.5"/>
  <cols>
    <col min="2" max="2" width="16.1796875" customWidth="1"/>
    <col min="3" max="9" width="8.453125" customWidth="1"/>
  </cols>
  <sheetData>
    <row r="2" spans="2:9" ht="15.5">
      <c r="B2" s="50" t="s">
        <v>281</v>
      </c>
      <c r="C2" s="50"/>
      <c r="D2" s="50"/>
      <c r="E2" s="72"/>
      <c r="F2" s="72"/>
      <c r="G2" s="72"/>
      <c r="H2" s="72"/>
      <c r="I2" s="72"/>
    </row>
    <row r="3" spans="2:9">
      <c r="B3" t="s">
        <v>280</v>
      </c>
    </row>
    <row r="5" spans="2:9">
      <c r="B5" s="436" t="s">
        <v>123</v>
      </c>
      <c r="C5" s="436"/>
      <c r="D5" s="436"/>
      <c r="E5" s="436"/>
      <c r="F5" s="436"/>
      <c r="G5" s="436"/>
      <c r="H5" s="436"/>
      <c r="I5" s="436"/>
    </row>
    <row r="6" spans="2:9">
      <c r="B6" s="71"/>
      <c r="C6" s="71" t="s">
        <v>279</v>
      </c>
      <c r="D6" s="71" t="s">
        <v>278</v>
      </c>
      <c r="E6" s="71" t="s">
        <v>277</v>
      </c>
      <c r="F6" s="71" t="s">
        <v>276</v>
      </c>
      <c r="G6" s="71" t="s">
        <v>275</v>
      </c>
      <c r="H6" s="71" t="s">
        <v>274</v>
      </c>
      <c r="I6" s="71" t="s">
        <v>273</v>
      </c>
    </row>
    <row r="7" spans="2:9">
      <c r="B7" t="s">
        <v>272</v>
      </c>
    </row>
    <row r="8" spans="2:9">
      <c r="B8" s="68" t="s">
        <v>269</v>
      </c>
      <c r="C8" s="67">
        <v>226116.80000000002</v>
      </c>
      <c r="D8" s="67">
        <v>264007.10000000003</v>
      </c>
      <c r="E8" s="67">
        <v>288893.43450000015</v>
      </c>
      <c r="F8" s="67">
        <v>300001.74687500007</v>
      </c>
      <c r="G8" s="67">
        <v>337974.95395125018</v>
      </c>
      <c r="H8" s="67">
        <v>313351.55227656278</v>
      </c>
      <c r="I8" s="67">
        <v>341938.67091570655</v>
      </c>
    </row>
    <row r="9" spans="2:9">
      <c r="B9" s="68" t="s">
        <v>268</v>
      </c>
      <c r="C9" s="67">
        <v>66860.999999999985</v>
      </c>
      <c r="D9" s="67">
        <v>88649.819999999992</v>
      </c>
      <c r="E9" s="67">
        <v>104027.84999999998</v>
      </c>
      <c r="F9" s="67">
        <v>117239.38694999997</v>
      </c>
      <c r="G9" s="67">
        <v>137576.83162499996</v>
      </c>
      <c r="H9" s="67">
        <v>147138.42142293745</v>
      </c>
      <c r="I9" s="67">
        <v>165570.2774398968</v>
      </c>
    </row>
    <row r="10" spans="2:9">
      <c r="B10" s="70" t="s">
        <v>271</v>
      </c>
      <c r="C10" s="69">
        <f t="shared" ref="C10:I10" si="0">SUM(C8:C9)</f>
        <v>292977.8</v>
      </c>
      <c r="D10" s="69">
        <f t="shared" si="0"/>
        <v>352656.92000000004</v>
      </c>
      <c r="E10" s="69">
        <f t="shared" si="0"/>
        <v>392921.28450000013</v>
      </c>
      <c r="F10" s="69">
        <f t="shared" si="0"/>
        <v>417241.13382500003</v>
      </c>
      <c r="G10" s="69">
        <f t="shared" si="0"/>
        <v>475551.78557625017</v>
      </c>
      <c r="H10" s="69">
        <f t="shared" si="0"/>
        <v>460489.9736995002</v>
      </c>
      <c r="I10" s="69">
        <f t="shared" si="0"/>
        <v>507508.94835560338</v>
      </c>
    </row>
    <row r="11" spans="2:9">
      <c r="B11" t="s">
        <v>270</v>
      </c>
    </row>
    <row r="12" spans="2:9">
      <c r="B12" s="68" t="s">
        <v>269</v>
      </c>
      <c r="C12" s="67">
        <v>52006.864000000009</v>
      </c>
      <c r="D12" s="67">
        <v>52801.420000000013</v>
      </c>
      <c r="E12" s="67">
        <v>69334.424280000036</v>
      </c>
      <c r="F12" s="67">
        <v>72000.419250000021</v>
      </c>
      <c r="G12" s="67">
        <v>54075.992632200032</v>
      </c>
      <c r="H12" s="67">
        <v>65803.825978078181</v>
      </c>
      <c r="I12" s="67">
        <v>64968.347473984242</v>
      </c>
    </row>
    <row r="13" spans="2:9">
      <c r="B13" s="68" t="s">
        <v>268</v>
      </c>
      <c r="C13" s="67">
        <v>16715.249999999996</v>
      </c>
      <c r="D13" s="67">
        <v>22162.454999999998</v>
      </c>
      <c r="E13" s="67">
        <v>22886.126999999997</v>
      </c>
      <c r="F13" s="67">
        <v>38688.997693499994</v>
      </c>
      <c r="G13" s="67">
        <v>37145.74453874999</v>
      </c>
      <c r="H13" s="67">
        <v>41198.757998422487</v>
      </c>
      <c r="I13" s="67">
        <v>43048.272134373168</v>
      </c>
    </row>
    <row r="14" spans="2:9">
      <c r="B14" s="66" t="s">
        <v>154</v>
      </c>
      <c r="C14" s="65">
        <f t="shared" ref="C14:I14" si="1">SUM(C12:C13)</f>
        <v>68722.114000000001</v>
      </c>
      <c r="D14" s="65">
        <f t="shared" si="1"/>
        <v>74963.875000000015</v>
      </c>
      <c r="E14" s="65">
        <f t="shared" si="1"/>
        <v>92220.551280000029</v>
      </c>
      <c r="F14" s="65">
        <f t="shared" si="1"/>
        <v>110689.41694350002</v>
      </c>
      <c r="G14" s="65">
        <f t="shared" si="1"/>
        <v>91221.737170950015</v>
      </c>
      <c r="H14" s="65">
        <f t="shared" si="1"/>
        <v>107002.58397650067</v>
      </c>
      <c r="I14" s="65">
        <f t="shared" si="1"/>
        <v>108016.6196083574</v>
      </c>
    </row>
    <row r="15" spans="2:9">
      <c r="B15" s="57" t="s">
        <v>267</v>
      </c>
      <c r="C15" s="64">
        <f t="shared" ref="C15:I15" si="2">C10-C14</f>
        <v>224255.68599999999</v>
      </c>
      <c r="D15" s="64">
        <f t="shared" si="2"/>
        <v>277693.04500000004</v>
      </c>
      <c r="E15" s="64">
        <f t="shared" si="2"/>
        <v>300700.73322000011</v>
      </c>
      <c r="F15" s="64">
        <f t="shared" si="2"/>
        <v>306551.71688149997</v>
      </c>
      <c r="G15" s="64">
        <f t="shared" si="2"/>
        <v>384330.04840530013</v>
      </c>
      <c r="H15" s="64">
        <f t="shared" si="2"/>
        <v>353487.38972299953</v>
      </c>
      <c r="I15" s="64">
        <f t="shared" si="2"/>
        <v>399492.32874724595</v>
      </c>
    </row>
    <row r="17" spans="2:9">
      <c r="B17" s="63" t="s">
        <v>266</v>
      </c>
      <c r="C17" s="62">
        <f t="shared" ref="C17:I17" si="3">C15/C10</f>
        <v>0.76543576339231167</v>
      </c>
      <c r="D17" s="62">
        <f t="shared" si="3"/>
        <v>0.78743115263412389</v>
      </c>
      <c r="E17" s="62">
        <f t="shared" si="3"/>
        <v>0.76529509874388091</v>
      </c>
      <c r="F17" s="62">
        <f t="shared" si="3"/>
        <v>0.73471115867994552</v>
      </c>
      <c r="G17" s="62">
        <f t="shared" si="3"/>
        <v>0.80817706937970579</v>
      </c>
      <c r="H17" s="62">
        <f t="shared" si="3"/>
        <v>0.76763319488400661</v>
      </c>
      <c r="I17" s="62">
        <f t="shared" si="3"/>
        <v>0.78716312301813463</v>
      </c>
    </row>
  </sheetData>
  <mergeCells count="1">
    <mergeCell ref="B5:I5"/>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77BB3-866E-42EB-8A7E-2CD85CE27A0F}">
  <dimension ref="B2:J19"/>
  <sheetViews>
    <sheetView showGridLines="0" topLeftCell="A4" zoomScale="150" workbookViewId="0">
      <selection activeCell="F4" sqref="F4"/>
    </sheetView>
  </sheetViews>
  <sheetFormatPr defaultColWidth="8.81640625" defaultRowHeight="14.5"/>
  <cols>
    <col min="1" max="1" width="3.1796875" customWidth="1"/>
    <col min="2" max="2" width="15.453125" bestFit="1" customWidth="1"/>
    <col min="3" max="3" width="10" bestFit="1" customWidth="1"/>
    <col min="4" max="4" width="12.453125" bestFit="1" customWidth="1"/>
    <col min="5" max="5" width="9.81640625" bestFit="1" customWidth="1"/>
    <col min="6" max="6" width="6.54296875" customWidth="1"/>
    <col min="7" max="7" width="15.453125" bestFit="1" customWidth="1"/>
    <col min="8" max="8" width="11.453125" bestFit="1" customWidth="1"/>
    <col min="9" max="9" width="12.453125" bestFit="1" customWidth="1"/>
    <col min="10" max="10" width="9.81640625" bestFit="1" customWidth="1"/>
  </cols>
  <sheetData>
    <row r="2" spans="2:10">
      <c r="B2" s="286" t="s">
        <v>193</v>
      </c>
      <c r="C2" s="286" t="s">
        <v>790</v>
      </c>
      <c r="D2" s="286" t="s">
        <v>151</v>
      </c>
      <c r="E2" s="286" t="s">
        <v>674</v>
      </c>
      <c r="F2" s="302"/>
      <c r="G2" s="286" t="s">
        <v>193</v>
      </c>
      <c r="H2" s="286" t="s">
        <v>790</v>
      </c>
      <c r="I2" s="286" t="s">
        <v>151</v>
      </c>
      <c r="J2" s="286" t="s">
        <v>674</v>
      </c>
    </row>
    <row r="3" spans="2:10">
      <c r="B3" t="s">
        <v>779</v>
      </c>
      <c r="C3" t="s">
        <v>666</v>
      </c>
      <c r="D3" t="s">
        <v>788</v>
      </c>
      <c r="E3" s="279">
        <v>110000</v>
      </c>
      <c r="G3" t="str" cm="1">
        <f t="array" ref="G3:J5">_xlfn._xlws.SORT(_xlfn._xlws.FILTER($B$3:$E$19,(C3:C19="Finance")*(D3:D19="New York City")),4,-1)</f>
        <v>Sebastian Vettel</v>
      </c>
      <c r="H3" t="str">
        <v>Finance</v>
      </c>
      <c r="I3" t="str">
        <v>New York City</v>
      </c>
      <c r="J3" s="279">
        <v>120000</v>
      </c>
    </row>
    <row r="4" spans="2:10">
      <c r="B4" t="s">
        <v>778</v>
      </c>
      <c r="C4" t="s">
        <v>789</v>
      </c>
      <c r="D4" t="s">
        <v>788</v>
      </c>
      <c r="E4" s="279">
        <v>80000</v>
      </c>
      <c r="F4" t="s">
        <v>791</v>
      </c>
      <c r="G4" t="str">
        <v>Max Verstappen</v>
      </c>
      <c r="H4" t="str">
        <v>Finance</v>
      </c>
      <c r="I4" t="str">
        <v>New York City</v>
      </c>
      <c r="J4" s="279">
        <v>110000</v>
      </c>
    </row>
    <row r="5" spans="2:10">
      <c r="B5" t="s">
        <v>777</v>
      </c>
      <c r="C5" t="s">
        <v>76</v>
      </c>
      <c r="D5" t="s">
        <v>435</v>
      </c>
      <c r="E5" s="279">
        <v>90000</v>
      </c>
      <c r="G5" t="str">
        <v>Lewis Hamilton</v>
      </c>
      <c r="H5" t="str">
        <v>Finance</v>
      </c>
      <c r="I5" t="str">
        <v>New York City</v>
      </c>
      <c r="J5" s="279">
        <v>95000</v>
      </c>
    </row>
    <row r="6" spans="2:10">
      <c r="B6" t="s">
        <v>776</v>
      </c>
      <c r="C6" t="s">
        <v>76</v>
      </c>
      <c r="D6" t="s">
        <v>432</v>
      </c>
      <c r="E6" s="279">
        <v>110000</v>
      </c>
    </row>
    <row r="7" spans="2:10">
      <c r="B7" t="s">
        <v>775</v>
      </c>
      <c r="C7" t="s">
        <v>456</v>
      </c>
      <c r="D7" t="s">
        <v>435</v>
      </c>
      <c r="E7" s="279">
        <v>75000</v>
      </c>
    </row>
    <row r="8" spans="2:10">
      <c r="B8" t="s">
        <v>774</v>
      </c>
      <c r="C8" t="s">
        <v>666</v>
      </c>
      <c r="D8" t="s">
        <v>788</v>
      </c>
      <c r="E8" s="279">
        <v>95000</v>
      </c>
    </row>
    <row r="9" spans="2:10">
      <c r="B9" t="s">
        <v>773</v>
      </c>
      <c r="C9" t="s">
        <v>666</v>
      </c>
      <c r="D9" t="s">
        <v>435</v>
      </c>
      <c r="E9" s="279">
        <v>90000</v>
      </c>
    </row>
    <row r="10" spans="2:10">
      <c r="B10" t="s">
        <v>772</v>
      </c>
      <c r="C10" t="s">
        <v>789</v>
      </c>
      <c r="D10" t="s">
        <v>435</v>
      </c>
      <c r="E10" s="279">
        <v>85000</v>
      </c>
    </row>
    <row r="11" spans="2:10">
      <c r="B11" t="s">
        <v>771</v>
      </c>
      <c r="C11" t="s">
        <v>456</v>
      </c>
      <c r="D11" t="s">
        <v>435</v>
      </c>
      <c r="E11" s="279">
        <v>70000</v>
      </c>
    </row>
    <row r="12" spans="2:10">
      <c r="B12" t="s">
        <v>770</v>
      </c>
      <c r="C12" t="s">
        <v>76</v>
      </c>
      <c r="D12" t="s">
        <v>435</v>
      </c>
      <c r="E12" s="279">
        <v>100000</v>
      </c>
    </row>
    <row r="13" spans="2:10">
      <c r="B13" t="s">
        <v>769</v>
      </c>
      <c r="C13" t="s">
        <v>76</v>
      </c>
      <c r="D13" t="s">
        <v>435</v>
      </c>
      <c r="E13" s="279">
        <v>90000</v>
      </c>
    </row>
    <row r="14" spans="2:10">
      <c r="B14" t="s">
        <v>768</v>
      </c>
      <c r="C14" t="s">
        <v>789</v>
      </c>
      <c r="D14" t="s">
        <v>788</v>
      </c>
      <c r="E14" s="279">
        <v>82000</v>
      </c>
    </row>
    <row r="15" spans="2:10">
      <c r="B15" t="s">
        <v>767</v>
      </c>
      <c r="C15" t="s">
        <v>666</v>
      </c>
      <c r="D15" t="s">
        <v>788</v>
      </c>
      <c r="E15" s="279">
        <v>120000</v>
      </c>
    </row>
    <row r="16" spans="2:10">
      <c r="B16" t="s">
        <v>787</v>
      </c>
      <c r="C16" t="s">
        <v>76</v>
      </c>
      <c r="D16" t="s">
        <v>435</v>
      </c>
      <c r="E16" s="279">
        <v>115000</v>
      </c>
    </row>
    <row r="17" spans="2:5">
      <c r="B17" t="s">
        <v>766</v>
      </c>
      <c r="C17" t="s">
        <v>456</v>
      </c>
      <c r="D17" t="s">
        <v>435</v>
      </c>
      <c r="E17" s="279">
        <v>80000</v>
      </c>
    </row>
    <row r="18" spans="2:5">
      <c r="B18" t="s">
        <v>765</v>
      </c>
      <c r="C18" t="s">
        <v>76</v>
      </c>
      <c r="D18" t="s">
        <v>435</v>
      </c>
      <c r="E18" s="279">
        <v>92000</v>
      </c>
    </row>
    <row r="19" spans="2:5">
      <c r="B19" t="s">
        <v>786</v>
      </c>
      <c r="C19" t="s">
        <v>666</v>
      </c>
      <c r="D19" t="s">
        <v>435</v>
      </c>
      <c r="E19" s="279">
        <v>90000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78470-7CA7-4F5F-B47B-7B01264195E1}">
  <dimension ref="B2:E15"/>
  <sheetViews>
    <sheetView showGridLines="0" topLeftCell="A9" zoomScaleNormal="100" workbookViewId="0">
      <selection activeCell="C11" sqref="C11"/>
    </sheetView>
  </sheetViews>
  <sheetFormatPr defaultColWidth="8.81640625" defaultRowHeight="14.5"/>
  <cols>
    <col min="2" max="2" width="24.453125" customWidth="1"/>
    <col min="3" max="3" width="10.453125" bestFit="1" customWidth="1"/>
    <col min="5" max="5" width="10.453125" customWidth="1"/>
  </cols>
  <sheetData>
    <row r="2" spans="2:5" ht="15.5">
      <c r="B2" s="50" t="s">
        <v>265</v>
      </c>
      <c r="C2" s="50"/>
      <c r="D2" s="50"/>
      <c r="E2" s="50"/>
    </row>
    <row r="3" spans="2:5">
      <c r="B3" t="s">
        <v>264</v>
      </c>
    </row>
    <row r="5" spans="2:5">
      <c r="B5" s="436" t="s">
        <v>263</v>
      </c>
      <c r="C5" s="436"/>
    </row>
    <row r="6" spans="2:5">
      <c r="B6" t="s">
        <v>262</v>
      </c>
      <c r="C6">
        <v>6.99</v>
      </c>
    </row>
    <row r="7" spans="2:5">
      <c r="B7" t="s">
        <v>259</v>
      </c>
      <c r="C7" s="61">
        <v>0.08</v>
      </c>
    </row>
    <row r="8" spans="2:5">
      <c r="B8" t="s">
        <v>258</v>
      </c>
      <c r="C8" s="60">
        <v>2.99</v>
      </c>
    </row>
    <row r="10" spans="2:5">
      <c r="B10" s="436" t="s">
        <v>261</v>
      </c>
      <c r="C10" s="436"/>
    </row>
    <row r="11" spans="2:5">
      <c r="B11" t="s">
        <v>260</v>
      </c>
      <c r="C11" s="59">
        <f>ROUNDUP(2906.30086026505,0)</f>
        <v>2907</v>
      </c>
    </row>
    <row r="12" spans="2:5">
      <c r="B12" t="s">
        <v>76</v>
      </c>
      <c r="C12" s="58">
        <f>C11*C6</f>
        <v>20319.93</v>
      </c>
    </row>
    <row r="13" spans="2:5">
      <c r="B13" t="s">
        <v>259</v>
      </c>
      <c r="C13" s="58">
        <f>-C12*C7</f>
        <v>-1625.5944</v>
      </c>
    </row>
    <row r="14" spans="2:5">
      <c r="B14" t="s">
        <v>258</v>
      </c>
      <c r="C14" s="58">
        <f>-C11*C8</f>
        <v>-8691.93</v>
      </c>
    </row>
    <row r="15" spans="2:5">
      <c r="B15" s="57" t="s">
        <v>257</v>
      </c>
      <c r="C15" s="56">
        <f>SUM(C12:C14)</f>
        <v>10002.405599999998</v>
      </c>
    </row>
  </sheetData>
  <mergeCells count="2">
    <mergeCell ref="B10:C10"/>
    <mergeCell ref="B5:C5"/>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C616C-8D1B-49E1-B876-B1927E84B9E1}">
  <dimension ref="B2:AA20"/>
  <sheetViews>
    <sheetView showGridLines="0" zoomScaleNormal="100" workbookViewId="0">
      <selection activeCell="L2" sqref="L2"/>
    </sheetView>
  </sheetViews>
  <sheetFormatPr defaultColWidth="8.81640625" defaultRowHeight="14.5"/>
  <cols>
    <col min="2" max="2" width="11.1796875" customWidth="1"/>
    <col min="3" max="3" width="21.81640625" customWidth="1"/>
    <col min="4" max="4" width="12.81640625" bestFit="1" customWidth="1"/>
    <col min="5" max="5" width="5" customWidth="1"/>
    <col min="6" max="9" width="8.81640625" customWidth="1"/>
    <col min="10" max="10" width="6.1796875" bestFit="1" customWidth="1"/>
    <col min="13" max="13" width="11.36328125" bestFit="1" customWidth="1"/>
    <col min="22" max="22" width="12.81640625" bestFit="1" customWidth="1"/>
    <col min="23" max="23" width="20.36328125" bestFit="1" customWidth="1"/>
    <col min="24" max="24" width="10.6328125" bestFit="1" customWidth="1"/>
    <col min="25" max="25" width="13.81640625" bestFit="1" customWidth="1"/>
    <col min="26" max="26" width="9.81640625" bestFit="1" customWidth="1"/>
    <col min="27" max="27" width="7.1796875" bestFit="1" customWidth="1"/>
  </cols>
  <sheetData>
    <row r="2" spans="2:27" ht="15.5">
      <c r="B2" s="50" t="s">
        <v>256</v>
      </c>
      <c r="C2" s="50"/>
      <c r="D2" s="50"/>
      <c r="V2" s="53"/>
      <c r="W2" s="53"/>
      <c r="X2" s="53"/>
      <c r="Y2" s="53"/>
      <c r="Z2" s="53"/>
      <c r="AA2" s="53"/>
    </row>
    <row r="3" spans="2:27">
      <c r="B3" t="s">
        <v>255</v>
      </c>
      <c r="V3" s="53"/>
      <c r="W3" s="53"/>
      <c r="X3" s="53"/>
      <c r="Y3" s="53"/>
      <c r="Z3" s="53"/>
      <c r="AA3" s="53"/>
    </row>
    <row r="4" spans="2:27">
      <c r="V4" s="53"/>
      <c r="W4" s="53"/>
      <c r="X4" s="53"/>
      <c r="Y4" s="53"/>
      <c r="Z4" s="53"/>
      <c r="AA4" s="53"/>
    </row>
    <row r="5" spans="2:27">
      <c r="B5" s="434" t="s">
        <v>254</v>
      </c>
      <c r="C5" s="434"/>
      <c r="D5" s="55"/>
      <c r="H5" s="54" t="s">
        <v>66</v>
      </c>
      <c r="I5" s="54" t="s">
        <v>65</v>
      </c>
      <c r="J5" s="54" t="s">
        <v>67</v>
      </c>
      <c r="K5" s="54" t="s">
        <v>253</v>
      </c>
      <c r="L5" s="54" t="s">
        <v>252</v>
      </c>
      <c r="M5" s="54" t="s">
        <v>251</v>
      </c>
      <c r="V5" s="53"/>
      <c r="W5" s="53"/>
      <c r="X5" s="53"/>
      <c r="Y5" s="53"/>
      <c r="Z5" s="53"/>
      <c r="AA5" s="53"/>
    </row>
    <row r="6" spans="2:27">
      <c r="B6" t="s">
        <v>250</v>
      </c>
      <c r="H6" s="52" t="s">
        <v>249</v>
      </c>
      <c r="I6" s="52" t="s">
        <v>248</v>
      </c>
      <c r="J6" s="52">
        <v>1001</v>
      </c>
      <c r="K6" s="52" t="s">
        <v>245</v>
      </c>
      <c r="L6" s="52" t="s">
        <v>244</v>
      </c>
      <c r="M6" s="51">
        <v>301</v>
      </c>
      <c r="V6" s="53"/>
      <c r="W6" s="53"/>
      <c r="X6" s="53"/>
      <c r="Y6" s="53"/>
      <c r="Z6" s="53"/>
      <c r="AA6" s="53"/>
    </row>
    <row r="7" spans="2:27">
      <c r="B7" t="s">
        <v>247</v>
      </c>
      <c r="H7" s="52" t="s">
        <v>246</v>
      </c>
      <c r="I7" s="52" t="s">
        <v>209</v>
      </c>
      <c r="J7" s="52">
        <v>1002</v>
      </c>
      <c r="K7" s="52" t="s">
        <v>245</v>
      </c>
      <c r="L7" s="52" t="s">
        <v>244</v>
      </c>
      <c r="M7" s="51">
        <v>238</v>
      </c>
    </row>
    <row r="8" spans="2:27">
      <c r="B8" t="s">
        <v>243</v>
      </c>
      <c r="H8" s="52" t="s">
        <v>242</v>
      </c>
      <c r="I8" s="52" t="s">
        <v>241</v>
      </c>
      <c r="J8" s="52">
        <v>1003</v>
      </c>
      <c r="K8" s="52" t="s">
        <v>188</v>
      </c>
      <c r="L8" s="52" t="s">
        <v>234</v>
      </c>
      <c r="M8" s="51">
        <v>294</v>
      </c>
    </row>
    <row r="9" spans="2:27">
      <c r="B9" t="s">
        <v>240</v>
      </c>
      <c r="H9" s="52" t="s">
        <v>239</v>
      </c>
      <c r="I9" s="52" t="s">
        <v>238</v>
      </c>
      <c r="J9" s="52">
        <v>1004</v>
      </c>
      <c r="K9" s="52" t="s">
        <v>188</v>
      </c>
      <c r="L9" s="52" t="s">
        <v>234</v>
      </c>
      <c r="M9" s="51">
        <v>238</v>
      </c>
    </row>
    <row r="10" spans="2:27">
      <c r="B10" t="s">
        <v>237</v>
      </c>
      <c r="H10" s="52" t="s">
        <v>236</v>
      </c>
      <c r="I10" s="52" t="s">
        <v>235</v>
      </c>
      <c r="J10" s="52">
        <v>1005</v>
      </c>
      <c r="K10" s="52" t="s">
        <v>188</v>
      </c>
      <c r="L10" s="52" t="s">
        <v>234</v>
      </c>
      <c r="M10" s="51">
        <v>294</v>
      </c>
    </row>
    <row r="11" spans="2:27">
      <c r="B11" t="s">
        <v>233</v>
      </c>
      <c r="H11" s="52" t="s">
        <v>232</v>
      </c>
      <c r="I11" s="52" t="s">
        <v>231</v>
      </c>
      <c r="J11" s="52">
        <v>1006</v>
      </c>
      <c r="K11" s="52" t="s">
        <v>181</v>
      </c>
      <c r="L11" s="52" t="s">
        <v>223</v>
      </c>
      <c r="M11" s="51">
        <v>308</v>
      </c>
    </row>
    <row r="12" spans="2:27">
      <c r="B12" t="s">
        <v>230</v>
      </c>
      <c r="H12" s="52" t="s">
        <v>229</v>
      </c>
      <c r="I12" s="52" t="s">
        <v>228</v>
      </c>
      <c r="J12" s="52">
        <v>1007</v>
      </c>
      <c r="K12" s="52" t="s">
        <v>181</v>
      </c>
      <c r="L12" s="52" t="s">
        <v>223</v>
      </c>
      <c r="M12" s="51" t="s">
        <v>227</v>
      </c>
    </row>
    <row r="13" spans="2:27">
      <c r="B13" t="s">
        <v>226</v>
      </c>
      <c r="H13" s="52" t="s">
        <v>225</v>
      </c>
      <c r="I13" s="52" t="s">
        <v>224</v>
      </c>
      <c r="J13" s="52">
        <v>1008</v>
      </c>
      <c r="K13" s="52" t="s">
        <v>181</v>
      </c>
      <c r="L13" s="52" t="s">
        <v>223</v>
      </c>
      <c r="M13" s="51" t="s">
        <v>222</v>
      </c>
    </row>
    <row r="14" spans="2:27">
      <c r="B14" t="s">
        <v>221</v>
      </c>
      <c r="H14" s="52" t="s">
        <v>44</v>
      </c>
      <c r="I14" s="52" t="s">
        <v>220</v>
      </c>
      <c r="J14" s="52">
        <v>1009</v>
      </c>
      <c r="K14" s="52" t="s">
        <v>212</v>
      </c>
      <c r="L14" s="52" t="s">
        <v>211</v>
      </c>
      <c r="M14" s="51" t="s">
        <v>219</v>
      </c>
    </row>
    <row r="15" spans="2:27">
      <c r="B15" t="s">
        <v>218</v>
      </c>
      <c r="H15" s="52" t="s">
        <v>217</v>
      </c>
      <c r="I15" s="52" t="s">
        <v>216</v>
      </c>
      <c r="J15" s="52">
        <v>1010</v>
      </c>
      <c r="K15" s="52" t="s">
        <v>212</v>
      </c>
      <c r="L15" s="52" t="s">
        <v>211</v>
      </c>
      <c r="M15" s="51">
        <v>273</v>
      </c>
    </row>
    <row r="16" spans="2:27">
      <c r="B16" t="s">
        <v>215</v>
      </c>
      <c r="H16" s="52" t="s">
        <v>214</v>
      </c>
      <c r="I16" s="52" t="s">
        <v>213</v>
      </c>
      <c r="J16" s="52">
        <v>1011</v>
      </c>
      <c r="K16" s="52" t="s">
        <v>212</v>
      </c>
      <c r="L16" s="52" t="s">
        <v>211</v>
      </c>
      <c r="M16" s="51">
        <v>252</v>
      </c>
    </row>
    <row r="17" spans="2:13">
      <c r="B17" t="s">
        <v>210</v>
      </c>
      <c r="H17" s="52" t="s">
        <v>209</v>
      </c>
      <c r="I17" s="52" t="s">
        <v>208</v>
      </c>
      <c r="J17" s="52">
        <v>1012</v>
      </c>
      <c r="K17" s="52" t="s">
        <v>197</v>
      </c>
      <c r="L17" s="52" t="s">
        <v>196</v>
      </c>
      <c r="M17" s="51" t="s">
        <v>207</v>
      </c>
    </row>
    <row r="18" spans="2:13">
      <c r="B18" t="s">
        <v>206</v>
      </c>
      <c r="H18" s="52" t="s">
        <v>205</v>
      </c>
      <c r="I18" s="52" t="s">
        <v>204</v>
      </c>
      <c r="J18" s="52">
        <v>1013</v>
      </c>
      <c r="K18" s="52" t="s">
        <v>197</v>
      </c>
      <c r="L18" s="52" t="s">
        <v>196</v>
      </c>
      <c r="M18" s="51">
        <v>339</v>
      </c>
    </row>
    <row r="19" spans="2:13">
      <c r="B19" t="s">
        <v>203</v>
      </c>
      <c r="H19" s="52" t="s">
        <v>202</v>
      </c>
      <c r="I19" s="52" t="s">
        <v>201</v>
      </c>
      <c r="J19" s="52">
        <v>1014</v>
      </c>
      <c r="K19" s="52" t="s">
        <v>197</v>
      </c>
      <c r="L19" s="52" t="s">
        <v>196</v>
      </c>
      <c r="M19" s="51">
        <v>308</v>
      </c>
    </row>
    <row r="20" spans="2:13">
      <c r="B20" t="s">
        <v>200</v>
      </c>
      <c r="H20" s="52" t="s">
        <v>199</v>
      </c>
      <c r="I20" s="52" t="s">
        <v>198</v>
      </c>
      <c r="J20" s="52">
        <v>1015</v>
      </c>
      <c r="K20" s="52" t="s">
        <v>197</v>
      </c>
      <c r="L20" s="52" t="s">
        <v>196</v>
      </c>
      <c r="M20" s="51">
        <v>252</v>
      </c>
    </row>
  </sheetData>
  <mergeCells count="1">
    <mergeCell ref="B5:C5"/>
  </mergeCells>
  <conditionalFormatting sqref="M6:M20">
    <cfRule type="cellIs" dxfId="0" priority="1" operator="lessThan">
      <formula>300</formula>
    </cfRule>
  </conditionalFormatting>
  <dataValidations count="7">
    <dataValidation allowBlank="1" showInputMessage="1" showErrorMessage="1" promptTitle="Alt Text" prompt="Alt Text helps people with visual impairments understand your diagram. Describe each process step." sqref="AA2" xr:uid="{F6AE065E-8EDA-3E47-87BC-0EBEB2C63F28}"/>
    <dataValidation allowBlank="1" showInputMessage="1" showErrorMessage="1" promptTitle="Shape Type" prompt="Enter the type of shape you'd like each process step to use." sqref="Z2" xr:uid="{9F390B56-78AA-2A49-92AB-67A89081CFE6}"/>
    <dataValidation allowBlank="1" showInputMessage="1" showErrorMessage="1" promptTitle="Connector Label" prompt="If desired, label the connector to the next step. Use commas to separate multiple next steps, such as &quot;Yes,No&quot;." sqref="Y2" xr:uid="{2546E5FC-FA66-4C43-886A-C020CB2D5793}"/>
    <dataValidation allowBlank="1" showInputMessage="1" showErrorMessage="1" promptTitle="Next Step ID" prompt="Enter the process step ID for the next step. Use commas to separate multiple next steps, such as &quot;P600,P700&quot;." sqref="X2" xr:uid="{753EDD2A-56F5-5C4D-8C08-DDC27A226569}"/>
    <dataValidation allowBlank="1" showInputMessage="1" showErrorMessage="1" promptTitle="Process Step Description" prompt="Enter text for the process step that will appear in the shape." sqref="W2" xr:uid="{0989C5F7-0C6B-7946-B392-F24A86BAE745}"/>
    <dataValidation allowBlank="1" showInputMessage="1" showErrorMessage="1" promptTitle="Process Step ID" prompt="Enter a unique process step ID for each shape in the diagram." sqref="V2" xr:uid="{202D82AE-B06F-4148-911D-83326FC05E12}"/>
    <dataValidation type="list" allowBlank="1" showInputMessage="1" sqref="Z3:Z6" xr:uid="{FBF86E9C-B176-924C-BC97-B5803A180CA5}">
      <formula1>"Process, Decision, Subprocess, Start, End, Document, Data, Database, External Data, On-page reference, Off-page reference, Custom 1, Custom 2, Custom 3, Custom 4"</formula1>
    </dataValidation>
  </dataValidations>
  <pageMargins left="0.7" right="0.7" top="0.75" bottom="0.75" header="0.3" footer="0.3"/>
  <drawing r:id="rId1"/>
  <extLst>
    <ext xmlns:x15="http://schemas.microsoft.com/office/spreadsheetml/2010/11/main" uri="{F7C9EE02-42E1-4005-9D12-6889AFFD525C}">
      <x15:webExtensions xmlns:xm="http://schemas.microsoft.com/office/excel/2006/main">
        <x15:webExtension appRef="{0A5FC821-61A9-451B-837B-351EB9FC198E}">
          <xm:f>Cleanup!$L$6:$M$20</xm:f>
        </x15:webExtension>
      </x15:webExtensions>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B2524-8A6B-4101-9ABA-5D49247FE0F9}">
  <dimension ref="B2:G22"/>
  <sheetViews>
    <sheetView showGridLines="0" zoomScale="137" workbookViewId="0">
      <selection activeCell="G22" sqref="G22"/>
    </sheetView>
  </sheetViews>
  <sheetFormatPr defaultColWidth="11.6328125" defaultRowHeight="15.5"/>
  <cols>
    <col min="1" max="1" width="6.54296875" style="1" customWidth="1"/>
    <col min="2" max="2" width="5.6328125" style="1" bestFit="1" customWidth="1"/>
    <col min="3" max="4" width="11.6328125" style="1"/>
    <col min="5" max="5" width="8.36328125" style="1" bestFit="1" customWidth="1"/>
    <col min="6" max="6" width="5.26953125" style="1" customWidth="1"/>
    <col min="7" max="7" width="9.08984375" style="1" customWidth="1"/>
    <col min="8" max="16384" width="11.6328125" style="1"/>
  </cols>
  <sheetData>
    <row r="2" spans="2:7">
      <c r="B2" s="4" t="s">
        <v>67</v>
      </c>
      <c r="C2" s="4" t="s">
        <v>116</v>
      </c>
      <c r="D2" s="4" t="s">
        <v>151</v>
      </c>
      <c r="E2" s="4" t="s">
        <v>76</v>
      </c>
      <c r="G2" s="4" t="s">
        <v>150</v>
      </c>
    </row>
    <row r="3" spans="2:7">
      <c r="B3" s="3">
        <v>1295</v>
      </c>
      <c r="C3" s="1" t="s">
        <v>41</v>
      </c>
      <c r="D3" s="3" t="s">
        <v>149</v>
      </c>
      <c r="E3" s="11">
        <v>5436.33</v>
      </c>
      <c r="G3" s="2" t="str">
        <f>LEFT(Table6[[#This Row],[Location]],2)</f>
        <v>AL</v>
      </c>
    </row>
    <row r="4" spans="2:7">
      <c r="B4" s="3">
        <f t="shared" ref="B4:B19" si="0">B3+3</f>
        <v>1298</v>
      </c>
      <c r="C4" s="1" t="s">
        <v>39</v>
      </c>
      <c r="D4" s="3" t="s">
        <v>148</v>
      </c>
      <c r="E4" s="11">
        <v>6197.4161999999997</v>
      </c>
      <c r="G4" s="2" t="str">
        <f>LEFT(Table6[[#This Row],[Location]],2)</f>
        <v>AK</v>
      </c>
    </row>
    <row r="5" spans="2:7">
      <c r="B5" s="3">
        <f t="shared" si="0"/>
        <v>1301</v>
      </c>
      <c r="C5" s="1" t="s">
        <v>37</v>
      </c>
      <c r="D5" s="3" t="s">
        <v>147</v>
      </c>
      <c r="E5" s="11">
        <v>7065.0544679999994</v>
      </c>
      <c r="G5" s="2" t="str">
        <f>LEFT(Table6[[#This Row],[Location]],2)</f>
        <v>CA</v>
      </c>
    </row>
    <row r="6" spans="2:7">
      <c r="B6" s="3">
        <f t="shared" si="0"/>
        <v>1304</v>
      </c>
      <c r="C6" s="1" t="s">
        <v>35</v>
      </c>
      <c r="D6" s="3" t="s">
        <v>146</v>
      </c>
      <c r="E6" s="11">
        <v>8054.1620935199981</v>
      </c>
      <c r="G6" s="2" t="str">
        <f>LEFT(Table6[[#This Row],[Location]],2)</f>
        <v>CT</v>
      </c>
    </row>
    <row r="7" spans="2:7">
      <c r="B7" s="3">
        <f t="shared" si="0"/>
        <v>1307</v>
      </c>
      <c r="C7" s="1" t="s">
        <v>30</v>
      </c>
      <c r="D7" s="3" t="s">
        <v>145</v>
      </c>
      <c r="E7" s="11">
        <v>9181.7447866127968</v>
      </c>
      <c r="G7" s="2" t="str">
        <f>LEFT(Table6[[#This Row],[Location]],2)</f>
        <v>DE</v>
      </c>
    </row>
    <row r="8" spans="2:7">
      <c r="B8" s="3">
        <f t="shared" si="0"/>
        <v>1310</v>
      </c>
      <c r="C8" s="1" t="s">
        <v>28</v>
      </c>
      <c r="D8" s="3" t="s">
        <v>144</v>
      </c>
      <c r="E8" s="11">
        <v>10467.189056738587</v>
      </c>
      <c r="G8" s="2" t="str">
        <f>LEFT(Table6[[#This Row],[Location]],2)</f>
        <v>FL</v>
      </c>
    </row>
    <row r="9" spans="2:7">
      <c r="B9" s="3">
        <f t="shared" si="0"/>
        <v>1313</v>
      </c>
      <c r="C9" s="1" t="s">
        <v>26</v>
      </c>
      <c r="D9" s="3" t="s">
        <v>143</v>
      </c>
      <c r="E9" s="11">
        <v>2446.3485000000001</v>
      </c>
      <c r="G9" s="2" t="str">
        <f>LEFT(Table6[[#This Row],[Location]],2)</f>
        <v>GA</v>
      </c>
    </row>
    <row r="10" spans="2:7">
      <c r="B10" s="3">
        <f t="shared" si="0"/>
        <v>1316</v>
      </c>
      <c r="C10" s="1" t="s">
        <v>23</v>
      </c>
      <c r="D10" s="3" t="s">
        <v>142</v>
      </c>
      <c r="E10" s="11">
        <v>2690.9833500000004</v>
      </c>
      <c r="G10" s="2" t="str">
        <f>LEFT(Table6[[#This Row],[Location]],2)</f>
        <v>HI</v>
      </c>
    </row>
    <row r="11" spans="2:7">
      <c r="B11" s="3">
        <f t="shared" si="0"/>
        <v>1319</v>
      </c>
      <c r="C11" s="1" t="s">
        <v>20</v>
      </c>
      <c r="D11" s="3" t="s">
        <v>141</v>
      </c>
      <c r="E11" s="11">
        <v>2960.0816850000001</v>
      </c>
      <c r="G11" s="2" t="str">
        <f>LEFT(Table6[[#This Row],[Location]],2)</f>
        <v>ID</v>
      </c>
    </row>
    <row r="12" spans="2:7">
      <c r="B12" s="3">
        <f t="shared" si="0"/>
        <v>1322</v>
      </c>
      <c r="C12" s="1" t="s">
        <v>15</v>
      </c>
      <c r="D12" s="3" t="s">
        <v>140</v>
      </c>
      <c r="E12" s="11">
        <v>3256.0898535000001</v>
      </c>
      <c r="G12" s="2" t="str">
        <f>LEFT(Table6[[#This Row],[Location]],2)</f>
        <v>IL</v>
      </c>
    </row>
    <row r="13" spans="2:7">
      <c r="B13" s="3">
        <f t="shared" si="0"/>
        <v>1325</v>
      </c>
      <c r="C13" s="1" t="s">
        <v>12</v>
      </c>
      <c r="D13" s="3" t="s">
        <v>139</v>
      </c>
      <c r="E13" s="11">
        <v>3581.6988388500008</v>
      </c>
      <c r="G13" s="2" t="str">
        <f>LEFT(Table6[[#This Row],[Location]],2)</f>
        <v>IN</v>
      </c>
    </row>
    <row r="14" spans="2:7">
      <c r="B14" s="3">
        <f t="shared" si="0"/>
        <v>1328</v>
      </c>
      <c r="C14" s="1" t="s">
        <v>7</v>
      </c>
      <c r="D14" s="3" t="s">
        <v>138</v>
      </c>
      <c r="E14" s="11">
        <v>3939.8687227350015</v>
      </c>
      <c r="G14" s="2" t="str">
        <f>LEFT(Table6[[#This Row],[Location]],2)</f>
        <v>KS</v>
      </c>
    </row>
    <row r="15" spans="2:7">
      <c r="B15" s="3">
        <f t="shared" si="0"/>
        <v>1331</v>
      </c>
      <c r="C15" s="1" t="s">
        <v>3</v>
      </c>
      <c r="D15" s="3" t="s">
        <v>137</v>
      </c>
      <c r="E15" s="11">
        <v>4333.855595008502</v>
      </c>
      <c r="G15" s="2" t="str">
        <f>LEFT(Table6[[#This Row],[Location]],2)</f>
        <v>ME</v>
      </c>
    </row>
    <row r="16" spans="2:7">
      <c r="B16" s="3">
        <f t="shared" si="0"/>
        <v>1334</v>
      </c>
      <c r="C16" s="1" t="s">
        <v>53</v>
      </c>
      <c r="D16" s="3" t="s">
        <v>136</v>
      </c>
      <c r="E16" s="11">
        <v>4767.2411545093528</v>
      </c>
      <c r="G16" s="2" t="str">
        <f>LEFT(Table6[[#This Row],[Location]],2)</f>
        <v>MI</v>
      </c>
    </row>
    <row r="17" spans="2:7">
      <c r="B17" s="3">
        <f t="shared" si="0"/>
        <v>1337</v>
      </c>
      <c r="C17" s="1" t="s">
        <v>49</v>
      </c>
      <c r="D17" s="3" t="s">
        <v>135</v>
      </c>
      <c r="E17" s="11">
        <v>5243.9652699602884</v>
      </c>
      <c r="G17" s="2" t="str">
        <f>LEFT(Table6[[#This Row],[Location]],2)</f>
        <v>MY</v>
      </c>
    </row>
    <row r="18" spans="2:7">
      <c r="B18" s="3">
        <f t="shared" si="0"/>
        <v>1340</v>
      </c>
      <c r="C18" s="1" t="s">
        <v>47</v>
      </c>
      <c r="D18" s="3" t="s">
        <v>134</v>
      </c>
      <c r="E18" s="11">
        <v>5768.3617969563174</v>
      </c>
      <c r="G18" s="2" t="str">
        <f>LEFT(Table6[[#This Row],[Location]],2)</f>
        <v>NJ</v>
      </c>
    </row>
    <row r="19" spans="2:7">
      <c r="B19" s="3">
        <f t="shared" si="0"/>
        <v>1343</v>
      </c>
      <c r="C19" s="1" t="s">
        <v>45</v>
      </c>
      <c r="D19" s="3" t="s">
        <v>133</v>
      </c>
      <c r="E19" s="11">
        <v>5191.525617260686</v>
      </c>
      <c r="G19" s="2" t="str">
        <f>LEFT(Table6[[#This Row],[Location]],2)</f>
        <v>NY</v>
      </c>
    </row>
    <row r="22" spans="2:7">
      <c r="B22" s="1" t="s">
        <v>905</v>
      </c>
      <c r="G22" s="1" t="str">
        <f>_xlfn.TEXTAFTER(B22," ",-2)</f>
        <v>piotr szwajkos</v>
      </c>
    </row>
  </sheetData>
  <pageMargins left="0.7" right="0.7" top="0.75" bottom="0.75" header="0.3" footer="0.3"/>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ADAE6-2C80-40C6-9E20-217BDF79408E}">
  <dimension ref="B2:F17"/>
  <sheetViews>
    <sheetView showGridLines="0" zoomScale="164" workbookViewId="0">
      <selection activeCell="E5" sqref="E5"/>
    </sheetView>
  </sheetViews>
  <sheetFormatPr defaultColWidth="11.6328125" defaultRowHeight="15.5"/>
  <cols>
    <col min="1" max="1" width="5.453125" style="1" customWidth="1"/>
    <col min="2" max="2" width="16.1796875" style="1" bestFit="1" customWidth="1"/>
    <col min="3" max="5" width="11.6328125" style="1"/>
    <col min="6" max="6" width="14.1796875" style="1" bestFit="1" customWidth="1"/>
    <col min="7" max="16384" width="11.6328125" style="1"/>
  </cols>
  <sheetData>
    <row r="2" spans="2:6">
      <c r="B2" s="5" t="s">
        <v>78</v>
      </c>
      <c r="C2" s="10">
        <v>44352</v>
      </c>
    </row>
    <row r="4" spans="2:6">
      <c r="B4" s="9" t="s">
        <v>77</v>
      </c>
      <c r="C4" s="8" t="s">
        <v>76</v>
      </c>
      <c r="E4" s="8" t="s">
        <v>62</v>
      </c>
      <c r="F4" s="8" t="s">
        <v>75</v>
      </c>
    </row>
    <row r="5" spans="2:6">
      <c r="B5" s="1" t="s">
        <v>0</v>
      </c>
      <c r="C5" s="7">
        <v>538159.5896040001</v>
      </c>
      <c r="E5" s="1" t="str" cm="1">
        <f t="array" ref="E5:F14">_xlfn._xlws.FILTER(Table4[],Table4[Sales]&gt;C2)</f>
        <v>Spain</v>
      </c>
      <c r="F5" s="6">
        <v>538159.5896040001</v>
      </c>
    </row>
    <row r="6" spans="2:6">
      <c r="B6" s="1" t="s">
        <v>74</v>
      </c>
      <c r="C6" s="7">
        <v>3865546.8809360005</v>
      </c>
      <c r="E6" s="1" t="str">
        <v>Italy</v>
      </c>
      <c r="F6" s="6">
        <v>3865546.8809360005</v>
      </c>
    </row>
    <row r="7" spans="2:6">
      <c r="B7" s="1" t="s">
        <v>17</v>
      </c>
      <c r="C7" s="7">
        <v>574856.90189199999</v>
      </c>
      <c r="E7" s="1" t="str">
        <v>France</v>
      </c>
      <c r="F7" s="6">
        <v>574856.90189199999</v>
      </c>
    </row>
    <row r="8" spans="2:6">
      <c r="B8" s="1" t="s">
        <v>73</v>
      </c>
      <c r="C8" s="7">
        <v>379661.76372799999</v>
      </c>
      <c r="E8" s="1" t="str">
        <v>Portugal</v>
      </c>
      <c r="F8" s="6">
        <v>379661.76372799999</v>
      </c>
    </row>
    <row r="9" spans="2:6">
      <c r="B9" s="1" t="s">
        <v>72</v>
      </c>
      <c r="C9" s="7">
        <v>109349.63977600001</v>
      </c>
      <c r="E9" s="1" t="str">
        <v>Belgium</v>
      </c>
      <c r="F9" s="6">
        <v>109349.63977600001</v>
      </c>
    </row>
    <row r="10" spans="2:6">
      <c r="B10" s="1" t="s">
        <v>71</v>
      </c>
      <c r="C10" s="7">
        <v>44352.251007999999</v>
      </c>
      <c r="E10" s="1" t="str">
        <v>Holland</v>
      </c>
      <c r="F10" s="6">
        <v>44352.251007999999</v>
      </c>
    </row>
    <row r="11" spans="2:6">
      <c r="B11" s="1" t="s">
        <v>70</v>
      </c>
      <c r="C11" s="7">
        <v>57209.068540000007</v>
      </c>
      <c r="E11" s="1" t="str">
        <v>Switzerland</v>
      </c>
      <c r="F11" s="6">
        <v>57209.068540000007</v>
      </c>
    </row>
    <row r="12" spans="2:6">
      <c r="B12" s="1" t="s">
        <v>69</v>
      </c>
      <c r="C12" s="7">
        <v>64144.906956000006</v>
      </c>
      <c r="E12" s="1" t="str">
        <v>Austria</v>
      </c>
      <c r="F12" s="6">
        <v>64144.906956000006</v>
      </c>
    </row>
    <row r="13" spans="2:6">
      <c r="B13" s="1" t="s">
        <v>32</v>
      </c>
      <c r="C13" s="7">
        <v>454106.04278000002</v>
      </c>
      <c r="E13" s="1" t="str">
        <v>Germany</v>
      </c>
      <c r="F13" s="6">
        <v>454106.04278000002</v>
      </c>
    </row>
    <row r="14" spans="2:6">
      <c r="B14" s="1" t="s">
        <v>68</v>
      </c>
      <c r="C14" s="7">
        <v>579090.31497200008</v>
      </c>
      <c r="E14" s="1" t="str">
        <v>Slovenia</v>
      </c>
      <c r="F14" s="6">
        <v>579090.31497200008</v>
      </c>
    </row>
    <row r="15" spans="2:6">
      <c r="F15" s="6"/>
    </row>
    <row r="17" spans="2:3" ht="9" customHeight="1">
      <c r="B17" s="5"/>
      <c r="C17" s="5"/>
    </row>
  </sheetData>
  <pageMargins left="0.7" right="0.7" top="0.75" bottom="0.75" header="0.3" footer="0.3"/>
  <tableParts count="1">
    <tablePart r:id="rId1"/>
  </tableParts>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C7E1-7B4A-45B7-80CA-1BA4E62BC2B7}">
  <dimension ref="B2:I64"/>
  <sheetViews>
    <sheetView showGridLines="0" zoomScale="120" zoomScaleNormal="120" workbookViewId="0">
      <selection activeCell="I6" sqref="I6:I64"/>
    </sheetView>
  </sheetViews>
  <sheetFormatPr defaultColWidth="11.54296875" defaultRowHeight="15.5"/>
  <cols>
    <col min="1" max="1" width="11.54296875" style="1"/>
    <col min="2" max="2" width="20.81640625" style="1" bestFit="1" customWidth="1"/>
    <col min="3" max="3" width="9.81640625" style="1" bestFit="1" customWidth="1"/>
    <col min="4" max="4" width="6.54296875" style="1" customWidth="1"/>
    <col min="5" max="5" width="10.90625" style="1" bestFit="1" customWidth="1"/>
    <col min="6" max="6" width="9.26953125" style="1" bestFit="1" customWidth="1"/>
    <col min="7" max="7" width="8.1796875" style="1" bestFit="1" customWidth="1"/>
    <col min="8" max="8" width="8.81640625" style="1" bestFit="1" customWidth="1"/>
    <col min="9" max="9" width="18.6328125" style="1" bestFit="1" customWidth="1"/>
    <col min="10" max="16384" width="11.54296875" style="1"/>
  </cols>
  <sheetData>
    <row r="2" spans="2:9">
      <c r="B2" s="424" t="s">
        <v>1112</v>
      </c>
      <c r="C2" s="424"/>
      <c r="D2" s="424"/>
      <c r="E2" s="424"/>
      <c r="F2" s="424"/>
      <c r="G2" s="424"/>
      <c r="H2" s="424"/>
      <c r="I2" s="424"/>
    </row>
    <row r="3" spans="2:9">
      <c r="B3" s="409"/>
      <c r="C3" s="409"/>
      <c r="D3" s="409"/>
      <c r="E3" s="409"/>
      <c r="F3" s="409"/>
    </row>
    <row r="4" spans="2:9">
      <c r="B4" s="437" t="s">
        <v>1111</v>
      </c>
      <c r="C4" s="437"/>
      <c r="E4" s="402" t="s">
        <v>1110</v>
      </c>
      <c r="F4" s="402" t="s">
        <v>1109</v>
      </c>
      <c r="G4" s="402" t="s">
        <v>1108</v>
      </c>
      <c r="H4" s="402" t="s">
        <v>1107</v>
      </c>
      <c r="I4" s="402" t="s">
        <v>1106</v>
      </c>
    </row>
    <row r="5" spans="2:9">
      <c r="B5" s="404" t="s">
        <v>1105</v>
      </c>
      <c r="C5" s="408">
        <v>500000</v>
      </c>
      <c r="E5" s="3" cm="1">
        <f t="array" ref="E5:E64">_xlfn.SEQUENCE(60)</f>
        <v>1</v>
      </c>
      <c r="F5" s="43">
        <f t="shared" ref="F5:F36" si="0">-$C$12</f>
        <v>9900.5992701747673</v>
      </c>
      <c r="G5" s="397">
        <f>C8*C5</f>
        <v>2916.666666666667</v>
      </c>
      <c r="H5" s="397">
        <f t="shared" ref="H5:H36" si="1">F5-G5</f>
        <v>6983.9326035081003</v>
      </c>
      <c r="I5" s="397">
        <f>C5-H5</f>
        <v>493016.06739649188</v>
      </c>
    </row>
    <row r="6" spans="2:9">
      <c r="B6" s="404" t="s">
        <v>1104</v>
      </c>
      <c r="C6" s="407">
        <v>7.0000000000000007E-2</v>
      </c>
      <c r="E6" s="3">
        <v>2</v>
      </c>
      <c r="F6" s="43">
        <f t="shared" si="0"/>
        <v>9900.5992701747673</v>
      </c>
      <c r="G6" s="397">
        <f t="shared" ref="G6:G37" si="2">$C$8*I5</f>
        <v>2875.9270598128696</v>
      </c>
      <c r="H6" s="397">
        <f t="shared" si="1"/>
        <v>7024.6722103618977</v>
      </c>
      <c r="I6" s="397">
        <f t="shared" ref="I6:I37" si="3">I5-H6</f>
        <v>485991.39518612996</v>
      </c>
    </row>
    <row r="7" spans="2:9">
      <c r="B7" s="404" t="s">
        <v>859</v>
      </c>
      <c r="C7" s="406">
        <v>5</v>
      </c>
      <c r="E7" s="3">
        <v>3</v>
      </c>
      <c r="F7" s="43">
        <f t="shared" si="0"/>
        <v>9900.5992701747673</v>
      </c>
      <c r="G7" s="397">
        <f t="shared" si="2"/>
        <v>2834.949805252425</v>
      </c>
      <c r="H7" s="397">
        <f t="shared" si="1"/>
        <v>7065.6494649223423</v>
      </c>
      <c r="I7" s="397">
        <f t="shared" si="3"/>
        <v>478925.74572120764</v>
      </c>
    </row>
    <row r="8" spans="2:9">
      <c r="B8" s="404" t="s">
        <v>1103</v>
      </c>
      <c r="C8" s="405">
        <f>C6/12</f>
        <v>5.8333333333333336E-3</v>
      </c>
      <c r="E8" s="3">
        <v>4</v>
      </c>
      <c r="F8" s="43">
        <f t="shared" si="0"/>
        <v>9900.5992701747673</v>
      </c>
      <c r="G8" s="397">
        <f t="shared" si="2"/>
        <v>2793.7335167070446</v>
      </c>
      <c r="H8" s="397">
        <f t="shared" si="1"/>
        <v>7106.8657534677222</v>
      </c>
      <c r="I8" s="397">
        <f t="shared" si="3"/>
        <v>471818.87996773992</v>
      </c>
    </row>
    <row r="9" spans="2:9">
      <c r="B9" s="404" t="s">
        <v>1102</v>
      </c>
      <c r="C9" s="403">
        <f>5*12</f>
        <v>60</v>
      </c>
      <c r="E9" s="3">
        <v>5</v>
      </c>
      <c r="F9" s="43">
        <f t="shared" si="0"/>
        <v>9900.5992701747673</v>
      </c>
      <c r="G9" s="397">
        <f t="shared" si="2"/>
        <v>2752.2767998118165</v>
      </c>
      <c r="H9" s="397">
        <f t="shared" si="1"/>
        <v>7148.3224703629512</v>
      </c>
      <c r="I9" s="397">
        <f t="shared" si="3"/>
        <v>464670.55749737698</v>
      </c>
    </row>
    <row r="10" spans="2:9">
      <c r="E10" s="3">
        <v>6</v>
      </c>
      <c r="F10" s="43">
        <f t="shared" si="0"/>
        <v>9900.5992701747673</v>
      </c>
      <c r="G10" s="397">
        <f t="shared" si="2"/>
        <v>2710.5782520680327</v>
      </c>
      <c r="H10" s="397">
        <f t="shared" si="1"/>
        <v>7190.0210181067341</v>
      </c>
      <c r="I10" s="397">
        <f t="shared" si="3"/>
        <v>457480.53647927026</v>
      </c>
    </row>
    <row r="11" spans="2:9">
      <c r="B11" s="437" t="s">
        <v>1101</v>
      </c>
      <c r="C11" s="437"/>
      <c r="E11" s="3">
        <v>7</v>
      </c>
      <c r="F11" s="43">
        <f t="shared" si="0"/>
        <v>9900.5992701747673</v>
      </c>
      <c r="G11" s="397">
        <f t="shared" si="2"/>
        <v>2668.6364627957432</v>
      </c>
      <c r="H11" s="397">
        <f t="shared" si="1"/>
        <v>7231.9628073790245</v>
      </c>
      <c r="I11" s="397">
        <f t="shared" si="3"/>
        <v>450248.57367189124</v>
      </c>
    </row>
    <row r="12" spans="2:9">
      <c r="B12" s="401" t="s">
        <v>1100</v>
      </c>
      <c r="C12" s="401">
        <f>PMT(C8,C9,C5)</f>
        <v>-9900.5992701747673</v>
      </c>
      <c r="E12" s="3">
        <v>8</v>
      </c>
      <c r="F12" s="43">
        <f t="shared" si="0"/>
        <v>9900.5992701747673</v>
      </c>
      <c r="G12" s="397">
        <f t="shared" si="2"/>
        <v>2626.4500130860324</v>
      </c>
      <c r="H12" s="397">
        <f t="shared" si="1"/>
        <v>7274.1492570887349</v>
      </c>
      <c r="I12" s="397">
        <f t="shared" si="3"/>
        <v>442974.42441480252</v>
      </c>
    </row>
    <row r="13" spans="2:9">
      <c r="B13" s="400" t="s">
        <v>1099</v>
      </c>
      <c r="C13" s="400">
        <f>PPMT(C8,1,C9,C5)</f>
        <v>-6983.9326035081012</v>
      </c>
      <c r="E13" s="3">
        <v>9</v>
      </c>
      <c r="F13" s="43">
        <f t="shared" si="0"/>
        <v>9900.5992701747673</v>
      </c>
      <c r="G13" s="397">
        <f t="shared" si="2"/>
        <v>2584.0174757530149</v>
      </c>
      <c r="H13" s="397">
        <f t="shared" si="1"/>
        <v>7316.5817944217524</v>
      </c>
      <c r="I13" s="397">
        <f t="shared" si="3"/>
        <v>435657.84262038075</v>
      </c>
    </row>
    <row r="14" spans="2:9">
      <c r="B14" s="400" t="s">
        <v>1098</v>
      </c>
      <c r="C14" s="400">
        <f>IPMT(C8,1,C9,C5)</f>
        <v>-2916.666666666667</v>
      </c>
      <c r="E14" s="3">
        <v>10</v>
      </c>
      <c r="F14" s="43">
        <f t="shared" si="0"/>
        <v>9900.5992701747673</v>
      </c>
      <c r="G14" s="397">
        <f t="shared" si="2"/>
        <v>2541.3374152855545</v>
      </c>
      <c r="H14" s="397">
        <f t="shared" si="1"/>
        <v>7359.2618548892133</v>
      </c>
      <c r="I14" s="397">
        <f t="shared" si="3"/>
        <v>428298.58076549153</v>
      </c>
    </row>
    <row r="15" spans="2:9">
      <c r="E15" s="3">
        <v>11</v>
      </c>
      <c r="F15" s="43">
        <f t="shared" si="0"/>
        <v>9900.5992701747673</v>
      </c>
      <c r="G15" s="397">
        <f t="shared" si="2"/>
        <v>2498.4083877987005</v>
      </c>
      <c r="H15" s="397">
        <f t="shared" si="1"/>
        <v>7402.1908823760668</v>
      </c>
      <c r="I15" s="397">
        <f t="shared" si="3"/>
        <v>420896.38988311548</v>
      </c>
    </row>
    <row r="16" spans="2:9">
      <c r="C16" s="399">
        <f>SUM(C13:C14)</f>
        <v>-9900.5992701747673</v>
      </c>
      <c r="E16" s="3">
        <v>12</v>
      </c>
      <c r="F16" s="43">
        <f t="shared" si="0"/>
        <v>9900.5992701747673</v>
      </c>
      <c r="G16" s="397">
        <f t="shared" si="2"/>
        <v>2455.2289409848404</v>
      </c>
      <c r="H16" s="397">
        <f t="shared" si="1"/>
        <v>7445.3703291899274</v>
      </c>
      <c r="I16" s="397">
        <f t="shared" si="3"/>
        <v>413451.01955392555</v>
      </c>
    </row>
    <row r="17" spans="3:9">
      <c r="C17" s="398" t="b">
        <f>C12=C16</f>
        <v>1</v>
      </c>
      <c r="E17" s="3">
        <v>13</v>
      </c>
      <c r="F17" s="43">
        <f t="shared" si="0"/>
        <v>9900.5992701747673</v>
      </c>
      <c r="G17" s="397">
        <f t="shared" si="2"/>
        <v>2411.797614064566</v>
      </c>
      <c r="H17" s="397">
        <f t="shared" si="1"/>
        <v>7488.8016561102013</v>
      </c>
      <c r="I17" s="397">
        <f t="shared" si="3"/>
        <v>405962.21789781534</v>
      </c>
    </row>
    <row r="18" spans="3:9">
      <c r="E18" s="3">
        <v>14</v>
      </c>
      <c r="F18" s="43">
        <f t="shared" si="0"/>
        <v>9900.5992701747673</v>
      </c>
      <c r="G18" s="397">
        <f t="shared" si="2"/>
        <v>2368.1129377372563</v>
      </c>
      <c r="H18" s="397">
        <f t="shared" si="1"/>
        <v>7532.486332437511</v>
      </c>
      <c r="I18" s="397">
        <f t="shared" si="3"/>
        <v>398429.73156537785</v>
      </c>
    </row>
    <row r="19" spans="3:9">
      <c r="E19" s="3">
        <v>15</v>
      </c>
      <c r="F19" s="43">
        <f t="shared" si="0"/>
        <v>9900.5992701747673</v>
      </c>
      <c r="G19" s="397">
        <f t="shared" si="2"/>
        <v>2324.1734341313709</v>
      </c>
      <c r="H19" s="397">
        <f t="shared" si="1"/>
        <v>7576.425836043396</v>
      </c>
      <c r="I19" s="397">
        <f t="shared" si="3"/>
        <v>390853.30572933448</v>
      </c>
    </row>
    <row r="20" spans="3:9">
      <c r="E20" s="3">
        <v>16</v>
      </c>
      <c r="F20" s="43">
        <f t="shared" si="0"/>
        <v>9900.5992701747673</v>
      </c>
      <c r="G20" s="397">
        <f t="shared" si="2"/>
        <v>2279.977616754451</v>
      </c>
      <c r="H20" s="397">
        <f t="shared" si="1"/>
        <v>7620.6216534203159</v>
      </c>
      <c r="I20" s="397">
        <f t="shared" si="3"/>
        <v>383232.68407591415</v>
      </c>
    </row>
    <row r="21" spans="3:9">
      <c r="E21" s="3">
        <v>17</v>
      </c>
      <c r="F21" s="43">
        <f t="shared" si="0"/>
        <v>9900.5992701747673</v>
      </c>
      <c r="G21" s="397">
        <f t="shared" si="2"/>
        <v>2235.5239904428327</v>
      </c>
      <c r="H21" s="397">
        <f t="shared" si="1"/>
        <v>7665.0752797319346</v>
      </c>
      <c r="I21" s="397">
        <f t="shared" si="3"/>
        <v>375567.6087961822</v>
      </c>
    </row>
    <row r="22" spans="3:9">
      <c r="E22" s="3">
        <v>18</v>
      </c>
      <c r="F22" s="43">
        <f t="shared" si="0"/>
        <v>9900.5992701747673</v>
      </c>
      <c r="G22" s="397">
        <f t="shared" si="2"/>
        <v>2190.8110513110628</v>
      </c>
      <c r="H22" s="397">
        <f t="shared" si="1"/>
        <v>7709.788218863705</v>
      </c>
      <c r="I22" s="397">
        <f t="shared" si="3"/>
        <v>367857.82057731849</v>
      </c>
    </row>
    <row r="23" spans="3:9">
      <c r="E23" s="3">
        <v>19</v>
      </c>
      <c r="F23" s="43">
        <f t="shared" si="0"/>
        <v>9900.5992701747673</v>
      </c>
      <c r="G23" s="397">
        <f t="shared" si="2"/>
        <v>2145.8372867010248</v>
      </c>
      <c r="H23" s="397">
        <f t="shared" si="1"/>
        <v>7754.7619834737425</v>
      </c>
      <c r="I23" s="397">
        <f t="shared" si="3"/>
        <v>360103.05859384476</v>
      </c>
    </row>
    <row r="24" spans="3:9">
      <c r="E24" s="3">
        <v>20</v>
      </c>
      <c r="F24" s="43">
        <f t="shared" si="0"/>
        <v>9900.5992701747673</v>
      </c>
      <c r="G24" s="397">
        <f t="shared" si="2"/>
        <v>2100.601175130761</v>
      </c>
      <c r="H24" s="397">
        <f t="shared" si="1"/>
        <v>7799.9980950440058</v>
      </c>
      <c r="I24" s="397">
        <f t="shared" si="3"/>
        <v>352303.06049880077</v>
      </c>
    </row>
    <row r="25" spans="3:9">
      <c r="E25" s="3">
        <v>21</v>
      </c>
      <c r="F25" s="43">
        <f t="shared" si="0"/>
        <v>9900.5992701747673</v>
      </c>
      <c r="G25" s="397">
        <f t="shared" si="2"/>
        <v>2055.1011862430046</v>
      </c>
      <c r="H25" s="397">
        <f t="shared" si="1"/>
        <v>7845.4980839317632</v>
      </c>
      <c r="I25" s="397">
        <f t="shared" si="3"/>
        <v>344457.56241486903</v>
      </c>
    </row>
    <row r="26" spans="3:9">
      <c r="E26" s="3">
        <v>22</v>
      </c>
      <c r="F26" s="43">
        <f t="shared" si="0"/>
        <v>9900.5992701747673</v>
      </c>
      <c r="G26" s="397">
        <f t="shared" si="2"/>
        <v>2009.3357807534028</v>
      </c>
      <c r="H26" s="397">
        <f t="shared" si="1"/>
        <v>7891.2634894213643</v>
      </c>
      <c r="I26" s="397">
        <f t="shared" si="3"/>
        <v>336566.29892544769</v>
      </c>
    </row>
    <row r="27" spans="3:9">
      <c r="E27" s="3">
        <v>23</v>
      </c>
      <c r="F27" s="43">
        <f t="shared" si="0"/>
        <v>9900.5992701747673</v>
      </c>
      <c r="G27" s="397">
        <f t="shared" si="2"/>
        <v>1963.3034103984448</v>
      </c>
      <c r="H27" s="397">
        <f t="shared" si="1"/>
        <v>7937.2958597763227</v>
      </c>
      <c r="I27" s="397">
        <f t="shared" si="3"/>
        <v>328629.00306567136</v>
      </c>
    </row>
    <row r="28" spans="3:9">
      <c r="E28" s="3">
        <v>24</v>
      </c>
      <c r="F28" s="43">
        <f t="shared" si="0"/>
        <v>9900.5992701747673</v>
      </c>
      <c r="G28" s="397">
        <f t="shared" si="2"/>
        <v>1917.0025178830831</v>
      </c>
      <c r="H28" s="397">
        <f t="shared" si="1"/>
        <v>7983.5967522916844</v>
      </c>
      <c r="I28" s="397">
        <f t="shared" si="3"/>
        <v>320645.4063133797</v>
      </c>
    </row>
    <row r="29" spans="3:9">
      <c r="E29" s="3">
        <v>25</v>
      </c>
      <c r="F29" s="43">
        <f t="shared" si="0"/>
        <v>9900.5992701747673</v>
      </c>
      <c r="G29" s="397">
        <f t="shared" si="2"/>
        <v>1870.4315368280484</v>
      </c>
      <c r="H29" s="397">
        <f t="shared" si="1"/>
        <v>8030.1677333467187</v>
      </c>
      <c r="I29" s="397">
        <f t="shared" si="3"/>
        <v>312615.23858003301</v>
      </c>
    </row>
    <row r="30" spans="3:9">
      <c r="E30" s="3">
        <v>26</v>
      </c>
      <c r="F30" s="43">
        <f t="shared" si="0"/>
        <v>9900.5992701747673</v>
      </c>
      <c r="G30" s="397">
        <f t="shared" si="2"/>
        <v>1823.5888917168593</v>
      </c>
      <c r="H30" s="397">
        <f t="shared" si="1"/>
        <v>8077.0103784579078</v>
      </c>
      <c r="I30" s="397">
        <f t="shared" si="3"/>
        <v>304538.22820157511</v>
      </c>
    </row>
    <row r="31" spans="3:9">
      <c r="E31" s="3">
        <v>27</v>
      </c>
      <c r="F31" s="43">
        <f t="shared" si="0"/>
        <v>9900.5992701747673</v>
      </c>
      <c r="G31" s="397">
        <f t="shared" si="2"/>
        <v>1776.4729978425216</v>
      </c>
      <c r="H31" s="397">
        <f t="shared" si="1"/>
        <v>8124.1262723322452</v>
      </c>
      <c r="I31" s="397">
        <f t="shared" si="3"/>
        <v>296414.10192924284</v>
      </c>
    </row>
    <row r="32" spans="3:9">
      <c r="E32" s="3">
        <v>28</v>
      </c>
      <c r="F32" s="43">
        <f t="shared" si="0"/>
        <v>9900.5992701747673</v>
      </c>
      <c r="G32" s="397">
        <f t="shared" si="2"/>
        <v>1729.0822612539166</v>
      </c>
      <c r="H32" s="397">
        <f t="shared" si="1"/>
        <v>8171.5170089208505</v>
      </c>
      <c r="I32" s="397">
        <f t="shared" si="3"/>
        <v>288242.584920322</v>
      </c>
    </row>
    <row r="33" spans="5:9">
      <c r="E33" s="3">
        <v>29</v>
      </c>
      <c r="F33" s="43">
        <f t="shared" si="0"/>
        <v>9900.5992701747673</v>
      </c>
      <c r="G33" s="397">
        <f t="shared" si="2"/>
        <v>1681.4150787018784</v>
      </c>
      <c r="H33" s="397">
        <f t="shared" si="1"/>
        <v>8219.1841914728884</v>
      </c>
      <c r="I33" s="397">
        <f t="shared" si="3"/>
        <v>280023.40072884911</v>
      </c>
    </row>
    <row r="34" spans="5:9">
      <c r="E34" s="3">
        <v>30</v>
      </c>
      <c r="F34" s="43">
        <f t="shared" si="0"/>
        <v>9900.5992701747673</v>
      </c>
      <c r="G34" s="397">
        <f t="shared" si="2"/>
        <v>1633.4698375849532</v>
      </c>
      <c r="H34" s="397">
        <f t="shared" si="1"/>
        <v>8267.1294325898143</v>
      </c>
      <c r="I34" s="397">
        <f t="shared" si="3"/>
        <v>271756.27129625931</v>
      </c>
    </row>
    <row r="35" spans="5:9">
      <c r="E35" s="3">
        <v>31</v>
      </c>
      <c r="F35" s="43">
        <f t="shared" si="0"/>
        <v>9900.5992701747673</v>
      </c>
      <c r="G35" s="397">
        <f t="shared" si="2"/>
        <v>1585.2449158948459</v>
      </c>
      <c r="H35" s="397">
        <f t="shared" si="1"/>
        <v>8315.3543542799216</v>
      </c>
      <c r="I35" s="397">
        <f t="shared" si="3"/>
        <v>263440.91694197938</v>
      </c>
    </row>
    <row r="36" spans="5:9">
      <c r="E36" s="3">
        <v>32</v>
      </c>
      <c r="F36" s="43">
        <f t="shared" si="0"/>
        <v>9900.5992701747673</v>
      </c>
      <c r="G36" s="397">
        <f t="shared" si="2"/>
        <v>1536.7386821615464</v>
      </c>
      <c r="H36" s="397">
        <f t="shared" si="1"/>
        <v>8363.86058801322</v>
      </c>
      <c r="I36" s="397">
        <f t="shared" si="3"/>
        <v>255077.05635396615</v>
      </c>
    </row>
    <row r="37" spans="5:9">
      <c r="E37" s="3">
        <v>33</v>
      </c>
      <c r="F37" s="43">
        <f t="shared" ref="F37:F64" si="4">-$C$12</f>
        <v>9900.5992701747673</v>
      </c>
      <c r="G37" s="397">
        <f t="shared" si="2"/>
        <v>1487.9494953981359</v>
      </c>
      <c r="H37" s="397">
        <f t="shared" ref="H37:H64" si="5">F37-G37</f>
        <v>8412.6497747766316</v>
      </c>
      <c r="I37" s="397">
        <f t="shared" si="3"/>
        <v>246664.40657918953</v>
      </c>
    </row>
    <row r="38" spans="5:9">
      <c r="E38" s="3">
        <v>34</v>
      </c>
      <c r="F38" s="43">
        <f t="shared" si="4"/>
        <v>9900.5992701747673</v>
      </c>
      <c r="G38" s="397">
        <f t="shared" ref="G38:G64" si="6">$C$8*I37</f>
        <v>1438.8757050452723</v>
      </c>
      <c r="H38" s="397">
        <f t="shared" si="5"/>
        <v>8461.7235651294941</v>
      </c>
      <c r="I38" s="397">
        <f t="shared" ref="I38:I64" si="7">I37-H38</f>
        <v>238202.68301406002</v>
      </c>
    </row>
    <row r="39" spans="5:9">
      <c r="E39" s="3">
        <v>35</v>
      </c>
      <c r="F39" s="43">
        <f t="shared" si="4"/>
        <v>9900.5992701747673</v>
      </c>
      <c r="G39" s="397">
        <f t="shared" si="6"/>
        <v>1389.5156509153501</v>
      </c>
      <c r="H39" s="397">
        <f t="shared" si="5"/>
        <v>8511.0836192594179</v>
      </c>
      <c r="I39" s="397">
        <f t="shared" si="7"/>
        <v>229691.59939480061</v>
      </c>
    </row>
    <row r="40" spans="5:9">
      <c r="E40" s="3">
        <v>36</v>
      </c>
      <c r="F40" s="43">
        <f t="shared" si="4"/>
        <v>9900.5992701747673</v>
      </c>
      <c r="G40" s="397">
        <f t="shared" si="6"/>
        <v>1339.8676631363369</v>
      </c>
      <c r="H40" s="397">
        <f t="shared" si="5"/>
        <v>8560.7316070384295</v>
      </c>
      <c r="I40" s="397">
        <f t="shared" si="7"/>
        <v>221130.86778776217</v>
      </c>
    </row>
    <row r="41" spans="5:9">
      <c r="E41" s="3">
        <v>37</v>
      </c>
      <c r="F41" s="43">
        <f t="shared" si="4"/>
        <v>9900.5992701747673</v>
      </c>
      <c r="G41" s="397">
        <f t="shared" si="6"/>
        <v>1289.9300620952793</v>
      </c>
      <c r="H41" s="397">
        <f t="shared" si="5"/>
        <v>8610.6692080794874</v>
      </c>
      <c r="I41" s="397">
        <f t="shared" si="7"/>
        <v>212520.19857968268</v>
      </c>
    </row>
    <row r="42" spans="5:9">
      <c r="E42" s="3">
        <v>38</v>
      </c>
      <c r="F42" s="43">
        <f t="shared" si="4"/>
        <v>9900.5992701747673</v>
      </c>
      <c r="G42" s="397">
        <f t="shared" si="6"/>
        <v>1239.7011583814824</v>
      </c>
      <c r="H42" s="397">
        <f t="shared" si="5"/>
        <v>8660.8981117932854</v>
      </c>
      <c r="I42" s="397">
        <f t="shared" si="7"/>
        <v>203859.30046788941</v>
      </c>
    </row>
    <row r="43" spans="5:9">
      <c r="E43" s="3">
        <v>39</v>
      </c>
      <c r="F43" s="43">
        <f t="shared" si="4"/>
        <v>9900.5992701747673</v>
      </c>
      <c r="G43" s="397">
        <f t="shared" si="6"/>
        <v>1189.1792527293549</v>
      </c>
      <c r="H43" s="397">
        <f t="shared" si="5"/>
        <v>8711.4200174454127</v>
      </c>
      <c r="I43" s="397">
        <f t="shared" si="7"/>
        <v>195147.880450444</v>
      </c>
    </row>
    <row r="44" spans="5:9">
      <c r="E44" s="3">
        <v>40</v>
      </c>
      <c r="F44" s="43">
        <f t="shared" si="4"/>
        <v>9900.5992701747673</v>
      </c>
      <c r="G44" s="397">
        <f t="shared" si="6"/>
        <v>1138.3626359609234</v>
      </c>
      <c r="H44" s="397">
        <f t="shared" si="5"/>
        <v>8762.2366342138448</v>
      </c>
      <c r="I44" s="397">
        <f t="shared" si="7"/>
        <v>186385.64381623015</v>
      </c>
    </row>
    <row r="45" spans="5:9">
      <c r="E45" s="3">
        <v>41</v>
      </c>
      <c r="F45" s="43">
        <f t="shared" si="4"/>
        <v>9900.5992701747673</v>
      </c>
      <c r="G45" s="397">
        <f t="shared" si="6"/>
        <v>1087.2495889280092</v>
      </c>
      <c r="H45" s="397">
        <f t="shared" si="5"/>
        <v>8813.3496812467583</v>
      </c>
      <c r="I45" s="397">
        <f t="shared" si="7"/>
        <v>177572.29413498339</v>
      </c>
    </row>
    <row r="46" spans="5:9">
      <c r="E46" s="3">
        <v>42</v>
      </c>
      <c r="F46" s="43">
        <f t="shared" si="4"/>
        <v>9900.5992701747673</v>
      </c>
      <c r="G46" s="397">
        <f t="shared" si="6"/>
        <v>1035.8383824540697</v>
      </c>
      <c r="H46" s="397">
        <f t="shared" si="5"/>
        <v>8864.7608877206985</v>
      </c>
      <c r="I46" s="397">
        <f t="shared" si="7"/>
        <v>168707.53324726268</v>
      </c>
    </row>
    <row r="47" spans="5:9">
      <c r="E47" s="3">
        <v>43</v>
      </c>
      <c r="F47" s="43">
        <f t="shared" si="4"/>
        <v>9900.5992701747673</v>
      </c>
      <c r="G47" s="397">
        <f t="shared" si="6"/>
        <v>984.12727727569904</v>
      </c>
      <c r="H47" s="397">
        <f t="shared" si="5"/>
        <v>8916.4719928990689</v>
      </c>
      <c r="I47" s="397">
        <f t="shared" si="7"/>
        <v>159791.06125436359</v>
      </c>
    </row>
    <row r="48" spans="5:9">
      <c r="E48" s="3">
        <v>44</v>
      </c>
      <c r="F48" s="43">
        <f t="shared" si="4"/>
        <v>9900.5992701747673</v>
      </c>
      <c r="G48" s="397">
        <f t="shared" si="6"/>
        <v>932.11452398378765</v>
      </c>
      <c r="H48" s="397">
        <f t="shared" si="5"/>
        <v>8968.4847461909794</v>
      </c>
      <c r="I48" s="397">
        <f t="shared" si="7"/>
        <v>150822.57650817261</v>
      </c>
    </row>
    <row r="49" spans="5:9">
      <c r="E49" s="3">
        <v>45</v>
      </c>
      <c r="F49" s="43">
        <f t="shared" si="4"/>
        <v>9900.5992701747673</v>
      </c>
      <c r="G49" s="397">
        <f t="shared" si="6"/>
        <v>879.7983629643403</v>
      </c>
      <c r="H49" s="397">
        <f t="shared" si="5"/>
        <v>9020.8009072104269</v>
      </c>
      <c r="I49" s="397">
        <f t="shared" si="7"/>
        <v>141801.7756009622</v>
      </c>
    </row>
    <row r="50" spans="5:9">
      <c r="E50" s="3">
        <v>46</v>
      </c>
      <c r="F50" s="43">
        <f t="shared" si="4"/>
        <v>9900.5992701747673</v>
      </c>
      <c r="G50" s="397">
        <f t="shared" si="6"/>
        <v>827.17702433894613</v>
      </c>
      <c r="H50" s="397">
        <f t="shared" si="5"/>
        <v>9073.4222458358217</v>
      </c>
      <c r="I50" s="397">
        <f t="shared" si="7"/>
        <v>132728.35335512637</v>
      </c>
    </row>
    <row r="51" spans="5:9">
      <c r="E51" s="3">
        <v>47</v>
      </c>
      <c r="F51" s="43">
        <f t="shared" si="4"/>
        <v>9900.5992701747673</v>
      </c>
      <c r="G51" s="397">
        <f t="shared" si="6"/>
        <v>774.24872790490383</v>
      </c>
      <c r="H51" s="397">
        <f t="shared" si="5"/>
        <v>9126.3505422698636</v>
      </c>
      <c r="I51" s="397">
        <f t="shared" si="7"/>
        <v>123602.0028128565</v>
      </c>
    </row>
    <row r="52" spans="5:9">
      <c r="E52" s="3">
        <v>48</v>
      </c>
      <c r="F52" s="43">
        <f t="shared" si="4"/>
        <v>9900.5992701747673</v>
      </c>
      <c r="G52" s="397">
        <f t="shared" si="6"/>
        <v>721.01168307499631</v>
      </c>
      <c r="H52" s="397">
        <f t="shared" si="5"/>
        <v>9179.5875870997716</v>
      </c>
      <c r="I52" s="397">
        <f t="shared" si="7"/>
        <v>114422.41522575673</v>
      </c>
    </row>
    <row r="53" spans="5:9">
      <c r="E53" s="3">
        <v>49</v>
      </c>
      <c r="F53" s="43">
        <f t="shared" si="4"/>
        <v>9900.5992701747673</v>
      </c>
      <c r="G53" s="397">
        <f t="shared" si="6"/>
        <v>667.46408881691434</v>
      </c>
      <c r="H53" s="397">
        <f t="shared" si="5"/>
        <v>9233.1351813578531</v>
      </c>
      <c r="I53" s="397">
        <f t="shared" si="7"/>
        <v>105189.28004439888</v>
      </c>
    </row>
    <row r="54" spans="5:9">
      <c r="E54" s="3">
        <v>50</v>
      </c>
      <c r="F54" s="43">
        <f t="shared" si="4"/>
        <v>9900.5992701747673</v>
      </c>
      <c r="G54" s="397">
        <f t="shared" si="6"/>
        <v>613.60413359232689</v>
      </c>
      <c r="H54" s="397">
        <f t="shared" si="5"/>
        <v>9286.99513658244</v>
      </c>
      <c r="I54" s="397">
        <f t="shared" si="7"/>
        <v>95902.284907816444</v>
      </c>
    </row>
    <row r="55" spans="5:9">
      <c r="E55" s="3">
        <v>51</v>
      </c>
      <c r="F55" s="43">
        <f t="shared" si="4"/>
        <v>9900.5992701747673</v>
      </c>
      <c r="G55" s="397">
        <f t="shared" si="6"/>
        <v>559.42999529559597</v>
      </c>
      <c r="H55" s="397">
        <f t="shared" si="5"/>
        <v>9341.169274879172</v>
      </c>
      <c r="I55" s="397">
        <f t="shared" si="7"/>
        <v>86561.115632937275</v>
      </c>
    </row>
    <row r="56" spans="5:9">
      <c r="E56" s="3">
        <v>52</v>
      </c>
      <c r="F56" s="43">
        <f t="shared" si="4"/>
        <v>9900.5992701747673</v>
      </c>
      <c r="G56" s="397">
        <f t="shared" si="6"/>
        <v>504.93984119213411</v>
      </c>
      <c r="H56" s="397">
        <f t="shared" si="5"/>
        <v>9395.6594289826335</v>
      </c>
      <c r="I56" s="397">
        <f t="shared" si="7"/>
        <v>77165.456203954644</v>
      </c>
    </row>
    <row r="57" spans="5:9">
      <c r="E57" s="3">
        <v>53</v>
      </c>
      <c r="F57" s="43">
        <f t="shared" si="4"/>
        <v>9900.5992701747673</v>
      </c>
      <c r="G57" s="397">
        <f t="shared" si="6"/>
        <v>450.13182785640208</v>
      </c>
      <c r="H57" s="397">
        <f t="shared" si="5"/>
        <v>9450.467442318366</v>
      </c>
      <c r="I57" s="397">
        <f t="shared" si="7"/>
        <v>67714.988761636283</v>
      </c>
    </row>
    <row r="58" spans="5:9">
      <c r="E58" s="3">
        <v>54</v>
      </c>
      <c r="F58" s="43">
        <f t="shared" si="4"/>
        <v>9900.5992701747673</v>
      </c>
      <c r="G58" s="397">
        <f t="shared" si="6"/>
        <v>395.00410110954499</v>
      </c>
      <c r="H58" s="397">
        <f t="shared" si="5"/>
        <v>9505.5951690652219</v>
      </c>
      <c r="I58" s="397">
        <f t="shared" si="7"/>
        <v>58209.393592571061</v>
      </c>
    </row>
    <row r="59" spans="5:9">
      <c r="E59" s="3">
        <v>55</v>
      </c>
      <c r="F59" s="43">
        <f t="shared" si="4"/>
        <v>9900.5992701747673</v>
      </c>
      <c r="G59" s="397">
        <f t="shared" si="6"/>
        <v>339.55479595666452</v>
      </c>
      <c r="H59" s="397">
        <f t="shared" si="5"/>
        <v>9561.0444742181026</v>
      </c>
      <c r="I59" s="397">
        <f t="shared" si="7"/>
        <v>48648.349118352955</v>
      </c>
    </row>
    <row r="60" spans="5:9">
      <c r="E60" s="3">
        <v>56</v>
      </c>
      <c r="F60" s="43">
        <f t="shared" si="4"/>
        <v>9900.5992701747673</v>
      </c>
      <c r="G60" s="397">
        <f t="shared" si="6"/>
        <v>283.78203652372559</v>
      </c>
      <c r="H60" s="397">
        <f t="shared" si="5"/>
        <v>9616.8172336510415</v>
      </c>
      <c r="I60" s="397">
        <f t="shared" si="7"/>
        <v>39031.531884701915</v>
      </c>
    </row>
    <row r="61" spans="5:9">
      <c r="E61" s="3">
        <v>57</v>
      </c>
      <c r="F61" s="43">
        <f t="shared" si="4"/>
        <v>9900.5992701747673</v>
      </c>
      <c r="G61" s="397">
        <f t="shared" si="6"/>
        <v>227.68393599409453</v>
      </c>
      <c r="H61" s="397">
        <f t="shared" si="5"/>
        <v>9672.9153341806723</v>
      </c>
      <c r="I61" s="397">
        <f t="shared" si="7"/>
        <v>29358.616550521241</v>
      </c>
    </row>
    <row r="62" spans="5:9">
      <c r="E62" s="3">
        <v>58</v>
      </c>
      <c r="F62" s="43">
        <f t="shared" si="4"/>
        <v>9900.5992701747673</v>
      </c>
      <c r="G62" s="397">
        <f t="shared" si="6"/>
        <v>171.25859654470725</v>
      </c>
      <c r="H62" s="397">
        <f t="shared" si="5"/>
        <v>9729.3406736300603</v>
      </c>
      <c r="I62" s="397">
        <f t="shared" si="7"/>
        <v>19629.275876891181</v>
      </c>
    </row>
    <row r="63" spans="5:9">
      <c r="E63" s="3">
        <v>59</v>
      </c>
      <c r="F63" s="43">
        <f t="shared" si="4"/>
        <v>9900.5992701747673</v>
      </c>
      <c r="G63" s="397">
        <f t="shared" si="6"/>
        <v>114.50410928186523</v>
      </c>
      <c r="H63" s="397">
        <f t="shared" si="5"/>
        <v>9786.0951608929026</v>
      </c>
      <c r="I63" s="397">
        <f t="shared" si="7"/>
        <v>9843.1807159982782</v>
      </c>
    </row>
    <row r="64" spans="5:9">
      <c r="E64" s="3">
        <v>60</v>
      </c>
      <c r="F64" s="43">
        <f t="shared" si="4"/>
        <v>9900.5992701747673</v>
      </c>
      <c r="G64" s="397">
        <f t="shared" si="6"/>
        <v>57.418554176656627</v>
      </c>
      <c r="H64" s="397">
        <f t="shared" si="5"/>
        <v>9843.1807159981108</v>
      </c>
      <c r="I64" s="397">
        <f t="shared" si="7"/>
        <v>1.673470251262188E-10</v>
      </c>
    </row>
  </sheetData>
  <mergeCells count="3">
    <mergeCell ref="B4:C4"/>
    <mergeCell ref="B11:C11"/>
    <mergeCell ref="B2:I2"/>
  </mergeCells>
  <pageMargins left="0.7" right="0.7" top="0.75" bottom="0.75" header="0.3" footer="0.3"/>
  <legacy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E9353-FEA4-4431-8238-4DD1FA0FDAC5}">
  <dimension ref="B2:I16"/>
  <sheetViews>
    <sheetView showGridLines="0" topLeftCell="B7" zoomScale="120" zoomScaleNormal="120" workbookViewId="0">
      <selection activeCell="C17" sqref="C17"/>
    </sheetView>
  </sheetViews>
  <sheetFormatPr defaultColWidth="11.54296875" defaultRowHeight="15.5"/>
  <cols>
    <col min="1" max="1" width="11.54296875" style="1"/>
    <col min="2" max="2" width="26.54296875" style="1" customWidth="1"/>
    <col min="3" max="3" width="11.54296875" style="1"/>
    <col min="4" max="4" width="12" style="1" bestFit="1" customWidth="1"/>
    <col min="5" max="5" width="12.36328125" style="1" bestFit="1" customWidth="1"/>
    <col min="6" max="7" width="12.54296875" style="1" bestFit="1" customWidth="1"/>
    <col min="8" max="9" width="12.36328125" style="1" bestFit="1" customWidth="1"/>
    <col min="10" max="16384" width="11.54296875" style="1"/>
  </cols>
  <sheetData>
    <row r="2" spans="2:9">
      <c r="B2" s="424" t="s">
        <v>1119</v>
      </c>
      <c r="C2" s="424"/>
      <c r="D2" s="424"/>
      <c r="E2" s="424"/>
      <c r="F2" s="424"/>
      <c r="G2" s="424"/>
      <c r="H2" s="424"/>
    </row>
    <row r="3" spans="2:9">
      <c r="B3" s="420" t="s">
        <v>851</v>
      </c>
      <c r="C3" s="419">
        <v>0</v>
      </c>
      <c r="D3" s="419">
        <v>1</v>
      </c>
      <c r="E3" s="419">
        <v>2</v>
      </c>
      <c r="F3" s="419">
        <v>3</v>
      </c>
      <c r="G3" s="419">
        <v>4</v>
      </c>
      <c r="H3" s="419">
        <v>5</v>
      </c>
    </row>
    <row r="4" spans="2:9">
      <c r="B4" s="404" t="s">
        <v>105</v>
      </c>
      <c r="C4" s="14">
        <v>43101</v>
      </c>
      <c r="D4" s="14">
        <f>EDATE(C4,6)</f>
        <v>43282</v>
      </c>
      <c r="E4" s="14">
        <f>EDATE(D4,6)</f>
        <v>43466</v>
      </c>
      <c r="F4" s="14">
        <f>EDATE(E4,6)</f>
        <v>43647</v>
      </c>
      <c r="G4" s="14">
        <f>EDATE(F4,6)</f>
        <v>43831</v>
      </c>
      <c r="H4" s="14">
        <f>EDATE(G4,6)</f>
        <v>44013</v>
      </c>
    </row>
    <row r="5" spans="2:9">
      <c r="B5" s="404"/>
      <c r="C5" s="14"/>
      <c r="D5" s="14"/>
      <c r="E5" s="14"/>
      <c r="F5" s="14"/>
      <c r="G5" s="14"/>
      <c r="H5" s="14"/>
    </row>
    <row r="6" spans="2:9">
      <c r="B6" s="404" t="s">
        <v>1118</v>
      </c>
      <c r="C6" s="418">
        <v>-500000</v>
      </c>
      <c r="D6" s="406">
        <v>35000</v>
      </c>
      <c r="E6" s="406">
        <v>60000</v>
      </c>
      <c r="F6" s="406">
        <v>100000</v>
      </c>
      <c r="G6" s="406">
        <v>150000</v>
      </c>
      <c r="H6" s="406">
        <v>300000</v>
      </c>
      <c r="I6" s="417">
        <f>SUM(C6:H6)</f>
        <v>145000</v>
      </c>
    </row>
    <row r="7" spans="2:9">
      <c r="B7" s="404"/>
      <c r="D7" s="415"/>
      <c r="E7" s="415"/>
      <c r="F7" s="415"/>
      <c r="G7" s="415"/>
      <c r="H7" s="415"/>
      <c r="I7" s="415"/>
    </row>
    <row r="8" spans="2:9">
      <c r="B8" s="404" t="s">
        <v>1117</v>
      </c>
      <c r="C8" s="416">
        <v>0.06</v>
      </c>
    </row>
    <row r="10" spans="2:9">
      <c r="B10" s="404" t="s">
        <v>1116</v>
      </c>
      <c r="C10" s="413">
        <f>NPV(C8,D6:H6)+C6</f>
        <v>13372.083974132955</v>
      </c>
      <c r="D10" s="403"/>
      <c r="E10" s="415"/>
      <c r="H10" s="412"/>
      <c r="I10" s="20"/>
    </row>
    <row r="11" spans="2:9">
      <c r="C11" s="414"/>
      <c r="H11" s="412"/>
    </row>
    <row r="12" spans="2:9">
      <c r="B12" s="404" t="s">
        <v>1115</v>
      </c>
      <c r="C12" s="413">
        <f>XNPV(C8,C6:H6,C4:H4)</f>
        <v>75112.061362963374</v>
      </c>
      <c r="H12" s="412"/>
    </row>
    <row r="13" spans="2:9">
      <c r="C13" s="145"/>
    </row>
    <row r="14" spans="2:9">
      <c r="B14" s="404" t="s">
        <v>1114</v>
      </c>
      <c r="C14" s="410">
        <f>IRR(C6:H6)</f>
        <v>6.7259882585714692E-2</v>
      </c>
    </row>
    <row r="15" spans="2:9">
      <c r="C15" s="411"/>
    </row>
    <row r="16" spans="2:9">
      <c r="B16" s="404" t="s">
        <v>1113</v>
      </c>
      <c r="C16" s="410">
        <f>XIRR(C6:H6,C4:H4)</f>
        <v>0.13916199803352355</v>
      </c>
    </row>
  </sheetData>
  <mergeCells count="1">
    <mergeCell ref="B2:H2"/>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84912-8386-4549-8E0C-3FBA815A16EA}">
  <dimension ref="B2:I10"/>
  <sheetViews>
    <sheetView showGridLines="0" zoomScale="120" zoomScaleNormal="120" workbookViewId="0">
      <selection activeCell="J9" sqref="J9"/>
    </sheetView>
  </sheetViews>
  <sheetFormatPr defaultColWidth="11.54296875" defaultRowHeight="15.5"/>
  <cols>
    <col min="1" max="1" width="11.54296875" style="1"/>
    <col min="2" max="2" width="13.7265625" style="1" bestFit="1" customWidth="1"/>
    <col min="3" max="3" width="9.6328125" style="1" bestFit="1" customWidth="1"/>
    <col min="4" max="4" width="4.36328125" style="1" customWidth="1"/>
    <col min="5" max="5" width="13.6328125" style="1" bestFit="1" customWidth="1"/>
    <col min="6" max="6" width="11.54296875" style="1" bestFit="1" customWidth="1"/>
    <col min="7" max="7" width="5.26953125" style="1" customWidth="1"/>
    <col min="8" max="8" width="15.81640625" style="1" bestFit="1" customWidth="1"/>
    <col min="9" max="9" width="12.08984375" style="1" customWidth="1"/>
    <col min="10" max="16384" width="11.54296875" style="1"/>
  </cols>
  <sheetData>
    <row r="2" spans="2:9">
      <c r="B2" s="424" t="s">
        <v>1121</v>
      </c>
      <c r="C2" s="424"/>
      <c r="D2" s="424"/>
      <c r="E2" s="424"/>
      <c r="F2" s="424"/>
      <c r="G2" s="424"/>
      <c r="H2" s="424"/>
      <c r="I2" s="424"/>
    </row>
    <row r="4" spans="2:9">
      <c r="B4" s="437" t="s">
        <v>862</v>
      </c>
      <c r="C4" s="437"/>
      <c r="E4" s="437" t="s">
        <v>861</v>
      </c>
      <c r="F4" s="437"/>
      <c r="H4" s="437" t="s">
        <v>1120</v>
      </c>
      <c r="I4" s="437"/>
    </row>
    <row r="5" spans="2:9">
      <c r="B5" s="1" t="s">
        <v>861</v>
      </c>
      <c r="C5" s="422">
        <v>-100000</v>
      </c>
      <c r="E5" s="1" t="s">
        <v>862</v>
      </c>
      <c r="F5" s="422">
        <f>-C9</f>
        <v>-79383.22410201696</v>
      </c>
      <c r="H5" s="1" t="s">
        <v>862</v>
      </c>
      <c r="I5" s="422">
        <f>F5</f>
        <v>-79383.22410201696</v>
      </c>
    </row>
    <row r="6" spans="2:9">
      <c r="B6" s="1" t="s">
        <v>859</v>
      </c>
      <c r="C6" s="352">
        <v>3</v>
      </c>
      <c r="E6" s="1" t="s">
        <v>859</v>
      </c>
      <c r="F6" s="352">
        <v>30</v>
      </c>
      <c r="H6" s="1" t="s">
        <v>860</v>
      </c>
      <c r="I6" s="422">
        <v>-2000</v>
      </c>
    </row>
    <row r="7" spans="2:9">
      <c r="B7" s="1" t="s">
        <v>858</v>
      </c>
      <c r="C7" s="416">
        <v>0.08</v>
      </c>
      <c r="E7" s="1" t="s">
        <v>858</v>
      </c>
      <c r="F7" s="416">
        <v>0.08</v>
      </c>
      <c r="H7" s="1" t="s">
        <v>859</v>
      </c>
      <c r="I7" s="352">
        <v>30</v>
      </c>
    </row>
    <row r="8" spans="2:9">
      <c r="C8" s="352"/>
      <c r="F8" s="352"/>
      <c r="H8" s="1" t="s">
        <v>858</v>
      </c>
      <c r="I8" s="416">
        <v>0.08</v>
      </c>
    </row>
    <row r="9" spans="2:9">
      <c r="B9" s="5" t="s">
        <v>862</v>
      </c>
      <c r="C9" s="421">
        <f>PV(C7,C6,,C5)</f>
        <v>79383.22410201696</v>
      </c>
      <c r="D9" s="145"/>
      <c r="E9" s="5" t="s">
        <v>861</v>
      </c>
      <c r="F9" s="421">
        <f>FV(F7,F6,,F5)</f>
        <v>798806.14688702207</v>
      </c>
      <c r="I9" s="352"/>
    </row>
    <row r="10" spans="2:9">
      <c r="H10" s="5" t="s">
        <v>861</v>
      </c>
      <c r="I10" s="421">
        <f>FV(I8,I7,I6,I5)</f>
        <v>1025372.5691138582</v>
      </c>
    </row>
  </sheetData>
  <mergeCells count="4">
    <mergeCell ref="B4:C4"/>
    <mergeCell ref="E4:F4"/>
    <mergeCell ref="H4:I4"/>
    <mergeCell ref="B2:I2"/>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95ED7-8F43-49BC-8FCA-2F650C2425B0}">
  <dimension ref="B3:H17"/>
  <sheetViews>
    <sheetView workbookViewId="0">
      <selection activeCell="J8" sqref="J8"/>
    </sheetView>
  </sheetViews>
  <sheetFormatPr defaultRowHeight="14.5"/>
  <sheetData>
    <row r="3" spans="2:8">
      <c r="B3" s="438" t="s">
        <v>1096</v>
      </c>
      <c r="C3" s="438"/>
      <c r="G3" t="s">
        <v>680</v>
      </c>
      <c r="H3">
        <v>23</v>
      </c>
    </row>
    <row r="4" spans="2:8">
      <c r="B4" t="str" cm="1">
        <f t="array" ref="B4:C8">_xlfn._xlws.SORT(_xlfn._xlws.FILTER(G3:H13,H3:H13&gt;=LARGE(H3:H13,5)),2,-1)</f>
        <v>e</v>
      </c>
      <c r="C4">
        <v>532164</v>
      </c>
      <c r="G4" t="s">
        <v>681</v>
      </c>
      <c r="H4">
        <v>43</v>
      </c>
    </row>
    <row r="5" spans="2:8">
      <c r="B5" t="str">
        <v>i</v>
      </c>
      <c r="C5">
        <v>2123</v>
      </c>
      <c r="G5" t="s">
        <v>900</v>
      </c>
      <c r="H5">
        <v>234</v>
      </c>
    </row>
    <row r="6" spans="2:8">
      <c r="B6" t="str">
        <v>f</v>
      </c>
      <c r="C6">
        <v>632</v>
      </c>
      <c r="G6" t="s">
        <v>1087</v>
      </c>
      <c r="H6">
        <v>523</v>
      </c>
    </row>
    <row r="7" spans="2:8">
      <c r="B7" t="str">
        <v>g</v>
      </c>
      <c r="C7">
        <v>632</v>
      </c>
      <c r="G7" t="s">
        <v>1089</v>
      </c>
      <c r="H7">
        <v>532164</v>
      </c>
    </row>
    <row r="8" spans="2:8">
      <c r="B8" t="str">
        <v>j</v>
      </c>
      <c r="C8">
        <v>532</v>
      </c>
      <c r="G8" t="s">
        <v>1090</v>
      </c>
      <c r="H8">
        <v>632</v>
      </c>
    </row>
    <row r="9" spans="2:8">
      <c r="G9" t="s">
        <v>1091</v>
      </c>
      <c r="H9">
        <v>632</v>
      </c>
    </row>
    <row r="10" spans="2:8">
      <c r="G10" t="s">
        <v>1092</v>
      </c>
      <c r="H10">
        <v>454</v>
      </c>
    </row>
    <row r="11" spans="2:8">
      <c r="G11" t="s">
        <v>1093</v>
      </c>
      <c r="H11">
        <v>2123</v>
      </c>
    </row>
    <row r="12" spans="2:8">
      <c r="B12" s="438" t="s">
        <v>1097</v>
      </c>
      <c r="C12" s="438"/>
      <c r="G12" t="s">
        <v>1094</v>
      </c>
      <c r="H12">
        <v>532</v>
      </c>
    </row>
    <row r="13" spans="2:8">
      <c r="B13" t="str" cm="1">
        <f t="array" ref="B13:C17">_xlfn._xlws.SORT(_xlfn._xlws.FILTER(G3:H13,H3:H13&lt;=SMALL(H3:H13,5)),2,-1)</f>
        <v>d</v>
      </c>
      <c r="C13">
        <v>523</v>
      </c>
      <c r="G13" t="s">
        <v>1095</v>
      </c>
      <c r="H13">
        <v>526</v>
      </c>
    </row>
    <row r="14" spans="2:8">
      <c r="B14" t="str">
        <v>h</v>
      </c>
      <c r="C14">
        <v>454</v>
      </c>
    </row>
    <row r="15" spans="2:8">
      <c r="B15" t="str">
        <v>c</v>
      </c>
      <c r="C15">
        <v>234</v>
      </c>
    </row>
    <row r="16" spans="2:8">
      <c r="B16" t="str">
        <v>b</v>
      </c>
      <c r="C16">
        <v>43</v>
      </c>
    </row>
    <row r="17" spans="2:3">
      <c r="B17" t="str">
        <v>a</v>
      </c>
      <c r="C17">
        <v>23</v>
      </c>
    </row>
  </sheetData>
  <mergeCells count="2">
    <mergeCell ref="B3:C3"/>
    <mergeCell ref="B12:C12"/>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356C6-B166-4971-848F-32AF57EBEF71}">
  <dimension ref="B2:J22"/>
  <sheetViews>
    <sheetView showGridLines="0" topLeftCell="A14" zoomScale="137" workbookViewId="0">
      <selection activeCell="E16" sqref="E16"/>
    </sheetView>
  </sheetViews>
  <sheetFormatPr defaultColWidth="11.6328125" defaultRowHeight="15.5"/>
  <cols>
    <col min="1" max="1" width="6.54296875" style="1" customWidth="1"/>
    <col min="2" max="2" width="5.6328125" style="1" bestFit="1" customWidth="1"/>
    <col min="3" max="7" width="11.6328125" style="1"/>
    <col min="8" max="8" width="7.81640625" style="1" bestFit="1" customWidth="1"/>
    <col min="9" max="9" width="7.81640625" style="1" customWidth="1"/>
    <col min="10" max="10" width="17.6328125" style="1" customWidth="1"/>
    <col min="11" max="16384" width="11.6328125" style="1"/>
  </cols>
  <sheetData>
    <row r="2" spans="2:10">
      <c r="B2" s="4" t="s">
        <v>67</v>
      </c>
      <c r="C2" s="4" t="s">
        <v>66</v>
      </c>
      <c r="D2" s="4" t="s">
        <v>65</v>
      </c>
      <c r="E2" s="4" t="s">
        <v>64</v>
      </c>
      <c r="F2" s="4" t="s">
        <v>63</v>
      </c>
      <c r="G2" s="4" t="s">
        <v>62</v>
      </c>
      <c r="H2" s="4" t="s">
        <v>61</v>
      </c>
      <c r="J2" s="4" t="s">
        <v>60</v>
      </c>
    </row>
    <row r="3" spans="2:10">
      <c r="B3" s="3">
        <v>1295</v>
      </c>
      <c r="C3" s="1" t="s">
        <v>59</v>
      </c>
      <c r="D3" s="1" t="s">
        <v>58</v>
      </c>
      <c r="E3" s="1" t="s">
        <v>11</v>
      </c>
      <c r="F3" s="1" t="s">
        <v>10</v>
      </c>
      <c r="G3" s="1" t="s">
        <v>9</v>
      </c>
      <c r="H3" s="1">
        <v>122.79</v>
      </c>
      <c r="J3" s="2" t="str">
        <f>Table7[[#This Row],[City]]&amp;","&amp;Table7[[#This Row],[Country]]</f>
        <v>London,UK</v>
      </c>
    </row>
    <row r="4" spans="2:10">
      <c r="B4" s="3">
        <f t="shared" ref="B4:B22" si="0">B3+3</f>
        <v>1298</v>
      </c>
      <c r="C4" s="1" t="s">
        <v>57</v>
      </c>
      <c r="D4" s="1" t="s">
        <v>56</v>
      </c>
      <c r="E4" s="1" t="s">
        <v>55</v>
      </c>
      <c r="F4" s="1" t="s">
        <v>1</v>
      </c>
      <c r="G4" s="1" t="s">
        <v>0</v>
      </c>
      <c r="H4" s="1">
        <v>204.62</v>
      </c>
      <c r="J4" s="2" t="str">
        <f>Table7[[#This Row],[City]]&amp;","&amp;Table7[[#This Row],[Country]]</f>
        <v>Madrid,Spain</v>
      </c>
    </row>
    <row r="5" spans="2:10">
      <c r="B5" s="3">
        <f t="shared" si="0"/>
        <v>1301</v>
      </c>
      <c r="C5" s="1" t="s">
        <v>54</v>
      </c>
      <c r="D5" s="1" t="s">
        <v>53</v>
      </c>
      <c r="E5" s="1" t="s">
        <v>11</v>
      </c>
      <c r="F5" s="1" t="s">
        <v>52</v>
      </c>
      <c r="G5" s="1" t="s">
        <v>51</v>
      </c>
      <c r="H5" s="1">
        <v>122.76</v>
      </c>
      <c r="J5" s="2" t="str">
        <f>Table7[[#This Row],[City]]&amp;","&amp;Table7[[#This Row],[Country]]</f>
        <v>Tampa,USA</v>
      </c>
    </row>
    <row r="6" spans="2:10">
      <c r="B6" s="3">
        <f t="shared" si="0"/>
        <v>1304</v>
      </c>
      <c r="C6" s="1" t="s">
        <v>50</v>
      </c>
      <c r="D6" s="1" t="s">
        <v>49</v>
      </c>
      <c r="E6" s="1" t="s">
        <v>11</v>
      </c>
      <c r="F6" s="1" t="s">
        <v>6</v>
      </c>
      <c r="G6" s="1" t="s">
        <v>5</v>
      </c>
      <c r="H6" s="1">
        <v>81.599999999999994</v>
      </c>
      <c r="J6" s="2" t="str">
        <f>Table7[[#This Row],[City]]&amp;","&amp;Table7[[#This Row],[Country]]</f>
        <v>Tokyo,Japan</v>
      </c>
    </row>
    <row r="7" spans="2:10">
      <c r="B7" s="3">
        <f t="shared" si="0"/>
        <v>1307</v>
      </c>
      <c r="C7" s="1" t="s">
        <v>48</v>
      </c>
      <c r="D7" s="1" t="s">
        <v>47</v>
      </c>
      <c r="E7" s="1" t="s">
        <v>34</v>
      </c>
      <c r="F7" s="1" t="s">
        <v>10</v>
      </c>
      <c r="G7" s="1" t="s">
        <v>9</v>
      </c>
      <c r="H7" s="1">
        <v>203.79</v>
      </c>
      <c r="J7" s="2" t="str">
        <f>Table7[[#This Row],[City]]&amp;","&amp;Table7[[#This Row],[Country]]</f>
        <v>London,UK</v>
      </c>
    </row>
    <row r="8" spans="2:10">
      <c r="B8" s="3">
        <f t="shared" si="0"/>
        <v>1310</v>
      </c>
      <c r="C8" s="1" t="s">
        <v>46</v>
      </c>
      <c r="D8" s="1" t="s">
        <v>45</v>
      </c>
      <c r="E8" s="1" t="s">
        <v>14</v>
      </c>
      <c r="F8" s="1" t="s">
        <v>10</v>
      </c>
      <c r="G8" s="1" t="s">
        <v>9</v>
      </c>
      <c r="H8" s="1">
        <v>122.77</v>
      </c>
      <c r="J8" s="2" t="str">
        <f>Table7[[#This Row],[City]]&amp;","&amp;Table7[[#This Row],[Country]]</f>
        <v>London,UK</v>
      </c>
    </row>
    <row r="9" spans="2:10">
      <c r="B9" s="3">
        <f t="shared" si="0"/>
        <v>1313</v>
      </c>
      <c r="C9" s="1" t="s">
        <v>44</v>
      </c>
      <c r="D9" s="1" t="s">
        <v>43</v>
      </c>
      <c r="E9" s="1" t="s">
        <v>14</v>
      </c>
      <c r="F9" s="1" t="s">
        <v>33</v>
      </c>
      <c r="G9" s="1" t="s">
        <v>32</v>
      </c>
      <c r="H9" s="1">
        <v>123.96</v>
      </c>
      <c r="J9" s="2" t="str">
        <f>Table7[[#This Row],[City]]&amp;","&amp;Table7[[#This Row],[Country]]</f>
        <v>Berlin,Germany</v>
      </c>
    </row>
    <row r="10" spans="2:10">
      <c r="B10" s="3">
        <f t="shared" si="0"/>
        <v>1316</v>
      </c>
      <c r="C10" s="1" t="s">
        <v>42</v>
      </c>
      <c r="D10" s="1" t="s">
        <v>41</v>
      </c>
      <c r="E10" s="1" t="s">
        <v>34</v>
      </c>
      <c r="F10" s="1" t="s">
        <v>33</v>
      </c>
      <c r="G10" s="1" t="s">
        <v>32</v>
      </c>
      <c r="H10" s="1">
        <v>206.97</v>
      </c>
      <c r="J10" s="2" t="str">
        <f>Table7[[#This Row],[City]]&amp;","&amp;Table7[[#This Row],[Country]]</f>
        <v>Berlin,Germany</v>
      </c>
    </row>
    <row r="11" spans="2:10">
      <c r="B11" s="3">
        <f t="shared" si="0"/>
        <v>1319</v>
      </c>
      <c r="C11" s="1" t="s">
        <v>40</v>
      </c>
      <c r="D11" s="1" t="s">
        <v>39</v>
      </c>
      <c r="E11" s="1" t="s">
        <v>34</v>
      </c>
      <c r="F11" s="1" t="s">
        <v>1</v>
      </c>
      <c r="G11" s="1" t="s">
        <v>0</v>
      </c>
      <c r="H11" s="1">
        <v>207.14</v>
      </c>
      <c r="J11" s="2" t="str">
        <f>Table7[[#This Row],[City]]&amp;","&amp;Table7[[#This Row],[Country]]</f>
        <v>Madrid,Spain</v>
      </c>
    </row>
    <row r="12" spans="2:10">
      <c r="B12" s="3">
        <f t="shared" si="0"/>
        <v>1322</v>
      </c>
      <c r="C12" s="1" t="s">
        <v>38</v>
      </c>
      <c r="D12" s="1" t="s">
        <v>37</v>
      </c>
      <c r="E12" s="1" t="s">
        <v>14</v>
      </c>
      <c r="F12" s="1" t="s">
        <v>33</v>
      </c>
      <c r="G12" s="1" t="s">
        <v>32</v>
      </c>
      <c r="H12" s="1">
        <v>122.79</v>
      </c>
      <c r="J12" s="2" t="str">
        <f>Table7[[#This Row],[City]]&amp;","&amp;Table7[[#This Row],[Country]]</f>
        <v>Berlin,Germany</v>
      </c>
    </row>
    <row r="13" spans="2:10">
      <c r="B13" s="3">
        <f t="shared" si="0"/>
        <v>1325</v>
      </c>
      <c r="C13" s="1" t="s">
        <v>36</v>
      </c>
      <c r="D13" s="1" t="s">
        <v>35</v>
      </c>
      <c r="E13" s="1" t="s">
        <v>34</v>
      </c>
      <c r="F13" s="1" t="s">
        <v>33</v>
      </c>
      <c r="G13" s="1" t="s">
        <v>32</v>
      </c>
      <c r="H13" s="1">
        <v>122.76</v>
      </c>
      <c r="J13" s="2" t="str">
        <f>Table7[[#This Row],[City]]&amp;","&amp;Table7[[#This Row],[Country]]</f>
        <v>Berlin,Germany</v>
      </c>
    </row>
    <row r="14" spans="2:10">
      <c r="B14" s="3">
        <f t="shared" si="0"/>
        <v>1328</v>
      </c>
      <c r="C14" s="1" t="s">
        <v>31</v>
      </c>
      <c r="D14" s="1" t="s">
        <v>30</v>
      </c>
      <c r="E14" s="1" t="s">
        <v>14</v>
      </c>
      <c r="F14" s="1" t="s">
        <v>1</v>
      </c>
      <c r="G14" s="1" t="s">
        <v>0</v>
      </c>
      <c r="H14" s="1">
        <v>81.599999999999994</v>
      </c>
      <c r="J14" s="2" t="str">
        <f>Table7[[#This Row],[City]]&amp;","&amp;Table7[[#This Row],[Country]]</f>
        <v>Madrid,Spain</v>
      </c>
    </row>
    <row r="15" spans="2:10">
      <c r="B15" s="3">
        <f t="shared" si="0"/>
        <v>1331</v>
      </c>
      <c r="C15" s="1" t="s">
        <v>29</v>
      </c>
      <c r="D15" s="1" t="s">
        <v>28</v>
      </c>
      <c r="E15" s="1" t="s">
        <v>14</v>
      </c>
      <c r="F15" s="1" t="s">
        <v>18</v>
      </c>
      <c r="G15" s="1" t="s">
        <v>17</v>
      </c>
      <c r="H15" s="1">
        <v>54.67</v>
      </c>
      <c r="J15" s="2" t="str">
        <f>Table7[[#This Row],[City]]&amp;","&amp;Table7[[#This Row],[Country]]</f>
        <v>Paris,France</v>
      </c>
    </row>
    <row r="16" spans="2:10">
      <c r="B16" s="3">
        <f t="shared" si="0"/>
        <v>1334</v>
      </c>
      <c r="C16" s="1" t="s">
        <v>27</v>
      </c>
      <c r="D16" s="1" t="s">
        <v>26</v>
      </c>
      <c r="E16" s="1" t="s">
        <v>25</v>
      </c>
      <c r="F16" s="1" t="s">
        <v>18</v>
      </c>
      <c r="G16" s="1" t="s">
        <v>17</v>
      </c>
      <c r="H16" s="1">
        <v>203.79</v>
      </c>
      <c r="J16" s="2" t="str">
        <f>Table7[[#This Row],[City]]&amp;","&amp;Table7[[#This Row],[Country]]</f>
        <v>Paris,France</v>
      </c>
    </row>
    <row r="17" spans="2:10">
      <c r="B17" s="3">
        <f t="shared" si="0"/>
        <v>1337</v>
      </c>
      <c r="C17" s="1" t="s">
        <v>24</v>
      </c>
      <c r="D17" s="1" t="s">
        <v>23</v>
      </c>
      <c r="E17" s="1" t="s">
        <v>22</v>
      </c>
      <c r="F17" s="1" t="s">
        <v>18</v>
      </c>
      <c r="G17" s="1" t="s">
        <v>17</v>
      </c>
      <c r="H17" s="1">
        <v>123.96</v>
      </c>
      <c r="J17" s="2" t="str">
        <f>Table7[[#This Row],[City]]&amp;","&amp;Table7[[#This Row],[Country]]</f>
        <v>Paris,France</v>
      </c>
    </row>
    <row r="18" spans="2:10">
      <c r="B18" s="3">
        <f t="shared" si="0"/>
        <v>1340</v>
      </c>
      <c r="C18" s="1" t="s">
        <v>21</v>
      </c>
      <c r="D18" s="1" t="s">
        <v>20</v>
      </c>
      <c r="E18" s="1" t="s">
        <v>19</v>
      </c>
      <c r="F18" s="1" t="s">
        <v>18</v>
      </c>
      <c r="G18" s="1" t="s">
        <v>17</v>
      </c>
      <c r="H18" s="1">
        <v>206.97</v>
      </c>
      <c r="J18" s="2" t="str">
        <f>Table7[[#This Row],[City]]&amp;","&amp;Table7[[#This Row],[Country]]</f>
        <v>Paris,France</v>
      </c>
    </row>
    <row r="19" spans="2:10">
      <c r="B19" s="3">
        <f t="shared" si="0"/>
        <v>1343</v>
      </c>
      <c r="C19" s="1" t="s">
        <v>16</v>
      </c>
      <c r="D19" s="1" t="s">
        <v>15</v>
      </c>
      <c r="E19" s="1" t="s">
        <v>14</v>
      </c>
      <c r="F19" s="1" t="s">
        <v>6</v>
      </c>
      <c r="G19" s="1" t="s">
        <v>5</v>
      </c>
      <c r="H19" s="1">
        <v>207.14</v>
      </c>
      <c r="J19" s="2" t="str">
        <f>Table7[[#This Row],[City]]&amp;","&amp;Table7[[#This Row],[Country]]</f>
        <v>Tokyo,Japan</v>
      </c>
    </row>
    <row r="20" spans="2:10">
      <c r="B20" s="3">
        <f t="shared" si="0"/>
        <v>1346</v>
      </c>
      <c r="C20" s="1" t="s">
        <v>13</v>
      </c>
      <c r="D20" s="1" t="s">
        <v>12</v>
      </c>
      <c r="E20" s="1" t="s">
        <v>11</v>
      </c>
      <c r="F20" s="1" t="s">
        <v>10</v>
      </c>
      <c r="G20" s="1" t="s">
        <v>9</v>
      </c>
      <c r="H20" s="1">
        <v>122.79</v>
      </c>
      <c r="J20" s="2" t="str">
        <f>Table7[[#This Row],[City]]&amp;","&amp;Table7[[#This Row],[Country]]</f>
        <v>London,UK</v>
      </c>
    </row>
    <row r="21" spans="2:10">
      <c r="B21" s="3">
        <f t="shared" si="0"/>
        <v>1349</v>
      </c>
      <c r="C21" s="1" t="s">
        <v>8</v>
      </c>
      <c r="D21" s="1" t="s">
        <v>7</v>
      </c>
      <c r="E21" s="1" t="s">
        <v>2</v>
      </c>
      <c r="F21" s="1" t="s">
        <v>6</v>
      </c>
      <c r="G21" s="1" t="s">
        <v>5</v>
      </c>
      <c r="H21" s="1">
        <v>122.76</v>
      </c>
      <c r="J21" s="2" t="str">
        <f>Table7[[#This Row],[City]]&amp;","&amp;Table7[[#This Row],[Country]]</f>
        <v>Tokyo,Japan</v>
      </c>
    </row>
    <row r="22" spans="2:10">
      <c r="B22" s="3">
        <f t="shared" si="0"/>
        <v>1352</v>
      </c>
      <c r="C22" s="1" t="s">
        <v>4</v>
      </c>
      <c r="D22" s="1" t="s">
        <v>3</v>
      </c>
      <c r="E22" s="1" t="s">
        <v>2</v>
      </c>
      <c r="F22" s="1" t="s">
        <v>1</v>
      </c>
      <c r="G22" s="1" t="s">
        <v>0</v>
      </c>
      <c r="H22" s="1">
        <v>81.599999999999994</v>
      </c>
      <c r="J22" s="2" t="str">
        <f>Table7[[#This Row],[City]]&amp;","&amp;Table7[[#This Row],[Country]]</f>
        <v>Madrid,Spain</v>
      </c>
    </row>
  </sheetData>
  <pageMargins left="0.7" right="0.7" top="0.75" bottom="0.75" header="0.3" footer="0.3"/>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9058-65C5-46F2-89B5-7547943D77F0}">
  <dimension ref="B2:I24"/>
  <sheetViews>
    <sheetView showGridLines="0" topLeftCell="A3" zoomScaleNormal="100" workbookViewId="0">
      <selection activeCell="I4" sqref="I4"/>
    </sheetView>
  </sheetViews>
  <sheetFormatPr defaultColWidth="11.6328125" defaultRowHeight="15.5"/>
  <cols>
    <col min="1" max="1" width="4.1796875" style="1" customWidth="1"/>
    <col min="2" max="2" width="11.08984375" style="1" bestFit="1" customWidth="1"/>
    <col min="3" max="3" width="12.1796875" style="1" bestFit="1" customWidth="1"/>
    <col min="4" max="4" width="12.7265625" style="1" bestFit="1" customWidth="1"/>
    <col min="5" max="5" width="12.1796875" style="1" bestFit="1" customWidth="1"/>
    <col min="6" max="6" width="16.90625" style="1" bestFit="1" customWidth="1"/>
    <col min="7" max="7" width="8.1796875" style="1" customWidth="1"/>
    <col min="8" max="8" width="14.90625" style="1" bestFit="1" customWidth="1"/>
    <col min="9" max="9" width="12.1796875" style="1" bestFit="1" customWidth="1"/>
    <col min="10" max="16384" width="11.6328125" style="1"/>
  </cols>
  <sheetData>
    <row r="2" spans="2:9">
      <c r="B2" s="17" t="s">
        <v>106</v>
      </c>
      <c r="C2" s="17" t="s">
        <v>105</v>
      </c>
      <c r="D2" s="17" t="s">
        <v>104</v>
      </c>
      <c r="E2" s="17" t="s">
        <v>100</v>
      </c>
      <c r="F2" s="17" t="s">
        <v>101</v>
      </c>
      <c r="H2" s="424" t="s">
        <v>103</v>
      </c>
      <c r="I2" s="424"/>
    </row>
    <row r="3" spans="2:9">
      <c r="B3" s="13">
        <v>124300</v>
      </c>
      <c r="C3" s="12">
        <v>44754</v>
      </c>
      <c r="D3" s="11">
        <v>5436.33</v>
      </c>
      <c r="E3" s="11">
        <f t="shared" ref="E3:E24" si="0">D3*0.2</f>
        <v>1087.2660000000001</v>
      </c>
      <c r="F3" s="1" t="s">
        <v>102</v>
      </c>
      <c r="H3" s="16" t="s">
        <v>101</v>
      </c>
      <c r="I3" s="16" t="s">
        <v>100</v>
      </c>
    </row>
    <row r="4" spans="2:9">
      <c r="B4" s="13">
        <f>B3*1.2</f>
        <v>149160</v>
      </c>
      <c r="C4" s="12">
        <v>44751</v>
      </c>
      <c r="D4" s="11">
        <v>6197.4161999999997</v>
      </c>
      <c r="E4" s="11">
        <f t="shared" si="0"/>
        <v>1239.48324</v>
      </c>
      <c r="F4" s="1" t="s">
        <v>99</v>
      </c>
      <c r="H4" s="1" t="s">
        <v>91</v>
      </c>
      <c r="I4" s="15">
        <f>_xlfn.XLOOKUP(H4,Table2[Salesperson],Table2[Commission])</f>
        <v>651.21797070000002</v>
      </c>
    </row>
    <row r="5" spans="2:9">
      <c r="B5" s="13">
        <f>B4*1.02</f>
        <v>152143.20000000001</v>
      </c>
      <c r="C5" s="12">
        <v>44753</v>
      </c>
      <c r="D5" s="11">
        <v>7065.0544679999994</v>
      </c>
      <c r="E5" s="11">
        <f t="shared" si="0"/>
        <v>1413.0108935999999</v>
      </c>
      <c r="F5" s="1" t="s">
        <v>98</v>
      </c>
    </row>
    <row r="6" spans="2:9">
      <c r="B6" s="13">
        <f>B5*0.8</f>
        <v>121714.56000000001</v>
      </c>
      <c r="C6" s="12">
        <v>44748</v>
      </c>
      <c r="D6" s="11">
        <v>8054.1620935199981</v>
      </c>
      <c r="E6" s="11">
        <f t="shared" si="0"/>
        <v>1610.8324187039998</v>
      </c>
      <c r="F6" s="1" t="s">
        <v>97</v>
      </c>
      <c r="H6" s="13">
        <v>124300</v>
      </c>
      <c r="I6" s="14" t="str">
        <f>VLOOKUP(H6,Table2[],5)</f>
        <v>Bill Smith</v>
      </c>
    </row>
    <row r="7" spans="2:9">
      <c r="B7" s="13">
        <f>B6*0.9</f>
        <v>109543.10400000001</v>
      </c>
      <c r="C7" s="12">
        <v>44752</v>
      </c>
      <c r="D7" s="11">
        <v>9181.7447866127968</v>
      </c>
      <c r="E7" s="11">
        <f t="shared" si="0"/>
        <v>1836.3489573225595</v>
      </c>
      <c r="F7" s="1" t="s">
        <v>96</v>
      </c>
    </row>
    <row r="8" spans="2:9">
      <c r="B8" s="13">
        <f>B7*1.1</f>
        <v>120497.41440000002</v>
      </c>
      <c r="C8" s="12">
        <v>44755</v>
      </c>
      <c r="D8" s="11">
        <v>10467.189056738587</v>
      </c>
      <c r="E8" s="11">
        <f t="shared" si="0"/>
        <v>2093.4378113477173</v>
      </c>
      <c r="F8" s="1" t="s">
        <v>95</v>
      </c>
    </row>
    <row r="9" spans="2:9">
      <c r="B9" s="13">
        <f>B8*1.02</f>
        <v>122907.36268800002</v>
      </c>
      <c r="C9" s="12">
        <v>44757</v>
      </c>
      <c r="D9" s="11">
        <v>2446.3485000000001</v>
      </c>
      <c r="E9" s="11">
        <f t="shared" si="0"/>
        <v>489.26970000000006</v>
      </c>
      <c r="F9" s="1" t="s">
        <v>94</v>
      </c>
    </row>
    <row r="10" spans="2:9">
      <c r="B10" s="13">
        <f>B9*0.8</f>
        <v>98325.890150400024</v>
      </c>
      <c r="C10" s="12">
        <v>44754</v>
      </c>
      <c r="D10" s="11">
        <v>2690.9833500000004</v>
      </c>
      <c r="E10" s="11">
        <f t="shared" si="0"/>
        <v>538.19667000000015</v>
      </c>
      <c r="F10" s="1" t="s">
        <v>93</v>
      </c>
    </row>
    <row r="11" spans="2:9">
      <c r="B11" s="13">
        <f>B10*0.9</f>
        <v>88493.30113536003</v>
      </c>
      <c r="C11" s="12">
        <v>44756</v>
      </c>
      <c r="D11" s="11">
        <v>2960.0816850000001</v>
      </c>
      <c r="E11" s="11">
        <f t="shared" si="0"/>
        <v>592.01633700000002</v>
      </c>
      <c r="F11" s="1" t="s">
        <v>92</v>
      </c>
    </row>
    <row r="12" spans="2:9">
      <c r="B12" s="13">
        <f>B11*1.1</f>
        <v>97342.631248896039</v>
      </c>
      <c r="C12" s="12">
        <v>44751</v>
      </c>
      <c r="D12" s="11">
        <v>3256.0898535000001</v>
      </c>
      <c r="E12" s="11">
        <f t="shared" si="0"/>
        <v>651.21797070000002</v>
      </c>
      <c r="F12" s="1" t="s">
        <v>91</v>
      </c>
    </row>
    <row r="13" spans="2:9">
      <c r="B13" s="13">
        <f>B12*1.02</f>
        <v>99289.483873873964</v>
      </c>
      <c r="C13" s="12">
        <v>44755</v>
      </c>
      <c r="D13" s="11">
        <v>3581.6988388500008</v>
      </c>
      <c r="E13" s="11">
        <f t="shared" si="0"/>
        <v>716.33976777000021</v>
      </c>
      <c r="F13" s="1" t="s">
        <v>90</v>
      </c>
    </row>
    <row r="14" spans="2:9">
      <c r="B14" s="13">
        <f>B13*0.8</f>
        <v>79431.587099099183</v>
      </c>
      <c r="C14" s="12">
        <v>44758</v>
      </c>
      <c r="D14" s="11">
        <v>3939.8687227350015</v>
      </c>
      <c r="E14" s="11">
        <f t="shared" si="0"/>
        <v>787.97374454700036</v>
      </c>
      <c r="F14" s="1" t="s">
        <v>89</v>
      </c>
    </row>
    <row r="15" spans="2:9">
      <c r="B15" s="13">
        <f>B14*0.9</f>
        <v>71488.42838918927</v>
      </c>
      <c r="C15" s="12">
        <v>44760</v>
      </c>
      <c r="D15" s="11">
        <v>4333.855595008502</v>
      </c>
      <c r="E15" s="11">
        <f t="shared" si="0"/>
        <v>866.77111900170041</v>
      </c>
      <c r="F15" s="1" t="s">
        <v>88</v>
      </c>
    </row>
    <row r="16" spans="2:9">
      <c r="B16" s="13">
        <f>B15*1.1</f>
        <v>78637.271228108206</v>
      </c>
      <c r="C16" s="12">
        <v>44757</v>
      </c>
      <c r="D16" s="11">
        <v>4767.2411545093528</v>
      </c>
      <c r="E16" s="11">
        <f t="shared" si="0"/>
        <v>953.4482309018706</v>
      </c>
      <c r="F16" s="1" t="s">
        <v>87</v>
      </c>
    </row>
    <row r="17" spans="2:6">
      <c r="B17" s="13">
        <f>B16*1.02</f>
        <v>80210.016652670369</v>
      </c>
      <c r="C17" s="12">
        <v>44759</v>
      </c>
      <c r="D17" s="11">
        <v>5243.9652699602884</v>
      </c>
      <c r="E17" s="11">
        <f t="shared" si="0"/>
        <v>1048.7930539920578</v>
      </c>
      <c r="F17" s="1" t="s">
        <v>86</v>
      </c>
    </row>
    <row r="18" spans="2:6">
      <c r="B18" s="13">
        <f>B17*0.8</f>
        <v>64168.013322136299</v>
      </c>
      <c r="C18" s="12">
        <v>44754</v>
      </c>
      <c r="D18" s="11">
        <v>5768.3617969563174</v>
      </c>
      <c r="E18" s="11">
        <f t="shared" si="0"/>
        <v>1153.6723593912636</v>
      </c>
      <c r="F18" s="1" t="s">
        <v>85</v>
      </c>
    </row>
    <row r="19" spans="2:6">
      <c r="B19" s="13">
        <f>B18*0.9</f>
        <v>57751.211989922667</v>
      </c>
      <c r="C19" s="12">
        <v>44758</v>
      </c>
      <c r="D19" s="11">
        <v>5191.525617260686</v>
      </c>
      <c r="E19" s="11">
        <f t="shared" si="0"/>
        <v>1038.3051234521372</v>
      </c>
      <c r="F19" s="1" t="s">
        <v>84</v>
      </c>
    </row>
    <row r="20" spans="2:6">
      <c r="B20" s="13">
        <f>B19*1.1</f>
        <v>63526.333188914941</v>
      </c>
      <c r="C20" s="12">
        <v>44761</v>
      </c>
      <c r="D20" s="11">
        <v>6748.9833024388909</v>
      </c>
      <c r="E20" s="11">
        <f t="shared" si="0"/>
        <v>1349.7966604877784</v>
      </c>
      <c r="F20" s="1" t="s">
        <v>83</v>
      </c>
    </row>
    <row r="21" spans="2:6">
      <c r="B21" s="13">
        <f>B20*1.02</f>
        <v>64796.85985269324</v>
      </c>
      <c r="C21" s="12">
        <v>44763</v>
      </c>
      <c r="D21" s="11">
        <v>8773.6782931705584</v>
      </c>
      <c r="E21" s="11">
        <f t="shared" si="0"/>
        <v>1754.7356586341118</v>
      </c>
      <c r="F21" s="1" t="s">
        <v>82</v>
      </c>
    </row>
    <row r="22" spans="2:6">
      <c r="B22" s="13">
        <f>B21*0.8</f>
        <v>51837.487882154594</v>
      </c>
      <c r="C22" s="12">
        <v>44760</v>
      </c>
      <c r="D22" s="11">
        <v>11405.781781121728</v>
      </c>
      <c r="E22" s="11">
        <f t="shared" si="0"/>
        <v>2281.1563562243459</v>
      </c>
      <c r="F22" s="1" t="s">
        <v>81</v>
      </c>
    </row>
    <row r="23" spans="2:6">
      <c r="B23" s="13">
        <f>B22*0.9</f>
        <v>46653.739093939133</v>
      </c>
      <c r="C23" s="12">
        <v>44762</v>
      </c>
      <c r="D23" s="11">
        <v>6650</v>
      </c>
      <c r="E23" s="11">
        <f t="shared" si="0"/>
        <v>1330</v>
      </c>
      <c r="F23" s="1" t="s">
        <v>80</v>
      </c>
    </row>
    <row r="24" spans="2:6">
      <c r="B24" s="13">
        <f>B23*1.1</f>
        <v>51319.113003333048</v>
      </c>
      <c r="C24" s="12">
        <v>44757</v>
      </c>
      <c r="D24" s="11">
        <v>7341</v>
      </c>
      <c r="E24" s="11">
        <f t="shared" si="0"/>
        <v>1468.2</v>
      </c>
      <c r="F24" s="1" t="s">
        <v>79</v>
      </c>
    </row>
  </sheetData>
  <mergeCells count="1">
    <mergeCell ref="H2:I2"/>
  </mergeCells>
  <pageMargins left="0.7" right="0.7" top="0.75" bottom="0.75" header="0.3" footer="0.3"/>
  <tableParts count="1">
    <tablePart r:id="rId1"/>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C94E3-4E64-4626-8589-503895679473}">
  <dimension ref="B2:J5"/>
  <sheetViews>
    <sheetView showGridLines="0" zoomScale="162" zoomScaleNormal="200" workbookViewId="0">
      <selection activeCell="B12" sqref="B12"/>
    </sheetView>
  </sheetViews>
  <sheetFormatPr defaultColWidth="11.6328125" defaultRowHeight="15.5"/>
  <cols>
    <col min="1" max="1" width="5.08984375" style="1" customWidth="1"/>
    <col min="2" max="2" width="16.90625" style="1" bestFit="1" customWidth="1"/>
    <col min="3" max="10" width="9.6328125" style="1" customWidth="1"/>
    <col min="11" max="16384" width="11.6328125" style="1"/>
  </cols>
  <sheetData>
    <row r="2" spans="2:10">
      <c r="B2" s="24" t="s">
        <v>123</v>
      </c>
      <c r="C2" s="24"/>
      <c r="D2" s="24"/>
      <c r="E2" s="24"/>
      <c r="F2" s="24"/>
      <c r="G2" s="24"/>
      <c r="H2" s="24"/>
      <c r="I2" s="24"/>
      <c r="J2" s="24"/>
    </row>
    <row r="3" spans="2:10" ht="16" thickBot="1">
      <c r="B3" s="23" t="s">
        <v>122</v>
      </c>
      <c r="C3" s="22">
        <v>44927</v>
      </c>
      <c r="D3" s="22">
        <f t="shared" ref="D3:J3" si="0">EDATE(C3,1)</f>
        <v>44958</v>
      </c>
      <c r="E3" s="22">
        <f t="shared" si="0"/>
        <v>44986</v>
      </c>
      <c r="F3" s="22">
        <f t="shared" si="0"/>
        <v>45017</v>
      </c>
      <c r="G3" s="22">
        <f t="shared" si="0"/>
        <v>45047</v>
      </c>
      <c r="H3" s="22">
        <f t="shared" si="0"/>
        <v>45078</v>
      </c>
      <c r="I3" s="22">
        <f t="shared" si="0"/>
        <v>45108</v>
      </c>
      <c r="J3" s="22">
        <f t="shared" si="0"/>
        <v>45139</v>
      </c>
    </row>
    <row r="5" spans="2:10">
      <c r="C5" s="21"/>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CA1D5-2A08-487F-8099-83DF24449471}">
  <dimension ref="B2:J15"/>
  <sheetViews>
    <sheetView showGridLines="0" zoomScale="156" workbookViewId="0">
      <selection activeCell="J6" sqref="J6"/>
    </sheetView>
  </sheetViews>
  <sheetFormatPr defaultColWidth="11.6328125" defaultRowHeight="15.5"/>
  <cols>
    <col min="1" max="1" width="4.36328125" style="1" customWidth="1"/>
    <col min="2" max="2" width="18" style="1" bestFit="1" customWidth="1"/>
    <col min="3" max="3" width="11.08984375" style="1" bestFit="1" customWidth="1"/>
    <col min="4" max="4" width="12" style="1" bestFit="1" customWidth="1"/>
    <col min="5" max="5" width="7.453125" style="1" bestFit="1" customWidth="1"/>
    <col min="6" max="6" width="8.54296875" style="1" bestFit="1" customWidth="1"/>
    <col min="7" max="7" width="12.36328125" style="1" bestFit="1" customWidth="1"/>
    <col min="8" max="8" width="5.81640625" style="1" customWidth="1"/>
    <col min="9" max="9" width="10" style="1" customWidth="1"/>
    <col min="10" max="10" width="9.453125" style="1" customWidth="1"/>
    <col min="11" max="16384" width="11.6328125" style="1"/>
  </cols>
  <sheetData>
    <row r="2" spans="2:10">
      <c r="B2" s="17" t="s">
        <v>121</v>
      </c>
      <c r="C2" s="17" t="s">
        <v>106</v>
      </c>
      <c r="D2" s="17" t="s">
        <v>105</v>
      </c>
      <c r="E2" s="17" t="s">
        <v>120</v>
      </c>
      <c r="F2" s="17" t="s">
        <v>76</v>
      </c>
      <c r="G2" s="17" t="s">
        <v>100</v>
      </c>
      <c r="I2" s="17" t="s">
        <v>120</v>
      </c>
      <c r="J2" s="17" t="s">
        <v>76</v>
      </c>
    </row>
    <row r="3" spans="2:10">
      <c r="B3" s="18" t="s">
        <v>119</v>
      </c>
      <c r="C3" s="13">
        <v>124300</v>
      </c>
      <c r="D3" s="12">
        <v>44754</v>
      </c>
      <c r="E3" s="19">
        <f t="shared" ref="E3:E14" si="0">MONTH(D3)</f>
        <v>7</v>
      </c>
      <c r="F3" s="11">
        <v>5436.33</v>
      </c>
      <c r="G3" s="11">
        <f t="shared" ref="G3:G14" si="1">F3*0.2</f>
        <v>1087.2660000000001</v>
      </c>
      <c r="I3" s="3">
        <v>7</v>
      </c>
      <c r="J3" s="11">
        <f>SUMIFS(Table5[Sales],Table5[Month],I3)</f>
        <v>31022.735618258586</v>
      </c>
    </row>
    <row r="4" spans="2:10">
      <c r="B4" s="18" t="s">
        <v>118</v>
      </c>
      <c r="C4" s="13">
        <f>C3*1.2</f>
        <v>149160</v>
      </c>
      <c r="D4" s="12">
        <v>44721</v>
      </c>
      <c r="E4" s="19">
        <f t="shared" si="0"/>
        <v>6</v>
      </c>
      <c r="F4" s="11">
        <v>6197.4161999999997</v>
      </c>
      <c r="G4" s="11">
        <f t="shared" si="1"/>
        <v>1239.48324</v>
      </c>
    </row>
    <row r="5" spans="2:10">
      <c r="B5" s="18" t="s">
        <v>117</v>
      </c>
      <c r="C5" s="13">
        <f>C4*1.02</f>
        <v>152143.20000000001</v>
      </c>
      <c r="D5" s="12">
        <v>44753</v>
      </c>
      <c r="E5" s="19">
        <f t="shared" si="0"/>
        <v>7</v>
      </c>
      <c r="F5" s="11">
        <v>7065.0544679999994</v>
      </c>
      <c r="G5" s="11">
        <f t="shared" si="1"/>
        <v>1413.0108935999999</v>
      </c>
      <c r="I5" s="17" t="s">
        <v>116</v>
      </c>
      <c r="J5" s="17" t="s">
        <v>76</v>
      </c>
    </row>
    <row r="6" spans="2:10">
      <c r="B6" s="18" t="s">
        <v>115</v>
      </c>
      <c r="C6" s="13">
        <f>C5*0.8</f>
        <v>121714.56000000001</v>
      </c>
      <c r="D6" s="12">
        <v>44748</v>
      </c>
      <c r="E6" s="19">
        <f t="shared" si="0"/>
        <v>7</v>
      </c>
      <c r="F6" s="11">
        <v>8054.1620935199981</v>
      </c>
      <c r="G6" s="11">
        <f t="shared" si="1"/>
        <v>1610.8324187039998</v>
      </c>
      <c r="I6" s="3" t="s">
        <v>112</v>
      </c>
      <c r="J6" s="11">
        <f>SUMIFS(Table5[Sales],Table5[Company],I6&amp;"*")</f>
        <v>33469.084118258586</v>
      </c>
    </row>
    <row r="7" spans="2:10">
      <c r="B7" s="18" t="s">
        <v>114</v>
      </c>
      <c r="C7" s="13">
        <f>C6*0.9</f>
        <v>109543.10400000001</v>
      </c>
      <c r="D7" s="12">
        <v>44661</v>
      </c>
      <c r="E7" s="19">
        <f t="shared" si="0"/>
        <v>4</v>
      </c>
      <c r="F7" s="11">
        <v>9181.7447866127968</v>
      </c>
      <c r="G7" s="11">
        <f t="shared" si="1"/>
        <v>1836.3489573225595</v>
      </c>
    </row>
    <row r="8" spans="2:10">
      <c r="B8" s="18" t="s">
        <v>113</v>
      </c>
      <c r="C8" s="13">
        <f>C7*1.1</f>
        <v>120497.41440000002</v>
      </c>
      <c r="D8" s="12">
        <v>44755</v>
      </c>
      <c r="E8" s="19">
        <f t="shared" si="0"/>
        <v>7</v>
      </c>
      <c r="F8" s="11">
        <v>10467.189056738587</v>
      </c>
      <c r="G8" s="11">
        <f t="shared" si="1"/>
        <v>2093.4378113477173</v>
      </c>
      <c r="J8" s="20"/>
    </row>
    <row r="9" spans="2:10">
      <c r="B9" s="18" t="s">
        <v>112</v>
      </c>
      <c r="C9" s="13">
        <f>C8*1.02</f>
        <v>122907.36268800002</v>
      </c>
      <c r="D9" s="12">
        <v>44666</v>
      </c>
      <c r="E9" s="19">
        <f t="shared" si="0"/>
        <v>4</v>
      </c>
      <c r="F9" s="11">
        <v>2446.3485000000001</v>
      </c>
      <c r="G9" s="11">
        <f t="shared" si="1"/>
        <v>489.26970000000006</v>
      </c>
    </row>
    <row r="10" spans="2:10">
      <c r="B10" s="18" t="s">
        <v>111</v>
      </c>
      <c r="C10" s="13">
        <f>C9*0.8</f>
        <v>98325.890150400024</v>
      </c>
      <c r="D10" s="12">
        <v>44785</v>
      </c>
      <c r="E10" s="19">
        <f t="shared" si="0"/>
        <v>8</v>
      </c>
      <c r="F10" s="11">
        <v>2690.9833500000004</v>
      </c>
      <c r="G10" s="11">
        <f t="shared" si="1"/>
        <v>538.19667000000015</v>
      </c>
    </row>
    <row r="11" spans="2:10">
      <c r="B11" s="18" t="s">
        <v>110</v>
      </c>
      <c r="C11" s="13">
        <f>C10*0.9</f>
        <v>88493.30113536003</v>
      </c>
      <c r="D11" s="12">
        <v>44787</v>
      </c>
      <c r="E11" s="19">
        <f t="shared" si="0"/>
        <v>8</v>
      </c>
      <c r="F11" s="11">
        <v>2960.0816850000001</v>
      </c>
      <c r="G11" s="11">
        <f t="shared" si="1"/>
        <v>592.01633700000002</v>
      </c>
    </row>
    <row r="12" spans="2:10">
      <c r="B12" s="18" t="s">
        <v>109</v>
      </c>
      <c r="C12" s="13">
        <f>C11*1.1</f>
        <v>97342.631248896039</v>
      </c>
      <c r="D12" s="12">
        <v>44813</v>
      </c>
      <c r="E12" s="19">
        <f t="shared" si="0"/>
        <v>9</v>
      </c>
      <c r="F12" s="11">
        <v>3256.0898535000001</v>
      </c>
      <c r="G12" s="11">
        <f t="shared" si="1"/>
        <v>651.21797070000002</v>
      </c>
    </row>
    <row r="13" spans="2:10">
      <c r="B13" s="18" t="s">
        <v>108</v>
      </c>
      <c r="C13" s="13">
        <f>C12*1.02</f>
        <v>99289.483873873964</v>
      </c>
      <c r="D13" s="12">
        <v>44847</v>
      </c>
      <c r="E13" s="19">
        <f t="shared" si="0"/>
        <v>10</v>
      </c>
      <c r="F13" s="11">
        <v>3581.6988388500008</v>
      </c>
      <c r="G13" s="11">
        <f t="shared" si="1"/>
        <v>716.33976777000021</v>
      </c>
    </row>
    <row r="14" spans="2:10">
      <c r="B14" s="18" t="s">
        <v>107</v>
      </c>
      <c r="C14" s="13">
        <f>C13*0.8</f>
        <v>79431.587099099183</v>
      </c>
      <c r="D14" s="12">
        <v>44847</v>
      </c>
      <c r="E14" s="19">
        <f t="shared" si="0"/>
        <v>10</v>
      </c>
      <c r="F14" s="11">
        <v>3939.8687227350015</v>
      </c>
      <c r="G14" s="11">
        <f t="shared" si="1"/>
        <v>787.97374454700036</v>
      </c>
    </row>
    <row r="15" spans="2:10">
      <c r="B15" s="18"/>
      <c r="C15" s="11"/>
      <c r="D15" s="11"/>
      <c r="E15" s="11"/>
      <c r="F15" s="11"/>
      <c r="G15" s="11"/>
    </row>
  </sheetData>
  <pageMargins left="0.7" right="0.7" top="0.75" bottom="0.75" header="0.3" footer="0.3"/>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C504A-3817-4A08-A341-0A922929F99D}">
  <dimension ref="B2:J16"/>
  <sheetViews>
    <sheetView showGridLines="0" zoomScaleNormal="100" workbookViewId="0">
      <selection activeCell="A14" sqref="A14:XFD14"/>
    </sheetView>
  </sheetViews>
  <sheetFormatPr defaultColWidth="11.6328125" defaultRowHeight="15.5"/>
  <cols>
    <col min="1" max="1" width="5.6328125" style="1" customWidth="1"/>
    <col min="2" max="2" width="14.7265625" style="1" customWidth="1"/>
    <col min="3" max="10" width="10.7265625" style="1" customWidth="1"/>
    <col min="11" max="16384" width="11.6328125" style="1"/>
  </cols>
  <sheetData>
    <row r="2" spans="2:10">
      <c r="B2" s="31" t="s">
        <v>132</v>
      </c>
      <c r="C2" s="27" t="s">
        <v>131</v>
      </c>
      <c r="D2" s="27" t="s">
        <v>130</v>
      </c>
      <c r="E2" s="27" t="s">
        <v>129</v>
      </c>
      <c r="F2" s="27" t="s">
        <v>124</v>
      </c>
      <c r="G2" s="27" t="s">
        <v>128</v>
      </c>
      <c r="H2" s="27" t="s">
        <v>127</v>
      </c>
      <c r="I2" s="27" t="s">
        <v>126</v>
      </c>
      <c r="J2" s="27" t="s">
        <v>125</v>
      </c>
    </row>
    <row r="3" spans="2:10" ht="17" customHeight="1">
      <c r="B3" s="30" t="s">
        <v>0</v>
      </c>
      <c r="C3" s="29">
        <v>92799</v>
      </c>
      <c r="D3" s="29">
        <v>100222.92000000001</v>
      </c>
      <c r="E3" s="29">
        <v>130289.79600000002</v>
      </c>
      <c r="F3" s="29">
        <v>110746.32660000001</v>
      </c>
      <c r="G3" s="29">
        <v>104101.54700400001</v>
      </c>
      <c r="H3" s="29">
        <v>116593.73264448001</v>
      </c>
      <c r="I3" s="29">
        <v>130584.98056181763</v>
      </c>
      <c r="J3" s="29">
        <v>146255.17822923575</v>
      </c>
    </row>
    <row r="4" spans="2:10" ht="17" customHeight="1">
      <c r="B4" s="30" t="s">
        <v>74</v>
      </c>
      <c r="C4" s="29">
        <v>666566</v>
      </c>
      <c r="D4" s="29">
        <v>719891.28</v>
      </c>
      <c r="E4" s="29">
        <v>683896.71600000001</v>
      </c>
      <c r="F4" s="29">
        <v>649701.88020000001</v>
      </c>
      <c r="G4" s="29">
        <v>617216.78619000001</v>
      </c>
      <c r="H4" s="29">
        <v>586355.94688049995</v>
      </c>
      <c r="I4" s="29">
        <v>557038.14953647496</v>
      </c>
      <c r="J4" s="29">
        <v>529186.24205965118</v>
      </c>
    </row>
    <row r="5" spans="2:10" ht="17" customHeight="1">
      <c r="B5" s="30" t="s">
        <v>17</v>
      </c>
      <c r="C5" s="29">
        <v>99127</v>
      </c>
      <c r="D5" s="29">
        <v>107057.16</v>
      </c>
      <c r="E5" s="29">
        <v>139174.30800000002</v>
      </c>
      <c r="F5" s="29">
        <v>118298.16180000002</v>
      </c>
      <c r="G5" s="29">
        <v>111200.27209200001</v>
      </c>
      <c r="H5" s="29">
        <v>124544.30474304003</v>
      </c>
      <c r="I5" s="29">
        <v>107057.16</v>
      </c>
      <c r="J5" s="29">
        <v>139174.30800000002</v>
      </c>
    </row>
    <row r="6" spans="2:10" ht="17" customHeight="1">
      <c r="B6" s="30" t="s">
        <v>73</v>
      </c>
      <c r="C6" s="29">
        <v>65468</v>
      </c>
      <c r="D6" s="29">
        <v>70705.440000000002</v>
      </c>
      <c r="E6" s="29">
        <v>91917.072</v>
      </c>
      <c r="F6" s="29">
        <v>78129.511199999994</v>
      </c>
      <c r="G6" s="29">
        <v>73441.740527999995</v>
      </c>
      <c r="H6" s="29">
        <v>82254.749391360005</v>
      </c>
      <c r="I6" s="29">
        <v>90480.224330496014</v>
      </c>
      <c r="J6" s="29">
        <v>99528.246763545627</v>
      </c>
    </row>
    <row r="7" spans="2:10" ht="17" customHeight="1">
      <c r="B7" s="30" t="s">
        <v>72</v>
      </c>
      <c r="C7" s="29">
        <v>18856</v>
      </c>
      <c r="D7" s="29">
        <v>20364.48</v>
      </c>
      <c r="E7" s="29">
        <v>26473.824000000001</v>
      </c>
      <c r="F7" s="29">
        <v>22502.750400000001</v>
      </c>
      <c r="G7" s="29">
        <v>21152.585375999999</v>
      </c>
      <c r="H7" s="29">
        <v>23690.895621120002</v>
      </c>
      <c r="I7" s="29">
        <v>20137.261277952002</v>
      </c>
      <c r="J7" s="29">
        <v>17116.672086259201</v>
      </c>
    </row>
    <row r="8" spans="2:10" ht="17" customHeight="1">
      <c r="B8" s="30" t="s">
        <v>71</v>
      </c>
      <c r="C8" s="29">
        <v>7648</v>
      </c>
      <c r="D8" s="29">
        <v>8259.84</v>
      </c>
      <c r="E8" s="29">
        <v>10737.792000000001</v>
      </c>
      <c r="F8" s="29">
        <v>9127.1232</v>
      </c>
      <c r="G8" s="29">
        <v>8579.4958079999997</v>
      </c>
      <c r="H8" s="29">
        <v>9609.0353049599998</v>
      </c>
      <c r="I8" s="29">
        <v>10089.487070208001</v>
      </c>
      <c r="J8" s="29">
        <v>10190.381940910082</v>
      </c>
    </row>
    <row r="9" spans="2:10" ht="17" customHeight="1">
      <c r="B9" s="30" t="s">
        <v>70</v>
      </c>
      <c r="C9" s="29">
        <v>9865</v>
      </c>
      <c r="D9" s="29">
        <v>10654.2</v>
      </c>
      <c r="E9" s="29">
        <v>13850.460000000001</v>
      </c>
      <c r="F9" s="29">
        <v>11772.891</v>
      </c>
      <c r="G9" s="29">
        <v>11066.517539999999</v>
      </c>
      <c r="H9" s="29">
        <v>12394.4996448</v>
      </c>
      <c r="I9" s="29">
        <v>9865</v>
      </c>
      <c r="J9" s="29">
        <v>10654.2</v>
      </c>
    </row>
    <row r="10" spans="2:10" ht="17" customHeight="1">
      <c r="B10" s="30" t="s">
        <v>69</v>
      </c>
      <c r="C10" s="29">
        <v>11061</v>
      </c>
      <c r="D10" s="29">
        <v>11945.880000000001</v>
      </c>
      <c r="E10" s="29">
        <v>15529.644000000002</v>
      </c>
      <c r="F10" s="29">
        <v>13200.197400000001</v>
      </c>
      <c r="G10" s="29">
        <v>12408.185556</v>
      </c>
      <c r="H10" s="29">
        <v>13897.167822720001</v>
      </c>
      <c r="I10" s="29">
        <v>11061</v>
      </c>
      <c r="J10" s="29">
        <v>11945.880000000001</v>
      </c>
    </row>
    <row r="11" spans="2:10" ht="17" customHeight="1">
      <c r="B11" s="30" t="s">
        <v>32</v>
      </c>
      <c r="C11" s="29">
        <v>78305</v>
      </c>
      <c r="D11" s="29">
        <v>84569.400000000009</v>
      </c>
      <c r="E11" s="29">
        <v>109940.22000000002</v>
      </c>
      <c r="F11" s="29">
        <v>93449.187000000005</v>
      </c>
      <c r="G11" s="29">
        <v>87842.235780000003</v>
      </c>
      <c r="H11" s="29">
        <v>98383.304073600011</v>
      </c>
      <c r="I11" s="29">
        <v>96415.637992128002</v>
      </c>
      <c r="J11" s="29">
        <v>94487.325232285439</v>
      </c>
    </row>
    <row r="13" spans="2:10">
      <c r="B13" s="28" t="s">
        <v>62</v>
      </c>
      <c r="C13" s="27" t="s">
        <v>120</v>
      </c>
      <c r="D13" s="27" t="s">
        <v>76</v>
      </c>
    </row>
    <row r="14" spans="2:10">
      <c r="B14" s="26" t="s">
        <v>69</v>
      </c>
      <c r="C14" s="3" t="s">
        <v>124</v>
      </c>
      <c r="D14" s="25">
        <f>INDEX(Table3[[January]:[August]],MATCH(B14,Table3[Regional Sales],'Q1'!C110),MATCH(C14,Table3[[#Headers],[January]:[August]],0))</f>
        <v>13200.197400000001</v>
      </c>
    </row>
    <row r="15" spans="2:10">
      <c r="D15" s="1" cm="1">
        <f t="array" ref="D15">INDEX(Table3[[January]:[August]],D16,2)</f>
        <v>11945.880000000001</v>
      </c>
    </row>
    <row r="16" spans="2:10">
      <c r="D16" s="1">
        <f>MATCH(B14,Table3[Regional Sales],0)</f>
        <v>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91</vt:i4>
      </vt:variant>
      <vt:variant>
        <vt:lpstr>Named Ranges</vt:lpstr>
      </vt:variant>
      <vt:variant>
        <vt:i4>19</vt:i4>
      </vt:variant>
    </vt:vector>
  </HeadingPairs>
  <TitlesOfParts>
    <vt:vector size="110" baseType="lpstr">
      <vt:lpstr>SEQUENCE</vt:lpstr>
      <vt:lpstr>different date change chart</vt:lpstr>
      <vt:lpstr>LARGE</vt:lpstr>
      <vt:lpstr>lista obecnosci</vt:lpstr>
      <vt:lpstr>auto expand drop down list</vt:lpstr>
      <vt:lpstr>Forecasting Model</vt:lpstr>
      <vt:lpstr>clean</vt:lpstr>
      <vt:lpstr>duplikaty</vt:lpstr>
      <vt:lpstr>do dokonczenia, szukanie liczb </vt:lpstr>
      <vt:lpstr>Aggregate</vt:lpstr>
      <vt:lpstr>Stock History</vt:lpstr>
      <vt:lpstr>Goal Seek</vt:lpstr>
      <vt:lpstr>FV &amp; PV</vt:lpstr>
      <vt:lpstr>finansowe statystki</vt:lpstr>
      <vt:lpstr>Level 2 a</vt:lpstr>
      <vt:lpstr>Edate (2)</vt:lpstr>
      <vt:lpstr>choose</vt:lpstr>
      <vt:lpstr>iferror (2)</vt:lpstr>
      <vt:lpstr>Data Type</vt:lpstr>
      <vt:lpstr>xirr &amp; xnpv</vt:lpstr>
      <vt:lpstr>sumifs z nazwiskami</vt:lpstr>
      <vt:lpstr>define name - formulas^</vt:lpstr>
      <vt:lpstr>maile</vt:lpstr>
      <vt:lpstr>data - stocks company</vt:lpstr>
      <vt:lpstr>conditional format</vt:lpstr>
      <vt:lpstr>textsplit</vt:lpstr>
      <vt:lpstr>uniqeblabla</vt:lpstr>
      <vt:lpstr>Level 5 b</vt:lpstr>
      <vt:lpstr>Sparklines</vt:lpstr>
      <vt:lpstr>offset&amp;match</vt:lpstr>
      <vt:lpstr>subsitute, value</vt:lpstr>
      <vt:lpstr>switch_sum</vt:lpstr>
      <vt:lpstr>switch_true</vt:lpstr>
      <vt:lpstr>date functions</vt:lpstr>
      <vt:lpstr>let_advanced</vt:lpstr>
      <vt:lpstr>LET</vt:lpstr>
      <vt:lpstr>xlookup&amp;wildcard</vt:lpstr>
      <vt:lpstr>form,addingnewdatatotable</vt:lpstr>
      <vt:lpstr>byrow,byrowdynamic</vt:lpstr>
      <vt:lpstr>bycol dynamic</vt:lpstr>
      <vt:lpstr>tocol_torow</vt:lpstr>
      <vt:lpstr>textafter_text before</vt:lpstr>
      <vt:lpstr>ifs</vt:lpstr>
      <vt:lpstr>filter multi criteria</vt:lpstr>
      <vt:lpstr>Filter and choose</vt:lpstr>
      <vt:lpstr>what if. ile trzeba by</vt:lpstr>
      <vt:lpstr>combin,combina</vt:lpstr>
      <vt:lpstr>countifs</vt:lpstr>
      <vt:lpstr>maxif_minif_mulitcriteria</vt:lpstr>
      <vt:lpstr>index,match,match</vt:lpstr>
      <vt:lpstr>probabbility, fact,permut,produ</vt:lpstr>
      <vt:lpstr>xlookup_widerange</vt:lpstr>
      <vt:lpstr>xllokup_first to last</vt:lpstr>
      <vt:lpstr>xlookup kilka warunkow</vt:lpstr>
      <vt:lpstr>IFERROR</vt:lpstr>
      <vt:lpstr>Findings</vt:lpstr>
      <vt:lpstr>Analyze</vt:lpstr>
      <vt:lpstr>uniqe+count values</vt:lpstr>
      <vt:lpstr>Filter multiplay criteria</vt:lpstr>
      <vt:lpstr>vlookup</vt:lpstr>
      <vt:lpstr>highlight lowest cells</vt:lpstr>
      <vt:lpstr>horizontal bar chart</vt:lpstr>
      <vt:lpstr>highlight chart</vt:lpstr>
      <vt:lpstr>to do list</vt:lpstr>
      <vt:lpstr>if &amp; and</vt:lpstr>
      <vt:lpstr>vertical values, dynamic chart</vt:lpstr>
      <vt:lpstr>top3lowest3</vt:lpstr>
      <vt:lpstr>dynamicchangechart</vt:lpstr>
      <vt:lpstr>Analysis</vt:lpstr>
      <vt:lpstr>Q1</vt:lpstr>
      <vt:lpstr>Q2</vt:lpstr>
      <vt:lpstr>Q3</vt:lpstr>
      <vt:lpstr>what if</vt:lpstr>
      <vt:lpstr>Xlookup &amp; sumifs</vt:lpstr>
      <vt:lpstr>Search bar</vt:lpstr>
      <vt:lpstr>v_xlookup_index_Match</vt:lpstr>
      <vt:lpstr>Visualize</vt:lpstr>
      <vt:lpstr>sort&amp;filter</vt:lpstr>
      <vt:lpstr>Calculate</vt:lpstr>
      <vt:lpstr>Cleanup</vt:lpstr>
      <vt:lpstr>LEFT MID RIGHT</vt:lpstr>
      <vt:lpstr>Filter</vt:lpstr>
      <vt:lpstr>Loan Schedule</vt:lpstr>
      <vt:lpstr>NPV &amp; IRR</vt:lpstr>
      <vt:lpstr>PV &amp; FV</vt:lpstr>
      <vt:lpstr>sort_filter_small_large</vt:lpstr>
      <vt:lpstr>Concatenate</vt:lpstr>
      <vt:lpstr>XLOOKUP</vt:lpstr>
      <vt:lpstr>Edate</vt:lpstr>
      <vt:lpstr>SUMIFS</vt:lpstr>
      <vt:lpstr>IndexMatch</vt:lpstr>
      <vt:lpstr>April</vt:lpstr>
      <vt:lpstr>August</vt:lpstr>
      <vt:lpstr>Cost</vt:lpstr>
      <vt:lpstr>December</vt:lpstr>
      <vt:lpstr>Donations</vt:lpstr>
      <vt:lpstr>February</vt:lpstr>
      <vt:lpstr>January</vt:lpstr>
      <vt:lpstr>July</vt:lpstr>
      <vt:lpstr>June</vt:lpstr>
      <vt:lpstr>March</vt:lpstr>
      <vt:lpstr>May</vt:lpstr>
      <vt:lpstr>Not_Online</vt:lpstr>
      <vt:lpstr>November</vt:lpstr>
      <vt:lpstr>October</vt:lpstr>
      <vt:lpstr>Online</vt:lpstr>
      <vt:lpstr>Revenue</vt:lpstr>
      <vt:lpstr>September</vt:lpstr>
      <vt:lpstr>unit</vt:lpstr>
      <vt:lpstr>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Dominika Morawska</dc:creator>
  <cp:lastModifiedBy>Jakub Szwajkos</cp:lastModifiedBy>
  <dcterms:created xsi:type="dcterms:W3CDTF">2023-08-13T11:36:35Z</dcterms:created>
  <dcterms:modified xsi:type="dcterms:W3CDTF">2023-10-24T15:33:54Z</dcterms:modified>
</cp:coreProperties>
</file>