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VUT\4. semestr\KAJ\Semestralka\kaj-semestralni-prace\"/>
    </mc:Choice>
  </mc:AlternateContent>
  <xr:revisionPtr revIDLastSave="0" documentId="13_ncr:1_{6E453AF9-34A6-4349-90D6-02D7DEE25D5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" sheetId="1" r:id="rId1"/>
    <sheet name="data" sheetId="2" r:id="rId2"/>
    <sheet name="Sheet4" sheetId="3" r:id="rId3"/>
    <sheet name="Sheet5" sheetId="4" r:id="rId4"/>
    <sheet name="Sheet6" sheetId="5" r:id="rId5"/>
    <sheet name="Sheet7" sheetId="6" r:id="rId6"/>
    <sheet name="Sheet8" sheetId="7" r:id="rId7"/>
    <sheet name="Sheet9" sheetId="8" r:id="rId8"/>
    <sheet name="Sheet10" sheetId="9" r:id="rId9"/>
    <sheet name="Sheet11" sheetId="10" r:id="rId10"/>
    <sheet name="Sheet12" sheetId="11" r:id="rId11"/>
    <sheet name="Sheet13" sheetId="12" r:id="rId12"/>
    <sheet name="Sheet14" sheetId="13" r:id="rId13"/>
    <sheet name="Sheet15" sheetId="14" r:id="rId14"/>
    <sheet name="Sheet16" sheetId="15" r:id="rId1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J16" i="1"/>
  <c r="S15" i="1"/>
  <c r="R2" i="1" s="1"/>
  <c r="R6" i="1" s="1"/>
  <c r="S13" i="1"/>
  <c r="J14" i="1"/>
  <c r="B18" i="1"/>
  <c r="B10" i="1" s="1"/>
  <c r="H18" i="1"/>
  <c r="H10" i="1" s="1"/>
  <c r="I18" i="1"/>
  <c r="I10" i="1" s="1"/>
  <c r="J18" i="1"/>
  <c r="J10" i="1" s="1"/>
  <c r="K18" i="1"/>
  <c r="K10" i="1" s="1"/>
  <c r="L18" i="1"/>
  <c r="L10" i="1" s="1"/>
  <c r="M18" i="1"/>
  <c r="M10" i="1" s="1"/>
  <c r="N18" i="1"/>
  <c r="N10" i="1" s="1"/>
  <c r="O18" i="1"/>
  <c r="O10" i="1" s="1"/>
  <c r="P18" i="1"/>
  <c r="P10" i="1" s="1"/>
  <c r="Q18" i="1"/>
  <c r="Q10" i="1" s="1"/>
  <c r="R18" i="1"/>
  <c r="R10" i="1" s="1"/>
  <c r="C18" i="1"/>
  <c r="C10" i="1" s="1"/>
  <c r="D18" i="1"/>
  <c r="D10" i="1" s="1"/>
  <c r="E18" i="1"/>
  <c r="E10" i="1" s="1"/>
  <c r="F18" i="1"/>
  <c r="F10" i="1" s="1"/>
  <c r="G18" i="1"/>
  <c r="G10" i="1" s="1"/>
  <c r="A18" i="1"/>
  <c r="A10" i="1" s="1"/>
  <c r="R4" i="1"/>
  <c r="R5" i="1" s="1"/>
  <c r="J15" i="1" l="1"/>
  <c r="J13" i="1" s="1"/>
  <c r="B28" i="2" s="1"/>
  <c r="S14" i="1"/>
  <c r="R7" i="1"/>
  <c r="S6" i="1" s="1"/>
  <c r="B25" i="2" l="1"/>
  <c r="B29" i="2"/>
  <c r="R3" i="1" s="1"/>
  <c r="B26" i="2" l="1"/>
  <c r="B27" i="2" s="1"/>
  <c r="S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Zemlicka, Pavel</author>
  </authors>
  <commentList>
    <comment ref="A3" authorId="0" shapeId="0" xr:uid="{46009E67-2A45-462F-8CB6-60F9D1A0FEDB}">
      <text>
        <r>
          <rPr>
            <b/>
            <sz val="9"/>
            <color indexed="81"/>
            <rFont val="Tahoma"/>
            <family val="2"/>
            <charset val="238"/>
          </rPr>
          <t>Zemlicka, Pavel:</t>
        </r>
        <r>
          <rPr>
            <sz val="9"/>
            <color indexed="81"/>
            <rFont val="Tahoma"/>
            <family val="2"/>
            <charset val="238"/>
          </rPr>
          <t xml:space="preserve">
změnit jednotky na kg/h na stránce aplikace, jinak počítat se dá s l/h s tím, že se uvažuje kg=l</t>
        </r>
      </text>
    </comment>
    <comment ref="J10" authorId="0" shapeId="0" xr:uid="{3F6AB5BD-E877-4970-A4CC-DD57FC0A67B4}">
      <text>
        <r>
          <rPr>
            <b/>
            <sz val="9"/>
            <color indexed="81"/>
            <rFont val="Tahoma"/>
            <family val="2"/>
            <charset val="238"/>
          </rPr>
          <t>Zemlicka, Pavel:</t>
        </r>
        <r>
          <rPr>
            <sz val="9"/>
            <color indexed="81"/>
            <rFont val="Tahoma"/>
            <family val="2"/>
            <charset val="238"/>
          </rPr>
          <t xml:space="preserve">
Vložit dimenzi 125</t>
        </r>
      </text>
    </comment>
  </commentList>
</comments>
</file>

<file path=xl/sharedStrings.xml><?xml version="1.0" encoding="utf-8"?>
<sst xmlns="http://schemas.openxmlformats.org/spreadsheetml/2006/main" count="58" uniqueCount="42">
  <si>
    <t>Pipe Material (HG BMS, MG BMS, GMS, Cu, Other)</t>
  </si>
  <si>
    <t>Results</t>
  </si>
  <si>
    <t>Nominal Pipe Dia (mm)</t>
  </si>
  <si>
    <t>Velocity (m/s)</t>
  </si>
  <si>
    <t>Vol Flow (l/s)</t>
  </si>
  <si>
    <t>Pr. Drop (Pa/m)/Eq L (m)</t>
  </si>
  <si>
    <t>Percentage Glycol (%)</t>
  </si>
  <si>
    <t>Specific Heat Capacity</t>
  </si>
  <si>
    <t>Flow Temperature (deg C)</t>
  </si>
  <si>
    <t>Calculated Vol Flow (l/s)</t>
  </si>
  <si>
    <t>Return Temperature (deg C)</t>
  </si>
  <si>
    <t xml:space="preserve">Selection meets CIBSE </t>
  </si>
  <si>
    <t>Load (kW)</t>
  </si>
  <si>
    <t>Criteria</t>
  </si>
  <si>
    <t>Approximate Sizing Guide</t>
  </si>
  <si>
    <t>Reynolds Number</t>
  </si>
  <si>
    <t>Relative Density</t>
  </si>
  <si>
    <t xml:space="preserve">Kinematic Viscosity </t>
  </si>
  <si>
    <t>Relative Pipe Roughness</t>
  </si>
  <si>
    <t>Absolute Viscosity</t>
  </si>
  <si>
    <t>Internal Pipe Dia (mm)</t>
  </si>
  <si>
    <t>Absolute Pipe Roughness (mm)</t>
  </si>
  <si>
    <t>DN</t>
  </si>
  <si>
    <t>Internal Bore (mm)</t>
  </si>
  <si>
    <t>HG BMS</t>
  </si>
  <si>
    <t>MG BMS</t>
  </si>
  <si>
    <t>GMS</t>
  </si>
  <si>
    <t>Cu</t>
  </si>
  <si>
    <t>NA</t>
  </si>
  <si>
    <t>Other</t>
  </si>
  <si>
    <t>Absolute Roughness (mm)</t>
  </si>
  <si>
    <t>Pressure Drop (Pa/m)</t>
  </si>
  <si>
    <t>Laminar flow</t>
  </si>
  <si>
    <t>Uses Darcy Equ'n for Laminar flow</t>
  </si>
  <si>
    <t>Flow Factor</t>
  </si>
  <si>
    <t>Intermediate flow</t>
  </si>
  <si>
    <t>Calculates Darcy's Coefficient for Intermediate flow</t>
  </si>
  <si>
    <t>Uses Darcy Equ'n for Intermediate flow</t>
  </si>
  <si>
    <t>Turbulent</t>
  </si>
  <si>
    <t>Calculates Darcy's Coefficient for turbulent flow</t>
  </si>
  <si>
    <t>Uses Darcy Equ'n for Turbulent flow</t>
  </si>
  <si>
    <t>Hg 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</si>
</sst>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0"/>
      <name val="Arial"/>
    </font>
    <font>
      <strike/>
      <sz val="10"/>
      <name val="Arial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Continuous"/>
    </xf>
    <xf numFmtId="0" fontId="0" fillId="0" borderId="0" xfId="0" applyAlignment="1"/>
    <xf numFmtId="1" fontId="0" fillId="0" borderId="0" xfId="0" applyNumberFormat="1" applyAlignment="1">
      <alignment horizontal="centerContinuous"/>
    </xf>
    <xf numFmtId="2" fontId="0" fillId="0" borderId="0" xfId="0" applyNumberFormat="1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Continuous"/>
    </xf>
    <xf numFmtId="2" fontId="0" fillId="0" borderId="4" xfId="0" applyNumberFormat="1" applyBorder="1" applyAlignment="1">
      <alignment horizontal="centerContinuous"/>
    </xf>
    <xf numFmtId="1" fontId="0" fillId="0" borderId="1" xfId="0" applyNumberForma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1" xfId="0" applyBorder="1" applyAlignment="1">
      <alignment horizontal="centerContinuous"/>
    </xf>
    <xf numFmtId="1" fontId="0" fillId="0" borderId="0" xfId="0" applyNumberFormat="1" applyAlignment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Continuous"/>
    </xf>
    <xf numFmtId="0" fontId="0" fillId="0" borderId="7" xfId="0" applyBorder="1" applyAlignment="1">
      <alignment horizontal="centerContinuous" wrapText="1"/>
    </xf>
    <xf numFmtId="0" fontId="0" fillId="0" borderId="8" xfId="0" applyBorder="1" applyAlignment="1">
      <alignment horizontal="centerContinuous" wrapText="1"/>
    </xf>
    <xf numFmtId="0" fontId="0" fillId="0" borderId="10" xfId="0" applyBorder="1" applyAlignment="1">
      <alignment horizontal="centerContinuous"/>
    </xf>
    <xf numFmtId="0" fontId="0" fillId="0" borderId="16" xfId="0" applyBorder="1" applyAlignment="1">
      <alignment horizontal="centerContinuous" wrapText="1"/>
    </xf>
    <xf numFmtId="0" fontId="0" fillId="0" borderId="25" xfId="0" applyBorder="1" applyAlignment="1"/>
    <xf numFmtId="0" fontId="0" fillId="0" borderId="26" xfId="0" applyBorder="1"/>
    <xf numFmtId="0" fontId="0" fillId="0" borderId="26" xfId="0" applyBorder="1" applyAlignment="1">
      <alignment wrapText="1"/>
    </xf>
    <xf numFmtId="0" fontId="0" fillId="0" borderId="27" xfId="0" applyBorder="1"/>
    <xf numFmtId="165" fontId="0" fillId="0" borderId="12" xfId="0" applyNumberFormat="1" applyBorder="1" applyAlignment="1">
      <alignment horizontal="centerContinuous"/>
    </xf>
    <xf numFmtId="0" fontId="0" fillId="0" borderId="9" xfId="0" applyBorder="1" applyAlignment="1" applyProtection="1">
      <alignment horizontal="centerContinuous"/>
      <protection locked="0"/>
    </xf>
    <xf numFmtId="0" fontId="0" fillId="2" borderId="11" xfId="0" applyFill="1" applyBorder="1"/>
    <xf numFmtId="0" fontId="0" fillId="2" borderId="2" xfId="0" applyFill="1" applyBorder="1"/>
    <xf numFmtId="0" fontId="0" fillId="2" borderId="17" xfId="0" applyFill="1" applyBorder="1"/>
    <xf numFmtId="0" fontId="0" fillId="2" borderId="4" xfId="0" applyFill="1" applyBorder="1" applyAlignment="1" applyProtection="1">
      <alignment horizontal="centerContinuous"/>
      <protection locked="0"/>
    </xf>
    <xf numFmtId="0" fontId="0" fillId="2" borderId="12" xfId="0" applyFill="1" applyBorder="1" applyAlignment="1">
      <alignment horizontal="centerContinuous"/>
    </xf>
    <xf numFmtId="0" fontId="0" fillId="2" borderId="3" xfId="0" applyFill="1" applyBorder="1"/>
    <xf numFmtId="2" fontId="0" fillId="2" borderId="28" xfId="0" applyNumberFormat="1" applyFill="1" applyBorder="1" applyAlignment="1">
      <alignment horizontal="centerContinuous"/>
    </xf>
    <xf numFmtId="1" fontId="0" fillId="2" borderId="31" xfId="0" applyNumberFormat="1" applyFill="1" applyBorder="1" applyAlignment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0" xfId="0" applyFill="1"/>
    <xf numFmtId="0" fontId="0" fillId="2" borderId="28" xfId="0" applyFill="1" applyBorder="1" applyAlignment="1">
      <alignment horizontal="centerContinuous"/>
    </xf>
    <xf numFmtId="0" fontId="0" fillId="2" borderId="9" xfId="0" applyFill="1" applyBorder="1" applyAlignment="1">
      <alignment horizontal="centerContinuous"/>
    </xf>
    <xf numFmtId="0" fontId="0" fillId="2" borderId="10" xfId="0" applyFill="1" applyBorder="1" applyAlignment="1">
      <alignment horizontal="centerContinuous"/>
    </xf>
    <xf numFmtId="0" fontId="0" fillId="2" borderId="29" xfId="0" applyFill="1" applyBorder="1"/>
    <xf numFmtId="0" fontId="0" fillId="2" borderId="30" xfId="0" applyFill="1" applyBorder="1"/>
    <xf numFmtId="0" fontId="0" fillId="2" borderId="15" xfId="0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18" xfId="0" applyFont="1" applyBorder="1"/>
    <xf numFmtId="0" fontId="1" fillId="0" borderId="30" xfId="0" applyFont="1" applyBorder="1" applyAlignment="1" applyProtection="1">
      <alignment horizontal="centerContinuous"/>
      <protection locked="0"/>
    </xf>
    <xf numFmtId="0" fontId="1" fillId="0" borderId="15" xfId="0" applyFont="1" applyBorder="1" applyAlignment="1">
      <alignment horizontal="centerContinuous"/>
    </xf>
    <xf numFmtId="0" fontId="1" fillId="0" borderId="7" xfId="0" applyFont="1" applyBorder="1"/>
    <xf numFmtId="0" fontId="1" fillId="0" borderId="8" xfId="0" applyFont="1" applyBorder="1"/>
    <xf numFmtId="0" fontId="1" fillId="0" borderId="16" xfId="0" applyFont="1" applyBorder="1"/>
    <xf numFmtId="0" fontId="1" fillId="0" borderId="9" xfId="0" applyFont="1" applyBorder="1" applyAlignment="1" applyProtection="1">
      <alignment horizontal="centerContinuous"/>
      <protection locked="0"/>
    </xf>
    <xf numFmtId="0" fontId="1" fillId="0" borderId="10" xfId="0" applyFont="1" applyBorder="1" applyAlignment="1">
      <alignment horizontal="centerContinuous"/>
    </xf>
    <xf numFmtId="0" fontId="1" fillId="0" borderId="11" xfId="0" applyFont="1" applyBorder="1"/>
    <xf numFmtId="0" fontId="1" fillId="0" borderId="2" xfId="0" applyFont="1" applyBorder="1"/>
    <xf numFmtId="0" fontId="1" fillId="0" borderId="3" xfId="0" applyFont="1" applyBorder="1"/>
    <xf numFmtId="2" fontId="1" fillId="0" borderId="31" xfId="0" applyNumberFormat="1" applyFont="1" applyBorder="1" applyAlignment="1">
      <alignment horizontal="centerContinuous"/>
    </xf>
    <xf numFmtId="0" fontId="1" fillId="0" borderId="12" xfId="0" applyFont="1" applyBorder="1" applyAlignment="1">
      <alignment horizontal="centerContinuous"/>
    </xf>
    <xf numFmtId="0" fontId="1" fillId="0" borderId="19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9" xfId="0" applyFont="1" applyBorder="1" applyAlignment="1"/>
    <xf numFmtId="0" fontId="1" fillId="0" borderId="20" xfId="0" applyFont="1" applyBorder="1" applyAlignment="1">
      <alignment horizontal="centerContinuous"/>
    </xf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1" xfId="0" applyFont="1" applyBorder="1" applyAlignment="1"/>
    <xf numFmtId="0" fontId="1" fillId="0" borderId="24" xfId="0" applyFont="1" applyBorder="1" applyAlignment="1"/>
    <xf numFmtId="0" fontId="0" fillId="2" borderId="11" xfId="0" applyFill="1" applyBorder="1" applyAlignment="1" applyProtection="1">
      <alignment horizontal="center"/>
      <protection locked="0"/>
    </xf>
    <xf numFmtId="0" fontId="0" fillId="2" borderId="17" xfId="0" applyFill="1" applyBorder="1" applyAlignment="1" applyProtection="1">
      <alignment horizontal="center"/>
      <protection locked="0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zoomScale="175" zoomScaleNormal="175" workbookViewId="0">
      <selection activeCell="I4" sqref="I4"/>
    </sheetView>
  </sheetViews>
  <sheetFormatPr defaultRowHeight="12.75" x14ac:dyDescent="0.2"/>
  <cols>
    <col min="1" max="1" width="3" customWidth="1"/>
    <col min="2" max="4" width="2.85546875" customWidth="1"/>
    <col min="5" max="5" width="3" customWidth="1"/>
    <col min="6" max="6" width="3.5703125" customWidth="1"/>
    <col min="7" max="8" width="3.140625" customWidth="1"/>
    <col min="9" max="9" width="3.42578125" customWidth="1"/>
    <col min="10" max="17" width="4" customWidth="1"/>
    <col min="18" max="18" width="5" customWidth="1"/>
    <col min="19" max="19" width="3.5703125" bestFit="1" customWidth="1"/>
    <col min="20" max="20" width="4.42578125" customWidth="1"/>
    <col min="21" max="21" width="6.7109375" customWidth="1"/>
  </cols>
  <sheetData>
    <row r="1" spans="1:21" ht="26.25" thickBot="1" x14ac:dyDescent="0.25">
      <c r="A1" s="21" t="s">
        <v>0</v>
      </c>
      <c r="B1" s="22"/>
      <c r="C1" s="22"/>
      <c r="D1" s="22"/>
      <c r="E1" s="22"/>
      <c r="F1" s="22"/>
      <c r="G1" s="22"/>
      <c r="H1" s="24"/>
      <c r="I1" s="30" t="s">
        <v>41</v>
      </c>
      <c r="J1" s="23"/>
      <c r="K1" s="6"/>
      <c r="L1" s="25" t="s">
        <v>1</v>
      </c>
      <c r="M1" s="26"/>
      <c r="N1" s="27"/>
      <c r="O1" s="27"/>
      <c r="P1" s="26"/>
      <c r="Q1" s="26"/>
      <c r="R1" s="26"/>
      <c r="S1" s="28"/>
    </row>
    <row r="2" spans="1:21" x14ac:dyDescent="0.2">
      <c r="A2" s="31" t="s">
        <v>2</v>
      </c>
      <c r="B2" s="32"/>
      <c r="C2" s="32"/>
      <c r="D2" s="32"/>
      <c r="E2" s="32"/>
      <c r="F2" s="32"/>
      <c r="G2" s="32"/>
      <c r="H2" s="33"/>
      <c r="I2" s="74">
        <v>65</v>
      </c>
      <c r="J2" s="75"/>
      <c r="K2" s="6"/>
      <c r="L2" s="31" t="s">
        <v>3</v>
      </c>
      <c r="M2" s="32"/>
      <c r="N2" s="32"/>
      <c r="O2" s="32"/>
      <c r="P2" s="32"/>
      <c r="Q2" s="36"/>
      <c r="R2" s="37">
        <f>(I3/1000)/(3.14159*(S15/2000)^2)</f>
        <v>56.72713834687039</v>
      </c>
      <c r="S2" s="23"/>
      <c r="T2" s="6"/>
    </row>
    <row r="3" spans="1:21" x14ac:dyDescent="0.2">
      <c r="A3" s="31" t="s">
        <v>4</v>
      </c>
      <c r="B3" s="32"/>
      <c r="C3" s="32"/>
      <c r="D3" s="32"/>
      <c r="E3" s="32"/>
      <c r="F3" s="32"/>
      <c r="G3" s="32"/>
      <c r="H3" s="33"/>
      <c r="I3" s="74">
        <v>200</v>
      </c>
      <c r="J3" s="75"/>
      <c r="K3" s="6"/>
      <c r="L3" s="31" t="s">
        <v>5</v>
      </c>
      <c r="M3" s="32"/>
      <c r="N3" s="32"/>
      <c r="O3" s="32"/>
      <c r="P3" s="32"/>
      <c r="Q3" s="36"/>
      <c r="R3" s="38">
        <f>IF(J13&lt;2300,data!B25,IF(J13&lt;3500,data!B27,data!B29))</f>
        <v>430839.71949527663</v>
      </c>
      <c r="S3" s="29">
        <f>(0.5*S13*1000*R2^2)/R3</f>
        <v>3.7287055783927281</v>
      </c>
      <c r="T3" s="6"/>
    </row>
    <row r="4" spans="1:21" x14ac:dyDescent="0.2">
      <c r="A4" s="31" t="s">
        <v>6</v>
      </c>
      <c r="B4" s="32"/>
      <c r="C4" s="32"/>
      <c r="D4" s="32"/>
      <c r="E4" s="32"/>
      <c r="F4" s="32"/>
      <c r="G4" s="32"/>
      <c r="H4" s="33"/>
      <c r="I4" s="34">
        <v>0</v>
      </c>
      <c r="J4" s="35"/>
      <c r="K4" s="6"/>
      <c r="L4" s="59" t="s">
        <v>7</v>
      </c>
      <c r="M4" s="60"/>
      <c r="N4" s="60"/>
      <c r="O4" s="60"/>
      <c r="P4" s="60"/>
      <c r="Q4" s="61"/>
      <c r="R4" s="62">
        <f>4.18*(1-0.0075*I4)</f>
        <v>4.18</v>
      </c>
      <c r="S4" s="63"/>
      <c r="T4" s="6"/>
    </row>
    <row r="5" spans="1:21" ht="13.5" thickBot="1" x14ac:dyDescent="0.25">
      <c r="A5" s="49" t="s">
        <v>8</v>
      </c>
      <c r="B5" s="50"/>
      <c r="C5" s="50"/>
      <c r="D5" s="50"/>
      <c r="E5" s="50"/>
      <c r="F5" s="50"/>
      <c r="G5" s="50"/>
      <c r="H5" s="51"/>
      <c r="I5" s="52">
        <v>16</v>
      </c>
      <c r="J5" s="53"/>
      <c r="K5" s="6"/>
      <c r="L5" s="59" t="s">
        <v>9</v>
      </c>
      <c r="M5" s="60"/>
      <c r="N5" s="60"/>
      <c r="O5" s="60"/>
      <c r="P5" s="60"/>
      <c r="Q5" s="61"/>
      <c r="R5" s="62">
        <f>I7/(R4*(((I6-I5)^2)^0.5))</f>
        <v>0</v>
      </c>
      <c r="S5" s="63"/>
      <c r="T5" s="6"/>
    </row>
    <row r="6" spans="1:21" x14ac:dyDescent="0.2">
      <c r="A6" s="54" t="s">
        <v>10</v>
      </c>
      <c r="B6" s="55"/>
      <c r="C6" s="55"/>
      <c r="D6" s="55"/>
      <c r="E6" s="55"/>
      <c r="F6" s="55"/>
      <c r="G6" s="55"/>
      <c r="H6" s="56"/>
      <c r="I6" s="57">
        <v>19</v>
      </c>
      <c r="J6" s="58"/>
      <c r="K6" s="6"/>
      <c r="L6" s="64" t="s">
        <v>11</v>
      </c>
      <c r="M6" s="65"/>
      <c r="N6" s="65"/>
      <c r="O6" s="65"/>
      <c r="P6" s="65"/>
      <c r="Q6" s="66"/>
      <c r="R6" s="67" t="str">
        <f>IF(I2&lt;64,IF(R2&gt;0.75,IF(R2&lt;1.5,"Yes",""),""),"")</f>
        <v/>
      </c>
      <c r="S6" s="68" t="str">
        <f>IF(R6="yes","",IF(R7="yes","","No"))</f>
        <v>No</v>
      </c>
      <c r="T6" s="17"/>
      <c r="U6" s="5"/>
    </row>
    <row r="7" spans="1:21" ht="13.5" thickBot="1" x14ac:dyDescent="0.25">
      <c r="A7" s="49" t="s">
        <v>12</v>
      </c>
      <c r="B7" s="50"/>
      <c r="C7" s="50"/>
      <c r="D7" s="50"/>
      <c r="E7" s="50"/>
      <c r="F7" s="50"/>
      <c r="G7" s="50"/>
      <c r="H7" s="51"/>
      <c r="I7" s="52"/>
      <c r="J7" s="53"/>
      <c r="K7" s="6"/>
      <c r="L7" s="69" t="s">
        <v>13</v>
      </c>
      <c r="M7" s="70"/>
      <c r="N7" s="70"/>
      <c r="O7" s="70"/>
      <c r="P7" s="70"/>
      <c r="Q7" s="71"/>
      <c r="R7" s="72" t="str">
        <f>IF(I2&gt;64,IF(R2&gt;1.25,IF(R2&lt;3,"Yes",""),""),"")</f>
        <v/>
      </c>
      <c r="S7" s="73"/>
    </row>
    <row r="8" spans="1:21" ht="7.5" customHeight="1" thickBot="1" x14ac:dyDescent="0.25">
      <c r="A8" s="19"/>
      <c r="B8" s="19"/>
      <c r="C8" s="19"/>
      <c r="D8" s="19"/>
      <c r="E8" s="19"/>
      <c r="F8" s="19"/>
      <c r="G8" s="19"/>
      <c r="H8" s="19"/>
      <c r="I8" s="20"/>
      <c r="J8" s="20"/>
      <c r="K8" s="6"/>
      <c r="L8" s="19"/>
      <c r="M8" s="19"/>
      <c r="N8" s="19"/>
      <c r="O8" s="19"/>
      <c r="P8" s="19"/>
      <c r="Q8" s="19"/>
      <c r="R8" s="18"/>
      <c r="S8" s="18"/>
    </row>
    <row r="9" spans="1:21" ht="13.5" thickBot="1" x14ac:dyDescent="0.25">
      <c r="A9" s="39" t="s">
        <v>14</v>
      </c>
      <c r="B9" s="40"/>
      <c r="C9" s="40"/>
      <c r="D9" s="40"/>
      <c r="E9" s="40"/>
      <c r="F9" s="40"/>
      <c r="G9" s="40"/>
      <c r="H9" s="41"/>
      <c r="I9" s="42"/>
      <c r="J9" s="42"/>
      <c r="K9" s="42"/>
      <c r="L9" s="42"/>
      <c r="M9" s="42"/>
      <c r="N9" s="42"/>
      <c r="O9" s="42"/>
      <c r="P9" s="42"/>
      <c r="Q9" s="42"/>
      <c r="R9" s="42"/>
    </row>
    <row r="10" spans="1:21" x14ac:dyDescent="0.2">
      <c r="A10" s="43" t="str">
        <f>IF(A18&gt;0.75,IF(A18&lt;1.5,"*",""),"")</f>
        <v/>
      </c>
      <c r="B10" s="44" t="str">
        <f>IF(B18&gt;0.65,IF(B18&lt;1.5,"*",""),"")</f>
        <v/>
      </c>
      <c r="C10" s="44" t="str">
        <f>IF(C18&gt;0.75,IF(C18&lt;1.5,"*",""),"")</f>
        <v/>
      </c>
      <c r="D10" s="44" t="str">
        <f>IF(D18&gt;0.75,IF(D18&lt;1.5,"*",""),"")</f>
        <v/>
      </c>
      <c r="E10" s="44" t="str">
        <f>IF(E18&gt;0.75,IF(E18&lt;1.5,"*",""),"")</f>
        <v/>
      </c>
      <c r="F10" s="44" t="str">
        <f>IF(F18&gt;0.75,IF(F18&lt;1.5,"*",""),"")</f>
        <v/>
      </c>
      <c r="G10" s="44" t="str">
        <f>IF(G18&gt;0.75,IF(G18&lt;1.5,"*",""),"")</f>
        <v/>
      </c>
      <c r="H10" s="44" t="str">
        <f>IF(H18&gt;0.85,IF(H18&lt;3,"*",""),"")</f>
        <v/>
      </c>
      <c r="I10" s="44" t="str">
        <f t="shared" ref="I10:R10" si="0">IF(I18&gt;1.25,IF(I18&lt;3,"*",""),"")</f>
        <v/>
      </c>
      <c r="J10" s="44" t="str">
        <f t="shared" si="0"/>
        <v/>
      </c>
      <c r="K10" s="44" t="str">
        <f t="shared" si="0"/>
        <v/>
      </c>
      <c r="L10" s="44" t="str">
        <f t="shared" si="0"/>
        <v/>
      </c>
      <c r="M10" s="44" t="str">
        <f t="shared" si="0"/>
        <v/>
      </c>
      <c r="N10" s="44" t="str">
        <f t="shared" si="0"/>
        <v>*</v>
      </c>
      <c r="O10" s="44" t="str">
        <f t="shared" si="0"/>
        <v>*</v>
      </c>
      <c r="P10" s="44" t="str">
        <f t="shared" si="0"/>
        <v>*</v>
      </c>
      <c r="Q10" s="44" t="str">
        <f t="shared" si="0"/>
        <v>*</v>
      </c>
      <c r="R10" s="45" t="str">
        <f t="shared" si="0"/>
        <v/>
      </c>
    </row>
    <row r="11" spans="1:21" ht="13.5" thickBot="1" x14ac:dyDescent="0.25">
      <c r="A11" s="46">
        <v>10</v>
      </c>
      <c r="B11" s="47">
        <v>15</v>
      </c>
      <c r="C11" s="47">
        <v>20</v>
      </c>
      <c r="D11" s="47">
        <v>25</v>
      </c>
      <c r="E11" s="47">
        <v>32</v>
      </c>
      <c r="F11" s="47">
        <v>40</v>
      </c>
      <c r="G11" s="47">
        <v>50</v>
      </c>
      <c r="H11" s="47">
        <v>65</v>
      </c>
      <c r="I11" s="47">
        <v>80</v>
      </c>
      <c r="J11" s="47">
        <v>100</v>
      </c>
      <c r="K11" s="47">
        <v>150</v>
      </c>
      <c r="L11" s="47">
        <v>200</v>
      </c>
      <c r="M11" s="47">
        <v>250</v>
      </c>
      <c r="N11" s="47">
        <v>300</v>
      </c>
      <c r="O11" s="47">
        <v>350</v>
      </c>
      <c r="P11" s="47">
        <v>400</v>
      </c>
      <c r="Q11" s="47">
        <v>450</v>
      </c>
      <c r="R11" s="48">
        <v>600</v>
      </c>
    </row>
    <row r="13" spans="1:21" x14ac:dyDescent="0.2">
      <c r="A13" s="9" t="s">
        <v>15</v>
      </c>
      <c r="B13" s="10"/>
      <c r="C13" s="10"/>
      <c r="D13" s="10"/>
      <c r="E13" s="10"/>
      <c r="F13" s="10"/>
      <c r="G13" s="10"/>
      <c r="H13" s="10"/>
      <c r="I13" s="11"/>
      <c r="J13" s="76">
        <f>((R2*S15*(1000*S13))/J15)*1000</f>
        <v>3468164.6591334813</v>
      </c>
      <c r="K13" s="77"/>
      <c r="L13" s="78"/>
      <c r="M13" s="9" t="s">
        <v>16</v>
      </c>
      <c r="N13" s="10"/>
      <c r="O13" s="10"/>
      <c r="P13" s="10"/>
      <c r="Q13" s="10"/>
      <c r="R13" s="11"/>
      <c r="S13" s="13">
        <f>1-((I5/94266)*I5^0.8)+(I4/636)*(1-(I5/235))</f>
        <v>0.99844022882651629</v>
      </c>
      <c r="T13" s="12"/>
      <c r="U13" s="6"/>
    </row>
    <row r="14" spans="1:21" x14ac:dyDescent="0.2">
      <c r="A14" s="9" t="s">
        <v>17</v>
      </c>
      <c r="B14" s="10"/>
      <c r="C14" s="10"/>
      <c r="D14" s="10"/>
      <c r="E14" s="10"/>
      <c r="F14" s="10"/>
      <c r="G14" s="10"/>
      <c r="H14" s="10"/>
      <c r="I14" s="11"/>
      <c r="J14" s="81">
        <f>(309*((1-EXP(-0.111*(37+I5)))/(37+I5))^1.42)*EXP(1.1*I4*(256-I5)*10^-4)</f>
        <v>1.0958874917403498</v>
      </c>
      <c r="K14" s="82"/>
      <c r="L14" s="83"/>
      <c r="M14" s="9" t="s">
        <v>18</v>
      </c>
      <c r="N14" s="10"/>
      <c r="O14" s="10"/>
      <c r="P14" s="10"/>
      <c r="Q14" s="10"/>
      <c r="R14" s="11"/>
      <c r="S14" s="79">
        <f>J16/S15</f>
        <v>6.8656716417910446E-4</v>
      </c>
      <c r="T14" s="80"/>
      <c r="U14" s="6"/>
    </row>
    <row r="15" spans="1:21" x14ac:dyDescent="0.2">
      <c r="A15" s="9" t="s">
        <v>19</v>
      </c>
      <c r="B15" s="10"/>
      <c r="C15" s="10"/>
      <c r="D15" s="10"/>
      <c r="E15" s="10"/>
      <c r="F15" s="10"/>
      <c r="G15" s="10"/>
      <c r="H15" s="10"/>
      <c r="I15" s="11"/>
      <c r="J15" s="14">
        <f>(1000*S13)*J14</f>
        <v>1094.1781580213519</v>
      </c>
      <c r="K15" s="15"/>
      <c r="L15" s="11"/>
      <c r="M15" s="9" t="s">
        <v>20</v>
      </c>
      <c r="N15" s="10"/>
      <c r="O15" s="10"/>
      <c r="P15" s="10"/>
      <c r="Q15" s="10"/>
      <c r="R15" s="11"/>
      <c r="S15" s="12">
        <f>IF(I1="hg bms",HLOOKUP(I2,data!B1:S7,3),IF(I1="mg bms",HLOOKUP(I2,data!B1:S7,4),IF(I1="gms",HLOOKUP(I2,data!B1:S7,5),IF(I1="cu",HLOOKUP(I2,data!B1:S7,6),HLOOKUP(I2,data!B1:S7,7)))))</f>
        <v>67</v>
      </c>
      <c r="T15" s="12"/>
      <c r="U15" s="6"/>
    </row>
    <row r="16" spans="1:21" x14ac:dyDescent="0.2">
      <c r="A16" s="9" t="s">
        <v>21</v>
      </c>
      <c r="B16" s="10"/>
      <c r="C16" s="10"/>
      <c r="D16" s="10"/>
      <c r="E16" s="10"/>
      <c r="F16" s="10"/>
      <c r="G16" s="10"/>
      <c r="H16" s="10"/>
      <c r="I16" s="11"/>
      <c r="J16" s="16">
        <f>IF(I1="HG BMS",data!B10,IF(I1 ="MG BMS",data!B11,IF(I1="GMS",data!B12,IF(I1="Cu",data!B13,IF(I1="Other",data!B14,"error")))))</f>
        <v>4.5999999999999999E-2</v>
      </c>
      <c r="K16" s="15"/>
      <c r="L16" s="11"/>
    </row>
    <row r="18" spans="1:20" x14ac:dyDescent="0.2">
      <c r="A18" s="7">
        <f t="shared" ref="A18:J18" si="1">($I$3/1000)/(3.14159*(A11/2000)^2)</f>
        <v>2546.4812403910123</v>
      </c>
      <c r="B18" s="7">
        <f t="shared" si="1"/>
        <v>1131.7694401737833</v>
      </c>
      <c r="C18" s="7">
        <f t="shared" si="1"/>
        <v>636.62031009775308</v>
      </c>
      <c r="D18" s="7">
        <f t="shared" si="1"/>
        <v>407.43699846256192</v>
      </c>
      <c r="E18" s="7">
        <f t="shared" si="1"/>
        <v>248.6798086319348</v>
      </c>
      <c r="F18" s="7">
        <f t="shared" si="1"/>
        <v>159.15507752443827</v>
      </c>
      <c r="G18" s="7">
        <f t="shared" si="1"/>
        <v>101.85924961564048</v>
      </c>
      <c r="H18" s="7">
        <f t="shared" si="1"/>
        <v>60.271745334698508</v>
      </c>
      <c r="I18" s="7">
        <f t="shared" si="1"/>
        <v>39.788769381109567</v>
      </c>
      <c r="J18" s="7">
        <f t="shared" si="1"/>
        <v>25.46481240391012</v>
      </c>
      <c r="K18" s="7">
        <f t="shared" ref="K18:R18" si="2">($I$3/1000)/(3.14159*(K11/2000)^2)</f>
        <v>11.317694401737834</v>
      </c>
      <c r="L18" s="7">
        <f t="shared" si="2"/>
        <v>6.3662031009775299</v>
      </c>
      <c r="M18" s="7">
        <f t="shared" si="2"/>
        <v>4.0743699846256201</v>
      </c>
      <c r="N18" s="7">
        <f t="shared" si="2"/>
        <v>2.8294236004344584</v>
      </c>
      <c r="O18" s="7">
        <f t="shared" si="2"/>
        <v>2.0787601962375617</v>
      </c>
      <c r="P18" s="7">
        <f t="shared" si="2"/>
        <v>1.5915507752443825</v>
      </c>
      <c r="Q18" s="7">
        <f t="shared" si="2"/>
        <v>1.2575216001930924</v>
      </c>
      <c r="R18" s="7">
        <f t="shared" si="2"/>
        <v>0.7073559001086146</v>
      </c>
    </row>
    <row r="22" spans="1:20" x14ac:dyDescent="0.2">
      <c r="B22" s="5"/>
      <c r="C22" s="5"/>
      <c r="R22" s="5"/>
      <c r="S22" s="5"/>
      <c r="T22" s="4"/>
    </row>
    <row r="23" spans="1:20" x14ac:dyDescent="0.2">
      <c r="A23" s="8"/>
      <c r="B23" s="5"/>
      <c r="C23" s="5"/>
      <c r="Q23" s="5"/>
      <c r="T23" s="4"/>
    </row>
    <row r="24" spans="1:20" x14ac:dyDescent="0.2">
      <c r="A24" s="8"/>
      <c r="B24" s="5"/>
      <c r="C24" s="5"/>
      <c r="T24" s="4"/>
    </row>
    <row r="25" spans="1:20" x14ac:dyDescent="0.2">
      <c r="A25" s="8"/>
      <c r="B25" s="5"/>
      <c r="C25" s="5"/>
      <c r="T25" s="4"/>
    </row>
    <row r="26" spans="1:20" x14ac:dyDescent="0.2">
      <c r="A26" s="8"/>
      <c r="B26" s="5"/>
      <c r="C26" s="5"/>
      <c r="T26" s="4"/>
    </row>
    <row r="27" spans="1:20" x14ac:dyDescent="0.2">
      <c r="A27" s="8"/>
      <c r="B27" s="5"/>
      <c r="C27" s="5"/>
      <c r="T27" s="4"/>
    </row>
    <row r="28" spans="1:20" x14ac:dyDescent="0.2">
      <c r="A28" s="8"/>
      <c r="B28" s="5"/>
      <c r="C28" s="5"/>
      <c r="T28" s="4"/>
    </row>
    <row r="29" spans="1:20" x14ac:dyDescent="0.2">
      <c r="A29" s="8"/>
      <c r="B29" s="5"/>
      <c r="C29" s="5"/>
      <c r="T29" s="4"/>
    </row>
    <row r="30" spans="1:20" x14ac:dyDescent="0.2">
      <c r="A30" s="8"/>
      <c r="B30" s="5"/>
      <c r="C30" s="5"/>
      <c r="T30" s="4"/>
    </row>
    <row r="31" spans="1:20" x14ac:dyDescent="0.2">
      <c r="A31" s="8"/>
      <c r="B31" s="5"/>
      <c r="C31" s="5"/>
      <c r="T31" s="4"/>
    </row>
    <row r="32" spans="1:20" x14ac:dyDescent="0.2">
      <c r="A32" s="1"/>
      <c r="T32" s="4"/>
    </row>
    <row r="33" spans="1:20" x14ac:dyDescent="0.2">
      <c r="A33" s="1"/>
      <c r="T33" s="4"/>
    </row>
    <row r="34" spans="1:20" x14ac:dyDescent="0.2">
      <c r="A34" s="1"/>
      <c r="T34" s="4"/>
    </row>
    <row r="35" spans="1:20" x14ac:dyDescent="0.2">
      <c r="A35" s="1"/>
      <c r="T35" s="4"/>
    </row>
    <row r="36" spans="1:20" x14ac:dyDescent="0.2">
      <c r="A36" s="1"/>
      <c r="T36" s="4"/>
    </row>
    <row r="37" spans="1:20" x14ac:dyDescent="0.2">
      <c r="A37" s="1"/>
      <c r="T37" s="4"/>
    </row>
    <row r="38" spans="1:20" x14ac:dyDescent="0.2">
      <c r="A38" s="1"/>
      <c r="T38" s="4"/>
    </row>
    <row r="39" spans="1:20" x14ac:dyDescent="0.2">
      <c r="A39" s="8"/>
      <c r="N39" s="5"/>
      <c r="O39" s="5"/>
      <c r="T39" s="4"/>
    </row>
  </sheetData>
  <mergeCells count="5">
    <mergeCell ref="I2:J2"/>
    <mergeCell ref="I3:J3"/>
    <mergeCell ref="J13:L13"/>
    <mergeCell ref="S14:T14"/>
    <mergeCell ref="J14:L14"/>
  </mergeCells>
  <phoneticPr fontId="0" type="noConversion"/>
  <pageMargins left="0.78740157499999996" right="0.78740157499999996" top="0.984251969" bottom="0.984251969" header="0.5" footer="0.5"/>
  <pageSetup paperSize="9" orientation="portrait" vertic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9"/>
  <sheetViews>
    <sheetView topLeftCell="A10" zoomScale="175" zoomScaleNormal="175" workbookViewId="0">
      <selection activeCell="B28" sqref="B28"/>
    </sheetView>
  </sheetViews>
  <sheetFormatPr defaultRowHeight="12.75" x14ac:dyDescent="0.2"/>
  <cols>
    <col min="1" max="1" width="23.42578125" customWidth="1"/>
  </cols>
  <sheetData>
    <row r="1" spans="1:19" x14ac:dyDescent="0.2">
      <c r="A1" t="s">
        <v>22</v>
      </c>
      <c r="B1">
        <v>10</v>
      </c>
      <c r="C1">
        <v>15</v>
      </c>
      <c r="D1">
        <v>20</v>
      </c>
      <c r="E1">
        <v>25</v>
      </c>
      <c r="F1">
        <v>32</v>
      </c>
      <c r="G1">
        <v>40</v>
      </c>
      <c r="H1">
        <v>50</v>
      </c>
      <c r="I1">
        <v>65</v>
      </c>
      <c r="J1">
        <v>80</v>
      </c>
      <c r="K1">
        <v>100</v>
      </c>
      <c r="L1">
        <v>150</v>
      </c>
      <c r="M1">
        <v>200</v>
      </c>
      <c r="N1">
        <v>250</v>
      </c>
      <c r="O1">
        <v>300</v>
      </c>
      <c r="P1">
        <v>350</v>
      </c>
      <c r="Q1">
        <v>400</v>
      </c>
      <c r="R1">
        <v>450</v>
      </c>
      <c r="S1">
        <v>600</v>
      </c>
    </row>
    <row r="2" spans="1:19" x14ac:dyDescent="0.2">
      <c r="A2" t="s">
        <v>23</v>
      </c>
    </row>
    <row r="3" spans="1:19" x14ac:dyDescent="0.2">
      <c r="A3" s="3" t="s">
        <v>24</v>
      </c>
      <c r="B3">
        <v>11.2</v>
      </c>
      <c r="C3">
        <v>14.9</v>
      </c>
      <c r="D3">
        <v>20.399999999999999</v>
      </c>
      <c r="E3">
        <v>25.7</v>
      </c>
      <c r="F3">
        <v>34.299999999999997</v>
      </c>
      <c r="G3">
        <v>40.200000000000003</v>
      </c>
      <c r="H3">
        <v>51.3</v>
      </c>
      <c r="I3">
        <v>67</v>
      </c>
      <c r="J3">
        <v>79</v>
      </c>
      <c r="K3">
        <v>103.3</v>
      </c>
      <c r="L3">
        <v>154.30000000000001</v>
      </c>
      <c r="M3">
        <v>206.5</v>
      </c>
      <c r="N3">
        <v>258.8</v>
      </c>
      <c r="O3">
        <v>304.8</v>
      </c>
      <c r="P3">
        <v>336.6</v>
      </c>
      <c r="Q3">
        <v>387.4</v>
      </c>
      <c r="R3">
        <v>438</v>
      </c>
      <c r="S3">
        <v>590</v>
      </c>
    </row>
    <row r="4" spans="1:19" x14ac:dyDescent="0.2">
      <c r="A4" s="3" t="s">
        <v>25</v>
      </c>
      <c r="B4">
        <v>12.4</v>
      </c>
      <c r="C4">
        <v>16.2</v>
      </c>
      <c r="D4">
        <v>21.6</v>
      </c>
      <c r="E4">
        <v>27.3</v>
      </c>
      <c r="F4">
        <v>35.9</v>
      </c>
      <c r="G4">
        <v>41.9</v>
      </c>
      <c r="H4">
        <v>53</v>
      </c>
      <c r="I4">
        <v>68.7</v>
      </c>
      <c r="J4">
        <v>80.7</v>
      </c>
      <c r="K4">
        <v>105.1</v>
      </c>
      <c r="L4">
        <v>155.30000000000001</v>
      </c>
      <c r="M4">
        <v>208.3</v>
      </c>
      <c r="N4">
        <v>260.39999999999998</v>
      </c>
      <c r="O4">
        <v>309.60000000000002</v>
      </c>
      <c r="P4">
        <v>339.6</v>
      </c>
      <c r="Q4">
        <v>390.4</v>
      </c>
      <c r="R4">
        <v>438</v>
      </c>
      <c r="S4">
        <v>590</v>
      </c>
    </row>
    <row r="5" spans="1:19" x14ac:dyDescent="0.2">
      <c r="A5" s="3" t="s">
        <v>26</v>
      </c>
      <c r="B5">
        <f>B3</f>
        <v>11.2</v>
      </c>
      <c r="C5">
        <v>14.9</v>
      </c>
      <c r="D5">
        <v>20.399999999999999</v>
      </c>
      <c r="E5">
        <v>25.7</v>
      </c>
      <c r="F5">
        <v>34.299999999999997</v>
      </c>
      <c r="G5">
        <v>40.200000000000003</v>
      </c>
      <c r="H5">
        <v>51.3</v>
      </c>
      <c r="I5">
        <v>67</v>
      </c>
      <c r="J5">
        <v>79</v>
      </c>
      <c r="K5">
        <v>103.3</v>
      </c>
      <c r="L5">
        <v>154.30000000000001</v>
      </c>
      <c r="M5">
        <v>206.5</v>
      </c>
      <c r="N5">
        <v>258.8</v>
      </c>
      <c r="O5">
        <v>304.8</v>
      </c>
      <c r="P5">
        <v>336.6</v>
      </c>
      <c r="Q5">
        <v>387.4</v>
      </c>
      <c r="R5">
        <v>438</v>
      </c>
      <c r="S5">
        <v>590</v>
      </c>
    </row>
    <row r="6" spans="1:19" x14ac:dyDescent="0.2">
      <c r="A6" s="3" t="s">
        <v>27</v>
      </c>
      <c r="B6">
        <v>10.8</v>
      </c>
      <c r="C6">
        <v>13.6</v>
      </c>
      <c r="D6">
        <v>20.2</v>
      </c>
      <c r="E6">
        <v>26.2</v>
      </c>
      <c r="F6">
        <v>32.6</v>
      </c>
      <c r="G6">
        <v>39.6</v>
      </c>
      <c r="H6">
        <v>51.6</v>
      </c>
      <c r="I6">
        <v>64.3</v>
      </c>
      <c r="J6">
        <v>73.2</v>
      </c>
      <c r="K6">
        <v>105.1</v>
      </c>
      <c r="L6">
        <v>155.4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</row>
    <row r="7" spans="1:19" x14ac:dyDescent="0.2">
      <c r="A7" s="3" t="s">
        <v>29</v>
      </c>
      <c r="B7">
        <v>10.8</v>
      </c>
      <c r="C7">
        <v>13.6</v>
      </c>
      <c r="D7">
        <v>20.2</v>
      </c>
      <c r="E7">
        <v>26.2</v>
      </c>
      <c r="F7">
        <v>32.6</v>
      </c>
      <c r="G7">
        <v>39.6</v>
      </c>
      <c r="H7">
        <v>51.6</v>
      </c>
      <c r="I7">
        <v>64.3</v>
      </c>
      <c r="J7">
        <v>73.2</v>
      </c>
      <c r="K7">
        <v>105.1</v>
      </c>
      <c r="L7">
        <v>155.4</v>
      </c>
      <c r="M7">
        <v>206.5</v>
      </c>
      <c r="N7">
        <v>258.8</v>
      </c>
      <c r="O7">
        <v>304</v>
      </c>
      <c r="P7">
        <v>336</v>
      </c>
      <c r="Q7">
        <v>387</v>
      </c>
      <c r="R7">
        <v>438</v>
      </c>
      <c r="S7">
        <v>590</v>
      </c>
    </row>
    <row r="9" spans="1:19" x14ac:dyDescent="0.2">
      <c r="A9" t="s">
        <v>30</v>
      </c>
    </row>
    <row r="10" spans="1:19" x14ac:dyDescent="0.2">
      <c r="A10" s="3" t="s">
        <v>24</v>
      </c>
      <c r="B10">
        <v>4.5999999999999999E-2</v>
      </c>
    </row>
    <row r="11" spans="1:19" x14ac:dyDescent="0.2">
      <c r="A11" s="3" t="s">
        <v>25</v>
      </c>
      <c r="B11">
        <v>4.5999999999999999E-2</v>
      </c>
    </row>
    <row r="12" spans="1:19" x14ac:dyDescent="0.2">
      <c r="A12" s="3" t="s">
        <v>26</v>
      </c>
      <c r="B12">
        <v>0.15</v>
      </c>
    </row>
    <row r="13" spans="1:19" x14ac:dyDescent="0.2">
      <c r="A13" s="3" t="s">
        <v>27</v>
      </c>
      <c r="B13">
        <v>1.5E-3</v>
      </c>
    </row>
    <row r="14" spans="1:19" x14ac:dyDescent="0.2">
      <c r="A14" s="3" t="s">
        <v>29</v>
      </c>
      <c r="B14">
        <v>0.02</v>
      </c>
    </row>
    <row r="25" spans="1:5" x14ac:dyDescent="0.2">
      <c r="A25" t="s">
        <v>31</v>
      </c>
      <c r="B25" s="2">
        <f>((5*P!$S$13*P!$R$2^2*(64/P!$J$13))/P!$S$15)*100000</f>
        <v>442.46537399831431</v>
      </c>
      <c r="C25" t="s">
        <v>32</v>
      </c>
      <c r="E25" t="s">
        <v>33</v>
      </c>
    </row>
    <row r="26" spans="1:5" x14ac:dyDescent="0.2">
      <c r="A26" t="s">
        <v>34</v>
      </c>
      <c r="B26">
        <f>(((64*(3500-P!J13))/2300)+data!B28*(P!J13-2300))/1200</f>
        <v>-28.442475229368956</v>
      </c>
      <c r="C26" t="s">
        <v>35</v>
      </c>
      <c r="E26" t="s">
        <v>36</v>
      </c>
    </row>
    <row r="27" spans="1:5" x14ac:dyDescent="0.2">
      <c r="A27" t="s">
        <v>31</v>
      </c>
      <c r="B27" s="2">
        <f>((5*P!$S$13*P!$R$2^2*data!B26)/P!$S$15)*100000</f>
        <v>-681971793.89391041</v>
      </c>
      <c r="C27" t="s">
        <v>35</v>
      </c>
      <c r="E27" t="s">
        <v>37</v>
      </c>
    </row>
    <row r="28" spans="1:5" x14ac:dyDescent="0.2">
      <c r="A28" t="s">
        <v>34</v>
      </c>
      <c r="B28">
        <f>(1/((2*LOG(3.715/P!S14))^2))+((0.938/LOG(P!J13))^2.393)*EXP(-0.44*(P!J13*P!S14)^0.33)</f>
        <v>1.7968702165237885E-2</v>
      </c>
      <c r="C28" t="s">
        <v>38</v>
      </c>
      <c r="E28" t="s">
        <v>39</v>
      </c>
    </row>
    <row r="29" spans="1:5" x14ac:dyDescent="0.2">
      <c r="A29" t="s">
        <v>31</v>
      </c>
      <c r="B29" s="2">
        <f>((5*P!$S$13*P!$R$2^2*data!B28)/P!$S$15)*100000</f>
        <v>430839.71949527663</v>
      </c>
      <c r="C29" t="s">
        <v>38</v>
      </c>
      <c r="E29" t="s">
        <v>40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&amp;P&amp;L&amp;1#&amp;"Arial"&amp;10&amp;K000000Stantec Document Classification: Stantec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&amp;P&amp;L&amp;1#&amp;"Arial"&amp;10&amp;K000000Stantec Document Classification: Stantec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&amp;P&amp;L&amp;1#&amp;"Arial"&amp;10&amp;K000000Stantec Document Classification: Stantec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&amp;P&amp;L&amp;1#&amp;"Arial"&amp;10&amp;K000000Stantec Document Classification: Stantec Internal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&amp;P&amp;L&amp;1#&amp;"Arial"&amp;10&amp;K000000Stantec Document Classification: Stantec Internal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&amp;P&amp;L&amp;1#&amp;"Arial"&amp;10&amp;K000000Stantec Document Classification: Stantec Internal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&amp;P&amp;L&amp;1#&amp;"Arial"&amp;10&amp;K000000Stantec Document Classification: Stantec Internal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&amp;P&amp;L&amp;1#&amp;"Arial"&amp;10&amp;K000000Stantec Document Classification: Stantec Internal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&amp;P&amp;L&amp;1#&amp;"Arial"&amp;10&amp;K000000Stantec Document Classification: Stantec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15</vt:i4>
      </vt:variant>
    </vt:vector>
  </HeadingPairs>
  <TitlesOfParts>
    <vt:vector size="15" baseType="lpstr">
      <vt:lpstr>P</vt:lpstr>
      <vt:lpstr>data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Owens</dc:creator>
  <cp:lastModifiedBy>Jakub Ďuriš</cp:lastModifiedBy>
  <cp:lastPrinted>2002-02-20T10:54:03Z</cp:lastPrinted>
  <dcterms:created xsi:type="dcterms:W3CDTF">1998-04-13T15:24:17Z</dcterms:created>
  <dcterms:modified xsi:type="dcterms:W3CDTF">2022-05-25T13:23:09Z</dcterms:modified>
</cp:coreProperties>
</file>