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1910" windowHeight="4335" tabRatio="654"/>
  </bookViews>
  <sheets>
    <sheet name="Revision History" sheetId="4" r:id="rId1"/>
    <sheet name="LFC Dist" sheetId="5" r:id="rId2"/>
    <sheet name="Complexity Estimation" sheetId="7" r:id="rId3"/>
    <sheet name="DI Effort for Sample" sheetId="9" r:id="rId4"/>
    <sheet name="Final Estimation-HDW" sheetId="2" r:id="rId5"/>
  </sheets>
  <definedNames>
    <definedName name="_GoBack" localSheetId="0">'Revision History'!$C$38</definedName>
    <definedName name="_Toc291841766" localSheetId="0">'Revision History'!$C$12</definedName>
    <definedName name="_Toc291841767" localSheetId="0">'Revision History'!$C$20</definedName>
    <definedName name="_Toc291841768" localSheetId="0">'Revision History'!$C$22</definedName>
    <definedName name="_Toc291841769" localSheetId="0">'Revision History'!$C$24</definedName>
    <definedName name="_Toc291841770" localSheetId="0">'Revision History'!$C$26</definedName>
    <definedName name="_Toc291841771" localSheetId="0">'Revision History'!$C$28</definedName>
    <definedName name="_Toc291841772" localSheetId="0">'Revision History'!$C$30</definedName>
    <definedName name="_Toc291841773" localSheetId="0">'Revision History'!$C$33</definedName>
    <definedName name="_Toc291841774" localSheetId="0">'Revision History'!$C$37</definedName>
    <definedName name="Target_Platform">#REF!</definedName>
    <definedName name="Topology_architecture">#REF!</definedName>
  </definedNames>
  <calcPr calcId="144525"/>
</workbook>
</file>

<file path=xl/calcChain.xml><?xml version="1.0" encoding="utf-8"?>
<calcChain xmlns="http://schemas.openxmlformats.org/spreadsheetml/2006/main">
  <c r="B16" i="2" l="1"/>
  <c r="C18" i="2" l="1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D18" i="2" l="1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M4" i="7"/>
  <c r="N4" i="7" s="1"/>
  <c r="C16" i="2" s="1"/>
  <c r="D16" i="2" s="1"/>
  <c r="F40" i="9" l="1"/>
  <c r="D40" i="9"/>
  <c r="B40" i="9"/>
  <c r="G34" i="9"/>
  <c r="E34" i="9"/>
  <c r="C34" i="9"/>
  <c r="B31" i="9"/>
  <c r="F27" i="9"/>
  <c r="D27" i="9"/>
  <c r="B27" i="9"/>
  <c r="G21" i="9"/>
  <c r="E21" i="9"/>
  <c r="C21" i="9"/>
  <c r="B18" i="9"/>
  <c r="B14" i="9"/>
  <c r="C8" i="9"/>
  <c r="E8" i="9"/>
  <c r="D14" i="9"/>
  <c r="F14" i="9"/>
  <c r="G8" i="9"/>
  <c r="B5" i="9"/>
  <c r="M3" i="7"/>
  <c r="N3" i="7" s="1"/>
  <c r="B32" i="9" s="1"/>
  <c r="M5" i="7"/>
  <c r="N5" i="7" s="1"/>
  <c r="C17" i="2" s="1"/>
  <c r="D17" i="2" s="1"/>
  <c r="M6" i="7"/>
  <c r="N6" i="7" s="1"/>
  <c r="M7" i="7"/>
  <c r="N7" i="7" s="1"/>
  <c r="M8" i="7"/>
  <c r="N8" i="7" s="1"/>
  <c r="M9" i="7"/>
  <c r="N9" i="7" s="1"/>
  <c r="M10" i="7"/>
  <c r="N10" i="7" s="1"/>
  <c r="M11" i="7"/>
  <c r="N11" i="7" s="1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23" i="2"/>
  <c r="B45" i="2"/>
  <c r="B46" i="2"/>
  <c r="B47" i="2"/>
  <c r="B48" i="2"/>
  <c r="B15" i="2"/>
  <c r="B17" i="2"/>
  <c r="B18" i="2"/>
  <c r="B19" i="2"/>
  <c r="B20" i="2"/>
  <c r="B21" i="2"/>
  <c r="B22" i="2"/>
  <c r="B49" i="2"/>
  <c r="B6" i="9" l="1"/>
  <c r="C15" i="2"/>
  <c r="D15" i="2" s="1"/>
  <c r="B19" i="9"/>
  <c r="D19" i="9"/>
  <c r="D32" i="9"/>
  <c r="D6" i="9"/>
  <c r="E47" i="2"/>
  <c r="E45" i="2"/>
  <c r="E43" i="2"/>
  <c r="E41" i="2"/>
  <c r="E39" i="2"/>
  <c r="E37" i="2"/>
  <c r="E35" i="2"/>
  <c r="E33" i="2"/>
  <c r="E31" i="2"/>
  <c r="E29" i="2"/>
  <c r="E27" i="2"/>
  <c r="E25" i="2"/>
  <c r="E23" i="2"/>
  <c r="E48" i="2"/>
  <c r="E46" i="2"/>
  <c r="E44" i="2"/>
  <c r="E42" i="2"/>
  <c r="E40" i="2"/>
  <c r="E38" i="2"/>
  <c r="E36" i="2"/>
  <c r="E34" i="2"/>
  <c r="E32" i="2"/>
  <c r="E30" i="2"/>
  <c r="E28" i="2"/>
  <c r="E26" i="2"/>
  <c r="E24" i="2"/>
  <c r="F24" i="2" l="1"/>
  <c r="H24" i="2"/>
  <c r="F32" i="2"/>
  <c r="H32" i="2"/>
  <c r="F36" i="2"/>
  <c r="H36" i="2"/>
  <c r="F40" i="2"/>
  <c r="H40" i="2"/>
  <c r="F48" i="2"/>
  <c r="H48" i="2"/>
  <c r="G23" i="2"/>
  <c r="F23" i="2"/>
  <c r="H27" i="2"/>
  <c r="F27" i="2"/>
  <c r="G27" i="2"/>
  <c r="H31" i="2"/>
  <c r="F31" i="2"/>
  <c r="G31" i="2"/>
  <c r="H35" i="2"/>
  <c r="F35" i="2"/>
  <c r="G35" i="2"/>
  <c r="H39" i="2"/>
  <c r="F39" i="2"/>
  <c r="G39" i="2"/>
  <c r="H43" i="2"/>
  <c r="F43" i="2"/>
  <c r="G43" i="2"/>
  <c r="G47" i="2"/>
  <c r="H47" i="2"/>
  <c r="F28" i="2"/>
  <c r="H28" i="2"/>
  <c r="F44" i="2"/>
  <c r="H44" i="2"/>
  <c r="H26" i="2"/>
  <c r="F26" i="2"/>
  <c r="G26" i="2"/>
  <c r="H30" i="2"/>
  <c r="F30" i="2"/>
  <c r="G30" i="2"/>
  <c r="H34" i="2"/>
  <c r="F34" i="2"/>
  <c r="G34" i="2"/>
  <c r="H38" i="2"/>
  <c r="F38" i="2"/>
  <c r="G38" i="2"/>
  <c r="H42" i="2"/>
  <c r="F42" i="2"/>
  <c r="G42" i="2"/>
  <c r="H46" i="2"/>
  <c r="F46" i="2"/>
  <c r="G46" i="2"/>
  <c r="F25" i="2"/>
  <c r="G25" i="2"/>
  <c r="H25" i="2"/>
  <c r="G29" i="2"/>
  <c r="H29" i="2"/>
  <c r="F29" i="2"/>
  <c r="F33" i="2"/>
  <c r="G33" i="2"/>
  <c r="H33" i="2"/>
  <c r="G37" i="2"/>
  <c r="H37" i="2"/>
  <c r="F37" i="2"/>
  <c r="F41" i="2"/>
  <c r="G41" i="2"/>
  <c r="H41" i="2"/>
  <c r="G45" i="2"/>
  <c r="H45" i="2"/>
  <c r="F45" i="2"/>
  <c r="H23" i="2"/>
  <c r="G24" i="2"/>
  <c r="G28" i="2"/>
  <c r="G32" i="2"/>
  <c r="G36" i="2"/>
  <c r="G40" i="2"/>
  <c r="G44" i="2"/>
  <c r="G48" i="2"/>
  <c r="F47" i="2"/>
  <c r="E16" i="2"/>
  <c r="E15" i="2"/>
  <c r="E17" i="2"/>
  <c r="E18" i="2"/>
  <c r="E19" i="2"/>
  <c r="E20" i="2"/>
  <c r="E21" i="2"/>
  <c r="E22" i="2"/>
  <c r="E49" i="2"/>
  <c r="C5" i="5"/>
  <c r="C6" i="5"/>
  <c r="C7" i="5"/>
  <c r="C8" i="5"/>
  <c r="C9" i="5"/>
  <c r="H49" i="2" l="1"/>
  <c r="F49" i="2"/>
  <c r="G49" i="2"/>
  <c r="H21" i="2"/>
  <c r="F21" i="2"/>
  <c r="G21" i="2"/>
  <c r="H19" i="2"/>
  <c r="F19" i="2"/>
  <c r="G19" i="2"/>
  <c r="H17" i="2"/>
  <c r="F17" i="2"/>
  <c r="G17" i="2"/>
  <c r="H15" i="2"/>
  <c r="F15" i="2"/>
  <c r="G15" i="2"/>
  <c r="G22" i="2"/>
  <c r="H22" i="2"/>
  <c r="F22" i="2"/>
  <c r="G20" i="2"/>
  <c r="H20" i="2"/>
  <c r="F20" i="2"/>
  <c r="G18" i="2"/>
  <c r="H18" i="2"/>
  <c r="F18" i="2"/>
  <c r="G16" i="2"/>
  <c r="H16" i="2"/>
  <c r="F16" i="2"/>
  <c r="E50" i="2"/>
  <c r="F50" i="2" l="1"/>
  <c r="H50" i="2"/>
  <c r="G50" i="2" l="1"/>
  <c r="C6" i="2" s="1"/>
  <c r="C5" i="2" l="1"/>
</calcChain>
</file>

<file path=xl/comments1.xml><?xml version="1.0" encoding="utf-8"?>
<comments xmlns="http://schemas.openxmlformats.org/spreadsheetml/2006/main">
  <authors>
    <author>hcl.sundeep</author>
  </authors>
  <commentList>
    <comment ref="D9" authorId="0">
      <text>
        <r>
          <rPr>
            <sz val="9"/>
            <color indexed="81"/>
            <rFont val="Tahoma"/>
            <family val="2"/>
          </rPr>
          <t xml:space="preserve">Wide band delphi, documented. Use values from DI effort for sample sheet
</t>
        </r>
      </text>
    </comment>
    <comment ref="E14" authorId="0">
      <text>
        <r>
          <rPr>
            <sz val="9"/>
            <color indexed="81"/>
            <rFont val="Tahoma"/>
            <family val="2"/>
          </rPr>
          <t xml:space="preserve">Change as needed.
Add a comment whereever change is made to the calculated estimation, clearly mentioning the reason for change.
</t>
        </r>
      </text>
    </comment>
  </commentList>
</comments>
</file>

<file path=xl/sharedStrings.xml><?xml version="1.0" encoding="utf-8"?>
<sst xmlns="http://schemas.openxmlformats.org/spreadsheetml/2006/main" count="106" uniqueCount="63">
  <si>
    <t>Project Code</t>
  </si>
  <si>
    <t>Need ID</t>
  </si>
  <si>
    <t>Final Estimations</t>
  </si>
  <si>
    <t>NEED Statement(VOC)</t>
  </si>
  <si>
    <t>LFC</t>
  </si>
  <si>
    <t>EST</t>
  </si>
  <si>
    <t>Planning</t>
  </si>
  <si>
    <t>Validation</t>
  </si>
  <si>
    <t>Overheads</t>
  </si>
  <si>
    <t>Requirements Development</t>
  </si>
  <si>
    <t>Total</t>
  </si>
  <si>
    <t>Total days</t>
  </si>
  <si>
    <t>Total working hours</t>
  </si>
  <si>
    <t>L</t>
  </si>
  <si>
    <t>M</t>
  </si>
  <si>
    <t>H</t>
  </si>
  <si>
    <t>Complexity Estimate</t>
  </si>
  <si>
    <t>Column1</t>
  </si>
  <si>
    <t>Participants</t>
  </si>
  <si>
    <t>Final Agreed Estimates</t>
  </si>
  <si>
    <t>Complexity Score</t>
  </si>
  <si>
    <t>Final Complexity</t>
  </si>
  <si>
    <t>Refer Estimation guidelines for details on using this template.</t>
  </si>
  <si>
    <t>Genus Innovation Limited</t>
  </si>
  <si>
    <t>Requirements development</t>
  </si>
  <si>
    <t>Design &amp; Implementation</t>
  </si>
  <si>
    <t>Reusability</t>
  </si>
  <si>
    <t>Any Other factors</t>
  </si>
  <si>
    <t>Comments/ Remarks if any</t>
  </si>
  <si>
    <t>Estimated Design and Implementation effort</t>
  </si>
  <si>
    <t>Component characteristics and Packaging</t>
  </si>
  <si>
    <t>Accuracy</t>
  </si>
  <si>
    <t>Longetivity</t>
  </si>
  <si>
    <t>No. of internal/external interfaces</t>
  </si>
  <si>
    <t>EMI/EMC</t>
  </si>
  <si>
    <t>Analog/Digital</t>
  </si>
  <si>
    <t>Design &amp; Implemenation Effort required for 1 Low complexity requirement in this project</t>
  </si>
  <si>
    <t xml:space="preserve"> Design &amp; Implemenation Effort required for 1 Medium complexity requirement in this project</t>
  </si>
  <si>
    <t xml:space="preserve"> Design &amp; Implemenation Effort required for 1 High complexity requirement in this project</t>
  </si>
  <si>
    <t>Requirement statement</t>
  </si>
  <si>
    <t>Req ID</t>
  </si>
  <si>
    <t>req rating</t>
  </si>
  <si>
    <t>Variance</t>
  </si>
  <si>
    <t>ROUND 1</t>
  </si>
  <si>
    <t>Paricipant name</t>
  </si>
  <si>
    <t>Efforts R1</t>
  </si>
  <si>
    <t>Assumption r1</t>
  </si>
  <si>
    <t>Efforts R2</t>
  </si>
  <si>
    <t>Assumption R2</t>
  </si>
  <si>
    <t>Efforts R3</t>
  </si>
  <si>
    <t>Assumption R3</t>
  </si>
  <si>
    <t>Hardware</t>
  </si>
  <si>
    <t>ROUND 2</t>
  </si>
  <si>
    <t>ROUND 3</t>
  </si>
  <si>
    <t>Final Efforts</t>
  </si>
  <si>
    <t>person a</t>
  </si>
  <si>
    <t>person b</t>
  </si>
  <si>
    <t>person c</t>
  </si>
  <si>
    <t>PCB Layout</t>
  </si>
  <si>
    <t>Template Version - 4</t>
  </si>
  <si>
    <t>Genus</t>
  </si>
  <si>
    <t>Solar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</si>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</sst>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8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6" fillId="2" borderId="10" applyNumberFormat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1" xfId="1"/>
    <xf numFmtId="0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3" fillId="0" borderId="0" xfId="0" applyFont="1"/>
    <xf numFmtId="0" fontId="4" fillId="0" borderId="0" xfId="2"/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164" fontId="3" fillId="0" borderId="0" xfId="3" applyNumberFormat="1" applyFont="1" applyAlignment="1">
      <alignment horizontal="center"/>
    </xf>
    <xf numFmtId="0" fontId="6" fillId="2" borderId="10" xfId="4"/>
    <xf numFmtId="0" fontId="7" fillId="2" borderId="10" xfId="4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1" xfId="2" applyBorder="1"/>
    <xf numFmtId="0" fontId="4" fillId="0" borderId="0" xfId="2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5">
    <cellStyle name="Heading 1" xfId="1" builtinId="16"/>
    <cellStyle name="Normal" xfId="0" builtinId="0"/>
    <cellStyle name="Output" xfId="4" builtinId="21"/>
    <cellStyle name="Percent" xfId="3" builtinId="5"/>
    <cellStyle name="Title" xfId="2" builtinId="15"/>
  </cellStyles>
  <dxfs count="3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-0.2499465926084170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numFmt numFmtId="14" formatCode="0.00%"/>
    </dxf>
    <dxf>
      <font>
        <b val="0"/>
      </font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4:C9" totalsRowShown="0">
  <autoFilter ref="A4:C9"/>
  <tableColumns count="3">
    <tableColumn id="1" name="LFC" dataDxfId="33"/>
    <tableColumn id="2" name="EST"/>
    <tableColumn id="3" name="Column1" dataDxfId="32">
      <calculatedColumnFormula>Table1[[#This Row],[EST]]/SUM(Table1[EST])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3" displayName="Table3" ref="A2:N11" totalsRowShown="0" headerRowDxfId="31" dataDxfId="30">
  <tableColumns count="14">
    <tableColumn id="10" name="Need ID" dataDxfId="29"/>
    <tableColumn id="1" name="NEED Statement(VOC)"/>
    <tableColumn id="2" name="Component characteristics and Packaging" dataDxfId="28"/>
    <tableColumn id="3" name="Accuracy" dataDxfId="27"/>
    <tableColumn id="4" name="Longetivity" dataDxfId="26"/>
    <tableColumn id="5" name="No. of internal/external interfaces" dataDxfId="25"/>
    <tableColumn id="6" name="EMI/EMC" dataDxfId="24"/>
    <tableColumn id="12" name="Analog/Digital" dataDxfId="23"/>
    <tableColumn id="14" name="PCB Layout" dataDxfId="22"/>
    <tableColumn id="13" name="Reusability" dataDxfId="21"/>
    <tableColumn id="7" name="Any Other factors" dataDxfId="20"/>
    <tableColumn id="8" name="Comments/ Remarks if any" dataDxfId="19"/>
    <tableColumn id="9" name="Complexity Score" dataDxfId="18">
      <calculatedColumnFormula>IFERROR(AVERAGE(Table3[[#This Row],[Component characteristics and Packaging]:[Reusability]]),"")</calculatedColumnFormula>
    </tableColumn>
    <tableColumn id="11" name="Final Complexity" dataDxfId="17">
      <calculatedColumnFormula>IF(Table3[[#This Row],[Complexity Score]]=0, "No Complexity",
IF(Table3[[#This Row],[Complexity Score]]&lt;=3,"L",IF(Table3[[#This Row],[Complexity Score]]&lt;=7,"M",IF(LEN(Table3[[#This Row],[Complexity Score]])=0,"","H"))))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0:G14" totalsRowCount="1">
  <autoFilter ref="A10:G13"/>
  <tableColumns count="7">
    <tableColumn id="1" name="Paricipant name" totalsRowLabel="Total"/>
    <tableColumn id="2" name="Efforts R1" totalsRowFunction="custom">
      <totalsRowFormula>IFERROR(SUBTOTAL(101,Table2[Efforts R1]),0)</totalsRowFormula>
    </tableColumn>
    <tableColumn id="3" name="Assumption r1"/>
    <tableColumn id="4" name="Efforts R2" totalsRowFunction="custom">
      <totalsRowFormula>IFERROR(SUBTOTAL(101,Table2[Efforts R2]),0)</totalsRowFormula>
    </tableColumn>
    <tableColumn id="5" name="Assumption R2"/>
    <tableColumn id="6" name="Efforts R3" totalsRowFunction="custom">
      <totalsRowFormula>IFERROR(SUBTOTAL(101,Table2[Efforts R3]),0)</totalsRowFormula>
    </tableColumn>
    <tableColumn id="7" name="Assumption R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7" name="Table28" displayName="Table28" ref="A23:G27" totalsRowCount="1">
  <autoFilter ref="A23:G26"/>
  <tableColumns count="7">
    <tableColumn id="1" name="Paricipant name" totalsRowLabel="Total"/>
    <tableColumn id="2" name="Efforts R1" totalsRowFunction="custom">
      <totalsRowFormula>IFERROR(SUBTOTAL(101,Table28[Efforts R1]),0)</totalsRowFormula>
    </tableColumn>
    <tableColumn id="3" name="Assumption r1"/>
    <tableColumn id="4" name="Efforts R2" totalsRowFunction="custom">
      <totalsRowFormula>IFERROR(SUBTOTAL(101,Table28[Efforts R2]),0)</totalsRowFormula>
    </tableColumn>
    <tableColumn id="5" name="Assumption R2"/>
    <tableColumn id="6" name="Efforts R3" totalsRowFunction="custom">
      <totalsRowFormula>IFERROR(SUBTOTAL(101,Table28[Efforts R3]),0)</totalsRowFormula>
    </tableColumn>
    <tableColumn id="7" name="Assumption R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9" name="Table210" displayName="Table210" ref="A36:G40" totalsRowCount="1">
  <autoFilter ref="A36:G39"/>
  <tableColumns count="7">
    <tableColumn id="1" name="Paricipant name" totalsRowLabel="Total"/>
    <tableColumn id="2" name="Efforts R1" totalsRowFunction="custom">
      <totalsRowFormula>IFERROR(SUBTOTAL(101,Table210[Efforts R1]),0)</totalsRowFormula>
    </tableColumn>
    <tableColumn id="3" name="Assumption r1"/>
    <tableColumn id="4" name="Efforts R2" totalsRowFunction="custom">
      <totalsRowFormula>IFERROR(SUBTOTAL(101,Table210[Efforts R2]),0)</totalsRowFormula>
    </tableColumn>
    <tableColumn id="5" name="Assumption R2"/>
    <tableColumn id="6" name="Efforts R3" totalsRowFunction="custom">
      <totalsRowFormula>IFERROR(SUBTOTAL(101,Table210[Efforts R3]),0)</totalsRowFormula>
    </tableColumn>
    <tableColumn id="7" name="Assumption R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3" name="TableEstmat" displayName="TableEstmat" ref="A14:H50" totalsRowCount="1" headerRowDxfId="8">
  <tableColumns count="8">
    <tableColumn id="1" name="Need ID" totalsRowLabel="Total" dataDxfId="7"/>
    <tableColumn id="2" name="NEED Statement(VOC)" dataDxfId="6">
      <calculatedColumnFormula>IFERROR(VLOOKUP(TableEstmat[[#This Row],[Need ID]],Table3[#All],2,FALSE),"")</calculatedColumnFormula>
    </tableColumn>
    <tableColumn id="15" name="Complexity Estimate" dataDxfId="5">
      <calculatedColumnFormula>IFERROR(VLOOKUP(TableEstmat[[#This Row],[Need ID]],Table3[#All],14,FALSE),"")</calculatedColumnFormula>
    </tableColumn>
    <tableColumn id="17" name="Estimated Design and Implementation effort" dataDxfId="4">
      <calculatedColumnFormula>IFERROR(VLOOKUP(TableEstmat[[#This Row],[Complexity Estimate]],$C$9:$D$11,2,FALSE),"0")</calculatedColumnFormula>
    </tableColumn>
    <tableColumn id="4" name="Final Agreed Estimates" totalsRowFunction="sum" dataDxfId="3">
      <calculatedColumnFormula>TableEstmat[[#This Row],[Estimated Design and Implementation effort]]</calculatedColumnFormula>
    </tableColumn>
    <tableColumn id="3" name="Requirements Development" totalsRowFunction="sum" dataDxfId="2">
      <calculatedColumnFormula>IFERROR(VLOOKUP(TableEstmat[[#Headers],[Requirements Development]],Table1[],2,FALSE)*TableEstmat[[#This Row],[Final Agreed Estimates]]/100, "")</calculatedColumnFormula>
    </tableColumn>
    <tableColumn id="8" name="Planning" totalsRowFunction="sum" dataDxfId="1">
      <calculatedColumnFormula>IFERROR(TableEstmat[[#This Row],[Final Agreed Estimates]]*VLOOKUP(TableEstmat[[#Headers],[Planning]],Table1[],2,FALSE)/100,"")</calculatedColumnFormula>
    </tableColumn>
    <tableColumn id="9" name="Design &amp; Implementation" totalsRowFunction="sum" dataDxfId="0">
      <calculatedColumnFormula>IFERROR(VLOOKUP(TableEstmat[[#Headers],[Design &amp; Implementation]],Table1[],2,FALSE)*TableEstmat[[#This Row],[Final Agreed Estimates]]/100,"")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E25" sqref="E25"/>
    </sheetView>
  </sheetViews>
  <sheetFormatPr defaultRowHeight="15" x14ac:dyDescent="0.25"/>
  <cols>
    <col min="1" max="1" width="19.85546875" customWidth="1"/>
    <col min="2" max="2" width="10.85546875" customWidth="1"/>
    <col min="3" max="3" width="14.5703125" customWidth="1"/>
    <col min="4" max="4" width="22" customWidth="1"/>
    <col min="5" max="5" width="22.28515625" customWidth="1"/>
    <col min="6" max="6" width="29.5703125" customWidth="1"/>
  </cols>
  <sheetData>
    <row r="1" spans="1:2" ht="22.5" x14ac:dyDescent="0.3">
      <c r="A1" s="17" t="s">
        <v>23</v>
      </c>
    </row>
    <row r="5" spans="1:2" ht="20.25" thickBot="1" x14ac:dyDescent="0.35">
      <c r="A5" s="2" t="s">
        <v>59</v>
      </c>
    </row>
    <row r="6" spans="1:2" ht="15.75" thickTop="1" x14ac:dyDescent="0.25"/>
    <row r="7" spans="1:2" x14ac:dyDescent="0.25">
      <c r="B7" s="16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9"/>
  <sheetViews>
    <sheetView zoomScaleNormal="100" workbookViewId="0">
      <selection activeCell="C16" sqref="C16"/>
    </sheetView>
  </sheetViews>
  <sheetFormatPr defaultRowHeight="15" x14ac:dyDescent="0.25"/>
  <cols>
    <col min="1" max="1" width="26.7109375" bestFit="1" customWidth="1"/>
  </cols>
  <sheetData>
    <row r="4" spans="1:3" x14ac:dyDescent="0.25">
      <c r="A4" t="s">
        <v>4</v>
      </c>
      <c r="B4" t="s">
        <v>5</v>
      </c>
      <c r="C4" t="s">
        <v>17</v>
      </c>
    </row>
    <row r="5" spans="1:3" x14ac:dyDescent="0.25">
      <c r="A5" s="18" t="s">
        <v>24</v>
      </c>
      <c r="B5">
        <v>15</v>
      </c>
      <c r="C5">
        <f>Table1[[#This Row],[EST]]/SUM(Table1[EST])</f>
        <v>6.1983471074380167E-2</v>
      </c>
    </row>
    <row r="6" spans="1:3" x14ac:dyDescent="0.25">
      <c r="A6" s="18" t="s">
        <v>6</v>
      </c>
      <c r="B6">
        <v>12</v>
      </c>
      <c r="C6">
        <f>Table1[[#This Row],[EST]]/SUM(Table1[EST])</f>
        <v>4.9586776859504134E-2</v>
      </c>
    </row>
    <row r="7" spans="1:3" x14ac:dyDescent="0.25">
      <c r="A7" s="18" t="s">
        <v>25</v>
      </c>
      <c r="B7">
        <v>100</v>
      </c>
      <c r="C7">
        <f>Table1[[#This Row],[EST]]/SUM(Table1[EST])</f>
        <v>0.41322314049586778</v>
      </c>
    </row>
    <row r="8" spans="1:3" x14ac:dyDescent="0.25">
      <c r="A8" s="18" t="s">
        <v>7</v>
      </c>
      <c r="B8">
        <v>100</v>
      </c>
      <c r="C8">
        <f>Table1[[#This Row],[EST]]/SUM(Table1[EST])</f>
        <v>0.41322314049586778</v>
      </c>
    </row>
    <row r="9" spans="1:3" x14ac:dyDescent="0.25">
      <c r="A9" s="18" t="s">
        <v>8</v>
      </c>
      <c r="B9">
        <v>15</v>
      </c>
      <c r="C9">
        <f>Table1[[#This Row],[EST]]/SUM(Table1[EST])</f>
        <v>6.1983471074380167E-2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zoomScaleNormal="100" workbookViewId="0">
      <selection activeCell="E14" sqref="E14"/>
    </sheetView>
  </sheetViews>
  <sheetFormatPr defaultRowHeight="15" x14ac:dyDescent="0.25"/>
  <cols>
    <col min="2" max="2" width="29" bestFit="1" customWidth="1"/>
    <col min="3" max="3" width="11.42578125" customWidth="1"/>
    <col min="4" max="4" width="20" customWidth="1"/>
    <col min="5" max="5" width="19.5703125" customWidth="1"/>
    <col min="6" max="6" width="20" customWidth="1"/>
    <col min="7" max="10" width="16.85546875" customWidth="1"/>
    <col min="11" max="11" width="10.5703125" customWidth="1"/>
    <col min="12" max="12" width="13" customWidth="1"/>
    <col min="13" max="13" width="11.28515625" customWidth="1"/>
    <col min="14" max="14" width="14.28515625" bestFit="1" customWidth="1"/>
  </cols>
  <sheetData>
    <row r="2" spans="1:14" ht="60" x14ac:dyDescent="0.25">
      <c r="A2" t="s">
        <v>1</v>
      </c>
      <c r="B2" t="s">
        <v>3</v>
      </c>
      <c r="C2" s="1" t="s">
        <v>30</v>
      </c>
      <c r="D2" s="1" t="s">
        <v>31</v>
      </c>
      <c r="E2" s="1" t="s">
        <v>32</v>
      </c>
      <c r="F2" s="1" t="s">
        <v>33</v>
      </c>
      <c r="G2" t="s">
        <v>34</v>
      </c>
      <c r="H2" t="s">
        <v>35</v>
      </c>
      <c r="I2" t="s">
        <v>58</v>
      </c>
      <c r="J2" t="s">
        <v>26</v>
      </c>
      <c r="K2" s="1" t="s">
        <v>27</v>
      </c>
      <c r="L2" s="1" t="s">
        <v>28</v>
      </c>
      <c r="M2" s="1" t="s">
        <v>20</v>
      </c>
      <c r="N2" s="1" t="s">
        <v>21</v>
      </c>
    </row>
    <row r="3" spans="1:14" x14ac:dyDescent="0.25">
      <c r="A3" s="19">
        <v>1</v>
      </c>
      <c r="B3" t="s">
        <v>60</v>
      </c>
      <c r="C3">
        <v>1</v>
      </c>
      <c r="D3">
        <v>2</v>
      </c>
      <c r="E3">
        <v>5</v>
      </c>
      <c r="F3" s="1">
        <v>4</v>
      </c>
      <c r="G3" s="1">
        <v>8</v>
      </c>
      <c r="H3" s="1">
        <v>6</v>
      </c>
      <c r="I3" s="1">
        <v>4</v>
      </c>
      <c r="J3" s="1">
        <v>5</v>
      </c>
      <c r="M3" s="3">
        <f>IFERROR(AVERAGE(Table3[[#This Row],[Component characteristics and Packaging]:[Reusability]]),"")</f>
        <v>4.375</v>
      </c>
      <c r="N3" s="20" t="str">
        <f>IF(Table3[[#This Row],[Complexity Score]]=0, "No Complexity",
IF(Table3[[#This Row],[Complexity Score]]&lt;=3,"L",IF(Table3[[#This Row],[Complexity Score]]&lt;=7,"M",IF(LEN(Table3[[#This Row],[Complexity Score]])=0,"","H"))))</f>
        <v>M</v>
      </c>
    </row>
    <row r="4" spans="1:14" x14ac:dyDescent="0.25">
      <c r="A4" s="19">
        <v>1.1000000000000001</v>
      </c>
      <c r="B4" t="s">
        <v>61</v>
      </c>
      <c r="C4" s="28"/>
      <c r="D4" s="28"/>
      <c r="E4" s="28"/>
      <c r="F4" s="1"/>
      <c r="G4" s="1"/>
      <c r="H4" s="1"/>
      <c r="I4" s="1"/>
      <c r="J4" s="1"/>
      <c r="M4" s="3" t="str">
        <f>IFERROR(AVERAGE(Table3[[#This Row],[Component characteristics and Packaging]:[Reusability]]),"")</f>
        <v/>
      </c>
      <c r="N4" s="20" t="str">
        <f>IF(Table3[[#This Row],[Complexity Score]]=0, "No Complexity",
IF(Table3[[#This Row],[Complexity Score]]&lt;=3,"L",IF(Table3[[#This Row],[Complexity Score]]&lt;=7,"M",IF(LEN(Table3[[#This Row],[Complexity Score]])=0,"","H"))))</f>
        <v/>
      </c>
    </row>
    <row r="5" spans="1:14" x14ac:dyDescent="0.25">
      <c r="A5" s="19">
        <v>1.2</v>
      </c>
      <c r="B5" t="s">
        <v>62</v>
      </c>
      <c r="F5" s="1"/>
      <c r="G5" s="1"/>
      <c r="H5" s="1"/>
      <c r="I5" s="1"/>
      <c r="J5" s="1"/>
      <c r="M5" s="3" t="str">
        <f>IFERROR(AVERAGE(Table3[[#This Row],[Component characteristics and Packaging]:[Reusability]]),"")</f>
        <v/>
      </c>
      <c r="N5" s="20" t="str">
        <f>IF(Table3[[#This Row],[Complexity Score]]=0, "No Complexity",
IF(Table3[[#This Row],[Complexity Score]]&lt;=3,"L",IF(Table3[[#This Row],[Complexity Score]]&lt;=7,"M",IF(LEN(Table3[[#This Row],[Complexity Score]])=0,"","H"))))</f>
        <v/>
      </c>
    </row>
    <row r="6" spans="1:14" x14ac:dyDescent="0.25">
      <c r="A6" s="19"/>
      <c r="F6" s="1"/>
      <c r="G6" s="1"/>
      <c r="H6" s="1"/>
      <c r="I6" s="1"/>
      <c r="J6" s="1"/>
      <c r="M6" s="3" t="str">
        <f>IFERROR(AVERAGE(Table3[[#This Row],[Component characteristics and Packaging]:[Reusability]]),"")</f>
        <v/>
      </c>
      <c r="N6" s="20" t="str">
        <f>IF(Table3[[#This Row],[Complexity Score]]=0, "No Complexity",
IF(Table3[[#This Row],[Complexity Score]]&lt;=3,"L",IF(Table3[[#This Row],[Complexity Score]]&lt;=7,"M",IF(LEN(Table3[[#This Row],[Complexity Score]])=0,"","H"))))</f>
        <v/>
      </c>
    </row>
    <row r="7" spans="1:14" x14ac:dyDescent="0.25">
      <c r="A7" s="19"/>
      <c r="F7" s="1"/>
      <c r="G7" s="1"/>
      <c r="H7" s="1"/>
      <c r="I7" s="1"/>
      <c r="J7" s="1"/>
      <c r="M7" s="3" t="str">
        <f>IFERROR(AVERAGE(Table3[[#This Row],[Component characteristics and Packaging]:[Reusability]]),"")</f>
        <v/>
      </c>
      <c r="N7" s="20" t="str">
        <f>IF(Table3[[#This Row],[Complexity Score]]=0, "No Complexity",
IF(Table3[[#This Row],[Complexity Score]]&lt;=3,"L",IF(Table3[[#This Row],[Complexity Score]]&lt;=7,"M",IF(LEN(Table3[[#This Row],[Complexity Score]])=0,"","H"))))</f>
        <v/>
      </c>
    </row>
    <row r="8" spans="1:14" x14ac:dyDescent="0.25">
      <c r="A8" s="19"/>
      <c r="F8" s="1"/>
      <c r="G8" s="1"/>
      <c r="H8" s="1"/>
      <c r="I8" s="1"/>
      <c r="J8" s="1"/>
      <c r="M8" s="3" t="str">
        <f>IFERROR(AVERAGE(Table3[[#This Row],[Component characteristics and Packaging]:[Reusability]]),"")</f>
        <v/>
      </c>
      <c r="N8" s="20" t="str">
        <f>IF(Table3[[#This Row],[Complexity Score]]=0, "No Complexity",
IF(Table3[[#This Row],[Complexity Score]]&lt;=3,"L",IF(Table3[[#This Row],[Complexity Score]]&lt;=7,"M",IF(LEN(Table3[[#This Row],[Complexity Score]])=0,"","H"))))</f>
        <v/>
      </c>
    </row>
    <row r="9" spans="1:14" x14ac:dyDescent="0.25">
      <c r="A9" s="19"/>
      <c r="F9" s="1"/>
      <c r="G9" s="1"/>
      <c r="H9" s="1"/>
      <c r="I9" s="1"/>
      <c r="J9" s="1"/>
      <c r="M9" s="3" t="str">
        <f>IFERROR(AVERAGE(Table3[[#This Row],[Component characteristics and Packaging]:[Reusability]]),"")</f>
        <v/>
      </c>
      <c r="N9" s="20" t="str">
        <f>IF(Table3[[#This Row],[Complexity Score]]=0, "No Complexity",
IF(Table3[[#This Row],[Complexity Score]]&lt;=3,"L",IF(Table3[[#This Row],[Complexity Score]]&lt;=7,"M",IF(LEN(Table3[[#This Row],[Complexity Score]])=0,"","H"))))</f>
        <v/>
      </c>
    </row>
    <row r="10" spans="1:14" x14ac:dyDescent="0.25">
      <c r="A10" s="19"/>
      <c r="F10" s="1"/>
      <c r="G10" s="1"/>
      <c r="H10" s="1"/>
      <c r="I10" s="1"/>
      <c r="J10" s="1"/>
      <c r="M10" s="3" t="str">
        <f>IFERROR(AVERAGE(Table3[[#This Row],[Component characteristics and Packaging]:[Reusability]]),"")</f>
        <v/>
      </c>
      <c r="N10" s="20" t="str">
        <f>IF(Table3[[#This Row],[Complexity Score]]=0, "No Complexity",
IF(Table3[[#This Row],[Complexity Score]]&lt;=3,"L",IF(Table3[[#This Row],[Complexity Score]]&lt;=7,"M",IF(LEN(Table3[[#This Row],[Complexity Score]])=0,"","H"))))</f>
        <v/>
      </c>
    </row>
    <row r="11" spans="1:14" x14ac:dyDescent="0.25">
      <c r="A11" s="9"/>
      <c r="B11" s="5"/>
      <c r="C11" s="4"/>
      <c r="D11" s="4"/>
      <c r="E11" s="4"/>
      <c r="F11" s="6"/>
      <c r="G11" s="6"/>
      <c r="H11" s="6"/>
      <c r="I11" s="6"/>
      <c r="J11" s="6"/>
      <c r="K11" s="4"/>
      <c r="L11" s="4"/>
      <c r="M11" s="7" t="str">
        <f>IFERROR(AVERAGE(Table3[[#This Row],[Component characteristics and Packaging]:[Reusability]]),"")</f>
        <v/>
      </c>
      <c r="N11" s="7" t="str">
        <f>IF(Table3[[#This Row],[Complexity Score]]=0, "No Complexity",
IF(Table3[[#This Row],[Complexity Score]]&lt;=3,"L",IF(Table3[[#This Row],[Complexity Score]]&lt;=7,"M",IF(LEN(Table3[[#This Row],[Complexity Score]])=0,"","H"))))</f>
        <v/>
      </c>
    </row>
  </sheetData>
  <dataValidations count="1">
    <dataValidation type="whole" allowBlank="1" showInputMessage="1" showErrorMessage="1" errorTitle="Invalid Value" error="The Complexity Estimate must be between 1 and 10. Refer estimation guidelines and procedures for details." sqref="C3:J3 C5:J11">
      <formula1>0</formula1>
      <formula2>10</formula2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workbookViewId="0">
      <selection activeCell="E6" sqref="E6"/>
    </sheetView>
  </sheetViews>
  <sheetFormatPr defaultRowHeight="15" x14ac:dyDescent="0.25"/>
  <cols>
    <col min="1" max="1" width="22.7109375" bestFit="1" customWidth="1"/>
    <col min="3" max="3" width="11.85546875" customWidth="1"/>
  </cols>
  <sheetData>
    <row r="2" spans="1:7" ht="23.25" thickBot="1" x14ac:dyDescent="0.35">
      <c r="A2" s="25" t="s">
        <v>51</v>
      </c>
    </row>
    <row r="3" spans="1:7" ht="16.5" customHeight="1" thickTop="1" x14ac:dyDescent="0.3">
      <c r="A3" s="26"/>
    </row>
    <row r="4" spans="1:7" ht="23.25" x14ac:dyDescent="0.35">
      <c r="A4" s="24" t="s">
        <v>40</v>
      </c>
      <c r="B4" s="23">
        <v>1</v>
      </c>
    </row>
    <row r="5" spans="1:7" x14ac:dyDescent="0.25">
      <c r="A5" s="24" t="s">
        <v>39</v>
      </c>
      <c r="B5" s="29" t="str">
        <f>IFERROR(VLOOKUP(B4,Table3[],2,FALSE),"ID not found")</f>
        <v>Genus</v>
      </c>
      <c r="C5" s="29"/>
      <c r="D5" s="29"/>
      <c r="E5" s="29"/>
      <c r="F5" s="29"/>
    </row>
    <row r="6" spans="1:7" ht="23.25" x14ac:dyDescent="0.35">
      <c r="A6" s="24" t="s">
        <v>41</v>
      </c>
      <c r="B6" s="23" t="str">
        <f>IFERROR(VLOOKUP(B4,Table3[],14,FALSE),"ID not found")</f>
        <v>M</v>
      </c>
      <c r="C6" s="22" t="s">
        <v>54</v>
      </c>
      <c r="D6" s="23">
        <f>IF(MAX((C8&lt;=0.2)*Table2[[#Totals],[Efforts R1]],
(E8&lt;=0.2)*Table2[[#Totals],[Efforts R2]],
(G8&lt;=0.2)*Table2[[#Totals],[Efforts R3]])=0,
Table2[[#Totals],[Efforts R3]],
MAX((C8&lt;=0.2)*Table2[[#Totals],[Efforts R1]],
(E8&lt;=0.2)*Table2[[#Totals],[Efforts R2]],
(G8&lt;=0.2)*Table2[[#Totals],[Efforts R3]]))</f>
        <v>0</v>
      </c>
    </row>
    <row r="8" spans="1:7" x14ac:dyDescent="0.25">
      <c r="B8" s="16" t="s">
        <v>42</v>
      </c>
      <c r="C8" s="21">
        <f>IFERROR((MAX(Table2[Efforts R1])-MIN(Table2[Efforts R1]))/AVERAGE(Table2[Efforts R1]),0)</f>
        <v>0</v>
      </c>
      <c r="E8" s="21">
        <f>IFERROR((MAX(Table2[Efforts R2])-MIN(Table2[Efforts R2]))/AVERAGE(Table2[Efforts R2]),0)</f>
        <v>0</v>
      </c>
      <c r="G8" s="21">
        <f>IFERROR((MAX(Table2[Efforts R3])-MIN(Table2[Efforts R3]))/AVERAGE(Table2[Efforts R3]),0)</f>
        <v>0</v>
      </c>
    </row>
    <row r="9" spans="1:7" x14ac:dyDescent="0.25">
      <c r="B9" s="30" t="s">
        <v>43</v>
      </c>
      <c r="C9" s="30"/>
      <c r="D9" s="30" t="s">
        <v>52</v>
      </c>
      <c r="E9" s="30"/>
      <c r="F9" s="30" t="s">
        <v>53</v>
      </c>
      <c r="G9" s="30"/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25">
      <c r="A11" t="s">
        <v>55</v>
      </c>
    </row>
    <row r="12" spans="1:7" x14ac:dyDescent="0.25">
      <c r="A12" t="s">
        <v>56</v>
      </c>
    </row>
    <row r="13" spans="1:7" x14ac:dyDescent="0.25">
      <c r="A13" s="5" t="s">
        <v>57</v>
      </c>
      <c r="B13" s="5"/>
      <c r="C13" s="5"/>
      <c r="D13" s="5"/>
      <c r="E13" s="5"/>
    </row>
    <row r="14" spans="1:7" x14ac:dyDescent="0.25">
      <c r="A14" t="s">
        <v>10</v>
      </c>
      <c r="B14">
        <f>IFERROR(SUBTOTAL(101,Table2[Efforts R1]),0)</f>
        <v>0</v>
      </c>
      <c r="D14">
        <f>IFERROR(SUBTOTAL(101,Table2[Efforts R2]),0)</f>
        <v>0</v>
      </c>
      <c r="F14">
        <f>IFERROR(SUBTOTAL(101,Table2[Efforts R3]),0)</f>
        <v>0</v>
      </c>
    </row>
    <row r="17" spans="1:7" ht="23.25" x14ac:dyDescent="0.35">
      <c r="A17" s="24" t="s">
        <v>40</v>
      </c>
      <c r="B17" s="23">
        <v>1</v>
      </c>
    </row>
    <row r="18" spans="1:7" x14ac:dyDescent="0.25">
      <c r="A18" s="24" t="s">
        <v>39</v>
      </c>
      <c r="B18" s="29" t="str">
        <f>IFERROR(VLOOKUP(B17,Table3[],2,FALSE),"ID not found")</f>
        <v>Genus</v>
      </c>
      <c r="C18" s="29"/>
      <c r="D18" s="29"/>
      <c r="E18" s="29"/>
      <c r="F18" s="29"/>
    </row>
    <row r="19" spans="1:7" ht="23.25" x14ac:dyDescent="0.35">
      <c r="A19" s="24" t="s">
        <v>41</v>
      </c>
      <c r="B19" s="23" t="str">
        <f>IFERROR(VLOOKUP(B17,Table3[],14,FALSE),"ID not found")</f>
        <v>M</v>
      </c>
      <c r="C19" s="22" t="s">
        <v>54</v>
      </c>
      <c r="D19" s="23">
        <f>IF(MAX((C21&lt;=0.2)*Table28[[#Totals],[Efforts R1]],
(E21&lt;=0.2)*Table28[[#Totals],[Efforts R2]],
(G21&lt;=0.2)*Table28[[#Totals],[Efforts R3]])=0,
Table28[[#Totals],[Efforts R3]],
MAX((C21&lt;=0.2)*Table28[[#Totals],[Efforts R1]],
(E21&lt;=0.2)*Table28[[#Totals],[Efforts R2]],
(G21&lt;=0.2)*Table28[[#Totals],[Efforts R3]]))</f>
        <v>0</v>
      </c>
    </row>
    <row r="21" spans="1:7" x14ac:dyDescent="0.25">
      <c r="B21" s="16" t="s">
        <v>42</v>
      </c>
      <c r="C21" s="21">
        <f>IFERROR((MAX(Table28[Efforts R1])-MIN(Table28[Efforts R1]))/AVERAGE(Table28[Efforts R1]),0)</f>
        <v>0</v>
      </c>
      <c r="E21" s="21">
        <f>IFERROR((MAX(Table28[Efforts R2])-MIN(Table28[Efforts R2]))/AVERAGE(Table28[Efforts R2]),0)</f>
        <v>0</v>
      </c>
      <c r="G21" s="21">
        <f>IFERROR((MAX(Table28[Efforts R3])-MIN(Table28[Efforts R3]))/AVERAGE(Table28[Efforts R3]),0)</f>
        <v>0</v>
      </c>
    </row>
    <row r="22" spans="1:7" x14ac:dyDescent="0.25">
      <c r="B22" s="30" t="s">
        <v>43</v>
      </c>
      <c r="C22" s="30"/>
      <c r="D22" s="30" t="s">
        <v>52</v>
      </c>
      <c r="E22" s="30"/>
      <c r="F22" s="30" t="s">
        <v>53</v>
      </c>
      <c r="G22" s="30"/>
    </row>
    <row r="23" spans="1:7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</row>
    <row r="24" spans="1:7" x14ac:dyDescent="0.25">
      <c r="A24" t="s">
        <v>55</v>
      </c>
    </row>
    <row r="25" spans="1:7" x14ac:dyDescent="0.25">
      <c r="A25" t="s">
        <v>56</v>
      </c>
    </row>
    <row r="26" spans="1:7" x14ac:dyDescent="0.25">
      <c r="A26" s="5" t="s">
        <v>57</v>
      </c>
      <c r="B26" s="5"/>
      <c r="C26" s="5"/>
      <c r="D26" s="5"/>
      <c r="E26" s="5"/>
    </row>
    <row r="27" spans="1:7" x14ac:dyDescent="0.25">
      <c r="A27" t="s">
        <v>10</v>
      </c>
      <c r="B27">
        <f>IFERROR(SUBTOTAL(101,Table28[Efforts R1]),0)</f>
        <v>0</v>
      </c>
      <c r="D27">
        <f>IFERROR(SUBTOTAL(101,Table28[Efforts R2]),0)</f>
        <v>0</v>
      </c>
      <c r="F27">
        <f>IFERROR(SUBTOTAL(101,Table28[Efforts R3]),0)</f>
        <v>0</v>
      </c>
    </row>
    <row r="30" spans="1:7" ht="23.25" x14ac:dyDescent="0.35">
      <c r="A30" s="24" t="s">
        <v>40</v>
      </c>
      <c r="B30" s="23">
        <v>1</v>
      </c>
    </row>
    <row r="31" spans="1:7" x14ac:dyDescent="0.25">
      <c r="A31" s="24" t="s">
        <v>39</v>
      </c>
      <c r="B31" s="29" t="str">
        <f>IFERROR(VLOOKUP(B30,Table3[],2,FALSE),"ID not found")</f>
        <v>Genus</v>
      </c>
      <c r="C31" s="29"/>
      <c r="D31" s="29"/>
      <c r="E31" s="29"/>
      <c r="F31" s="29"/>
    </row>
    <row r="32" spans="1:7" ht="23.25" x14ac:dyDescent="0.35">
      <c r="A32" s="24" t="s">
        <v>41</v>
      </c>
      <c r="B32" s="23" t="str">
        <f>IFERROR(VLOOKUP(B30,Table3[],14,FALSE),"ID not found")</f>
        <v>M</v>
      </c>
      <c r="C32" s="22" t="s">
        <v>54</v>
      </c>
      <c r="D32" s="23">
        <f>IF(MAX((C34&lt;=0.2)*Table210[[#Totals],[Efforts R1]],
(E34&lt;=0.2)*Table210[[#Totals],[Efforts R2]],
(G34&lt;=0.2)*Table210[[#Totals],[Efforts R3]])=0,
Table210[[#Totals],[Efforts R3]],
MAX((C34&lt;=0.2)*Table210[[#Totals],[Efforts R1]],
(E34&lt;=0.2)*Table210[[#Totals],[Efforts R2]],
(G34&lt;=0.2)*Table210[[#Totals],[Efforts R3]]))</f>
        <v>0</v>
      </c>
    </row>
    <row r="34" spans="1:7" x14ac:dyDescent="0.25">
      <c r="B34" s="16" t="s">
        <v>42</v>
      </c>
      <c r="C34" s="21">
        <f>IFERROR((MAX(Table210[Efforts R1])-MIN(Table210[Efforts R1]))/AVERAGE(Table210[Efforts R1]),0)</f>
        <v>0</v>
      </c>
      <c r="E34" s="21">
        <f>IFERROR((MAX(Table210[Efforts R2])-MIN(Table210[Efforts R2]))/AVERAGE(Table210[Efforts R2]),0)</f>
        <v>0</v>
      </c>
      <c r="G34" s="21">
        <f>IFERROR((MAX(Table210[Efforts R3])-MIN(Table210[Efforts R3]))/AVERAGE(Table210[Efforts R3]),0)</f>
        <v>0</v>
      </c>
    </row>
    <row r="35" spans="1:7" x14ac:dyDescent="0.25">
      <c r="B35" s="30" t="s">
        <v>43</v>
      </c>
      <c r="C35" s="30"/>
      <c r="D35" s="30" t="s">
        <v>52</v>
      </c>
      <c r="E35" s="30"/>
      <c r="F35" s="30" t="s">
        <v>53</v>
      </c>
      <c r="G35" s="30"/>
    </row>
    <row r="36" spans="1:7" x14ac:dyDescent="0.25">
      <c r="A36" t="s">
        <v>44</v>
      </c>
      <c r="B36" t="s">
        <v>45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</row>
    <row r="37" spans="1:7" x14ac:dyDescent="0.25">
      <c r="A37" t="s">
        <v>55</v>
      </c>
    </row>
    <row r="38" spans="1:7" x14ac:dyDescent="0.25">
      <c r="A38" t="s">
        <v>56</v>
      </c>
    </row>
    <row r="39" spans="1:7" x14ac:dyDescent="0.25">
      <c r="A39" s="5" t="s">
        <v>57</v>
      </c>
      <c r="B39" s="5"/>
      <c r="C39" s="5"/>
      <c r="D39" s="5"/>
      <c r="E39" s="5"/>
    </row>
    <row r="40" spans="1:7" x14ac:dyDescent="0.25">
      <c r="A40" t="s">
        <v>10</v>
      </c>
      <c r="B40">
        <f>IFERROR(SUBTOTAL(101,Table210[Efforts R1]),0)</f>
        <v>0</v>
      </c>
      <c r="D40">
        <f>IFERROR(SUBTOTAL(101,Table210[Efforts R2]),0)</f>
        <v>0</v>
      </c>
      <c r="F40">
        <f>IFERROR(SUBTOTAL(101,Table210[Efforts R3]),0)</f>
        <v>0</v>
      </c>
    </row>
  </sheetData>
  <mergeCells count="12">
    <mergeCell ref="B31:F31"/>
    <mergeCell ref="B35:C35"/>
    <mergeCell ref="D35:E35"/>
    <mergeCell ref="F35:G35"/>
    <mergeCell ref="B5:F5"/>
    <mergeCell ref="B9:C9"/>
    <mergeCell ref="D9:E9"/>
    <mergeCell ref="F9:G9"/>
    <mergeCell ref="B18:F18"/>
    <mergeCell ref="B22:C22"/>
    <mergeCell ref="D22:E22"/>
    <mergeCell ref="F22:G22"/>
  </mergeCells>
  <conditionalFormatting sqref="C8 E8 G8">
    <cfRule type="expression" priority="7" stopIfTrue="1">
      <formula>AND(ISBLANK(B11), ISBLANK(B12), ISBLANK(B13))</formula>
    </cfRule>
    <cfRule type="expression" dxfId="16" priority="12">
      <formula>C8&gt;0.2</formula>
    </cfRule>
    <cfRule type="expression" dxfId="15" priority="13">
      <formula>C8&lt;=0.2</formula>
    </cfRule>
  </conditionalFormatting>
  <conditionalFormatting sqref="C21 E21 G21">
    <cfRule type="expression" priority="4" stopIfTrue="1">
      <formula>AND(ISBLANK(B24), ISBLANK(B25), ISBLANK(B26))</formula>
    </cfRule>
    <cfRule type="expression" dxfId="14" priority="5">
      <formula>C21&gt;0.2</formula>
    </cfRule>
    <cfRule type="expression" dxfId="13" priority="6">
      <formula>C21&lt;=0.2</formula>
    </cfRule>
  </conditionalFormatting>
  <conditionalFormatting sqref="C34 E34 G34">
    <cfRule type="expression" priority="1" stopIfTrue="1">
      <formula>AND(ISBLANK(B37), ISBLANK(B38), ISBLANK(B39))</formula>
    </cfRule>
    <cfRule type="expression" dxfId="12" priority="2">
      <formula>C34&gt;0.2</formula>
    </cfRule>
    <cfRule type="expression" dxfId="11" priority="3">
      <formula>C34&lt;=0.2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zoomScaleNormal="100" workbookViewId="0">
      <selection activeCell="D17" sqref="D17"/>
    </sheetView>
  </sheetViews>
  <sheetFormatPr defaultRowHeight="15" x14ac:dyDescent="0.25"/>
  <cols>
    <col min="1" max="1" width="10.28515625" customWidth="1"/>
    <col min="2" max="2" width="86.42578125" bestFit="1" customWidth="1"/>
    <col min="3" max="3" width="17.7109375" bestFit="1" customWidth="1"/>
    <col min="4" max="4" width="19.7109375" customWidth="1"/>
    <col min="5" max="5" width="19" bestFit="1" customWidth="1"/>
    <col min="6" max="6" width="17.42578125" customWidth="1"/>
    <col min="7" max="8" width="16.5703125" bestFit="1" customWidth="1"/>
  </cols>
  <sheetData>
    <row r="1" spans="1:8" x14ac:dyDescent="0.25">
      <c r="A1" t="s">
        <v>2</v>
      </c>
    </row>
    <row r="3" spans="1:8" x14ac:dyDescent="0.25">
      <c r="A3" t="s">
        <v>0</v>
      </c>
    </row>
    <row r="4" spans="1:8" ht="12.75" customHeight="1" x14ac:dyDescent="0.25"/>
    <row r="5" spans="1:8" x14ac:dyDescent="0.25">
      <c r="B5" t="s">
        <v>11</v>
      </c>
      <c r="C5">
        <f>C6/8</f>
        <v>3.96875</v>
      </c>
    </row>
    <row r="6" spans="1:8" x14ac:dyDescent="0.25">
      <c r="B6" t="s">
        <v>12</v>
      </c>
      <c r="C6">
        <f>SUM(TableEstmat[[#Totals],[Requirements Development]:[Design &amp; Implementation]])</f>
        <v>31.75</v>
      </c>
    </row>
    <row r="7" spans="1:8" x14ac:dyDescent="0.25">
      <c r="B7" t="s">
        <v>18</v>
      </c>
    </row>
    <row r="8" spans="1:8" ht="12.75" customHeight="1" x14ac:dyDescent="0.25"/>
    <row r="9" spans="1:8" ht="12.75" customHeight="1" x14ac:dyDescent="0.25">
      <c r="B9" s="10" t="s">
        <v>36</v>
      </c>
      <c r="C9" s="8" t="s">
        <v>13</v>
      </c>
      <c r="D9" s="27">
        <v>15</v>
      </c>
    </row>
    <row r="10" spans="1:8" ht="12.75" customHeight="1" x14ac:dyDescent="0.25">
      <c r="B10" s="11" t="s">
        <v>37</v>
      </c>
      <c r="C10" s="9" t="s">
        <v>14</v>
      </c>
      <c r="D10" s="12">
        <v>25</v>
      </c>
    </row>
    <row r="11" spans="1:8" ht="12.75" customHeight="1" x14ac:dyDescent="0.25">
      <c r="B11" s="13" t="s">
        <v>38</v>
      </c>
      <c r="C11" s="14" t="s">
        <v>15</v>
      </c>
      <c r="D11" s="15"/>
    </row>
    <row r="12" spans="1:8" ht="12.75" customHeight="1" x14ac:dyDescent="0.25"/>
    <row r="14" spans="1:8" ht="45" x14ac:dyDescent="0.25">
      <c r="A14" t="s">
        <v>1</v>
      </c>
      <c r="B14" t="s">
        <v>3</v>
      </c>
      <c r="C14" t="s">
        <v>16</v>
      </c>
      <c r="D14" s="1" t="s">
        <v>29</v>
      </c>
      <c r="E14" s="1" t="s">
        <v>19</v>
      </c>
      <c r="F14" s="1" t="s">
        <v>9</v>
      </c>
      <c r="G14" t="s">
        <v>6</v>
      </c>
      <c r="H14" s="18" t="s">
        <v>25</v>
      </c>
    </row>
    <row r="15" spans="1:8" x14ac:dyDescent="0.25">
      <c r="A15">
        <v>1</v>
      </c>
      <c r="B15" t="str">
        <f>IFERROR(VLOOKUP(TableEstmat[[#This Row],[Need ID]],Table3[#All],2,FALSE),"")</f>
        <v>Genus</v>
      </c>
      <c r="C15" s="3" t="str">
        <f>IFERROR(VLOOKUP(TableEstmat[[#This Row],[Need ID]],Table3[#All],14,FALSE),"")</f>
        <v>M</v>
      </c>
      <c r="D15">
        <f>IFERROR(VLOOKUP(TableEstmat[[#This Row],[Complexity Estimate]],$C$9:$D$11,2,FALSE),"0")</f>
        <v>25</v>
      </c>
      <c r="E15">
        <f>TableEstmat[[#This Row],[Estimated Design and Implementation effort]]</f>
        <v>25</v>
      </c>
      <c r="F15">
        <f>IFERROR(VLOOKUP(TableEstmat[[#Headers],[Requirements Development]],Table1[],2,FALSE)*TableEstmat[[#This Row],[Final Agreed Estimates]]/100, "")</f>
        <v>3.75</v>
      </c>
      <c r="G15">
        <f>IFERROR(TableEstmat[[#This Row],[Final Agreed Estimates]]*VLOOKUP(TableEstmat[[#Headers],[Planning]],Table1[],2,FALSE)/100,"")</f>
        <v>3</v>
      </c>
      <c r="H15">
        <f>IFERROR(VLOOKUP(TableEstmat[[#Headers],[Design &amp; Implementation]],Table1[],2,FALSE)*TableEstmat[[#This Row],[Final Agreed Estimates]]/100,"")</f>
        <v>25</v>
      </c>
    </row>
    <row r="16" spans="1:8" x14ac:dyDescent="0.25">
      <c r="A16">
        <v>1.1000000000000001</v>
      </c>
      <c r="B16" t="str">
        <f>IFERROR(VLOOKUP(TableEstmat[[#This Row],[Need ID]],Table3[#All],2,FALSE),"")</f>
        <v>Solar</v>
      </c>
      <c r="C16" s="3" t="str">
        <f>IFERROR(VLOOKUP(TableEstmat[[#This Row],[Need ID]],Table3[#All],14,FALSE),"")</f>
        <v/>
      </c>
      <c r="D16" t="str">
        <f>IFERROR(VLOOKUP(TableEstmat[[#This Row],[Complexity Estimate]],$C$9:$D$11,2,FALSE),"0")</f>
        <v>0</v>
      </c>
      <c r="E16" t="str">
        <f>TableEstmat[[#This Row],[Estimated Design and Implementation effort]]</f>
        <v>0</v>
      </c>
      <c r="F16">
        <f>IFERROR(VLOOKUP(TableEstmat[[#Headers],[Requirements Development]],Table1[],2,FALSE)*TableEstmat[[#This Row],[Final Agreed Estimates]]/100, "")</f>
        <v>0</v>
      </c>
      <c r="G16">
        <f>IFERROR(TableEstmat[[#This Row],[Final Agreed Estimates]]*VLOOKUP(TableEstmat[[#Headers],[Planning]],Table1[],2,FALSE)/100,"")</f>
        <v>0</v>
      </c>
      <c r="H16">
        <f>IFERROR(VLOOKUP(TableEstmat[[#Headers],[Design &amp; Implementation]],Table1[],2,FALSE)*TableEstmat[[#This Row],[Final Agreed Estimates]]/100,"")</f>
        <v>0</v>
      </c>
    </row>
    <row r="17" spans="1:8" x14ac:dyDescent="0.25">
      <c r="A17">
        <v>1.2</v>
      </c>
      <c r="B17" t="str">
        <f>IFERROR(VLOOKUP(TableEstmat[[#This Row],[Need ID]],Table3[#All],2,FALSE),"")</f>
        <v>UPS</v>
      </c>
      <c r="C17" s="3" t="str">
        <f>IFERROR(VLOOKUP(TableEstmat[[#This Row],[Need ID]],Table3[#All],14,FALSE),"")</f>
        <v/>
      </c>
      <c r="D17" t="str">
        <f>IFERROR(VLOOKUP(TableEstmat[[#This Row],[Complexity Estimate]],$C$9:$D$11,2,FALSE),"0")</f>
        <v>0</v>
      </c>
      <c r="E17" t="str">
        <f>TableEstmat[[#This Row],[Estimated Design and Implementation effort]]</f>
        <v>0</v>
      </c>
      <c r="F17">
        <f>IFERROR(VLOOKUP(TableEstmat[[#Headers],[Requirements Development]],Table1[],2,FALSE)*TableEstmat[[#This Row],[Final Agreed Estimates]]/100, "")</f>
        <v>0</v>
      </c>
      <c r="G17">
        <f>IFERROR(TableEstmat[[#This Row],[Final Agreed Estimates]]*VLOOKUP(TableEstmat[[#Headers],[Planning]],Table1[],2,FALSE)/100,"")</f>
        <v>0</v>
      </c>
      <c r="H17">
        <f>IFERROR(VLOOKUP(TableEstmat[[#Headers],[Design &amp; Implementation]],Table1[],2,FALSE)*TableEstmat[[#This Row],[Final Agreed Estimates]]/100,"")</f>
        <v>0</v>
      </c>
    </row>
    <row r="18" spans="1:8" x14ac:dyDescent="0.25">
      <c r="B18" t="str">
        <f>IFERROR(VLOOKUP(TableEstmat[[#This Row],[Need ID]],Table3[#All],2,FALSE),"")</f>
        <v/>
      </c>
      <c r="C18" s="3" t="str">
        <f>IFERROR(VLOOKUP(TableEstmat[[#This Row],[Need ID]],Table3[#All],14,FALSE),"")</f>
        <v/>
      </c>
      <c r="D18" t="str">
        <f>IFERROR(VLOOKUP(TableEstmat[[#This Row],[Complexity Estimate]],$C$9:$D$11,2,FALSE),"0")</f>
        <v>0</v>
      </c>
      <c r="E18" t="str">
        <f>TableEstmat[[#This Row],[Estimated Design and Implementation effort]]</f>
        <v>0</v>
      </c>
      <c r="F18">
        <f>IFERROR(VLOOKUP(TableEstmat[[#Headers],[Requirements Development]],Table1[],2,FALSE)*TableEstmat[[#This Row],[Final Agreed Estimates]]/100, "")</f>
        <v>0</v>
      </c>
      <c r="G18">
        <f>IFERROR(TableEstmat[[#This Row],[Final Agreed Estimates]]*VLOOKUP(TableEstmat[[#Headers],[Planning]],Table1[],2,FALSE)/100,"")</f>
        <v>0</v>
      </c>
      <c r="H18">
        <f>IFERROR(VLOOKUP(TableEstmat[[#Headers],[Design &amp; Implementation]],Table1[],2,FALSE)*TableEstmat[[#This Row],[Final Agreed Estimates]]/100,"")</f>
        <v>0</v>
      </c>
    </row>
    <row r="19" spans="1:8" x14ac:dyDescent="0.25">
      <c r="B19" t="str">
        <f>IFERROR(VLOOKUP(TableEstmat[[#This Row],[Need ID]],Table3[#All],2,FALSE),"")</f>
        <v/>
      </c>
      <c r="C19" s="3" t="str">
        <f>IFERROR(VLOOKUP(TableEstmat[[#This Row],[Need ID]],Table3[#All],14,FALSE),"")</f>
        <v/>
      </c>
      <c r="D19" t="str">
        <f>IFERROR(VLOOKUP(TableEstmat[[#This Row],[Complexity Estimate]],$C$9:$D$11,2,FALSE),"0")</f>
        <v>0</v>
      </c>
      <c r="E19" t="str">
        <f>TableEstmat[[#This Row],[Estimated Design and Implementation effort]]</f>
        <v>0</v>
      </c>
      <c r="F19">
        <f>IFERROR(VLOOKUP(TableEstmat[[#Headers],[Requirements Development]],Table1[],2,FALSE)*TableEstmat[[#This Row],[Final Agreed Estimates]]/100, "")</f>
        <v>0</v>
      </c>
      <c r="G19">
        <f>IFERROR(TableEstmat[[#This Row],[Final Agreed Estimates]]*VLOOKUP(TableEstmat[[#Headers],[Planning]],Table1[],2,FALSE)/100,"")</f>
        <v>0</v>
      </c>
      <c r="H19">
        <f>IFERROR(VLOOKUP(TableEstmat[[#Headers],[Design &amp; Implementation]],Table1[],2,FALSE)*TableEstmat[[#This Row],[Final Agreed Estimates]]/100,"")</f>
        <v>0</v>
      </c>
    </row>
    <row r="20" spans="1:8" x14ac:dyDescent="0.25">
      <c r="B20" t="str">
        <f>IFERROR(VLOOKUP(TableEstmat[[#This Row],[Need ID]],Table3[#All],2,FALSE),"")</f>
        <v/>
      </c>
      <c r="C20" s="3" t="str">
        <f>IFERROR(VLOOKUP(TableEstmat[[#This Row],[Need ID]],Table3[#All],14,FALSE),"")</f>
        <v/>
      </c>
      <c r="D20" t="str">
        <f>IFERROR(VLOOKUP(TableEstmat[[#This Row],[Complexity Estimate]],$C$9:$D$11,2,FALSE),"0")</f>
        <v>0</v>
      </c>
      <c r="E20" t="str">
        <f>TableEstmat[[#This Row],[Estimated Design and Implementation effort]]</f>
        <v>0</v>
      </c>
      <c r="F20">
        <f>IFERROR(VLOOKUP(TableEstmat[[#Headers],[Requirements Development]],Table1[],2,FALSE)*TableEstmat[[#This Row],[Final Agreed Estimates]]/100, "")</f>
        <v>0</v>
      </c>
      <c r="G20">
        <f>IFERROR(TableEstmat[[#This Row],[Final Agreed Estimates]]*VLOOKUP(TableEstmat[[#Headers],[Planning]],Table1[],2,FALSE)/100,"")</f>
        <v>0</v>
      </c>
      <c r="H20">
        <f>IFERROR(VLOOKUP(TableEstmat[[#Headers],[Design &amp; Implementation]],Table1[],2,FALSE)*TableEstmat[[#This Row],[Final Agreed Estimates]]/100,"")</f>
        <v>0</v>
      </c>
    </row>
    <row r="21" spans="1:8" x14ac:dyDescent="0.25">
      <c r="B21" t="str">
        <f>IFERROR(VLOOKUP(TableEstmat[[#This Row],[Need ID]],Table3[#All],2,FALSE),"")</f>
        <v/>
      </c>
      <c r="C21" s="3" t="str">
        <f>IFERROR(VLOOKUP(TableEstmat[[#This Row],[Need ID]],Table3[#All],14,FALSE),"")</f>
        <v/>
      </c>
      <c r="D21" t="str">
        <f>IFERROR(VLOOKUP(TableEstmat[[#This Row],[Complexity Estimate]],$C$9:$D$11,2,FALSE),"0")</f>
        <v>0</v>
      </c>
      <c r="E21" t="str">
        <f>TableEstmat[[#This Row],[Estimated Design and Implementation effort]]</f>
        <v>0</v>
      </c>
      <c r="F21">
        <f>IFERROR(VLOOKUP(TableEstmat[[#Headers],[Requirements Development]],Table1[],2,FALSE)*TableEstmat[[#This Row],[Final Agreed Estimates]]/100, "")</f>
        <v>0</v>
      </c>
      <c r="G21">
        <f>IFERROR(TableEstmat[[#This Row],[Final Agreed Estimates]]*VLOOKUP(TableEstmat[[#Headers],[Planning]],Table1[],2,FALSE)/100,"")</f>
        <v>0</v>
      </c>
      <c r="H21">
        <f>IFERROR(VLOOKUP(TableEstmat[[#Headers],[Design &amp; Implementation]],Table1[],2,FALSE)*TableEstmat[[#This Row],[Final Agreed Estimates]]/100,"")</f>
        <v>0</v>
      </c>
    </row>
    <row r="22" spans="1:8" x14ac:dyDescent="0.25">
      <c r="B22" t="str">
        <f>IFERROR(VLOOKUP(TableEstmat[[#This Row],[Need ID]],Table3[#All],2,FALSE),"")</f>
        <v/>
      </c>
      <c r="C22" s="3" t="str">
        <f>IFERROR(VLOOKUP(TableEstmat[[#This Row],[Need ID]],Table3[#All],14,FALSE),"")</f>
        <v/>
      </c>
      <c r="D22" t="str">
        <f>IFERROR(VLOOKUP(TableEstmat[[#This Row],[Complexity Estimate]],$C$9:$D$11,2,FALSE),"0")</f>
        <v>0</v>
      </c>
      <c r="E22" t="str">
        <f>TableEstmat[[#This Row],[Estimated Design and Implementation effort]]</f>
        <v>0</v>
      </c>
      <c r="F22">
        <f>IFERROR(VLOOKUP(TableEstmat[[#Headers],[Requirements Development]],Table1[],2,FALSE)*TableEstmat[[#This Row],[Final Agreed Estimates]]/100, "")</f>
        <v>0</v>
      </c>
      <c r="G22">
        <f>IFERROR(TableEstmat[[#This Row],[Final Agreed Estimates]]*VLOOKUP(TableEstmat[[#Headers],[Planning]],Table1[],2,FALSE)/100,"")</f>
        <v>0</v>
      </c>
      <c r="H22">
        <f>IFERROR(VLOOKUP(TableEstmat[[#Headers],[Design &amp; Implementation]],Table1[],2,FALSE)*TableEstmat[[#This Row],[Final Agreed Estimates]]/100,"")</f>
        <v>0</v>
      </c>
    </row>
    <row r="23" spans="1:8" x14ac:dyDescent="0.25">
      <c r="B23" t="str">
        <f>IFERROR(VLOOKUP(TableEstmat[[#This Row],[Need ID]],Table3[#All],2,FALSE),"")</f>
        <v/>
      </c>
      <c r="C23" s="3" t="str">
        <f>IFERROR(VLOOKUP(TableEstmat[[#This Row],[Need ID]],Table3[#All],14,FALSE),"")</f>
        <v/>
      </c>
      <c r="D23" t="str">
        <f>IFERROR(VLOOKUP(TableEstmat[[#This Row],[Complexity Estimate]],$C$9:$D$11,2,FALSE),"0")</f>
        <v>0</v>
      </c>
      <c r="E23" t="str">
        <f>TableEstmat[[#This Row],[Estimated Design and Implementation effort]]</f>
        <v>0</v>
      </c>
      <c r="F23">
        <f>IFERROR(VLOOKUP(TableEstmat[[#Headers],[Requirements Development]],Table1[],2,FALSE)*TableEstmat[[#This Row],[Final Agreed Estimates]]/100, "")</f>
        <v>0</v>
      </c>
      <c r="G23">
        <f>IFERROR(TableEstmat[[#This Row],[Final Agreed Estimates]]*VLOOKUP(TableEstmat[[#Headers],[Planning]],Table1[],2,FALSE)/100,"")</f>
        <v>0</v>
      </c>
      <c r="H23">
        <f>IFERROR(VLOOKUP(TableEstmat[[#Headers],[Design &amp; Implementation]],Table1[],2,FALSE)*TableEstmat[[#This Row],[Final Agreed Estimates]]/100,"")</f>
        <v>0</v>
      </c>
    </row>
    <row r="24" spans="1:8" x14ac:dyDescent="0.25">
      <c r="B24" t="str">
        <f>IFERROR(VLOOKUP(TableEstmat[[#This Row],[Need ID]],Table3[#All],2,FALSE),"")</f>
        <v/>
      </c>
      <c r="C24" s="3" t="str">
        <f>IFERROR(VLOOKUP(TableEstmat[[#This Row],[Need ID]],Table3[#All],14,FALSE),"")</f>
        <v/>
      </c>
      <c r="D24" t="str">
        <f>IFERROR(VLOOKUP(TableEstmat[[#This Row],[Complexity Estimate]],$C$9:$D$11,2,FALSE),"0")</f>
        <v>0</v>
      </c>
      <c r="E24" t="str">
        <f>TableEstmat[[#This Row],[Estimated Design and Implementation effort]]</f>
        <v>0</v>
      </c>
      <c r="F24">
        <f>IFERROR(VLOOKUP(TableEstmat[[#Headers],[Requirements Development]],Table1[],2,FALSE)*TableEstmat[[#This Row],[Final Agreed Estimates]]/100, "")</f>
        <v>0</v>
      </c>
      <c r="G24">
        <f>IFERROR(TableEstmat[[#This Row],[Final Agreed Estimates]]*VLOOKUP(TableEstmat[[#Headers],[Planning]],Table1[],2,FALSE)/100,"")</f>
        <v>0</v>
      </c>
      <c r="H24">
        <f>IFERROR(VLOOKUP(TableEstmat[[#Headers],[Design &amp; Implementation]],Table1[],2,FALSE)*TableEstmat[[#This Row],[Final Agreed Estimates]]/100,"")</f>
        <v>0</v>
      </c>
    </row>
    <row r="25" spans="1:8" x14ac:dyDescent="0.25">
      <c r="B25" t="str">
        <f>IFERROR(VLOOKUP(TableEstmat[[#This Row],[Need ID]],Table3[#All],2,FALSE),"")</f>
        <v/>
      </c>
      <c r="C25" s="3" t="str">
        <f>IFERROR(VLOOKUP(TableEstmat[[#This Row],[Need ID]],Table3[#All],14,FALSE),"")</f>
        <v/>
      </c>
      <c r="D25" t="str">
        <f>IFERROR(VLOOKUP(TableEstmat[[#This Row],[Complexity Estimate]],$C$9:$D$11,2,FALSE),"0")</f>
        <v>0</v>
      </c>
      <c r="E25" t="str">
        <f>TableEstmat[[#This Row],[Estimated Design and Implementation effort]]</f>
        <v>0</v>
      </c>
      <c r="F25">
        <f>IFERROR(VLOOKUP(TableEstmat[[#Headers],[Requirements Development]],Table1[],2,FALSE)*TableEstmat[[#This Row],[Final Agreed Estimates]]/100, "")</f>
        <v>0</v>
      </c>
      <c r="G25">
        <f>IFERROR(TableEstmat[[#This Row],[Final Agreed Estimates]]*VLOOKUP(TableEstmat[[#Headers],[Planning]],Table1[],2,FALSE)/100,"")</f>
        <v>0</v>
      </c>
      <c r="H25">
        <f>IFERROR(VLOOKUP(TableEstmat[[#Headers],[Design &amp; Implementation]],Table1[],2,FALSE)*TableEstmat[[#This Row],[Final Agreed Estimates]]/100,"")</f>
        <v>0</v>
      </c>
    </row>
    <row r="26" spans="1:8" x14ac:dyDescent="0.25">
      <c r="B26" t="str">
        <f>IFERROR(VLOOKUP(TableEstmat[[#This Row],[Need ID]],Table3[#All],2,FALSE),"")</f>
        <v/>
      </c>
      <c r="C26" s="3" t="str">
        <f>IFERROR(VLOOKUP(TableEstmat[[#This Row],[Need ID]],Table3[#All],14,FALSE),"")</f>
        <v/>
      </c>
      <c r="D26" t="str">
        <f>IFERROR(VLOOKUP(TableEstmat[[#This Row],[Complexity Estimate]],$C$9:$D$11,2,FALSE),"0")</f>
        <v>0</v>
      </c>
      <c r="E26" t="str">
        <f>TableEstmat[[#This Row],[Estimated Design and Implementation effort]]</f>
        <v>0</v>
      </c>
      <c r="F26">
        <f>IFERROR(VLOOKUP(TableEstmat[[#Headers],[Requirements Development]],Table1[],2,FALSE)*TableEstmat[[#This Row],[Final Agreed Estimates]]/100, "")</f>
        <v>0</v>
      </c>
      <c r="G26">
        <f>IFERROR(TableEstmat[[#This Row],[Final Agreed Estimates]]*VLOOKUP(TableEstmat[[#Headers],[Planning]],Table1[],2,FALSE)/100,"")</f>
        <v>0</v>
      </c>
      <c r="H26">
        <f>IFERROR(VLOOKUP(TableEstmat[[#Headers],[Design &amp; Implementation]],Table1[],2,FALSE)*TableEstmat[[#This Row],[Final Agreed Estimates]]/100,"")</f>
        <v>0</v>
      </c>
    </row>
    <row r="27" spans="1:8" x14ac:dyDescent="0.25">
      <c r="B27" t="str">
        <f>IFERROR(VLOOKUP(TableEstmat[[#This Row],[Need ID]],Table3[#All],2,FALSE),"")</f>
        <v/>
      </c>
      <c r="C27" s="3" t="str">
        <f>IFERROR(VLOOKUP(TableEstmat[[#This Row],[Need ID]],Table3[#All],14,FALSE),"")</f>
        <v/>
      </c>
      <c r="D27" t="str">
        <f>IFERROR(VLOOKUP(TableEstmat[[#This Row],[Complexity Estimate]],$C$9:$D$11,2,FALSE),"0")</f>
        <v>0</v>
      </c>
      <c r="E27" t="str">
        <f>TableEstmat[[#This Row],[Estimated Design and Implementation effort]]</f>
        <v>0</v>
      </c>
      <c r="F27">
        <f>IFERROR(VLOOKUP(TableEstmat[[#Headers],[Requirements Development]],Table1[],2,FALSE)*TableEstmat[[#This Row],[Final Agreed Estimates]]/100, "")</f>
        <v>0</v>
      </c>
      <c r="G27">
        <f>IFERROR(TableEstmat[[#This Row],[Final Agreed Estimates]]*VLOOKUP(TableEstmat[[#Headers],[Planning]],Table1[],2,FALSE)/100,"")</f>
        <v>0</v>
      </c>
      <c r="H27">
        <f>IFERROR(VLOOKUP(TableEstmat[[#Headers],[Design &amp; Implementation]],Table1[],2,FALSE)*TableEstmat[[#This Row],[Final Agreed Estimates]]/100,"")</f>
        <v>0</v>
      </c>
    </row>
    <row r="28" spans="1:8" x14ac:dyDescent="0.25">
      <c r="B28" t="str">
        <f>IFERROR(VLOOKUP(TableEstmat[[#This Row],[Need ID]],Table3[#All],2,FALSE),"")</f>
        <v/>
      </c>
      <c r="C28" s="3" t="str">
        <f>IFERROR(VLOOKUP(TableEstmat[[#This Row],[Need ID]],Table3[#All],14,FALSE),"")</f>
        <v/>
      </c>
      <c r="D28" t="str">
        <f>IFERROR(VLOOKUP(TableEstmat[[#This Row],[Complexity Estimate]],$C$9:$D$11,2,FALSE),"0")</f>
        <v>0</v>
      </c>
      <c r="E28" t="str">
        <f>TableEstmat[[#This Row],[Estimated Design and Implementation effort]]</f>
        <v>0</v>
      </c>
      <c r="F28">
        <f>IFERROR(VLOOKUP(TableEstmat[[#Headers],[Requirements Development]],Table1[],2,FALSE)*TableEstmat[[#This Row],[Final Agreed Estimates]]/100, "")</f>
        <v>0</v>
      </c>
      <c r="G28">
        <f>IFERROR(TableEstmat[[#This Row],[Final Agreed Estimates]]*VLOOKUP(TableEstmat[[#Headers],[Planning]],Table1[],2,FALSE)/100,"")</f>
        <v>0</v>
      </c>
      <c r="H28">
        <f>IFERROR(VLOOKUP(TableEstmat[[#Headers],[Design &amp; Implementation]],Table1[],2,FALSE)*TableEstmat[[#This Row],[Final Agreed Estimates]]/100,"")</f>
        <v>0</v>
      </c>
    </row>
    <row r="29" spans="1:8" x14ac:dyDescent="0.25">
      <c r="B29" t="str">
        <f>IFERROR(VLOOKUP(TableEstmat[[#This Row],[Need ID]],Table3[#All],2,FALSE),"")</f>
        <v/>
      </c>
      <c r="C29" s="3" t="str">
        <f>IFERROR(VLOOKUP(TableEstmat[[#This Row],[Need ID]],Table3[#All],14,FALSE),"")</f>
        <v/>
      </c>
      <c r="D29" t="str">
        <f>IFERROR(VLOOKUP(TableEstmat[[#This Row],[Complexity Estimate]],$C$9:$D$11,2,FALSE),"0")</f>
        <v>0</v>
      </c>
      <c r="E29" t="str">
        <f>TableEstmat[[#This Row],[Estimated Design and Implementation effort]]</f>
        <v>0</v>
      </c>
      <c r="F29">
        <f>IFERROR(VLOOKUP(TableEstmat[[#Headers],[Requirements Development]],Table1[],2,FALSE)*TableEstmat[[#This Row],[Final Agreed Estimates]]/100, "")</f>
        <v>0</v>
      </c>
      <c r="G29">
        <f>IFERROR(TableEstmat[[#This Row],[Final Agreed Estimates]]*VLOOKUP(TableEstmat[[#Headers],[Planning]],Table1[],2,FALSE)/100,"")</f>
        <v>0</v>
      </c>
      <c r="H29">
        <f>IFERROR(VLOOKUP(TableEstmat[[#Headers],[Design &amp; Implementation]],Table1[],2,FALSE)*TableEstmat[[#This Row],[Final Agreed Estimates]]/100,"")</f>
        <v>0</v>
      </c>
    </row>
    <row r="30" spans="1:8" x14ac:dyDescent="0.25">
      <c r="B30" t="str">
        <f>IFERROR(VLOOKUP(TableEstmat[[#This Row],[Need ID]],Table3[#All],2,FALSE),"")</f>
        <v/>
      </c>
      <c r="C30" s="3" t="str">
        <f>IFERROR(VLOOKUP(TableEstmat[[#This Row],[Need ID]],Table3[#All],14,FALSE),"")</f>
        <v/>
      </c>
      <c r="D30" t="str">
        <f>IFERROR(VLOOKUP(TableEstmat[[#This Row],[Complexity Estimate]],$C$9:$D$11,2,FALSE),"0")</f>
        <v>0</v>
      </c>
      <c r="E30" t="str">
        <f>TableEstmat[[#This Row],[Estimated Design and Implementation effort]]</f>
        <v>0</v>
      </c>
      <c r="F30">
        <f>IFERROR(VLOOKUP(TableEstmat[[#Headers],[Requirements Development]],Table1[],2,FALSE)*TableEstmat[[#This Row],[Final Agreed Estimates]]/100, "")</f>
        <v>0</v>
      </c>
      <c r="G30">
        <f>IFERROR(TableEstmat[[#This Row],[Final Agreed Estimates]]*VLOOKUP(TableEstmat[[#Headers],[Planning]],Table1[],2,FALSE)/100,"")</f>
        <v>0</v>
      </c>
      <c r="H30">
        <f>IFERROR(VLOOKUP(TableEstmat[[#Headers],[Design &amp; Implementation]],Table1[],2,FALSE)*TableEstmat[[#This Row],[Final Agreed Estimates]]/100,"")</f>
        <v>0</v>
      </c>
    </row>
    <row r="31" spans="1:8" x14ac:dyDescent="0.25">
      <c r="B31" t="str">
        <f>IFERROR(VLOOKUP(TableEstmat[[#This Row],[Need ID]],Table3[#All],2,FALSE),"")</f>
        <v/>
      </c>
      <c r="C31" s="3" t="str">
        <f>IFERROR(VLOOKUP(TableEstmat[[#This Row],[Need ID]],Table3[#All],14,FALSE),"")</f>
        <v/>
      </c>
      <c r="D31" t="str">
        <f>IFERROR(VLOOKUP(TableEstmat[[#This Row],[Complexity Estimate]],$C$9:$D$11,2,FALSE),"0")</f>
        <v>0</v>
      </c>
      <c r="E31" t="str">
        <f>TableEstmat[[#This Row],[Estimated Design and Implementation effort]]</f>
        <v>0</v>
      </c>
      <c r="F31">
        <f>IFERROR(VLOOKUP(TableEstmat[[#Headers],[Requirements Development]],Table1[],2,FALSE)*TableEstmat[[#This Row],[Final Agreed Estimates]]/100, "")</f>
        <v>0</v>
      </c>
      <c r="G31">
        <f>IFERROR(TableEstmat[[#This Row],[Final Agreed Estimates]]*VLOOKUP(TableEstmat[[#Headers],[Planning]],Table1[],2,FALSE)/100,"")</f>
        <v>0</v>
      </c>
      <c r="H31">
        <f>IFERROR(VLOOKUP(TableEstmat[[#Headers],[Design &amp; Implementation]],Table1[],2,FALSE)*TableEstmat[[#This Row],[Final Agreed Estimates]]/100,"")</f>
        <v>0</v>
      </c>
    </row>
    <row r="32" spans="1:8" x14ac:dyDescent="0.25">
      <c r="B32" t="str">
        <f>IFERROR(VLOOKUP(TableEstmat[[#This Row],[Need ID]],Table3[#All],2,FALSE),"")</f>
        <v/>
      </c>
      <c r="C32" s="3" t="str">
        <f>IFERROR(VLOOKUP(TableEstmat[[#This Row],[Need ID]],Table3[#All],14,FALSE),"")</f>
        <v/>
      </c>
      <c r="D32" t="str">
        <f>IFERROR(VLOOKUP(TableEstmat[[#This Row],[Complexity Estimate]],$C$9:$D$11,2,FALSE),"0")</f>
        <v>0</v>
      </c>
      <c r="E32" t="str">
        <f>TableEstmat[[#This Row],[Estimated Design and Implementation effort]]</f>
        <v>0</v>
      </c>
      <c r="F32">
        <f>IFERROR(VLOOKUP(TableEstmat[[#Headers],[Requirements Development]],Table1[],2,FALSE)*TableEstmat[[#This Row],[Final Agreed Estimates]]/100, "")</f>
        <v>0</v>
      </c>
      <c r="G32">
        <f>IFERROR(TableEstmat[[#This Row],[Final Agreed Estimates]]*VLOOKUP(TableEstmat[[#Headers],[Planning]],Table1[],2,FALSE)/100,"")</f>
        <v>0</v>
      </c>
      <c r="H32">
        <f>IFERROR(VLOOKUP(TableEstmat[[#Headers],[Design &amp; Implementation]],Table1[],2,FALSE)*TableEstmat[[#This Row],[Final Agreed Estimates]]/100,"")</f>
        <v>0</v>
      </c>
    </row>
    <row r="33" spans="2:8" x14ac:dyDescent="0.25">
      <c r="B33" t="str">
        <f>IFERROR(VLOOKUP(TableEstmat[[#This Row],[Need ID]],Table3[#All],2,FALSE),"")</f>
        <v/>
      </c>
      <c r="C33" s="3" t="str">
        <f>IFERROR(VLOOKUP(TableEstmat[[#This Row],[Need ID]],Table3[#All],14,FALSE),"")</f>
        <v/>
      </c>
      <c r="D33" t="str">
        <f>IFERROR(VLOOKUP(TableEstmat[[#This Row],[Complexity Estimate]],$C$9:$D$11,2,FALSE),"0")</f>
        <v>0</v>
      </c>
      <c r="E33" t="str">
        <f>TableEstmat[[#This Row],[Estimated Design and Implementation effort]]</f>
        <v>0</v>
      </c>
      <c r="F33">
        <f>IFERROR(VLOOKUP(TableEstmat[[#Headers],[Requirements Development]],Table1[],2,FALSE)*TableEstmat[[#This Row],[Final Agreed Estimates]]/100, "")</f>
        <v>0</v>
      </c>
      <c r="G33">
        <f>IFERROR(TableEstmat[[#This Row],[Final Agreed Estimates]]*VLOOKUP(TableEstmat[[#Headers],[Planning]],Table1[],2,FALSE)/100,"")</f>
        <v>0</v>
      </c>
      <c r="H33">
        <f>IFERROR(VLOOKUP(TableEstmat[[#Headers],[Design &amp; Implementation]],Table1[],2,FALSE)*TableEstmat[[#This Row],[Final Agreed Estimates]]/100,"")</f>
        <v>0</v>
      </c>
    </row>
    <row r="34" spans="2:8" x14ac:dyDescent="0.25">
      <c r="B34" t="str">
        <f>IFERROR(VLOOKUP(TableEstmat[[#This Row],[Need ID]],Table3[#All],2,FALSE),"")</f>
        <v/>
      </c>
      <c r="C34" s="3" t="str">
        <f>IFERROR(VLOOKUP(TableEstmat[[#This Row],[Need ID]],Table3[#All],14,FALSE),"")</f>
        <v/>
      </c>
      <c r="D34" t="str">
        <f>IFERROR(VLOOKUP(TableEstmat[[#This Row],[Complexity Estimate]],$C$9:$D$11,2,FALSE),"0")</f>
        <v>0</v>
      </c>
      <c r="E34" t="str">
        <f>TableEstmat[[#This Row],[Estimated Design and Implementation effort]]</f>
        <v>0</v>
      </c>
      <c r="F34">
        <f>IFERROR(VLOOKUP(TableEstmat[[#Headers],[Requirements Development]],Table1[],2,FALSE)*TableEstmat[[#This Row],[Final Agreed Estimates]]/100, "")</f>
        <v>0</v>
      </c>
      <c r="G34">
        <f>IFERROR(TableEstmat[[#This Row],[Final Agreed Estimates]]*VLOOKUP(TableEstmat[[#Headers],[Planning]],Table1[],2,FALSE)/100,"")</f>
        <v>0</v>
      </c>
      <c r="H34">
        <f>IFERROR(VLOOKUP(TableEstmat[[#Headers],[Design &amp; Implementation]],Table1[],2,FALSE)*TableEstmat[[#This Row],[Final Agreed Estimates]]/100,"")</f>
        <v>0</v>
      </c>
    </row>
    <row r="35" spans="2:8" x14ac:dyDescent="0.25">
      <c r="B35" t="str">
        <f>IFERROR(VLOOKUP(TableEstmat[[#This Row],[Need ID]],Table3[#All],2,FALSE),"")</f>
        <v/>
      </c>
      <c r="C35" s="3" t="str">
        <f>IFERROR(VLOOKUP(TableEstmat[[#This Row],[Need ID]],Table3[#All],14,FALSE),"")</f>
        <v/>
      </c>
      <c r="D35" t="str">
        <f>IFERROR(VLOOKUP(TableEstmat[[#This Row],[Complexity Estimate]],$C$9:$D$11,2,FALSE),"0")</f>
        <v>0</v>
      </c>
      <c r="E35" t="str">
        <f>TableEstmat[[#This Row],[Estimated Design and Implementation effort]]</f>
        <v>0</v>
      </c>
      <c r="F35">
        <f>IFERROR(VLOOKUP(TableEstmat[[#Headers],[Requirements Development]],Table1[],2,FALSE)*TableEstmat[[#This Row],[Final Agreed Estimates]]/100, "")</f>
        <v>0</v>
      </c>
      <c r="G35">
        <f>IFERROR(TableEstmat[[#This Row],[Final Agreed Estimates]]*VLOOKUP(TableEstmat[[#Headers],[Planning]],Table1[],2,FALSE)/100,"")</f>
        <v>0</v>
      </c>
      <c r="H35">
        <f>IFERROR(VLOOKUP(TableEstmat[[#Headers],[Design &amp; Implementation]],Table1[],2,FALSE)*TableEstmat[[#This Row],[Final Agreed Estimates]]/100,"")</f>
        <v>0</v>
      </c>
    </row>
    <row r="36" spans="2:8" x14ac:dyDescent="0.25">
      <c r="B36" t="str">
        <f>IFERROR(VLOOKUP(TableEstmat[[#This Row],[Need ID]],Table3[#All],2,FALSE),"")</f>
        <v/>
      </c>
      <c r="C36" s="3" t="str">
        <f>IFERROR(VLOOKUP(TableEstmat[[#This Row],[Need ID]],Table3[#All],14,FALSE),"")</f>
        <v/>
      </c>
      <c r="D36" t="str">
        <f>IFERROR(VLOOKUP(TableEstmat[[#This Row],[Complexity Estimate]],$C$9:$D$11,2,FALSE),"0")</f>
        <v>0</v>
      </c>
      <c r="E36" t="str">
        <f>TableEstmat[[#This Row],[Estimated Design and Implementation effort]]</f>
        <v>0</v>
      </c>
      <c r="F36">
        <f>IFERROR(VLOOKUP(TableEstmat[[#Headers],[Requirements Development]],Table1[],2,FALSE)*TableEstmat[[#This Row],[Final Agreed Estimates]]/100, "")</f>
        <v>0</v>
      </c>
      <c r="G36">
        <f>IFERROR(TableEstmat[[#This Row],[Final Agreed Estimates]]*VLOOKUP(TableEstmat[[#Headers],[Planning]],Table1[],2,FALSE)/100,"")</f>
        <v>0</v>
      </c>
      <c r="H36">
        <f>IFERROR(VLOOKUP(TableEstmat[[#Headers],[Design &amp; Implementation]],Table1[],2,FALSE)*TableEstmat[[#This Row],[Final Agreed Estimates]]/100,"")</f>
        <v>0</v>
      </c>
    </row>
    <row r="37" spans="2:8" x14ac:dyDescent="0.25">
      <c r="B37" t="str">
        <f>IFERROR(VLOOKUP(TableEstmat[[#This Row],[Need ID]],Table3[#All],2,FALSE),"")</f>
        <v/>
      </c>
      <c r="C37" s="3" t="str">
        <f>IFERROR(VLOOKUP(TableEstmat[[#This Row],[Need ID]],Table3[#All],14,FALSE),"")</f>
        <v/>
      </c>
      <c r="D37" t="str">
        <f>IFERROR(VLOOKUP(TableEstmat[[#This Row],[Complexity Estimate]],$C$9:$D$11,2,FALSE),"0")</f>
        <v>0</v>
      </c>
      <c r="E37" t="str">
        <f>TableEstmat[[#This Row],[Estimated Design and Implementation effort]]</f>
        <v>0</v>
      </c>
      <c r="F37">
        <f>IFERROR(VLOOKUP(TableEstmat[[#Headers],[Requirements Development]],Table1[],2,FALSE)*TableEstmat[[#This Row],[Final Agreed Estimates]]/100, "")</f>
        <v>0</v>
      </c>
      <c r="G37">
        <f>IFERROR(TableEstmat[[#This Row],[Final Agreed Estimates]]*VLOOKUP(TableEstmat[[#Headers],[Planning]],Table1[],2,FALSE)/100,"")</f>
        <v>0</v>
      </c>
      <c r="H37">
        <f>IFERROR(VLOOKUP(TableEstmat[[#Headers],[Design &amp; Implementation]],Table1[],2,FALSE)*TableEstmat[[#This Row],[Final Agreed Estimates]]/100,"")</f>
        <v>0</v>
      </c>
    </row>
    <row r="38" spans="2:8" x14ac:dyDescent="0.25">
      <c r="B38" t="str">
        <f>IFERROR(VLOOKUP(TableEstmat[[#This Row],[Need ID]],Table3[#All],2,FALSE),"")</f>
        <v/>
      </c>
      <c r="C38" s="3" t="str">
        <f>IFERROR(VLOOKUP(TableEstmat[[#This Row],[Need ID]],Table3[#All],14,FALSE),"")</f>
        <v/>
      </c>
      <c r="D38" t="str">
        <f>IFERROR(VLOOKUP(TableEstmat[[#This Row],[Complexity Estimate]],$C$9:$D$11,2,FALSE),"0")</f>
        <v>0</v>
      </c>
      <c r="E38" t="str">
        <f>TableEstmat[[#This Row],[Estimated Design and Implementation effort]]</f>
        <v>0</v>
      </c>
      <c r="F38">
        <f>IFERROR(VLOOKUP(TableEstmat[[#Headers],[Requirements Development]],Table1[],2,FALSE)*TableEstmat[[#This Row],[Final Agreed Estimates]]/100, "")</f>
        <v>0</v>
      </c>
      <c r="G38">
        <f>IFERROR(TableEstmat[[#This Row],[Final Agreed Estimates]]*VLOOKUP(TableEstmat[[#Headers],[Planning]],Table1[],2,FALSE)/100,"")</f>
        <v>0</v>
      </c>
      <c r="H38">
        <f>IFERROR(VLOOKUP(TableEstmat[[#Headers],[Design &amp; Implementation]],Table1[],2,FALSE)*TableEstmat[[#This Row],[Final Agreed Estimates]]/100,"")</f>
        <v>0</v>
      </c>
    </row>
    <row r="39" spans="2:8" x14ac:dyDescent="0.25">
      <c r="B39" t="str">
        <f>IFERROR(VLOOKUP(TableEstmat[[#This Row],[Need ID]],Table3[#All],2,FALSE),"")</f>
        <v/>
      </c>
      <c r="C39" s="3" t="str">
        <f>IFERROR(VLOOKUP(TableEstmat[[#This Row],[Need ID]],Table3[#All],14,FALSE),"")</f>
        <v/>
      </c>
      <c r="D39" t="str">
        <f>IFERROR(VLOOKUP(TableEstmat[[#This Row],[Complexity Estimate]],$C$9:$D$11,2,FALSE),"0")</f>
        <v>0</v>
      </c>
      <c r="E39" t="str">
        <f>TableEstmat[[#This Row],[Estimated Design and Implementation effort]]</f>
        <v>0</v>
      </c>
      <c r="F39">
        <f>IFERROR(VLOOKUP(TableEstmat[[#Headers],[Requirements Development]],Table1[],2,FALSE)*TableEstmat[[#This Row],[Final Agreed Estimates]]/100, "")</f>
        <v>0</v>
      </c>
      <c r="G39">
        <f>IFERROR(TableEstmat[[#This Row],[Final Agreed Estimates]]*VLOOKUP(TableEstmat[[#Headers],[Planning]],Table1[],2,FALSE)/100,"")</f>
        <v>0</v>
      </c>
      <c r="H39">
        <f>IFERROR(VLOOKUP(TableEstmat[[#Headers],[Design &amp; Implementation]],Table1[],2,FALSE)*TableEstmat[[#This Row],[Final Agreed Estimates]]/100,"")</f>
        <v>0</v>
      </c>
    </row>
    <row r="40" spans="2:8" x14ac:dyDescent="0.25">
      <c r="B40" t="str">
        <f>IFERROR(VLOOKUP(TableEstmat[[#This Row],[Need ID]],Table3[#All],2,FALSE),"")</f>
        <v/>
      </c>
      <c r="C40" s="3" t="str">
        <f>IFERROR(VLOOKUP(TableEstmat[[#This Row],[Need ID]],Table3[#All],14,FALSE),"")</f>
        <v/>
      </c>
      <c r="D40" t="str">
        <f>IFERROR(VLOOKUP(TableEstmat[[#This Row],[Complexity Estimate]],$C$9:$D$11,2,FALSE),"0")</f>
        <v>0</v>
      </c>
      <c r="E40" t="str">
        <f>TableEstmat[[#This Row],[Estimated Design and Implementation effort]]</f>
        <v>0</v>
      </c>
      <c r="F40">
        <f>IFERROR(VLOOKUP(TableEstmat[[#Headers],[Requirements Development]],Table1[],2,FALSE)*TableEstmat[[#This Row],[Final Agreed Estimates]]/100, "")</f>
        <v>0</v>
      </c>
      <c r="G40">
        <f>IFERROR(TableEstmat[[#This Row],[Final Agreed Estimates]]*VLOOKUP(TableEstmat[[#Headers],[Planning]],Table1[],2,FALSE)/100,"")</f>
        <v>0</v>
      </c>
      <c r="H40">
        <f>IFERROR(VLOOKUP(TableEstmat[[#Headers],[Design &amp; Implementation]],Table1[],2,FALSE)*TableEstmat[[#This Row],[Final Agreed Estimates]]/100,"")</f>
        <v>0</v>
      </c>
    </row>
    <row r="41" spans="2:8" x14ac:dyDescent="0.25">
      <c r="B41" t="str">
        <f>IFERROR(VLOOKUP(TableEstmat[[#This Row],[Need ID]],Table3[#All],2,FALSE),"")</f>
        <v/>
      </c>
      <c r="C41" s="3" t="str">
        <f>IFERROR(VLOOKUP(TableEstmat[[#This Row],[Need ID]],Table3[#All],14,FALSE),"")</f>
        <v/>
      </c>
      <c r="D41" t="str">
        <f>IFERROR(VLOOKUP(TableEstmat[[#This Row],[Complexity Estimate]],$C$9:$D$11,2,FALSE),"0")</f>
        <v>0</v>
      </c>
      <c r="E41" t="str">
        <f>TableEstmat[[#This Row],[Estimated Design and Implementation effort]]</f>
        <v>0</v>
      </c>
      <c r="F41">
        <f>IFERROR(VLOOKUP(TableEstmat[[#Headers],[Requirements Development]],Table1[],2,FALSE)*TableEstmat[[#This Row],[Final Agreed Estimates]]/100, "")</f>
        <v>0</v>
      </c>
      <c r="G41">
        <f>IFERROR(TableEstmat[[#This Row],[Final Agreed Estimates]]*VLOOKUP(TableEstmat[[#Headers],[Planning]],Table1[],2,FALSE)/100,"")</f>
        <v>0</v>
      </c>
      <c r="H41">
        <f>IFERROR(VLOOKUP(TableEstmat[[#Headers],[Design &amp; Implementation]],Table1[],2,FALSE)*TableEstmat[[#This Row],[Final Agreed Estimates]]/100,"")</f>
        <v>0</v>
      </c>
    </row>
    <row r="42" spans="2:8" x14ac:dyDescent="0.25">
      <c r="B42" t="str">
        <f>IFERROR(VLOOKUP(TableEstmat[[#This Row],[Need ID]],Table3[#All],2,FALSE),"")</f>
        <v/>
      </c>
      <c r="C42" s="3" t="str">
        <f>IFERROR(VLOOKUP(TableEstmat[[#This Row],[Need ID]],Table3[#All],14,FALSE),"")</f>
        <v/>
      </c>
      <c r="D42" t="str">
        <f>IFERROR(VLOOKUP(TableEstmat[[#This Row],[Complexity Estimate]],$C$9:$D$11,2,FALSE),"0")</f>
        <v>0</v>
      </c>
      <c r="E42" t="str">
        <f>TableEstmat[[#This Row],[Estimated Design and Implementation effort]]</f>
        <v>0</v>
      </c>
      <c r="F42">
        <f>IFERROR(VLOOKUP(TableEstmat[[#Headers],[Requirements Development]],Table1[],2,FALSE)*TableEstmat[[#This Row],[Final Agreed Estimates]]/100, "")</f>
        <v>0</v>
      </c>
      <c r="G42">
        <f>IFERROR(TableEstmat[[#This Row],[Final Agreed Estimates]]*VLOOKUP(TableEstmat[[#Headers],[Planning]],Table1[],2,FALSE)/100,"")</f>
        <v>0</v>
      </c>
      <c r="H42">
        <f>IFERROR(VLOOKUP(TableEstmat[[#Headers],[Design &amp; Implementation]],Table1[],2,FALSE)*TableEstmat[[#This Row],[Final Agreed Estimates]]/100,"")</f>
        <v>0</v>
      </c>
    </row>
    <row r="43" spans="2:8" x14ac:dyDescent="0.25">
      <c r="B43" t="str">
        <f>IFERROR(VLOOKUP(TableEstmat[[#This Row],[Need ID]],Table3[#All],2,FALSE),"")</f>
        <v/>
      </c>
      <c r="C43" s="3" t="str">
        <f>IFERROR(VLOOKUP(TableEstmat[[#This Row],[Need ID]],Table3[#All],14,FALSE),"")</f>
        <v/>
      </c>
      <c r="D43" t="str">
        <f>IFERROR(VLOOKUP(TableEstmat[[#This Row],[Complexity Estimate]],$C$9:$D$11,2,FALSE),"0")</f>
        <v>0</v>
      </c>
      <c r="E43" t="str">
        <f>TableEstmat[[#This Row],[Estimated Design and Implementation effort]]</f>
        <v>0</v>
      </c>
      <c r="F43">
        <f>IFERROR(VLOOKUP(TableEstmat[[#Headers],[Requirements Development]],Table1[],2,FALSE)*TableEstmat[[#This Row],[Final Agreed Estimates]]/100, "")</f>
        <v>0</v>
      </c>
      <c r="G43">
        <f>IFERROR(TableEstmat[[#This Row],[Final Agreed Estimates]]*VLOOKUP(TableEstmat[[#Headers],[Planning]],Table1[],2,FALSE)/100,"")</f>
        <v>0</v>
      </c>
      <c r="H43">
        <f>IFERROR(VLOOKUP(TableEstmat[[#Headers],[Design &amp; Implementation]],Table1[],2,FALSE)*TableEstmat[[#This Row],[Final Agreed Estimates]]/100,"")</f>
        <v>0</v>
      </c>
    </row>
    <row r="44" spans="2:8" x14ac:dyDescent="0.25">
      <c r="B44" t="str">
        <f>IFERROR(VLOOKUP(TableEstmat[[#This Row],[Need ID]],Table3[#All],2,FALSE),"")</f>
        <v/>
      </c>
      <c r="C44" s="3" t="str">
        <f>IFERROR(VLOOKUP(TableEstmat[[#This Row],[Need ID]],Table3[#All],14,FALSE),"")</f>
        <v/>
      </c>
      <c r="D44" t="str">
        <f>IFERROR(VLOOKUP(TableEstmat[[#This Row],[Complexity Estimate]],$C$9:$D$11,2,FALSE),"0")</f>
        <v>0</v>
      </c>
      <c r="E44" t="str">
        <f>TableEstmat[[#This Row],[Estimated Design and Implementation effort]]</f>
        <v>0</v>
      </c>
      <c r="F44">
        <f>IFERROR(VLOOKUP(TableEstmat[[#Headers],[Requirements Development]],Table1[],2,FALSE)*TableEstmat[[#This Row],[Final Agreed Estimates]]/100, "")</f>
        <v>0</v>
      </c>
      <c r="G44">
        <f>IFERROR(TableEstmat[[#This Row],[Final Agreed Estimates]]*VLOOKUP(TableEstmat[[#Headers],[Planning]],Table1[],2,FALSE)/100,"")</f>
        <v>0</v>
      </c>
      <c r="H44">
        <f>IFERROR(VLOOKUP(TableEstmat[[#Headers],[Design &amp; Implementation]],Table1[],2,FALSE)*TableEstmat[[#This Row],[Final Agreed Estimates]]/100,"")</f>
        <v>0</v>
      </c>
    </row>
    <row r="45" spans="2:8" x14ac:dyDescent="0.25">
      <c r="B45" t="str">
        <f>IFERROR(VLOOKUP(TableEstmat[[#This Row],[Need ID]],Table3[#All],2,FALSE),"")</f>
        <v/>
      </c>
      <c r="C45" s="3" t="str">
        <f>IFERROR(VLOOKUP(TableEstmat[[#This Row],[Need ID]],Table3[#All],14,FALSE),"")</f>
        <v/>
      </c>
      <c r="D45" t="str">
        <f>IFERROR(VLOOKUP(TableEstmat[[#This Row],[Complexity Estimate]],$C$9:$D$11,2,FALSE),"0")</f>
        <v>0</v>
      </c>
      <c r="E45" t="str">
        <f>TableEstmat[[#This Row],[Estimated Design and Implementation effort]]</f>
        <v>0</v>
      </c>
      <c r="F45">
        <f>IFERROR(VLOOKUP(TableEstmat[[#Headers],[Requirements Development]],Table1[],2,FALSE)*TableEstmat[[#This Row],[Final Agreed Estimates]]/100, "")</f>
        <v>0</v>
      </c>
      <c r="G45">
        <f>IFERROR(TableEstmat[[#This Row],[Final Agreed Estimates]]*VLOOKUP(TableEstmat[[#Headers],[Planning]],Table1[],2,FALSE)/100,"")</f>
        <v>0</v>
      </c>
      <c r="H45">
        <f>IFERROR(VLOOKUP(TableEstmat[[#Headers],[Design &amp; Implementation]],Table1[],2,FALSE)*TableEstmat[[#This Row],[Final Agreed Estimates]]/100,"")</f>
        <v>0</v>
      </c>
    </row>
    <row r="46" spans="2:8" x14ac:dyDescent="0.25">
      <c r="B46" t="str">
        <f>IFERROR(VLOOKUP(TableEstmat[[#This Row],[Need ID]],Table3[#All],2,FALSE),"")</f>
        <v/>
      </c>
      <c r="C46" s="3" t="str">
        <f>IFERROR(VLOOKUP(TableEstmat[[#This Row],[Need ID]],Table3[#All],14,FALSE),"")</f>
        <v/>
      </c>
      <c r="D46" t="str">
        <f>IFERROR(VLOOKUP(TableEstmat[[#This Row],[Complexity Estimate]],$C$9:$D$11,2,FALSE),"0")</f>
        <v>0</v>
      </c>
      <c r="E46" t="str">
        <f>TableEstmat[[#This Row],[Estimated Design and Implementation effort]]</f>
        <v>0</v>
      </c>
      <c r="F46">
        <f>IFERROR(VLOOKUP(TableEstmat[[#Headers],[Requirements Development]],Table1[],2,FALSE)*TableEstmat[[#This Row],[Final Agreed Estimates]]/100, "")</f>
        <v>0</v>
      </c>
      <c r="G46">
        <f>IFERROR(TableEstmat[[#This Row],[Final Agreed Estimates]]*VLOOKUP(TableEstmat[[#Headers],[Planning]],Table1[],2,FALSE)/100,"")</f>
        <v>0</v>
      </c>
      <c r="H46">
        <f>IFERROR(VLOOKUP(TableEstmat[[#Headers],[Design &amp; Implementation]],Table1[],2,FALSE)*TableEstmat[[#This Row],[Final Agreed Estimates]]/100,"")</f>
        <v>0</v>
      </c>
    </row>
    <row r="47" spans="2:8" x14ac:dyDescent="0.25">
      <c r="B47" t="str">
        <f>IFERROR(VLOOKUP(TableEstmat[[#This Row],[Need ID]],Table3[#All],2,FALSE),"")</f>
        <v/>
      </c>
      <c r="C47" s="3" t="str">
        <f>IFERROR(VLOOKUP(TableEstmat[[#This Row],[Need ID]],Table3[#All],14,FALSE),"")</f>
        <v/>
      </c>
      <c r="D47" t="str">
        <f>IFERROR(VLOOKUP(TableEstmat[[#This Row],[Complexity Estimate]],$C$9:$D$11,2,FALSE),"0")</f>
        <v>0</v>
      </c>
      <c r="E47" t="str">
        <f>TableEstmat[[#This Row],[Estimated Design and Implementation effort]]</f>
        <v>0</v>
      </c>
      <c r="F47">
        <f>IFERROR(VLOOKUP(TableEstmat[[#Headers],[Requirements Development]],Table1[],2,FALSE)*TableEstmat[[#This Row],[Final Agreed Estimates]]/100, "")</f>
        <v>0</v>
      </c>
      <c r="G47">
        <f>IFERROR(TableEstmat[[#This Row],[Final Agreed Estimates]]*VLOOKUP(TableEstmat[[#Headers],[Planning]],Table1[],2,FALSE)/100,"")</f>
        <v>0</v>
      </c>
      <c r="H47">
        <f>IFERROR(VLOOKUP(TableEstmat[[#Headers],[Design &amp; Implementation]],Table1[],2,FALSE)*TableEstmat[[#This Row],[Final Agreed Estimates]]/100,"")</f>
        <v>0</v>
      </c>
    </row>
    <row r="48" spans="2:8" x14ac:dyDescent="0.25">
      <c r="B48" t="str">
        <f>IFERROR(VLOOKUP(TableEstmat[[#This Row],[Need ID]],Table3[#All],2,FALSE),"")</f>
        <v/>
      </c>
      <c r="C48" s="3" t="str">
        <f>IFERROR(VLOOKUP(TableEstmat[[#This Row],[Need ID]],Table3[#All],14,FALSE),"")</f>
        <v/>
      </c>
      <c r="D48" t="str">
        <f>IFERROR(VLOOKUP(TableEstmat[[#This Row],[Complexity Estimate]],$C$9:$D$11,2,FALSE),"0")</f>
        <v>0</v>
      </c>
      <c r="E48" t="str">
        <f>TableEstmat[[#This Row],[Estimated Design and Implementation effort]]</f>
        <v>0</v>
      </c>
      <c r="F48">
        <f>IFERROR(VLOOKUP(TableEstmat[[#Headers],[Requirements Development]],Table1[],2,FALSE)*TableEstmat[[#This Row],[Final Agreed Estimates]]/100, "")</f>
        <v>0</v>
      </c>
      <c r="G48">
        <f>IFERROR(TableEstmat[[#This Row],[Final Agreed Estimates]]*VLOOKUP(TableEstmat[[#Headers],[Planning]],Table1[],2,FALSE)/100,"")</f>
        <v>0</v>
      </c>
      <c r="H48">
        <f>IFERROR(VLOOKUP(TableEstmat[[#Headers],[Design &amp; Implementation]],Table1[],2,FALSE)*TableEstmat[[#This Row],[Final Agreed Estimates]]/100,"")</f>
        <v>0</v>
      </c>
    </row>
    <row r="49" spans="1:8" x14ac:dyDescent="0.25">
      <c r="B49" t="str">
        <f>IFERROR(VLOOKUP(TableEstmat[[#This Row],[Need ID]],Table3[#All],2,FALSE),"")</f>
        <v/>
      </c>
      <c r="C49" s="3" t="str">
        <f>IFERROR(VLOOKUP(TableEstmat[[#This Row],[Need ID]],Table3[#All],14,FALSE),"")</f>
        <v/>
      </c>
      <c r="D49" t="str">
        <f>IFERROR(VLOOKUP(TableEstmat[[#This Row],[Complexity Estimate]],$C$9:$D$11,2,FALSE),"0")</f>
        <v>0</v>
      </c>
      <c r="E49" t="str">
        <f>TableEstmat[[#This Row],[Estimated Design and Implementation effort]]</f>
        <v>0</v>
      </c>
      <c r="F49">
        <f>IFERROR(VLOOKUP(TableEstmat[[#Headers],[Requirements Development]],Table1[],2,FALSE)*TableEstmat[[#This Row],[Final Agreed Estimates]]/100, "")</f>
        <v>0</v>
      </c>
      <c r="G49">
        <f>IFERROR(TableEstmat[[#This Row],[Final Agreed Estimates]]*VLOOKUP(TableEstmat[[#Headers],[Planning]],Table1[],2,FALSE)/100,"")</f>
        <v>0</v>
      </c>
      <c r="H49">
        <f>IFERROR(VLOOKUP(TableEstmat[[#Headers],[Design &amp; Implementation]],Table1[],2,FALSE)*TableEstmat[[#This Row],[Final Agreed Estimates]]/100,"")</f>
        <v>0</v>
      </c>
    </row>
    <row r="50" spans="1:8" x14ac:dyDescent="0.25">
      <c r="A50" t="s">
        <v>10</v>
      </c>
      <c r="E50">
        <f>SUBTOTAL(109,TableEstmat[Final Agreed Estimates])</f>
        <v>25</v>
      </c>
      <c r="F50">
        <f>SUBTOTAL(109,TableEstmat[Requirements Development])</f>
        <v>3.75</v>
      </c>
      <c r="G50">
        <f>SUBTOTAL(109,TableEstmat[Planning])</f>
        <v>3</v>
      </c>
      <c r="H50">
        <f>SUBTOTAL(109,TableEstmat[Design &amp; Implementation])</f>
        <v>25</v>
      </c>
    </row>
  </sheetData>
  <conditionalFormatting sqref="A2">
    <cfRule type="expression" dxfId="10" priority="3">
      <formula>HasFormula</formula>
    </cfRule>
  </conditionalFormatting>
  <conditionalFormatting sqref="A15:H50">
    <cfRule type="expression" dxfId="9" priority="1">
      <formula>HasFormula</formula>
    </cfRule>
  </conditionalFormatting>
  <dataValidations count="2">
    <dataValidation allowBlank="1" showDropDown="1" showInputMessage="1" showErrorMessage="1" errorTitle="Invalid Estimates" error="Ensure that the values are either 'L' or 'M' or 'H'." sqref="D15:D49"/>
    <dataValidation type="list" allowBlank="1" showInputMessage="1" showErrorMessage="1" errorTitle="Invalid Estimates" error="Ensure that the values are either 'L' or 'M' or 'H'." sqref="C15:C49">
      <formula1>"L,M,H,No Complexity"</formula1>
    </dataValidation>
  </dataValidations>
  <pageMargins left="0.7" right="0.7" top="0.75" bottom="0.75" header="0.3" footer="0.3"/>
  <pageSetup orientation="portrait" horizontalDpi="300" verticalDpi="300" r:id="rId1"/>
  <headerFooter>
    <oddHeader>&amp;LRisk Matrix
TMPL_RSKMTX_V01-01 
&amp;RDocument Number:__.__</oddHeader>
    <oddFooter>&amp;CGenus Power Infrastructures Limited</oddFooter>
  </headerFooter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068604E74C047BC66B3ED07869872" ma:contentTypeVersion="0" ma:contentTypeDescription="Create a new document." ma:contentTypeScope="" ma:versionID="7d65b694ac3f1c289d6201da35c196e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C12CCDA-874A-4C52-9AFC-73F7D331D9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76F758-1A01-4B76-9FD3-C0201B48D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BE458E0-E5EC-4704-93C1-32F9A51503D6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Revision History</vt:lpstr>
      <vt:lpstr>LFC Dist</vt:lpstr>
      <vt:lpstr>Complexity Estimation</vt:lpstr>
      <vt:lpstr>DI Effort for Sample</vt:lpstr>
      <vt:lpstr>Final Estimation-HDW</vt:lpstr>
      <vt:lpstr>'Revision History'!_GoBack</vt:lpstr>
      <vt:lpstr>'Revision History'!_Toc291841766</vt:lpstr>
      <vt:lpstr>'Revision History'!_Toc291841767</vt:lpstr>
      <vt:lpstr>'Revision History'!_Toc291841768</vt:lpstr>
      <vt:lpstr>'Revision History'!_Toc291841769</vt:lpstr>
      <vt:lpstr>'Revision History'!_Toc291841770</vt:lpstr>
      <vt:lpstr>'Revision History'!_Toc291841771</vt:lpstr>
      <vt:lpstr>'Revision History'!_Toc291841772</vt:lpstr>
      <vt:lpstr>'Revision History'!_Toc291841773</vt:lpstr>
      <vt:lpstr>'Revision History'!_Toc291841774</vt:lpstr>
    </vt:vector>
  </TitlesOfParts>
  <Company>Genus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Estimates Template</dc:title>
  <dc:creator>Vaibhav Garg</dc:creator>
  <cp:lastModifiedBy>Rajkumar Jain</cp:lastModifiedBy>
  <cp:lastPrinted>2009-07-15T07:20:09Z</cp:lastPrinted>
  <dcterms:created xsi:type="dcterms:W3CDTF">2009-04-10T09:53:11Z</dcterms:created>
  <dcterms:modified xsi:type="dcterms:W3CDTF">2015-11-19T07:29:45Z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0x01010005A068604E74C047BC66B3ED07869872</vt:lpwstr>
  </property>
</Properties>
</file>