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1910" windowHeight="4335" tabRatio="654"/>
  </bookViews>
  <sheets>
    <sheet name="Revision History" sheetId="4" r:id="rId1"/>
    <sheet name="LFC Dist" sheetId="5" r:id="rId2"/>
    <sheet name="Complexity Estimation" sheetId="7" r:id="rId3"/>
    <sheet name="DI Effort for Sample" sheetId="8" r:id="rId4"/>
    <sheet name="Final Estimation-MCH" sheetId="2" r:id="rId5"/>
  </sheets>
  <definedNames>
    <definedName name="_GoBack" localSheetId="0">'Revision History'!$C$38</definedName>
    <definedName name="_Toc291841766" localSheetId="0">'Revision History'!$C$12</definedName>
    <definedName name="_Toc291841767" localSheetId="0">'Revision History'!$C$20</definedName>
    <definedName name="_Toc291841768" localSheetId="0">'Revision History'!$C$22</definedName>
    <definedName name="_Toc291841769" localSheetId="0">'Revision History'!$C$24</definedName>
    <definedName name="_Toc291841770" localSheetId="0">'Revision History'!$C$26</definedName>
    <definedName name="_Toc291841771" localSheetId="0">'Revision History'!$C$28</definedName>
    <definedName name="_Toc291841772" localSheetId="0">'Revision History'!$C$30</definedName>
    <definedName name="_Toc291841773" localSheetId="0">'Revision History'!$C$33</definedName>
    <definedName name="_Toc291841774" localSheetId="0">'Revision History'!$C$37</definedName>
    <definedName name="Target_Platform">#REF!</definedName>
    <definedName name="Topology_architecture">#REF!</definedName>
  </definedNames>
  <calcPr calcId="144525"/>
</workbook>
</file>

<file path=xl/calcChain.xml><?xml version="1.0" encoding="utf-8"?>
<calcChain xmlns="http://schemas.openxmlformats.org/spreadsheetml/2006/main">
  <c r="B17" i="2" l="1"/>
  <c r="B15" i="2" l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F40" i="8"/>
  <c r="D40" i="8"/>
  <c r="B40" i="8"/>
  <c r="G34" i="8"/>
  <c r="E34" i="8"/>
  <c r="C34" i="8"/>
  <c r="D32" i="8" s="1"/>
  <c r="B31" i="8"/>
  <c r="F27" i="8"/>
  <c r="D27" i="8"/>
  <c r="B27" i="8"/>
  <c r="G21" i="8"/>
  <c r="E21" i="8"/>
  <c r="C21" i="8"/>
  <c r="B18" i="8"/>
  <c r="B5" i="8"/>
  <c r="D19" i="8" l="1"/>
  <c r="F14" i="8"/>
  <c r="D14" i="8"/>
  <c r="B14" i="8"/>
  <c r="G8" i="8"/>
  <c r="E8" i="8"/>
  <c r="C8" i="8"/>
  <c r="K4" i="7"/>
  <c r="L4" i="7" s="1"/>
  <c r="C16" i="2" s="1"/>
  <c r="D16" i="2" s="1"/>
  <c r="K3" i="7"/>
  <c r="L3" i="7" s="1"/>
  <c r="C15" i="2" s="1"/>
  <c r="D15" i="2" s="1"/>
  <c r="K5" i="7"/>
  <c r="L5" i="7" s="1"/>
  <c r="C17" i="2" s="1"/>
  <c r="D17" i="2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B24" i="2"/>
  <c r="E24" i="2"/>
  <c r="B25" i="2"/>
  <c r="E25" i="2"/>
  <c r="B26" i="2"/>
  <c r="E26" i="2"/>
  <c r="B27" i="2"/>
  <c r="E27" i="2"/>
  <c r="B28" i="2"/>
  <c r="E28" i="2"/>
  <c r="B29" i="2"/>
  <c r="E29" i="2"/>
  <c r="B30" i="2"/>
  <c r="E30" i="2"/>
  <c r="B31" i="2"/>
  <c r="E31" i="2"/>
  <c r="B32" i="2"/>
  <c r="E32" i="2"/>
  <c r="B33" i="2"/>
  <c r="E33" i="2"/>
  <c r="B34" i="2"/>
  <c r="E34" i="2"/>
  <c r="B35" i="2"/>
  <c r="E35" i="2"/>
  <c r="B36" i="2"/>
  <c r="E36" i="2"/>
  <c r="B37" i="2"/>
  <c r="E37" i="2"/>
  <c r="B38" i="2"/>
  <c r="E38" i="2"/>
  <c r="B39" i="2"/>
  <c r="E39" i="2"/>
  <c r="B40" i="2"/>
  <c r="E40" i="2"/>
  <c r="B41" i="2"/>
  <c r="E41" i="2"/>
  <c r="B42" i="2"/>
  <c r="E42" i="2"/>
  <c r="B43" i="2"/>
  <c r="E43" i="2"/>
  <c r="B44" i="2"/>
  <c r="E44" i="2"/>
  <c r="B23" i="2"/>
  <c r="E23" i="2"/>
  <c r="B45" i="2"/>
  <c r="E45" i="2"/>
  <c r="B46" i="2"/>
  <c r="E46" i="2"/>
  <c r="B47" i="2"/>
  <c r="E47" i="2"/>
  <c r="B48" i="2"/>
  <c r="E48" i="2"/>
  <c r="B16" i="2"/>
  <c r="B18" i="2"/>
  <c r="B19" i="2"/>
  <c r="B20" i="2"/>
  <c r="B21" i="2"/>
  <c r="B22" i="2"/>
  <c r="B49" i="2"/>
  <c r="D6" i="8" l="1"/>
  <c r="B32" i="8"/>
  <c r="B19" i="8"/>
  <c r="B6" i="8"/>
  <c r="H39" i="2"/>
  <c r="F39" i="2"/>
  <c r="G39" i="2"/>
  <c r="H31" i="2"/>
  <c r="F31" i="2"/>
  <c r="G31" i="2"/>
  <c r="H43" i="2"/>
  <c r="F43" i="2"/>
  <c r="G43" i="2"/>
  <c r="H35" i="2"/>
  <c r="F35" i="2"/>
  <c r="G35" i="2"/>
  <c r="H27" i="2"/>
  <c r="F27" i="2"/>
  <c r="G27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G47" i="2"/>
  <c r="G45" i="2"/>
  <c r="G41" i="2"/>
  <c r="G37" i="2"/>
  <c r="G33" i="2"/>
  <c r="G29" i="2"/>
  <c r="G25" i="2"/>
  <c r="G23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F47" i="2"/>
  <c r="F45" i="2"/>
  <c r="F41" i="2"/>
  <c r="F37" i="2"/>
  <c r="F33" i="2"/>
  <c r="F29" i="2"/>
  <c r="F25" i="2"/>
  <c r="F23" i="2"/>
  <c r="G48" i="2"/>
  <c r="G46" i="2"/>
  <c r="G44" i="2"/>
  <c r="G42" i="2"/>
  <c r="G40" i="2"/>
  <c r="G38" i="2"/>
  <c r="G36" i="2"/>
  <c r="G34" i="2"/>
  <c r="G32" i="2"/>
  <c r="G30" i="2"/>
  <c r="G28" i="2"/>
  <c r="G26" i="2"/>
  <c r="G24" i="2"/>
  <c r="H47" i="2"/>
  <c r="H45" i="2"/>
  <c r="H41" i="2"/>
  <c r="H37" i="2"/>
  <c r="H33" i="2"/>
  <c r="H29" i="2"/>
  <c r="H25" i="2"/>
  <c r="H23" i="2"/>
  <c r="E16" i="2" l="1"/>
  <c r="E15" i="2"/>
  <c r="E17" i="2"/>
  <c r="E18" i="2"/>
  <c r="E19" i="2"/>
  <c r="E20" i="2"/>
  <c r="E21" i="2"/>
  <c r="E22" i="2"/>
  <c r="E49" i="2"/>
  <c r="C5" i="5"/>
  <c r="C6" i="5"/>
  <c r="C7" i="5"/>
  <c r="C8" i="5"/>
  <c r="C9" i="5"/>
  <c r="H49" i="2" l="1"/>
  <c r="F49" i="2"/>
  <c r="G49" i="2"/>
  <c r="H21" i="2"/>
  <c r="F21" i="2"/>
  <c r="G21" i="2"/>
  <c r="H19" i="2"/>
  <c r="F19" i="2"/>
  <c r="G19" i="2"/>
  <c r="H17" i="2"/>
  <c r="F17" i="2"/>
  <c r="G17" i="2"/>
  <c r="H15" i="2"/>
  <c r="F15" i="2"/>
  <c r="G15" i="2"/>
  <c r="G22" i="2"/>
  <c r="H22" i="2"/>
  <c r="F22" i="2"/>
  <c r="G20" i="2"/>
  <c r="H20" i="2"/>
  <c r="F20" i="2"/>
  <c r="G18" i="2"/>
  <c r="H18" i="2"/>
  <c r="F18" i="2"/>
  <c r="G16" i="2"/>
  <c r="H16" i="2"/>
  <c r="F16" i="2"/>
  <c r="E50" i="2"/>
  <c r="F50" i="2" l="1"/>
  <c r="H50" i="2"/>
  <c r="G50" i="2" l="1"/>
  <c r="C6" i="2" s="1"/>
  <c r="C5" i="2" l="1"/>
</calcChain>
</file>

<file path=xl/comments1.xml><?xml version="1.0" encoding="utf-8"?>
<comments xmlns="http://schemas.openxmlformats.org/spreadsheetml/2006/main">
  <authors>
    <author>Vaibhav Garg</author>
  </authors>
  <commentList>
    <comment ref="L2" authorId="0">
      <text>
        <r>
          <rPr>
            <sz val="9"/>
            <color indexed="81"/>
            <rFont val="Tahoma"/>
            <family val="2"/>
          </rPr>
          <t xml:space="preserve">where L is 1-3
M is &gt;3 to &lt;=7
and H is &gt;7 to &lt;=10
</t>
        </r>
      </text>
    </comment>
  </commentList>
</comments>
</file>

<file path=xl/comments2.xml><?xml version="1.0" encoding="utf-8"?>
<comments xmlns="http://schemas.openxmlformats.org/spreadsheetml/2006/main">
  <authors>
    <author>Vaibhav Garg</author>
  </authors>
  <commentList>
    <comment ref="D9" authorId="0">
      <text>
        <r>
          <rPr>
            <sz val="9"/>
            <color indexed="81"/>
            <rFont val="Tahoma"/>
            <family val="2"/>
          </rPr>
          <t>Wide band Delphi, documented. Use values from DI effort for sample sheet</t>
        </r>
      </text>
    </comment>
    <comment ref="E14" authorId="0">
      <text>
        <r>
          <rPr>
            <sz val="9"/>
            <color indexed="81"/>
            <rFont val="Tahoma"/>
            <family val="2"/>
          </rPr>
          <t>Change as needed.
Add a comment whereever change is made to the calculated estimation, clearly mentioning the reason for change.</t>
        </r>
      </text>
    </comment>
  </commentList>
</comments>
</file>

<file path=xl/sharedStrings.xml><?xml version="1.0" encoding="utf-8"?>
<sst xmlns="http://schemas.openxmlformats.org/spreadsheetml/2006/main" count="104" uniqueCount="61">
  <si>
    <t>Project Code</t>
  </si>
  <si>
    <t>Need ID</t>
  </si>
  <si>
    <t>Final Estimations</t>
  </si>
  <si>
    <t>NEED Statement(VOC)</t>
  </si>
  <si>
    <t>LFC</t>
  </si>
  <si>
    <t>EST</t>
  </si>
  <si>
    <t>Planning</t>
  </si>
  <si>
    <t>Validation</t>
  </si>
  <si>
    <t>Overheads</t>
  </si>
  <si>
    <t>Requirements Development</t>
  </si>
  <si>
    <t>Total</t>
  </si>
  <si>
    <t>Total days</t>
  </si>
  <si>
    <t>Total working hours</t>
  </si>
  <si>
    <t>L</t>
  </si>
  <si>
    <t>M</t>
  </si>
  <si>
    <t>H</t>
  </si>
  <si>
    <t>Complexity Estimate</t>
  </si>
  <si>
    <t>Column1</t>
  </si>
  <si>
    <t>Participants</t>
  </si>
  <si>
    <t>Final Agreed Estimates</t>
  </si>
  <si>
    <t>Complexity Score</t>
  </si>
  <si>
    <t>Final Complexity</t>
  </si>
  <si>
    <t>Refer Estimation guidelines for details on using this template.</t>
  </si>
  <si>
    <t>Genus Innovation Limited</t>
  </si>
  <si>
    <t>Requirements development</t>
  </si>
  <si>
    <t>Design &amp; Implementation</t>
  </si>
  <si>
    <t>Reusability</t>
  </si>
  <si>
    <t>Any Other factors</t>
  </si>
  <si>
    <t>Comments/ Remarks if any</t>
  </si>
  <si>
    <t>Estimated Design and Implementation effort</t>
  </si>
  <si>
    <t>Aesthetic requirements</t>
  </si>
  <si>
    <t>User handling, safety constraints and ergonomics</t>
  </si>
  <si>
    <t>Precision and Tolerance</t>
  </si>
  <si>
    <t xml:space="preserve"> Design &amp; Implementation Effort required for 1 Low complexity requirement in this project</t>
  </si>
  <si>
    <t xml:space="preserve"> Design &amp; Implementation Effort required for 1 Medium complexity requirement in this project</t>
  </si>
  <si>
    <t xml:space="preserve"> Design &amp; Implementation Effort required for 1 High complexity requirement in this project</t>
  </si>
  <si>
    <t>Req ID</t>
  </si>
  <si>
    <t>Requirement statement</t>
  </si>
  <si>
    <t>req rating</t>
  </si>
  <si>
    <t>Final Efforts</t>
  </si>
  <si>
    <t>Variance</t>
  </si>
  <si>
    <t>ROUND 1</t>
  </si>
  <si>
    <t>ROUND 2</t>
  </si>
  <si>
    <t>ROUND 3</t>
  </si>
  <si>
    <t>Paricipant name</t>
  </si>
  <si>
    <t>Efforts R1</t>
  </si>
  <si>
    <t>Assumption r1</t>
  </si>
  <si>
    <t>Efforts R2</t>
  </si>
  <si>
    <t>Assumption R2</t>
  </si>
  <si>
    <t>Efforts R3</t>
  </si>
  <si>
    <t>Assumption R3</t>
  </si>
  <si>
    <t>person a</t>
  </si>
  <si>
    <t>person b</t>
  </si>
  <si>
    <t>person c</t>
  </si>
  <si>
    <t>Mechanical</t>
  </si>
  <si>
    <t>IPxy requirements and mechanical standard compliance (X)</t>
  </si>
  <si>
    <t>IPxy requirements and mechanical standard compliance (Y)</t>
  </si>
  <si>
    <t>Genus</t>
  </si>
  <si>
    <t>Solar</t>
  </si>
  <si>
    <t>UPS</t>
  </si>
  <si>
    <t>Template Version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</si>
</sst>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sz val="18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6" fillId="2" borderId="10" applyNumberFormat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2" fillId="0" borderId="1" xfId="1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/>
    </xf>
    <xf numFmtId="0" fontId="3" fillId="0" borderId="0" xfId="0" applyFont="1"/>
    <xf numFmtId="0" fontId="4" fillId="0" borderId="0" xfId="2"/>
    <xf numFmtId="0" fontId="0" fillId="0" borderId="0" xfId="0" applyFont="1" applyBorder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4" fillId="0" borderId="1" xfId="2" applyBorder="1"/>
    <xf numFmtId="0" fontId="4" fillId="0" borderId="0" xfId="2" applyBorder="1"/>
    <xf numFmtId="0" fontId="3" fillId="0" borderId="0" xfId="0" applyFont="1" applyAlignment="1">
      <alignment horizontal="right"/>
    </xf>
    <xf numFmtId="0" fontId="7" fillId="2" borderId="10" xfId="4" applyFont="1" applyAlignment="1">
      <alignment horizontal="center"/>
    </xf>
    <xf numFmtId="0" fontId="6" fillId="2" borderId="10" xfId="4"/>
    <xf numFmtId="164" fontId="3" fillId="0" borderId="0" xfId="3" applyNumberFormat="1" applyFont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5">
    <cellStyle name="Heading 1" xfId="1" builtinId="16"/>
    <cellStyle name="Normal" xfId="0" builtinId="0"/>
    <cellStyle name="Output" xfId="4" builtinId="21"/>
    <cellStyle name="Percent" xfId="3" builtinId="5"/>
    <cellStyle name="Title" xfId="2" builtinId="15"/>
  </cellStyles>
  <dxfs count="41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1" relativeIndent="0" justifyLastLine="0" shrinkToFit="0" readingOrder="0"/>
    </dxf>
    <dxf>
      <numFmt numFmtId="14" formatCode="0.00%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4:C9" totalsRowShown="0">
  <autoFilter ref="A4:C9"/>
  <tableColumns count="3">
    <tableColumn id="1" name="LFC" dataDxfId="40"/>
    <tableColumn id="2" name="EST"/>
    <tableColumn id="3" name="Column1" dataDxfId="39">
      <calculatedColumnFormula>Table1[[#This Row],[EST]]/SUM(Table1[EST])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3" displayName="Table3" ref="A2:L11" totalsRowShown="0" headerRowDxfId="38" dataDxfId="37">
  <tableColumns count="12">
    <tableColumn id="10" name="Need ID" dataDxfId="36"/>
    <tableColumn id="1" name="NEED Statement(VOC)"/>
    <tableColumn id="2" name="Aesthetic requirements" dataDxfId="35"/>
    <tableColumn id="3" name="User handling, safety constraints and ergonomics" dataDxfId="34"/>
    <tableColumn id="4" name="IPxy requirements and mechanical standard compliance (X)" dataDxfId="33"/>
    <tableColumn id="12" name="IPxy requirements and mechanical standard compliance (Y)"/>
    <tableColumn id="5" name="Precision and Tolerance" dataDxfId="32"/>
    <tableColumn id="6" name="Reusability" dataDxfId="31"/>
    <tableColumn id="7" name="Any Other factors" dataDxfId="30"/>
    <tableColumn id="8" name="Comments/ Remarks if any" dataDxfId="29"/>
    <tableColumn id="9" name="Complexity Score" dataDxfId="28">
      <calculatedColumnFormula>IFERROR(AVERAGE(Table3[[#This Row],[Aesthetic requirements]:[Reusability]]),"")</calculatedColumnFormula>
    </tableColumn>
    <tableColumn id="11" name="Final Complexity" dataDxfId="27">
      <calculatedColumnFormula>IF(Table3[[#This Row],[Complexity Score]]=0,"No Complexity",
IF(Table3[[#This Row],[Complexity Score]]&lt;=3,"L",IF(Table3[[#This Row],[Complexity Score]]&lt;=7,"M",IF(LEN(Table3[[#This Row],[Complexity Score]])=0,"","H"))))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0:G14" totalsRowCount="1">
  <autoFilter ref="A10:G13"/>
  <tableColumns count="7">
    <tableColumn id="1" name="Paricipant name" totalsRowLabel="Total"/>
    <tableColumn id="2" name="Efforts R1" totalsRowFunction="custom">
      <totalsRowFormula>IFERROR(SUBTOTAL(101,Table2[Efforts R1]),0)</totalsRowFormula>
    </tableColumn>
    <tableColumn id="3" name="Assumption r1"/>
    <tableColumn id="4" name="Efforts R2" totalsRowFunction="custom">
      <totalsRowFormula>IFERROR(SUBTOTAL(101,Table2[Efforts R2]),0)</totalsRowFormula>
    </tableColumn>
    <tableColumn id="5" name="Assumption R2"/>
    <tableColumn id="6" name="Efforts R3" totalsRowFunction="custom">
      <totalsRowFormula>IFERROR(SUBTOTAL(101,Table2[Efforts R3]),0)</totalsRowFormula>
    </tableColumn>
    <tableColumn id="7" name="Assumption R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23:G27" totalsRowCount="1">
  <autoFilter ref="A23:G26"/>
  <tableColumns count="7">
    <tableColumn id="1" name="Paricipant name" totalsRowLabel="Total"/>
    <tableColumn id="2" name="Efforts R1" totalsRowFunction="custom">
      <totalsRowFormula>IFERROR(SUBTOTAL(101,Table25[Efforts R1]),0)</totalsRowFormula>
    </tableColumn>
    <tableColumn id="3" name="Assumption r1"/>
    <tableColumn id="4" name="Efforts R2" totalsRowFunction="custom">
      <totalsRowFormula>IFERROR(SUBTOTAL(101,Table25[Efforts R2]),0)</totalsRowFormula>
    </tableColumn>
    <tableColumn id="5" name="Assumption R2"/>
    <tableColumn id="6" name="Efforts R3" totalsRowFunction="custom">
      <totalsRowFormula>IFERROR(SUBTOTAL(101,Table25[Efforts R3]),0)</totalsRowFormula>
    </tableColumn>
    <tableColumn id="7" name="Assumption R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A36:G40" totalsRowCount="1">
  <autoFilter ref="A36:G39"/>
  <tableColumns count="7">
    <tableColumn id="1" name="Paricipant name" totalsRowLabel="Total"/>
    <tableColumn id="2" name="Efforts R1" totalsRowFunction="custom">
      <totalsRowFormula>IFERROR(SUBTOTAL(101,Table26[Efforts R1]),0)</totalsRowFormula>
    </tableColumn>
    <tableColumn id="3" name="Assumption r1"/>
    <tableColumn id="4" name="Efforts R2" totalsRowFunction="custom">
      <totalsRowFormula>IFERROR(SUBTOTAL(101,Table26[Efforts R2]),0)</totalsRowFormula>
    </tableColumn>
    <tableColumn id="5" name="Assumption R2"/>
    <tableColumn id="6" name="Efforts R3" totalsRowFunction="custom">
      <totalsRowFormula>IFERROR(SUBTOTAL(101,Table26[Efforts R3]),0)</totalsRowFormula>
    </tableColumn>
    <tableColumn id="7" name="Assumption R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TableEstmat" displayName="TableEstmat" ref="A14:H50" totalsRowCount="1" headerRowDxfId="8">
  <tableColumns count="8">
    <tableColumn id="1" name="Need ID" totalsRowLabel="Total" dataDxfId="7"/>
    <tableColumn id="2" name="NEED Statement(VOC)" dataDxfId="6">
      <calculatedColumnFormula>IFERROR(VLOOKUP(TableEstmat[[#This Row],[Need ID]],Table3[#All],2,FALSE),"")</calculatedColumnFormula>
    </tableColumn>
    <tableColumn id="15" name="Complexity Estimate" dataDxfId="5">
      <calculatedColumnFormula>IFERROR(VLOOKUP(TableEstmat[[#This Row],[Need ID]],Table3[#All],12,FALSE),"")</calculatedColumnFormula>
    </tableColumn>
    <tableColumn id="17" name="Estimated Design and Implementation effort" dataDxfId="4">
      <calculatedColumnFormula>IFERROR(VLOOKUP(TableEstmat[[#This Row],[Complexity Estimate]],$C$9:$D$11,2,FALSE),"0")</calculatedColumnFormula>
    </tableColumn>
    <tableColumn id="4" name="Final Agreed Estimates" totalsRowFunction="sum" dataDxfId="3">
      <calculatedColumnFormula>TableEstmat[[#This Row],[Estimated Design and Implementation effort]]</calculatedColumnFormula>
    </tableColumn>
    <tableColumn id="3" name="Requirements Development" totalsRowFunction="sum" dataDxfId="2">
      <calculatedColumnFormula>IFERROR(VLOOKUP(TableEstmat[[#Headers],[Requirements Development]],Table1[],2,FALSE)*TableEstmat[[#This Row],[Final Agreed Estimates]]/100, "")</calculatedColumnFormula>
    </tableColumn>
    <tableColumn id="8" name="Planning" totalsRowFunction="sum" dataDxfId="1">
      <calculatedColumnFormula>IFERROR(TableEstmat[[#This Row],[Final Agreed Estimates]]*VLOOKUP(TableEstmat[[#Headers],[Planning]],Table1[],2,FALSE)/100,"")</calculatedColumnFormula>
    </tableColumn>
    <tableColumn id="9" name="Design &amp; Implementation" totalsRowFunction="sum" dataDxfId="0">
      <calculatedColumnFormula>IFERROR(VLOOKUP(TableEstmat[[#Headers],[Design &amp; Implementation]],Table1[],2,FALSE)*TableEstmat[[#This Row],[Final Agreed Estimates]]/100,"")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Normal="100" workbookViewId="0">
      <selection activeCell="C16" sqref="C16"/>
    </sheetView>
  </sheetViews>
  <sheetFormatPr defaultRowHeight="15" x14ac:dyDescent="0.25"/>
  <cols>
    <col min="1" max="1" width="19.85546875" customWidth="1"/>
    <col min="2" max="2" width="10.85546875" customWidth="1"/>
    <col min="3" max="3" width="14.5703125" customWidth="1"/>
    <col min="4" max="4" width="22" customWidth="1"/>
    <col min="5" max="5" width="22.28515625" customWidth="1"/>
    <col min="6" max="6" width="29.5703125" customWidth="1"/>
  </cols>
  <sheetData>
    <row r="1" spans="1:2" ht="22.5" x14ac:dyDescent="0.3">
      <c r="A1" s="17" t="s">
        <v>23</v>
      </c>
    </row>
    <row r="5" spans="1:2" ht="20.25" thickBot="1" x14ac:dyDescent="0.35">
      <c r="A5" s="2" t="s">
        <v>60</v>
      </c>
    </row>
    <row r="6" spans="1:2" ht="15.75" thickTop="1" x14ac:dyDescent="0.25"/>
    <row r="7" spans="1:2" x14ac:dyDescent="0.25">
      <c r="B7" s="16" t="s"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"/>
  <sheetViews>
    <sheetView zoomScaleNormal="100" workbookViewId="0">
      <selection activeCell="C20" sqref="C20"/>
    </sheetView>
  </sheetViews>
  <sheetFormatPr defaultRowHeight="15" x14ac:dyDescent="0.25"/>
  <cols>
    <col min="1" max="1" width="26.7109375" bestFit="1" customWidth="1"/>
  </cols>
  <sheetData>
    <row r="4" spans="1:3" x14ac:dyDescent="0.25">
      <c r="A4" t="s">
        <v>4</v>
      </c>
      <c r="B4" t="s">
        <v>5</v>
      </c>
      <c r="C4" t="s">
        <v>17</v>
      </c>
    </row>
    <row r="5" spans="1:3" x14ac:dyDescent="0.25">
      <c r="A5" s="18" t="s">
        <v>24</v>
      </c>
      <c r="B5">
        <v>15</v>
      </c>
      <c r="C5">
        <f>Table1[[#This Row],[EST]]/SUM(Table1[EST])</f>
        <v>6.1983471074380167E-2</v>
      </c>
    </row>
    <row r="6" spans="1:3" x14ac:dyDescent="0.25">
      <c r="A6" s="18" t="s">
        <v>6</v>
      </c>
      <c r="B6">
        <v>12</v>
      </c>
      <c r="C6">
        <f>Table1[[#This Row],[EST]]/SUM(Table1[EST])</f>
        <v>4.9586776859504134E-2</v>
      </c>
    </row>
    <row r="7" spans="1:3" x14ac:dyDescent="0.25">
      <c r="A7" s="18" t="s">
        <v>25</v>
      </c>
      <c r="B7">
        <v>100</v>
      </c>
      <c r="C7">
        <f>Table1[[#This Row],[EST]]/SUM(Table1[EST])</f>
        <v>0.41322314049586778</v>
      </c>
    </row>
    <row r="8" spans="1:3" x14ac:dyDescent="0.25">
      <c r="A8" s="18" t="s">
        <v>7</v>
      </c>
      <c r="B8">
        <v>100</v>
      </c>
      <c r="C8">
        <f>Table1[[#This Row],[EST]]/SUM(Table1[EST])</f>
        <v>0.41322314049586778</v>
      </c>
    </row>
    <row r="9" spans="1:3" x14ac:dyDescent="0.25">
      <c r="A9" s="18" t="s">
        <v>8</v>
      </c>
      <c r="B9">
        <v>15</v>
      </c>
      <c r="C9">
        <f>Table1[[#This Row],[EST]]/SUM(Table1[EST])</f>
        <v>6.1983471074380167E-2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1"/>
  <sheetViews>
    <sheetView topLeftCell="B1" zoomScale="115" zoomScaleNormal="115" workbookViewId="0">
      <selection activeCell="C3" sqref="C3:H3"/>
    </sheetView>
  </sheetViews>
  <sheetFormatPr defaultRowHeight="15" x14ac:dyDescent="0.25"/>
  <cols>
    <col min="1" max="1" width="8.28515625" bestFit="1" customWidth="1"/>
    <col min="2" max="2" width="29" bestFit="1" customWidth="1"/>
    <col min="3" max="3" width="10.42578125" bestFit="1" customWidth="1"/>
    <col min="4" max="4" width="20" customWidth="1"/>
    <col min="5" max="6" width="19.5703125" customWidth="1"/>
    <col min="7" max="7" width="20" customWidth="1"/>
    <col min="8" max="8" width="16.85546875" customWidth="1"/>
    <col min="9" max="9" width="10.5703125" customWidth="1"/>
    <col min="10" max="10" width="13" customWidth="1"/>
    <col min="11" max="11" width="11.28515625" customWidth="1"/>
    <col min="12" max="12" width="11.5703125" customWidth="1"/>
  </cols>
  <sheetData>
    <row r="2" spans="1:12" ht="60" x14ac:dyDescent="0.25">
      <c r="A2" t="s">
        <v>1</v>
      </c>
      <c r="B2" t="s">
        <v>3</v>
      </c>
      <c r="C2" s="1" t="s">
        <v>30</v>
      </c>
      <c r="D2" s="1" t="s">
        <v>31</v>
      </c>
      <c r="E2" s="1" t="s">
        <v>55</v>
      </c>
      <c r="F2" s="1" t="s">
        <v>56</v>
      </c>
      <c r="G2" s="1" t="s">
        <v>32</v>
      </c>
      <c r="H2" t="s">
        <v>26</v>
      </c>
      <c r="I2" s="1" t="s">
        <v>27</v>
      </c>
      <c r="J2" s="1" t="s">
        <v>28</v>
      </c>
      <c r="K2" s="1" t="s">
        <v>20</v>
      </c>
      <c r="L2" s="1" t="s">
        <v>21</v>
      </c>
    </row>
    <row r="3" spans="1:12" x14ac:dyDescent="0.25">
      <c r="A3" s="19">
        <v>1</v>
      </c>
      <c r="B3" t="s">
        <v>57</v>
      </c>
      <c r="C3">
        <v>2</v>
      </c>
      <c r="D3">
        <v>2</v>
      </c>
      <c r="E3">
        <v>10</v>
      </c>
      <c r="F3">
        <v>10</v>
      </c>
      <c r="G3" s="1">
        <v>10</v>
      </c>
      <c r="H3" s="1">
        <v>10</v>
      </c>
      <c r="K3" s="3">
        <f>IFERROR(AVERAGE(Table3[[#This Row],[Aesthetic requirements]:[Reusability]]),"")</f>
        <v>7.333333333333333</v>
      </c>
      <c r="L3" s="20" t="str">
        <f>IF(Table3[[#This Row],[Complexity Score]]=0,"No Complexity",
IF(Table3[[#This Row],[Complexity Score]]&lt;=3,"L",IF(Table3[[#This Row],[Complexity Score]]&lt;=7,"M",IF(LEN(Table3[[#This Row],[Complexity Score]])=0,"","H"))))</f>
        <v>H</v>
      </c>
    </row>
    <row r="4" spans="1:12" x14ac:dyDescent="0.25">
      <c r="A4" s="19">
        <v>1.1000000000000001</v>
      </c>
      <c r="B4" t="s">
        <v>58</v>
      </c>
      <c r="C4" s="29"/>
      <c r="D4" s="29"/>
      <c r="E4" s="29"/>
      <c r="G4" s="1"/>
      <c r="H4" s="1"/>
      <c r="K4" s="3" t="str">
        <f>IFERROR(AVERAGE(Table3[[#This Row],[Aesthetic requirements]:[Reusability]]),"")</f>
        <v/>
      </c>
      <c r="L4" s="20" t="str">
        <f>IF(Table3[[#This Row],[Complexity Score]]=0,"No Complexity",
IF(Table3[[#This Row],[Complexity Score]]&lt;=3,"L",IF(Table3[[#This Row],[Complexity Score]]&lt;=7,"M",IF(LEN(Table3[[#This Row],[Complexity Score]])=0,"","H"))))</f>
        <v/>
      </c>
    </row>
    <row r="5" spans="1:12" x14ac:dyDescent="0.25">
      <c r="A5" s="19">
        <v>1.2</v>
      </c>
      <c r="B5" t="s">
        <v>59</v>
      </c>
      <c r="G5" s="1"/>
      <c r="H5" s="1"/>
      <c r="K5" s="3" t="str">
        <f>IFERROR(AVERAGE(Table3[[#This Row],[Aesthetic requirements]:[Reusability]]),"")</f>
        <v/>
      </c>
      <c r="L5" s="20" t="str">
        <f>IF(Table3[[#This Row],[Complexity Score]]=0,"No Complexity",
IF(Table3[[#This Row],[Complexity Score]]&lt;=3,"L",IF(Table3[[#This Row],[Complexity Score]]&lt;=7,"M",IF(LEN(Table3[[#This Row],[Complexity Score]])=0,"","H"))))</f>
        <v/>
      </c>
    </row>
    <row r="6" spans="1:12" x14ac:dyDescent="0.25">
      <c r="A6" s="19"/>
      <c r="G6" s="1"/>
      <c r="H6" s="1"/>
      <c r="K6" s="3" t="str">
        <f>IFERROR(AVERAGE(Table3[[#This Row],[Aesthetic requirements]:[Reusability]]),"")</f>
        <v/>
      </c>
      <c r="L6" s="20" t="str">
        <f>IF(Table3[[#This Row],[Complexity Score]]=0,"No Complexity",
IF(Table3[[#This Row],[Complexity Score]]&lt;=3,"L",IF(Table3[[#This Row],[Complexity Score]]&lt;=7,"M",IF(LEN(Table3[[#This Row],[Complexity Score]])=0,"","H"))))</f>
        <v/>
      </c>
    </row>
    <row r="7" spans="1:12" x14ac:dyDescent="0.25">
      <c r="A7" s="19"/>
      <c r="G7" s="1"/>
      <c r="H7" s="1"/>
      <c r="K7" s="3" t="str">
        <f>IFERROR(AVERAGE(Table3[[#This Row],[Aesthetic requirements]:[Reusability]]),"")</f>
        <v/>
      </c>
      <c r="L7" s="20" t="str">
        <f>IF(Table3[[#This Row],[Complexity Score]]=0,"No Complexity",
IF(Table3[[#This Row],[Complexity Score]]&lt;=3,"L",IF(Table3[[#This Row],[Complexity Score]]&lt;=7,"M",IF(LEN(Table3[[#This Row],[Complexity Score]])=0,"","H"))))</f>
        <v/>
      </c>
    </row>
    <row r="8" spans="1:12" x14ac:dyDescent="0.25">
      <c r="A8" s="19"/>
      <c r="G8" s="1"/>
      <c r="H8" s="1"/>
      <c r="K8" s="3" t="str">
        <f>IFERROR(AVERAGE(Table3[[#This Row],[Aesthetic requirements]:[Reusability]]),"")</f>
        <v/>
      </c>
      <c r="L8" s="20" t="str">
        <f>IF(Table3[[#This Row],[Complexity Score]]=0,"No Complexity",
IF(Table3[[#This Row],[Complexity Score]]&lt;=3,"L",IF(Table3[[#This Row],[Complexity Score]]&lt;=7,"M",IF(LEN(Table3[[#This Row],[Complexity Score]])=0,"","H"))))</f>
        <v/>
      </c>
    </row>
    <row r="9" spans="1:12" x14ac:dyDescent="0.25">
      <c r="A9" s="19"/>
      <c r="G9" s="1"/>
      <c r="H9" s="1"/>
      <c r="K9" s="3" t="str">
        <f>IFERROR(AVERAGE(Table3[[#This Row],[Aesthetic requirements]:[Reusability]]),"")</f>
        <v/>
      </c>
      <c r="L9" s="20" t="str">
        <f>IF(Table3[[#This Row],[Complexity Score]]=0,"No Complexity",
IF(Table3[[#This Row],[Complexity Score]]&lt;=3,"L",IF(Table3[[#This Row],[Complexity Score]]&lt;=7,"M",IF(LEN(Table3[[#This Row],[Complexity Score]])=0,"","H"))))</f>
        <v/>
      </c>
    </row>
    <row r="10" spans="1:12" x14ac:dyDescent="0.25">
      <c r="A10" s="19"/>
      <c r="G10" s="1"/>
      <c r="H10" s="1"/>
      <c r="K10" s="3" t="str">
        <f>IFERROR(AVERAGE(Table3[[#This Row],[Aesthetic requirements]:[Reusability]]),"")</f>
        <v/>
      </c>
      <c r="L10" s="20" t="str">
        <f>IF(Table3[[#This Row],[Complexity Score]]=0,"No Complexity",
IF(Table3[[#This Row],[Complexity Score]]&lt;=3,"L",IF(Table3[[#This Row],[Complexity Score]]&lt;=7,"M",IF(LEN(Table3[[#This Row],[Complexity Score]])=0,"","H"))))</f>
        <v/>
      </c>
    </row>
    <row r="11" spans="1:12" x14ac:dyDescent="0.25">
      <c r="A11" s="9"/>
      <c r="B11" s="5"/>
      <c r="C11" s="4"/>
      <c r="D11" s="4"/>
      <c r="E11" s="4"/>
      <c r="F11" s="4"/>
      <c r="G11" s="6"/>
      <c r="H11" s="6"/>
      <c r="I11" s="4"/>
      <c r="J11" s="4"/>
      <c r="K11" s="7" t="str">
        <f>IFERROR(AVERAGE(Table3[[#This Row],[Aesthetic requirements]:[Reusability]]),"")</f>
        <v/>
      </c>
      <c r="L11" s="7" t="str">
        <f>IF(Table3[[#This Row],[Complexity Score]]=0,"No Complexity",
IF(Table3[[#This Row],[Complexity Score]]&lt;=3,"L",IF(Table3[[#This Row],[Complexity Score]]&lt;=7,"M",IF(LEN(Table3[[#This Row],[Complexity Score]])=0,"","H"))))</f>
        <v/>
      </c>
    </row>
  </sheetData>
  <dataValidations count="1">
    <dataValidation type="whole" allowBlank="1" showInputMessage="1" showErrorMessage="1" errorTitle="Invalid Value" error="The Complexity Estimate must be between 1 and 10. Refer estimation guidelines and procedures for details." sqref="C3:H3 C5:H11">
      <formula1>0</formula1>
      <formula2>10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zoomScaleNormal="100" workbookViewId="0">
      <selection activeCell="B40" sqref="B40"/>
    </sheetView>
  </sheetViews>
  <sheetFormatPr defaultRowHeight="15" x14ac:dyDescent="0.25"/>
  <cols>
    <col min="1" max="1" width="22.7109375" bestFit="1" customWidth="1"/>
    <col min="2" max="2" width="14.5703125" customWidth="1"/>
    <col min="3" max="3" width="12.5703125" customWidth="1"/>
    <col min="4" max="4" width="18.140625" customWidth="1"/>
    <col min="5" max="5" width="19" bestFit="1" customWidth="1"/>
    <col min="6" max="6" width="17.42578125" customWidth="1"/>
    <col min="7" max="12" width="16.5703125" bestFit="1" customWidth="1"/>
  </cols>
  <sheetData>
    <row r="2" spans="1:7" ht="23.25" thickBot="1" x14ac:dyDescent="0.35">
      <c r="A2" s="21" t="s">
        <v>54</v>
      </c>
    </row>
    <row r="3" spans="1:7" ht="23.25" thickTop="1" x14ac:dyDescent="0.3">
      <c r="A3" s="22"/>
    </row>
    <row r="4" spans="1:7" ht="23.25" x14ac:dyDescent="0.35">
      <c r="A4" s="23" t="s">
        <v>36</v>
      </c>
      <c r="B4" s="24">
        <v>1</v>
      </c>
    </row>
    <row r="5" spans="1:7" x14ac:dyDescent="0.25">
      <c r="A5" s="23" t="s">
        <v>37</v>
      </c>
      <c r="B5" s="30" t="str">
        <f>IFERROR(VLOOKUP(B4,Table3[],2,FALSE),"ID not found")</f>
        <v>Genus</v>
      </c>
      <c r="C5" s="30"/>
      <c r="D5" s="30"/>
      <c r="E5" s="30"/>
      <c r="F5" s="30"/>
    </row>
    <row r="6" spans="1:7" ht="23.25" x14ac:dyDescent="0.35">
      <c r="A6" s="23" t="s">
        <v>38</v>
      </c>
      <c r="B6" s="24" t="str">
        <f>IFERROR(VLOOKUP(B4,Table3[],12,FALSE),"ID not found")</f>
        <v>H</v>
      </c>
      <c r="C6" s="25" t="s">
        <v>39</v>
      </c>
      <c r="D6" s="24">
        <f>IF(MAX((C8&lt;=0.2)*Table2[[#Totals],[Efforts R1]],
(E8&lt;=0.2)*Table2[[#Totals],[Efforts R2]],
(G8&lt;=0.2)*Table2[[#Totals],[Efforts R3]])=0,
Table2[[#Totals],[Efforts R3]],
MAX((C8&lt;=0.2)*Table2[[#Totals],[Efforts R1]],
(E8&lt;=0.2)*Table2[[#Totals],[Efforts R2]],
(G8&lt;=0.2)*Table2[[#Totals],[Efforts R3]]))</f>
        <v>10</v>
      </c>
    </row>
    <row r="8" spans="1:7" x14ac:dyDescent="0.25">
      <c r="B8" s="16" t="s">
        <v>40</v>
      </c>
      <c r="C8" s="26">
        <f>IFERROR((MAX(Table2[Efforts R1])-MIN(Table2[Efforts R1]))/AVERAGE(Table2[Efforts R1]),0)</f>
        <v>0</v>
      </c>
      <c r="E8" s="26">
        <f>IFERROR((MAX(Table2[Efforts R2])-MIN(Table2[Efforts R2]))/AVERAGE(Table2[Efforts R2]),0)</f>
        <v>0</v>
      </c>
      <c r="G8" s="26">
        <f>IFERROR((MAX(Table2[Efforts R3])-MIN(Table2[Efforts R3]))/AVERAGE(Table2[Efforts R3]),0)</f>
        <v>0</v>
      </c>
    </row>
    <row r="9" spans="1:7" x14ac:dyDescent="0.25">
      <c r="B9" s="31" t="s">
        <v>41</v>
      </c>
      <c r="C9" s="31"/>
      <c r="D9" s="31" t="s">
        <v>42</v>
      </c>
      <c r="E9" s="31"/>
      <c r="F9" s="31" t="s">
        <v>43</v>
      </c>
      <c r="G9" s="31"/>
    </row>
    <row r="10" spans="1:7" x14ac:dyDescent="0.25">
      <c r="A10" t="s">
        <v>44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G10" t="s">
        <v>50</v>
      </c>
    </row>
    <row r="11" spans="1:7" x14ac:dyDescent="0.25">
      <c r="A11" t="s">
        <v>51</v>
      </c>
      <c r="B11">
        <v>10</v>
      </c>
    </row>
    <row r="12" spans="1:7" x14ac:dyDescent="0.25">
      <c r="A12" t="s">
        <v>52</v>
      </c>
      <c r="B12">
        <v>10</v>
      </c>
    </row>
    <row r="13" spans="1:7" x14ac:dyDescent="0.25">
      <c r="A13" s="5" t="s">
        <v>53</v>
      </c>
      <c r="B13" s="5">
        <v>10</v>
      </c>
      <c r="C13" s="5"/>
      <c r="D13" s="5"/>
      <c r="E13" s="5"/>
    </row>
    <row r="14" spans="1:7" x14ac:dyDescent="0.25">
      <c r="A14" t="s">
        <v>10</v>
      </c>
      <c r="B14">
        <f>IFERROR(SUBTOTAL(101,Table2[Efforts R1]),0)</f>
        <v>10</v>
      </c>
      <c r="D14">
        <f>IFERROR(SUBTOTAL(101,Table2[Efforts R2]),0)</f>
        <v>0</v>
      </c>
      <c r="F14">
        <f>IFERROR(SUBTOTAL(101,Table2[Efforts R3]),0)</f>
        <v>0</v>
      </c>
    </row>
    <row r="17" spans="1:7" ht="23.25" x14ac:dyDescent="0.35">
      <c r="A17" s="23" t="s">
        <v>36</v>
      </c>
      <c r="B17" s="24">
        <v>1</v>
      </c>
    </row>
    <row r="18" spans="1:7" x14ac:dyDescent="0.25">
      <c r="A18" s="23" t="s">
        <v>37</v>
      </c>
      <c r="B18" s="30" t="str">
        <f>IFERROR(VLOOKUP(B17,Table3[],2,FALSE),"ID not found")</f>
        <v>Genus</v>
      </c>
      <c r="C18" s="30"/>
      <c r="D18" s="30"/>
      <c r="E18" s="30"/>
      <c r="F18" s="30"/>
    </row>
    <row r="19" spans="1:7" ht="23.25" x14ac:dyDescent="0.35">
      <c r="A19" s="23" t="s">
        <v>38</v>
      </c>
      <c r="B19" s="24" t="str">
        <f>IFERROR(VLOOKUP(B17,Table3[],12,FALSE),"ID not found")</f>
        <v>H</v>
      </c>
      <c r="C19" s="25" t="s">
        <v>39</v>
      </c>
      <c r="D19" s="24">
        <f>IF(MAX((C21&lt;=0.2)*Table25[[#Totals],[Efforts R1]],
(E21&lt;=0.2)*Table25[[#Totals],[Efforts R2]],
(G21&lt;=0.2)*Table25[[#Totals],[Efforts R3]])=0,
Table25[[#Totals],[Efforts R3]],
MAX((C21&lt;=0.2)*Table25[[#Totals],[Efforts R1]],
(E21&lt;=0.2)*Table25[[#Totals],[Efforts R2]],
(G21&lt;=0.2)*Table25[[#Totals],[Efforts R3]]))</f>
        <v>10</v>
      </c>
    </row>
    <row r="21" spans="1:7" x14ac:dyDescent="0.25">
      <c r="B21" s="16" t="s">
        <v>40</v>
      </c>
      <c r="C21" s="26">
        <f>IFERROR((MAX(Table25[Efforts R1])-MIN(Table25[Efforts R1]))/AVERAGE(Table25[Efforts R1]),0)</f>
        <v>0</v>
      </c>
      <c r="E21" s="26">
        <f>IFERROR((MAX(Table25[Efforts R2])-MIN(Table25[Efforts R2]))/AVERAGE(Table25[Efforts R2]),0)</f>
        <v>0</v>
      </c>
      <c r="G21" s="26">
        <f>IFERROR((MAX(Table25[Efforts R3])-MIN(Table25[Efforts R3]))/AVERAGE(Table25[Efforts R3]),0)</f>
        <v>0</v>
      </c>
    </row>
    <row r="22" spans="1:7" x14ac:dyDescent="0.25">
      <c r="B22" s="31" t="s">
        <v>41</v>
      </c>
      <c r="C22" s="31"/>
      <c r="D22" s="31" t="s">
        <v>42</v>
      </c>
      <c r="E22" s="31"/>
      <c r="F22" s="31" t="s">
        <v>43</v>
      </c>
      <c r="G22" s="31"/>
    </row>
    <row r="23" spans="1:7" x14ac:dyDescent="0.25">
      <c r="A23" t="s">
        <v>44</v>
      </c>
      <c r="B23" t="s">
        <v>45</v>
      </c>
      <c r="C23" t="s">
        <v>46</v>
      </c>
      <c r="D23" t="s">
        <v>47</v>
      </c>
      <c r="E23" t="s">
        <v>48</v>
      </c>
      <c r="F23" t="s">
        <v>49</v>
      </c>
      <c r="G23" t="s">
        <v>50</v>
      </c>
    </row>
    <row r="24" spans="1:7" x14ac:dyDescent="0.25">
      <c r="A24" t="s">
        <v>51</v>
      </c>
      <c r="B24">
        <v>10</v>
      </c>
    </row>
    <row r="25" spans="1:7" x14ac:dyDescent="0.25">
      <c r="A25" t="s">
        <v>52</v>
      </c>
      <c r="B25">
        <v>10</v>
      </c>
    </row>
    <row r="26" spans="1:7" x14ac:dyDescent="0.25">
      <c r="A26" s="5" t="s">
        <v>53</v>
      </c>
      <c r="B26" s="5">
        <v>10</v>
      </c>
      <c r="C26" s="5"/>
      <c r="D26" s="5"/>
      <c r="E26" s="5"/>
    </row>
    <row r="27" spans="1:7" x14ac:dyDescent="0.25">
      <c r="A27" t="s">
        <v>10</v>
      </c>
      <c r="B27">
        <f>IFERROR(SUBTOTAL(101,Table25[Efforts R1]),0)</f>
        <v>10</v>
      </c>
      <c r="D27">
        <f>IFERROR(SUBTOTAL(101,Table25[Efforts R2]),0)</f>
        <v>0</v>
      </c>
      <c r="F27">
        <f>IFERROR(SUBTOTAL(101,Table25[Efforts R3]),0)</f>
        <v>0</v>
      </c>
    </row>
    <row r="30" spans="1:7" ht="23.25" x14ac:dyDescent="0.35">
      <c r="A30" s="23" t="s">
        <v>36</v>
      </c>
      <c r="B30" s="24">
        <v>1</v>
      </c>
    </row>
    <row r="31" spans="1:7" x14ac:dyDescent="0.25">
      <c r="A31" s="23" t="s">
        <v>37</v>
      </c>
      <c r="B31" s="30" t="str">
        <f>IFERROR(VLOOKUP(B30,Table3[],2,FALSE),"ID not found")</f>
        <v>Genus</v>
      </c>
      <c r="C31" s="30"/>
      <c r="D31" s="30"/>
      <c r="E31" s="30"/>
      <c r="F31" s="30"/>
    </row>
    <row r="32" spans="1:7" ht="23.25" x14ac:dyDescent="0.35">
      <c r="A32" s="23" t="s">
        <v>38</v>
      </c>
      <c r="B32" s="24" t="str">
        <f>IFERROR(VLOOKUP(B30,Table3[],12,FALSE),"ID not found")</f>
        <v>H</v>
      </c>
      <c r="C32" s="25" t="s">
        <v>39</v>
      </c>
      <c r="D32" s="24">
        <f>IF(MAX((C34&lt;=0.2)*Table26[[#Totals],[Efforts R1]],
(E34&lt;=0.2)*Table26[[#Totals],[Efforts R2]],
(G34&lt;=0.2)*Table26[[#Totals],[Efforts R3]])=0,
Table26[[#Totals],[Efforts R3]],
MAX((C34&lt;=0.2)*Table26[[#Totals],[Efforts R1]],
(E34&lt;=0.2)*Table26[[#Totals],[Efforts R2]],
(G34&lt;=0.2)*Table26[[#Totals],[Efforts R3]]))</f>
        <v>10</v>
      </c>
    </row>
    <row r="34" spans="1:7" x14ac:dyDescent="0.25">
      <c r="B34" s="16" t="s">
        <v>40</v>
      </c>
      <c r="C34" s="26">
        <f>IFERROR((MAX(Table26[Efforts R1])-MIN(Table26[Efforts R1]))/AVERAGE(Table26[Efforts R1]),0)</f>
        <v>0</v>
      </c>
      <c r="E34" s="26">
        <f>IFERROR((MAX(Table26[Efforts R2])-MIN(Table26[Efforts R2]))/AVERAGE(Table26[Efforts R2]),0)</f>
        <v>0</v>
      </c>
      <c r="G34" s="26">
        <f>IFERROR((MAX(Table26[Efforts R3])-MIN(Table26[Efforts R3]))/AVERAGE(Table26[Efforts R3]),0)</f>
        <v>0</v>
      </c>
    </row>
    <row r="35" spans="1:7" x14ac:dyDescent="0.25">
      <c r="B35" s="31" t="s">
        <v>41</v>
      </c>
      <c r="C35" s="31"/>
      <c r="D35" s="31" t="s">
        <v>42</v>
      </c>
      <c r="E35" s="31"/>
      <c r="F35" s="31" t="s">
        <v>43</v>
      </c>
      <c r="G35" s="31"/>
    </row>
    <row r="36" spans="1:7" x14ac:dyDescent="0.25">
      <c r="A36" t="s">
        <v>44</v>
      </c>
      <c r="B36" t="s">
        <v>45</v>
      </c>
      <c r="C36" t="s">
        <v>46</v>
      </c>
      <c r="D36" t="s">
        <v>47</v>
      </c>
      <c r="E36" t="s">
        <v>48</v>
      </c>
      <c r="F36" t="s">
        <v>49</v>
      </c>
      <c r="G36" t="s">
        <v>50</v>
      </c>
    </row>
    <row r="37" spans="1:7" x14ac:dyDescent="0.25">
      <c r="A37" t="s">
        <v>51</v>
      </c>
      <c r="B37">
        <v>10</v>
      </c>
    </row>
    <row r="38" spans="1:7" x14ac:dyDescent="0.25">
      <c r="A38" t="s">
        <v>52</v>
      </c>
      <c r="B38">
        <v>10</v>
      </c>
    </row>
    <row r="39" spans="1:7" x14ac:dyDescent="0.25">
      <c r="A39" s="5" t="s">
        <v>53</v>
      </c>
      <c r="B39" s="5">
        <v>10</v>
      </c>
      <c r="C39" s="5"/>
      <c r="D39" s="5"/>
      <c r="E39" s="5"/>
    </row>
    <row r="40" spans="1:7" x14ac:dyDescent="0.25">
      <c r="A40" t="s">
        <v>10</v>
      </c>
      <c r="B40">
        <f>IFERROR(SUBTOTAL(101,Table26[Efforts R1]),0)</f>
        <v>10</v>
      </c>
      <c r="D40">
        <f>IFERROR(SUBTOTAL(101,Table26[Efforts R2]),0)</f>
        <v>0</v>
      </c>
      <c r="F40">
        <f>IFERROR(SUBTOTAL(101,Table26[Efforts R3]),0)</f>
        <v>0</v>
      </c>
    </row>
  </sheetData>
  <mergeCells count="12">
    <mergeCell ref="B31:F31"/>
    <mergeCell ref="B35:C35"/>
    <mergeCell ref="D35:E35"/>
    <mergeCell ref="F35:G35"/>
    <mergeCell ref="B5:F5"/>
    <mergeCell ref="B9:C9"/>
    <mergeCell ref="D9:E9"/>
    <mergeCell ref="F9:G9"/>
    <mergeCell ref="B18:F18"/>
    <mergeCell ref="B22:C22"/>
    <mergeCell ref="D22:E22"/>
    <mergeCell ref="F22:G22"/>
  </mergeCells>
  <conditionalFormatting sqref="C8 E8 G8">
    <cfRule type="expression" priority="25" stopIfTrue="1">
      <formula>AND(ISBLANK(B11), ISBLANK(B12), ISBLANK(B13))</formula>
    </cfRule>
    <cfRule type="expression" dxfId="26" priority="26">
      <formula>C8&gt;0.2</formula>
    </cfRule>
    <cfRule type="expression" dxfId="25" priority="27">
      <formula>C8&lt;=0.2</formula>
    </cfRule>
  </conditionalFormatting>
  <conditionalFormatting sqref="C21 E21 G21">
    <cfRule type="expression" priority="22" stopIfTrue="1">
      <formula>AND(ISBLANK(B24), ISBLANK(B25), ISBLANK(B26))</formula>
    </cfRule>
    <cfRule type="expression" dxfId="24" priority="23">
      <formula>C21&gt;0.2</formula>
    </cfRule>
    <cfRule type="expression" dxfId="23" priority="24">
      <formula>C21&lt;=0.2</formula>
    </cfRule>
  </conditionalFormatting>
  <conditionalFormatting sqref="C34 E34 G34">
    <cfRule type="expression" priority="19" stopIfTrue="1">
      <formula>AND(ISBLANK(B37), ISBLANK(B38), ISBLANK(B39))</formula>
    </cfRule>
    <cfRule type="expression" dxfId="22" priority="20">
      <formula>C34&gt;0.2</formula>
    </cfRule>
    <cfRule type="expression" dxfId="21" priority="21">
      <formula>C34&lt;=0.2</formula>
    </cfRule>
  </conditionalFormatting>
  <conditionalFormatting sqref="C21 E21 G21">
    <cfRule type="expression" priority="16" stopIfTrue="1">
      <formula>AND(ISBLANK(B24), ISBLANK(B25), ISBLANK(B26))</formula>
    </cfRule>
    <cfRule type="expression" dxfId="20" priority="17">
      <formula>C21&gt;0.2</formula>
    </cfRule>
    <cfRule type="expression" dxfId="19" priority="18">
      <formula>C21&lt;=0.2</formula>
    </cfRule>
  </conditionalFormatting>
  <conditionalFormatting sqref="C34 E34 G34">
    <cfRule type="expression" priority="13" stopIfTrue="1">
      <formula>AND(ISBLANK(B37), ISBLANK(B38), ISBLANK(B39))</formula>
    </cfRule>
    <cfRule type="expression" dxfId="18" priority="14">
      <formula>C34&gt;0.2</formula>
    </cfRule>
    <cfRule type="expression" dxfId="17" priority="15">
      <formula>C34&lt;=0.2</formula>
    </cfRule>
  </conditionalFormatting>
  <conditionalFormatting sqref="C21 E21 G21">
    <cfRule type="expression" priority="10" stopIfTrue="1">
      <formula>AND(ISBLANK(B24), ISBLANK(B25), ISBLANK(B26))</formula>
    </cfRule>
    <cfRule type="expression" dxfId="16" priority="11">
      <formula>C21&gt;0.2</formula>
    </cfRule>
    <cfRule type="expression" dxfId="15" priority="12">
      <formula>C21&lt;=0.2</formula>
    </cfRule>
  </conditionalFormatting>
  <conditionalFormatting sqref="C34 E34 G34">
    <cfRule type="expression" priority="7" stopIfTrue="1">
      <formula>AND(ISBLANK(B37), ISBLANK(B38), ISBLANK(B39))</formula>
    </cfRule>
    <cfRule type="expression" dxfId="14" priority="8">
      <formula>C34&gt;0.2</formula>
    </cfRule>
    <cfRule type="expression" dxfId="13" priority="9">
      <formula>C34&lt;=0.2</formula>
    </cfRule>
  </conditionalFormatting>
  <conditionalFormatting sqref="C21 E21 G21">
    <cfRule type="expression" priority="4" stopIfTrue="1">
      <formula>AND(ISBLANK(B24), ISBLANK(B25), ISBLANK(B26))</formula>
    </cfRule>
    <cfRule type="expression" dxfId="12" priority="5">
      <formula>C21&gt;0.2</formula>
    </cfRule>
    <cfRule type="expression" dxfId="11" priority="6">
      <formula>C21&lt;=0.2</formula>
    </cfRule>
  </conditionalFormatting>
  <conditionalFormatting sqref="C34 E34 G34">
    <cfRule type="expression" priority="1" stopIfTrue="1">
      <formula>AND(ISBLANK(B37), ISBLANK(B38), ISBLANK(B39))</formula>
    </cfRule>
    <cfRule type="expression" dxfId="10" priority="2">
      <formula>C34&gt;0.2</formula>
    </cfRule>
    <cfRule type="expression" dxfId="9" priority="3">
      <formula>C34&lt;=0.2</formula>
    </cfRule>
  </conditionalFormatting>
  <dataValidations count="2">
    <dataValidation allowBlank="1" showDropDown="1" showInputMessage="1" showErrorMessage="1" errorTitle="Invalid Estimates" error="Ensure that the values are either 'L' or 'M' or 'H'." sqref="D5:D7 D18:D20 D31:D33"/>
    <dataValidation type="list" allowBlank="1" showInputMessage="1" showErrorMessage="1" errorTitle="Invalid Estimates" error="Ensure that the values are either 'L' or 'M' or 'H'." sqref="C5:C7 C18:C20 C31:C33">
      <formula1>"L,M,H"</formula1>
    </dataValidation>
  </dataValidations>
  <pageMargins left="0.7" right="0.7" top="0.75" bottom="0.75" header="0.3" footer="0.3"/>
  <pageSetup orientation="portrait" horizontalDpi="300" verticalDpi="300" r:id="rId1"/>
  <headerFooter>
    <oddHeader>&amp;LRisk Matrix
TMPL_RSKMTX_V01-01 
&amp;RDocument Number:__.__</oddHeader>
    <oddFooter>&amp;CGenus Power Infrastructures Limited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"/>
  <sheetViews>
    <sheetView zoomScaleNormal="100" workbookViewId="0">
      <selection activeCell="A3" sqref="A3"/>
    </sheetView>
  </sheetViews>
  <sheetFormatPr defaultRowHeight="15" x14ac:dyDescent="0.25"/>
  <cols>
    <col min="1" max="1" width="10.28515625" customWidth="1"/>
    <col min="2" max="2" width="87.140625" bestFit="1" customWidth="1"/>
    <col min="3" max="3" width="17.7109375" bestFit="1" customWidth="1"/>
    <col min="4" max="4" width="19.7109375" customWidth="1"/>
    <col min="5" max="5" width="19" bestFit="1" customWidth="1"/>
    <col min="6" max="6" width="17.42578125" customWidth="1"/>
    <col min="7" max="8" width="16.5703125" bestFit="1" customWidth="1"/>
  </cols>
  <sheetData>
    <row r="1" spans="1:8" x14ac:dyDescent="0.25">
      <c r="A1" t="s">
        <v>2</v>
      </c>
    </row>
    <row r="3" spans="1:8" x14ac:dyDescent="0.25">
      <c r="A3" t="s">
        <v>0</v>
      </c>
    </row>
    <row r="4" spans="1:8" ht="12.75" customHeight="1" x14ac:dyDescent="0.25"/>
    <row r="5" spans="1:8" x14ac:dyDescent="0.25">
      <c r="B5" t="s">
        <v>11</v>
      </c>
      <c r="C5">
        <f>C6/8</f>
        <v>8.5724999999999998</v>
      </c>
    </row>
    <row r="6" spans="1:8" x14ac:dyDescent="0.25">
      <c r="B6" t="s">
        <v>12</v>
      </c>
      <c r="C6">
        <f>SUM(TableEstmat[[#Totals],[Requirements Development]:[Design &amp; Implementation]])</f>
        <v>68.58</v>
      </c>
    </row>
    <row r="7" spans="1:8" x14ac:dyDescent="0.25">
      <c r="B7" t="s">
        <v>18</v>
      </c>
    </row>
    <row r="8" spans="1:8" ht="12.75" customHeight="1" x14ac:dyDescent="0.25"/>
    <row r="9" spans="1:8" ht="12.75" customHeight="1" x14ac:dyDescent="0.25">
      <c r="B9" s="10" t="s">
        <v>33</v>
      </c>
      <c r="C9" s="8" t="s">
        <v>13</v>
      </c>
      <c r="D9" s="27"/>
    </row>
    <row r="10" spans="1:8" ht="12.75" customHeight="1" x14ac:dyDescent="0.25">
      <c r="B10" s="11" t="s">
        <v>34</v>
      </c>
      <c r="C10" s="9" t="s">
        <v>14</v>
      </c>
      <c r="D10" s="12"/>
    </row>
    <row r="11" spans="1:8" ht="12.75" customHeight="1" x14ac:dyDescent="0.25">
      <c r="B11" s="13" t="s">
        <v>35</v>
      </c>
      <c r="C11" s="14" t="s">
        <v>15</v>
      </c>
      <c r="D11" s="15">
        <v>54</v>
      </c>
    </row>
    <row r="12" spans="1:8" ht="12.75" customHeight="1" x14ac:dyDescent="0.25"/>
    <row r="14" spans="1:8" ht="45" x14ac:dyDescent="0.25">
      <c r="A14" t="s">
        <v>1</v>
      </c>
      <c r="B14" t="s">
        <v>3</v>
      </c>
      <c r="C14" t="s">
        <v>16</v>
      </c>
      <c r="D14" s="1" t="s">
        <v>29</v>
      </c>
      <c r="E14" s="1" t="s">
        <v>19</v>
      </c>
      <c r="F14" s="1" t="s">
        <v>9</v>
      </c>
      <c r="G14" t="s">
        <v>6</v>
      </c>
      <c r="H14" s="18" t="s">
        <v>25</v>
      </c>
    </row>
    <row r="15" spans="1:8" x14ac:dyDescent="0.25">
      <c r="A15">
        <v>1</v>
      </c>
      <c r="B15" t="str">
        <f>IFERROR(VLOOKUP(TableEstmat[[#This Row],[Need ID]],Table3[#All],2,FALSE),"")</f>
        <v>Genus</v>
      </c>
      <c r="C15" t="str">
        <f>IFERROR(VLOOKUP(TableEstmat[[#This Row],[Need ID]],Table3[#All],12,FALSE),"")</f>
        <v>H</v>
      </c>
      <c r="D15">
        <f>IFERROR(VLOOKUP(TableEstmat[[#This Row],[Complexity Estimate]],$C$9:$D$11,2,FALSE),"0")</f>
        <v>54</v>
      </c>
      <c r="E15">
        <f>TableEstmat[[#This Row],[Estimated Design and Implementation effort]]</f>
        <v>54</v>
      </c>
      <c r="F15">
        <f>IFERROR(VLOOKUP(TableEstmat[[#Headers],[Requirements Development]],Table1[],2,FALSE)*TableEstmat[[#This Row],[Final Agreed Estimates]]/100, "")</f>
        <v>8.1</v>
      </c>
      <c r="G15">
        <f>IFERROR(TableEstmat[[#This Row],[Final Agreed Estimates]]*VLOOKUP(TableEstmat[[#Headers],[Planning]],Table1[],2,FALSE)/100,"")</f>
        <v>6.48</v>
      </c>
      <c r="H15">
        <f>IFERROR(VLOOKUP(TableEstmat[[#Headers],[Design &amp; Implementation]],Table1[],2,FALSE)*TableEstmat[[#This Row],[Final Agreed Estimates]]/100,"")</f>
        <v>54</v>
      </c>
    </row>
    <row r="16" spans="1:8" x14ac:dyDescent="0.25">
      <c r="A16">
        <v>1.1000000000000001</v>
      </c>
      <c r="B16" t="str">
        <f>IFERROR(VLOOKUP(TableEstmat[[#This Row],[Need ID]],Table3[#All],2,FALSE),"")</f>
        <v>Solar</v>
      </c>
      <c r="C16" t="str">
        <f>IFERROR(VLOOKUP(TableEstmat[[#This Row],[Need ID]],Table3[#All],12,FALSE),"")</f>
        <v/>
      </c>
      <c r="D16" t="str">
        <f>IFERROR(VLOOKUP(TableEstmat[[#This Row],[Complexity Estimate]],$C$9:$D$11,2,FALSE),"0")</f>
        <v>0</v>
      </c>
      <c r="E16" s="28" t="str">
        <f>TableEstmat[[#This Row],[Estimated Design and Implementation effort]]</f>
        <v>0</v>
      </c>
      <c r="F16">
        <f>IFERROR(VLOOKUP(TableEstmat[[#Headers],[Requirements Development]],Table1[],2,FALSE)*TableEstmat[[#This Row],[Final Agreed Estimates]]/100, "")</f>
        <v>0</v>
      </c>
      <c r="G16">
        <f>IFERROR(TableEstmat[[#This Row],[Final Agreed Estimates]]*VLOOKUP(TableEstmat[[#Headers],[Planning]],Table1[],2,FALSE)/100,"")</f>
        <v>0</v>
      </c>
      <c r="H16">
        <f>IFERROR(VLOOKUP(TableEstmat[[#Headers],[Design &amp; Implementation]],Table1[],2,FALSE)*TableEstmat[[#This Row],[Final Agreed Estimates]]/100,"")</f>
        <v>0</v>
      </c>
    </row>
    <row r="17" spans="1:8" x14ac:dyDescent="0.25">
      <c r="A17">
        <v>1.2</v>
      </c>
      <c r="B17" t="str">
        <f>IFERROR(VLOOKUP(TableEstmat[[#This Row],[Need ID]],Table3[#All],2,FALSE),"")</f>
        <v>UPS</v>
      </c>
      <c r="C17" t="str">
        <f>IFERROR(VLOOKUP(TableEstmat[[#This Row],[Need ID]],Table3[#All],12,FALSE),"")</f>
        <v/>
      </c>
      <c r="D17" t="str">
        <f>IFERROR(VLOOKUP(TableEstmat[[#This Row],[Complexity Estimate]],$C$9:$D$11,2,FALSE),"0")</f>
        <v>0</v>
      </c>
      <c r="E17" t="str">
        <f>TableEstmat[[#This Row],[Estimated Design and Implementation effort]]</f>
        <v>0</v>
      </c>
      <c r="F17">
        <f>IFERROR(VLOOKUP(TableEstmat[[#Headers],[Requirements Development]],Table1[],2,FALSE)*TableEstmat[[#This Row],[Final Agreed Estimates]]/100, "")</f>
        <v>0</v>
      </c>
      <c r="G17">
        <f>IFERROR(TableEstmat[[#This Row],[Final Agreed Estimates]]*VLOOKUP(TableEstmat[[#Headers],[Planning]],Table1[],2,FALSE)/100,"")</f>
        <v>0</v>
      </c>
      <c r="H17">
        <f>IFERROR(VLOOKUP(TableEstmat[[#Headers],[Design &amp; Implementation]],Table1[],2,FALSE)*TableEstmat[[#This Row],[Final Agreed Estimates]]/100,"")</f>
        <v>0</v>
      </c>
    </row>
    <row r="18" spans="1:8" x14ac:dyDescent="0.25">
      <c r="B18" t="str">
        <f>IFERROR(VLOOKUP(TableEstmat[[#This Row],[Need ID]],Table3[#All],2,FALSE),"")</f>
        <v/>
      </c>
      <c r="C18" t="str">
        <f>IFERROR(VLOOKUP(TableEstmat[[#This Row],[Need ID]],Table3[#All],12,FALSE),"")</f>
        <v/>
      </c>
      <c r="D18" t="str">
        <f>IFERROR(VLOOKUP(TableEstmat[[#This Row],[Complexity Estimate]],$C$9:$D$11,2,FALSE),"0")</f>
        <v>0</v>
      </c>
      <c r="E18" t="str">
        <f>TableEstmat[[#This Row],[Estimated Design and Implementation effort]]</f>
        <v>0</v>
      </c>
      <c r="F18">
        <f>IFERROR(VLOOKUP(TableEstmat[[#Headers],[Requirements Development]],Table1[],2,FALSE)*TableEstmat[[#This Row],[Final Agreed Estimates]]/100, "")</f>
        <v>0</v>
      </c>
      <c r="G18">
        <f>IFERROR(TableEstmat[[#This Row],[Final Agreed Estimates]]*VLOOKUP(TableEstmat[[#Headers],[Planning]],Table1[],2,FALSE)/100,"")</f>
        <v>0</v>
      </c>
      <c r="H18">
        <f>IFERROR(VLOOKUP(TableEstmat[[#Headers],[Design &amp; Implementation]],Table1[],2,FALSE)*TableEstmat[[#This Row],[Final Agreed Estimates]]/100,"")</f>
        <v>0</v>
      </c>
    </row>
    <row r="19" spans="1:8" x14ac:dyDescent="0.25">
      <c r="B19" t="str">
        <f>IFERROR(VLOOKUP(TableEstmat[[#This Row],[Need ID]],Table3[#All],2,FALSE),"")</f>
        <v/>
      </c>
      <c r="C19" t="str">
        <f>IFERROR(VLOOKUP(TableEstmat[[#This Row],[Need ID]],Table3[#All],12,FALSE),"")</f>
        <v/>
      </c>
      <c r="D19" t="str">
        <f>IFERROR(VLOOKUP(TableEstmat[[#This Row],[Complexity Estimate]],$C$9:$D$11,2,FALSE),"0")</f>
        <v>0</v>
      </c>
      <c r="E19" t="str">
        <f>TableEstmat[[#This Row],[Estimated Design and Implementation effort]]</f>
        <v>0</v>
      </c>
      <c r="F19">
        <f>IFERROR(VLOOKUP(TableEstmat[[#Headers],[Requirements Development]],Table1[],2,FALSE)*TableEstmat[[#This Row],[Final Agreed Estimates]]/100, "")</f>
        <v>0</v>
      </c>
      <c r="G19">
        <f>IFERROR(TableEstmat[[#This Row],[Final Agreed Estimates]]*VLOOKUP(TableEstmat[[#Headers],[Planning]],Table1[],2,FALSE)/100,"")</f>
        <v>0</v>
      </c>
      <c r="H19">
        <f>IFERROR(VLOOKUP(TableEstmat[[#Headers],[Design &amp; Implementation]],Table1[],2,FALSE)*TableEstmat[[#This Row],[Final Agreed Estimates]]/100,"")</f>
        <v>0</v>
      </c>
    </row>
    <row r="20" spans="1:8" x14ac:dyDescent="0.25">
      <c r="B20" t="str">
        <f>IFERROR(VLOOKUP(TableEstmat[[#This Row],[Need ID]],Table3[#All],2,FALSE),"")</f>
        <v/>
      </c>
      <c r="C20" t="str">
        <f>IFERROR(VLOOKUP(TableEstmat[[#This Row],[Need ID]],Table3[#All],12,FALSE),"")</f>
        <v/>
      </c>
      <c r="D20" t="str">
        <f>IFERROR(VLOOKUP(TableEstmat[[#This Row],[Complexity Estimate]],$C$9:$D$11,2,FALSE),"0")</f>
        <v>0</v>
      </c>
      <c r="E20" t="str">
        <f>TableEstmat[[#This Row],[Estimated Design and Implementation effort]]</f>
        <v>0</v>
      </c>
      <c r="F20">
        <f>IFERROR(VLOOKUP(TableEstmat[[#Headers],[Requirements Development]],Table1[],2,FALSE)*TableEstmat[[#This Row],[Final Agreed Estimates]]/100, "")</f>
        <v>0</v>
      </c>
      <c r="G20">
        <f>IFERROR(TableEstmat[[#This Row],[Final Agreed Estimates]]*VLOOKUP(TableEstmat[[#Headers],[Planning]],Table1[],2,FALSE)/100,"")</f>
        <v>0</v>
      </c>
      <c r="H20">
        <f>IFERROR(VLOOKUP(TableEstmat[[#Headers],[Design &amp; Implementation]],Table1[],2,FALSE)*TableEstmat[[#This Row],[Final Agreed Estimates]]/100,"")</f>
        <v>0</v>
      </c>
    </row>
    <row r="21" spans="1:8" x14ac:dyDescent="0.25">
      <c r="B21" t="str">
        <f>IFERROR(VLOOKUP(TableEstmat[[#This Row],[Need ID]],Table3[#All],2,FALSE),"")</f>
        <v/>
      </c>
      <c r="C21" t="str">
        <f>IFERROR(VLOOKUP(TableEstmat[[#This Row],[Need ID]],Table3[#All],12,FALSE),"")</f>
        <v/>
      </c>
      <c r="D21" t="str">
        <f>IFERROR(VLOOKUP(TableEstmat[[#This Row],[Complexity Estimate]],$C$9:$D$11,2,FALSE),"0")</f>
        <v>0</v>
      </c>
      <c r="E21" t="str">
        <f>TableEstmat[[#This Row],[Estimated Design and Implementation effort]]</f>
        <v>0</v>
      </c>
      <c r="F21">
        <f>IFERROR(VLOOKUP(TableEstmat[[#Headers],[Requirements Development]],Table1[],2,FALSE)*TableEstmat[[#This Row],[Final Agreed Estimates]]/100, "")</f>
        <v>0</v>
      </c>
      <c r="G21">
        <f>IFERROR(TableEstmat[[#This Row],[Final Agreed Estimates]]*VLOOKUP(TableEstmat[[#Headers],[Planning]],Table1[],2,FALSE)/100,"")</f>
        <v>0</v>
      </c>
      <c r="H21">
        <f>IFERROR(VLOOKUP(TableEstmat[[#Headers],[Design &amp; Implementation]],Table1[],2,FALSE)*TableEstmat[[#This Row],[Final Agreed Estimates]]/100,"")</f>
        <v>0</v>
      </c>
    </row>
    <row r="22" spans="1:8" x14ac:dyDescent="0.25">
      <c r="B22" t="str">
        <f>IFERROR(VLOOKUP(TableEstmat[[#This Row],[Need ID]],Table3[#All],2,FALSE),"")</f>
        <v/>
      </c>
      <c r="C22" t="str">
        <f>IFERROR(VLOOKUP(TableEstmat[[#This Row],[Need ID]],Table3[#All],12,FALSE),"")</f>
        <v/>
      </c>
      <c r="D22" t="str">
        <f>IFERROR(VLOOKUP(TableEstmat[[#This Row],[Complexity Estimate]],$C$9:$D$11,2,FALSE),"0")</f>
        <v>0</v>
      </c>
      <c r="E22" t="str">
        <f>TableEstmat[[#This Row],[Estimated Design and Implementation effort]]</f>
        <v>0</v>
      </c>
      <c r="F22">
        <f>IFERROR(VLOOKUP(TableEstmat[[#Headers],[Requirements Development]],Table1[],2,FALSE)*TableEstmat[[#This Row],[Final Agreed Estimates]]/100, "")</f>
        <v>0</v>
      </c>
      <c r="G22">
        <f>IFERROR(TableEstmat[[#This Row],[Final Agreed Estimates]]*VLOOKUP(TableEstmat[[#Headers],[Planning]],Table1[],2,FALSE)/100,"")</f>
        <v>0</v>
      </c>
      <c r="H22">
        <f>IFERROR(VLOOKUP(TableEstmat[[#Headers],[Design &amp; Implementation]],Table1[],2,FALSE)*TableEstmat[[#This Row],[Final Agreed Estimates]]/100,"")</f>
        <v>0</v>
      </c>
    </row>
    <row r="23" spans="1:8" x14ac:dyDescent="0.25">
      <c r="B23" t="str">
        <f>IFERROR(VLOOKUP(TableEstmat[[#This Row],[Need ID]],Table3[#All],2,FALSE),"")</f>
        <v/>
      </c>
      <c r="C23" t="str">
        <f>IFERROR(VLOOKUP(TableEstmat[[#This Row],[Need ID]],Table3[#All],12,FALSE),"")</f>
        <v/>
      </c>
      <c r="D23" t="str">
        <f>IFERROR(VLOOKUP(TableEstmat[[#This Row],[Complexity Estimate]],$C$9:$D$11,2,FALSE),"0")</f>
        <v>0</v>
      </c>
      <c r="E23" t="str">
        <f>TableEstmat[[#This Row],[Estimated Design and Implementation effort]]</f>
        <v>0</v>
      </c>
      <c r="F23">
        <f>IFERROR(VLOOKUP(TableEstmat[[#Headers],[Requirements Development]],Table1[],2,FALSE)*TableEstmat[[#This Row],[Final Agreed Estimates]]/100, "")</f>
        <v>0</v>
      </c>
      <c r="G23">
        <f>IFERROR(TableEstmat[[#This Row],[Final Agreed Estimates]]*VLOOKUP(TableEstmat[[#Headers],[Planning]],Table1[],2,FALSE)/100,"")</f>
        <v>0</v>
      </c>
      <c r="H23">
        <f>IFERROR(VLOOKUP(TableEstmat[[#Headers],[Design &amp; Implementation]],Table1[],2,FALSE)*TableEstmat[[#This Row],[Final Agreed Estimates]]/100,"")</f>
        <v>0</v>
      </c>
    </row>
    <row r="24" spans="1:8" x14ac:dyDescent="0.25">
      <c r="B24" t="str">
        <f>IFERROR(VLOOKUP(TableEstmat[[#This Row],[Need ID]],Table3[#All],2,FALSE),"")</f>
        <v/>
      </c>
      <c r="C24" t="str">
        <f>IFERROR(VLOOKUP(TableEstmat[[#This Row],[Need ID]],Table3[#All],12,FALSE),"")</f>
        <v/>
      </c>
      <c r="D24" t="str">
        <f>IFERROR(VLOOKUP(TableEstmat[[#This Row],[Complexity Estimate]],$C$9:$D$11,2,FALSE),"0")</f>
        <v>0</v>
      </c>
      <c r="E24" t="str">
        <f>TableEstmat[[#This Row],[Estimated Design and Implementation effort]]</f>
        <v>0</v>
      </c>
      <c r="F24">
        <f>IFERROR(VLOOKUP(TableEstmat[[#Headers],[Requirements Development]],Table1[],2,FALSE)*TableEstmat[[#This Row],[Final Agreed Estimates]]/100, "")</f>
        <v>0</v>
      </c>
      <c r="G24">
        <f>IFERROR(TableEstmat[[#This Row],[Final Agreed Estimates]]*VLOOKUP(TableEstmat[[#Headers],[Planning]],Table1[],2,FALSE)/100,"")</f>
        <v>0</v>
      </c>
      <c r="H24">
        <f>IFERROR(VLOOKUP(TableEstmat[[#Headers],[Design &amp; Implementation]],Table1[],2,FALSE)*TableEstmat[[#This Row],[Final Agreed Estimates]]/100,"")</f>
        <v>0</v>
      </c>
    </row>
    <row r="25" spans="1:8" x14ac:dyDescent="0.25">
      <c r="B25" t="str">
        <f>IFERROR(VLOOKUP(TableEstmat[[#This Row],[Need ID]],Table3[#All],2,FALSE),"")</f>
        <v/>
      </c>
      <c r="C25" t="str">
        <f>IFERROR(VLOOKUP(TableEstmat[[#This Row],[Need ID]],Table3[#All],12,FALSE),"")</f>
        <v/>
      </c>
      <c r="D25" t="str">
        <f>IFERROR(VLOOKUP(TableEstmat[[#This Row],[Complexity Estimate]],$C$9:$D$11,2,FALSE),"0")</f>
        <v>0</v>
      </c>
      <c r="E25" t="str">
        <f>TableEstmat[[#This Row],[Estimated Design and Implementation effort]]</f>
        <v>0</v>
      </c>
      <c r="F25">
        <f>IFERROR(VLOOKUP(TableEstmat[[#Headers],[Requirements Development]],Table1[],2,FALSE)*TableEstmat[[#This Row],[Final Agreed Estimates]]/100, "")</f>
        <v>0</v>
      </c>
      <c r="G25">
        <f>IFERROR(TableEstmat[[#This Row],[Final Agreed Estimates]]*VLOOKUP(TableEstmat[[#Headers],[Planning]],Table1[],2,FALSE)/100,"")</f>
        <v>0</v>
      </c>
      <c r="H25">
        <f>IFERROR(VLOOKUP(TableEstmat[[#Headers],[Design &amp; Implementation]],Table1[],2,FALSE)*TableEstmat[[#This Row],[Final Agreed Estimates]]/100,"")</f>
        <v>0</v>
      </c>
    </row>
    <row r="26" spans="1:8" x14ac:dyDescent="0.25">
      <c r="B26" t="str">
        <f>IFERROR(VLOOKUP(TableEstmat[[#This Row],[Need ID]],Table3[#All],2,FALSE),"")</f>
        <v/>
      </c>
      <c r="C26" t="str">
        <f>IFERROR(VLOOKUP(TableEstmat[[#This Row],[Need ID]],Table3[#All],12,FALSE),"")</f>
        <v/>
      </c>
      <c r="D26" t="str">
        <f>IFERROR(VLOOKUP(TableEstmat[[#This Row],[Complexity Estimate]],$C$9:$D$11,2,FALSE),"0")</f>
        <v>0</v>
      </c>
      <c r="E26" t="str">
        <f>TableEstmat[[#This Row],[Estimated Design and Implementation effort]]</f>
        <v>0</v>
      </c>
      <c r="F26">
        <f>IFERROR(VLOOKUP(TableEstmat[[#Headers],[Requirements Development]],Table1[],2,FALSE)*TableEstmat[[#This Row],[Final Agreed Estimates]]/100, "")</f>
        <v>0</v>
      </c>
      <c r="G26">
        <f>IFERROR(TableEstmat[[#This Row],[Final Agreed Estimates]]*VLOOKUP(TableEstmat[[#Headers],[Planning]],Table1[],2,FALSE)/100,"")</f>
        <v>0</v>
      </c>
      <c r="H26">
        <f>IFERROR(VLOOKUP(TableEstmat[[#Headers],[Design &amp; Implementation]],Table1[],2,FALSE)*TableEstmat[[#This Row],[Final Agreed Estimates]]/100,"")</f>
        <v>0</v>
      </c>
    </row>
    <row r="27" spans="1:8" x14ac:dyDescent="0.25">
      <c r="B27" t="str">
        <f>IFERROR(VLOOKUP(TableEstmat[[#This Row],[Need ID]],Table3[#All],2,FALSE),"")</f>
        <v/>
      </c>
      <c r="C27" t="str">
        <f>IFERROR(VLOOKUP(TableEstmat[[#This Row],[Need ID]],Table3[#All],12,FALSE),"")</f>
        <v/>
      </c>
      <c r="D27" t="str">
        <f>IFERROR(VLOOKUP(TableEstmat[[#This Row],[Complexity Estimate]],$C$9:$D$11,2,FALSE),"0")</f>
        <v>0</v>
      </c>
      <c r="E27" t="str">
        <f>TableEstmat[[#This Row],[Estimated Design and Implementation effort]]</f>
        <v>0</v>
      </c>
      <c r="F27">
        <f>IFERROR(VLOOKUP(TableEstmat[[#Headers],[Requirements Development]],Table1[],2,FALSE)*TableEstmat[[#This Row],[Final Agreed Estimates]]/100, "")</f>
        <v>0</v>
      </c>
      <c r="G27">
        <f>IFERROR(TableEstmat[[#This Row],[Final Agreed Estimates]]*VLOOKUP(TableEstmat[[#Headers],[Planning]],Table1[],2,FALSE)/100,"")</f>
        <v>0</v>
      </c>
      <c r="H27">
        <f>IFERROR(VLOOKUP(TableEstmat[[#Headers],[Design &amp; Implementation]],Table1[],2,FALSE)*TableEstmat[[#This Row],[Final Agreed Estimates]]/100,"")</f>
        <v>0</v>
      </c>
    </row>
    <row r="28" spans="1:8" x14ac:dyDescent="0.25">
      <c r="B28" t="str">
        <f>IFERROR(VLOOKUP(TableEstmat[[#This Row],[Need ID]],Table3[#All],2,FALSE),"")</f>
        <v/>
      </c>
      <c r="C28" t="str">
        <f>IFERROR(VLOOKUP(TableEstmat[[#This Row],[Need ID]],Table3[#All],12,FALSE),"")</f>
        <v/>
      </c>
      <c r="D28" t="str">
        <f>IFERROR(VLOOKUP(TableEstmat[[#This Row],[Complexity Estimate]],$C$9:$D$11,2,FALSE),"0")</f>
        <v>0</v>
      </c>
      <c r="E28" t="str">
        <f>TableEstmat[[#This Row],[Estimated Design and Implementation effort]]</f>
        <v>0</v>
      </c>
      <c r="F28">
        <f>IFERROR(VLOOKUP(TableEstmat[[#Headers],[Requirements Development]],Table1[],2,FALSE)*TableEstmat[[#This Row],[Final Agreed Estimates]]/100, "")</f>
        <v>0</v>
      </c>
      <c r="G28">
        <f>IFERROR(TableEstmat[[#This Row],[Final Agreed Estimates]]*VLOOKUP(TableEstmat[[#Headers],[Planning]],Table1[],2,FALSE)/100,"")</f>
        <v>0</v>
      </c>
      <c r="H28">
        <f>IFERROR(VLOOKUP(TableEstmat[[#Headers],[Design &amp; Implementation]],Table1[],2,FALSE)*TableEstmat[[#This Row],[Final Agreed Estimates]]/100,"")</f>
        <v>0</v>
      </c>
    </row>
    <row r="29" spans="1:8" x14ac:dyDescent="0.25">
      <c r="B29" t="str">
        <f>IFERROR(VLOOKUP(TableEstmat[[#This Row],[Need ID]],Table3[#All],2,FALSE),"")</f>
        <v/>
      </c>
      <c r="C29" t="str">
        <f>IFERROR(VLOOKUP(TableEstmat[[#This Row],[Need ID]],Table3[#All],12,FALSE),"")</f>
        <v/>
      </c>
      <c r="D29" t="str">
        <f>IFERROR(VLOOKUP(TableEstmat[[#This Row],[Complexity Estimate]],$C$9:$D$11,2,FALSE),"0")</f>
        <v>0</v>
      </c>
      <c r="E29" t="str">
        <f>TableEstmat[[#This Row],[Estimated Design and Implementation effort]]</f>
        <v>0</v>
      </c>
      <c r="F29">
        <f>IFERROR(VLOOKUP(TableEstmat[[#Headers],[Requirements Development]],Table1[],2,FALSE)*TableEstmat[[#This Row],[Final Agreed Estimates]]/100, "")</f>
        <v>0</v>
      </c>
      <c r="G29">
        <f>IFERROR(TableEstmat[[#This Row],[Final Agreed Estimates]]*VLOOKUP(TableEstmat[[#Headers],[Planning]],Table1[],2,FALSE)/100,"")</f>
        <v>0</v>
      </c>
      <c r="H29">
        <f>IFERROR(VLOOKUP(TableEstmat[[#Headers],[Design &amp; Implementation]],Table1[],2,FALSE)*TableEstmat[[#This Row],[Final Agreed Estimates]]/100,"")</f>
        <v>0</v>
      </c>
    </row>
    <row r="30" spans="1:8" x14ac:dyDescent="0.25">
      <c r="B30" t="str">
        <f>IFERROR(VLOOKUP(TableEstmat[[#This Row],[Need ID]],Table3[#All],2,FALSE),"")</f>
        <v/>
      </c>
      <c r="C30" t="str">
        <f>IFERROR(VLOOKUP(TableEstmat[[#This Row],[Need ID]],Table3[#All],12,FALSE),"")</f>
        <v/>
      </c>
      <c r="D30" t="str">
        <f>IFERROR(VLOOKUP(TableEstmat[[#This Row],[Complexity Estimate]],$C$9:$D$11,2,FALSE),"0")</f>
        <v>0</v>
      </c>
      <c r="E30" t="str">
        <f>TableEstmat[[#This Row],[Estimated Design and Implementation effort]]</f>
        <v>0</v>
      </c>
      <c r="F30">
        <f>IFERROR(VLOOKUP(TableEstmat[[#Headers],[Requirements Development]],Table1[],2,FALSE)*TableEstmat[[#This Row],[Final Agreed Estimates]]/100, "")</f>
        <v>0</v>
      </c>
      <c r="G30">
        <f>IFERROR(TableEstmat[[#This Row],[Final Agreed Estimates]]*VLOOKUP(TableEstmat[[#Headers],[Planning]],Table1[],2,FALSE)/100,"")</f>
        <v>0</v>
      </c>
      <c r="H30">
        <f>IFERROR(VLOOKUP(TableEstmat[[#Headers],[Design &amp; Implementation]],Table1[],2,FALSE)*TableEstmat[[#This Row],[Final Agreed Estimates]]/100,"")</f>
        <v>0</v>
      </c>
    </row>
    <row r="31" spans="1:8" x14ac:dyDescent="0.25">
      <c r="B31" t="str">
        <f>IFERROR(VLOOKUP(TableEstmat[[#This Row],[Need ID]],Table3[#All],2,FALSE),"")</f>
        <v/>
      </c>
      <c r="C31" t="str">
        <f>IFERROR(VLOOKUP(TableEstmat[[#This Row],[Need ID]],Table3[#All],12,FALSE),"")</f>
        <v/>
      </c>
      <c r="D31" t="str">
        <f>IFERROR(VLOOKUP(TableEstmat[[#This Row],[Complexity Estimate]],$C$9:$D$11,2,FALSE),"0")</f>
        <v>0</v>
      </c>
      <c r="E31" t="str">
        <f>TableEstmat[[#This Row],[Estimated Design and Implementation effort]]</f>
        <v>0</v>
      </c>
      <c r="F31">
        <f>IFERROR(VLOOKUP(TableEstmat[[#Headers],[Requirements Development]],Table1[],2,FALSE)*TableEstmat[[#This Row],[Final Agreed Estimates]]/100, "")</f>
        <v>0</v>
      </c>
      <c r="G31">
        <f>IFERROR(TableEstmat[[#This Row],[Final Agreed Estimates]]*VLOOKUP(TableEstmat[[#Headers],[Planning]],Table1[],2,FALSE)/100,"")</f>
        <v>0</v>
      </c>
      <c r="H31">
        <f>IFERROR(VLOOKUP(TableEstmat[[#Headers],[Design &amp; Implementation]],Table1[],2,FALSE)*TableEstmat[[#This Row],[Final Agreed Estimates]]/100,"")</f>
        <v>0</v>
      </c>
    </row>
    <row r="32" spans="1:8" x14ac:dyDescent="0.25">
      <c r="B32" t="str">
        <f>IFERROR(VLOOKUP(TableEstmat[[#This Row],[Need ID]],Table3[#All],2,FALSE),"")</f>
        <v/>
      </c>
      <c r="C32" t="str">
        <f>IFERROR(VLOOKUP(TableEstmat[[#This Row],[Need ID]],Table3[#All],12,FALSE),"")</f>
        <v/>
      </c>
      <c r="D32" t="str">
        <f>IFERROR(VLOOKUP(TableEstmat[[#This Row],[Complexity Estimate]],$C$9:$D$11,2,FALSE),"0")</f>
        <v>0</v>
      </c>
      <c r="E32" t="str">
        <f>TableEstmat[[#This Row],[Estimated Design and Implementation effort]]</f>
        <v>0</v>
      </c>
      <c r="F32">
        <f>IFERROR(VLOOKUP(TableEstmat[[#Headers],[Requirements Development]],Table1[],2,FALSE)*TableEstmat[[#This Row],[Final Agreed Estimates]]/100, "")</f>
        <v>0</v>
      </c>
      <c r="G32">
        <f>IFERROR(TableEstmat[[#This Row],[Final Agreed Estimates]]*VLOOKUP(TableEstmat[[#Headers],[Planning]],Table1[],2,FALSE)/100,"")</f>
        <v>0</v>
      </c>
      <c r="H32">
        <f>IFERROR(VLOOKUP(TableEstmat[[#Headers],[Design &amp; Implementation]],Table1[],2,FALSE)*TableEstmat[[#This Row],[Final Agreed Estimates]]/100,"")</f>
        <v>0</v>
      </c>
    </row>
    <row r="33" spans="2:8" x14ac:dyDescent="0.25">
      <c r="B33" t="str">
        <f>IFERROR(VLOOKUP(TableEstmat[[#This Row],[Need ID]],Table3[#All],2,FALSE),"")</f>
        <v/>
      </c>
      <c r="C33" t="str">
        <f>IFERROR(VLOOKUP(TableEstmat[[#This Row],[Need ID]],Table3[#All],12,FALSE),"")</f>
        <v/>
      </c>
      <c r="D33" t="str">
        <f>IFERROR(VLOOKUP(TableEstmat[[#This Row],[Complexity Estimate]],$C$9:$D$11,2,FALSE),"0")</f>
        <v>0</v>
      </c>
      <c r="E33" t="str">
        <f>TableEstmat[[#This Row],[Estimated Design and Implementation effort]]</f>
        <v>0</v>
      </c>
      <c r="F33">
        <f>IFERROR(VLOOKUP(TableEstmat[[#Headers],[Requirements Development]],Table1[],2,FALSE)*TableEstmat[[#This Row],[Final Agreed Estimates]]/100, "")</f>
        <v>0</v>
      </c>
      <c r="G33">
        <f>IFERROR(TableEstmat[[#This Row],[Final Agreed Estimates]]*VLOOKUP(TableEstmat[[#Headers],[Planning]],Table1[],2,FALSE)/100,"")</f>
        <v>0</v>
      </c>
      <c r="H33">
        <f>IFERROR(VLOOKUP(TableEstmat[[#Headers],[Design &amp; Implementation]],Table1[],2,FALSE)*TableEstmat[[#This Row],[Final Agreed Estimates]]/100,"")</f>
        <v>0</v>
      </c>
    </row>
    <row r="34" spans="2:8" x14ac:dyDescent="0.25">
      <c r="B34" t="str">
        <f>IFERROR(VLOOKUP(TableEstmat[[#This Row],[Need ID]],Table3[#All],2,FALSE),"")</f>
        <v/>
      </c>
      <c r="C34" t="str">
        <f>IFERROR(VLOOKUP(TableEstmat[[#This Row],[Need ID]],Table3[#All],12,FALSE),"")</f>
        <v/>
      </c>
      <c r="D34" t="str">
        <f>IFERROR(VLOOKUP(TableEstmat[[#This Row],[Complexity Estimate]],$C$9:$D$11,2,FALSE),"0")</f>
        <v>0</v>
      </c>
      <c r="E34" t="str">
        <f>TableEstmat[[#This Row],[Estimated Design and Implementation effort]]</f>
        <v>0</v>
      </c>
      <c r="F34">
        <f>IFERROR(VLOOKUP(TableEstmat[[#Headers],[Requirements Development]],Table1[],2,FALSE)*TableEstmat[[#This Row],[Final Agreed Estimates]]/100, "")</f>
        <v>0</v>
      </c>
      <c r="G34">
        <f>IFERROR(TableEstmat[[#This Row],[Final Agreed Estimates]]*VLOOKUP(TableEstmat[[#Headers],[Planning]],Table1[],2,FALSE)/100,"")</f>
        <v>0</v>
      </c>
      <c r="H34">
        <f>IFERROR(VLOOKUP(TableEstmat[[#Headers],[Design &amp; Implementation]],Table1[],2,FALSE)*TableEstmat[[#This Row],[Final Agreed Estimates]]/100,"")</f>
        <v>0</v>
      </c>
    </row>
    <row r="35" spans="2:8" x14ac:dyDescent="0.25">
      <c r="B35" t="str">
        <f>IFERROR(VLOOKUP(TableEstmat[[#This Row],[Need ID]],Table3[#All],2,FALSE),"")</f>
        <v/>
      </c>
      <c r="C35" t="str">
        <f>IFERROR(VLOOKUP(TableEstmat[[#This Row],[Need ID]],Table3[#All],12,FALSE),"")</f>
        <v/>
      </c>
      <c r="D35" t="str">
        <f>IFERROR(VLOOKUP(TableEstmat[[#This Row],[Complexity Estimate]],$C$9:$D$11,2,FALSE),"0")</f>
        <v>0</v>
      </c>
      <c r="E35" t="str">
        <f>TableEstmat[[#This Row],[Estimated Design and Implementation effort]]</f>
        <v>0</v>
      </c>
      <c r="F35">
        <f>IFERROR(VLOOKUP(TableEstmat[[#Headers],[Requirements Development]],Table1[],2,FALSE)*TableEstmat[[#This Row],[Final Agreed Estimates]]/100, "")</f>
        <v>0</v>
      </c>
      <c r="G35">
        <f>IFERROR(TableEstmat[[#This Row],[Final Agreed Estimates]]*VLOOKUP(TableEstmat[[#Headers],[Planning]],Table1[],2,FALSE)/100,"")</f>
        <v>0</v>
      </c>
      <c r="H35">
        <f>IFERROR(VLOOKUP(TableEstmat[[#Headers],[Design &amp; Implementation]],Table1[],2,FALSE)*TableEstmat[[#This Row],[Final Agreed Estimates]]/100,"")</f>
        <v>0</v>
      </c>
    </row>
    <row r="36" spans="2:8" x14ac:dyDescent="0.25">
      <c r="B36" t="str">
        <f>IFERROR(VLOOKUP(TableEstmat[[#This Row],[Need ID]],Table3[#All],2,FALSE),"")</f>
        <v/>
      </c>
      <c r="C36" t="str">
        <f>IFERROR(VLOOKUP(TableEstmat[[#This Row],[Need ID]],Table3[#All],12,FALSE),"")</f>
        <v/>
      </c>
      <c r="D36" t="str">
        <f>IFERROR(VLOOKUP(TableEstmat[[#This Row],[Complexity Estimate]],$C$9:$D$11,2,FALSE),"0")</f>
        <v>0</v>
      </c>
      <c r="E36" t="str">
        <f>TableEstmat[[#This Row],[Estimated Design and Implementation effort]]</f>
        <v>0</v>
      </c>
      <c r="F36">
        <f>IFERROR(VLOOKUP(TableEstmat[[#Headers],[Requirements Development]],Table1[],2,FALSE)*TableEstmat[[#This Row],[Final Agreed Estimates]]/100, "")</f>
        <v>0</v>
      </c>
      <c r="G36">
        <f>IFERROR(TableEstmat[[#This Row],[Final Agreed Estimates]]*VLOOKUP(TableEstmat[[#Headers],[Planning]],Table1[],2,FALSE)/100,"")</f>
        <v>0</v>
      </c>
      <c r="H36">
        <f>IFERROR(VLOOKUP(TableEstmat[[#Headers],[Design &amp; Implementation]],Table1[],2,FALSE)*TableEstmat[[#This Row],[Final Agreed Estimates]]/100,"")</f>
        <v>0</v>
      </c>
    </row>
    <row r="37" spans="2:8" x14ac:dyDescent="0.25">
      <c r="B37" t="str">
        <f>IFERROR(VLOOKUP(TableEstmat[[#This Row],[Need ID]],Table3[#All],2,FALSE),"")</f>
        <v/>
      </c>
      <c r="C37" t="str">
        <f>IFERROR(VLOOKUP(TableEstmat[[#This Row],[Need ID]],Table3[#All],12,FALSE),"")</f>
        <v/>
      </c>
      <c r="D37" t="str">
        <f>IFERROR(VLOOKUP(TableEstmat[[#This Row],[Complexity Estimate]],$C$9:$D$11,2,FALSE),"0")</f>
        <v>0</v>
      </c>
      <c r="E37" t="str">
        <f>TableEstmat[[#This Row],[Estimated Design and Implementation effort]]</f>
        <v>0</v>
      </c>
      <c r="F37">
        <f>IFERROR(VLOOKUP(TableEstmat[[#Headers],[Requirements Development]],Table1[],2,FALSE)*TableEstmat[[#This Row],[Final Agreed Estimates]]/100, "")</f>
        <v>0</v>
      </c>
      <c r="G37">
        <f>IFERROR(TableEstmat[[#This Row],[Final Agreed Estimates]]*VLOOKUP(TableEstmat[[#Headers],[Planning]],Table1[],2,FALSE)/100,"")</f>
        <v>0</v>
      </c>
      <c r="H37">
        <f>IFERROR(VLOOKUP(TableEstmat[[#Headers],[Design &amp; Implementation]],Table1[],2,FALSE)*TableEstmat[[#This Row],[Final Agreed Estimates]]/100,"")</f>
        <v>0</v>
      </c>
    </row>
    <row r="38" spans="2:8" x14ac:dyDescent="0.25">
      <c r="B38" t="str">
        <f>IFERROR(VLOOKUP(TableEstmat[[#This Row],[Need ID]],Table3[#All],2,FALSE),"")</f>
        <v/>
      </c>
      <c r="C38" t="str">
        <f>IFERROR(VLOOKUP(TableEstmat[[#This Row],[Need ID]],Table3[#All],12,FALSE),"")</f>
        <v/>
      </c>
      <c r="D38" t="str">
        <f>IFERROR(VLOOKUP(TableEstmat[[#This Row],[Complexity Estimate]],$C$9:$D$11,2,FALSE),"0")</f>
        <v>0</v>
      </c>
      <c r="E38" t="str">
        <f>TableEstmat[[#This Row],[Estimated Design and Implementation effort]]</f>
        <v>0</v>
      </c>
      <c r="F38">
        <f>IFERROR(VLOOKUP(TableEstmat[[#Headers],[Requirements Development]],Table1[],2,FALSE)*TableEstmat[[#This Row],[Final Agreed Estimates]]/100, "")</f>
        <v>0</v>
      </c>
      <c r="G38">
        <f>IFERROR(TableEstmat[[#This Row],[Final Agreed Estimates]]*VLOOKUP(TableEstmat[[#Headers],[Planning]],Table1[],2,FALSE)/100,"")</f>
        <v>0</v>
      </c>
      <c r="H38">
        <f>IFERROR(VLOOKUP(TableEstmat[[#Headers],[Design &amp; Implementation]],Table1[],2,FALSE)*TableEstmat[[#This Row],[Final Agreed Estimates]]/100,"")</f>
        <v>0</v>
      </c>
    </row>
    <row r="39" spans="2:8" x14ac:dyDescent="0.25">
      <c r="B39" t="str">
        <f>IFERROR(VLOOKUP(TableEstmat[[#This Row],[Need ID]],Table3[#All],2,FALSE),"")</f>
        <v/>
      </c>
      <c r="C39" t="str">
        <f>IFERROR(VLOOKUP(TableEstmat[[#This Row],[Need ID]],Table3[#All],12,FALSE),"")</f>
        <v/>
      </c>
      <c r="D39" t="str">
        <f>IFERROR(VLOOKUP(TableEstmat[[#This Row],[Complexity Estimate]],$C$9:$D$11,2,FALSE),"0")</f>
        <v>0</v>
      </c>
      <c r="E39" t="str">
        <f>TableEstmat[[#This Row],[Estimated Design and Implementation effort]]</f>
        <v>0</v>
      </c>
      <c r="F39">
        <f>IFERROR(VLOOKUP(TableEstmat[[#Headers],[Requirements Development]],Table1[],2,FALSE)*TableEstmat[[#This Row],[Final Agreed Estimates]]/100, "")</f>
        <v>0</v>
      </c>
      <c r="G39">
        <f>IFERROR(TableEstmat[[#This Row],[Final Agreed Estimates]]*VLOOKUP(TableEstmat[[#Headers],[Planning]],Table1[],2,FALSE)/100,"")</f>
        <v>0</v>
      </c>
      <c r="H39">
        <f>IFERROR(VLOOKUP(TableEstmat[[#Headers],[Design &amp; Implementation]],Table1[],2,FALSE)*TableEstmat[[#This Row],[Final Agreed Estimates]]/100,"")</f>
        <v>0</v>
      </c>
    </row>
    <row r="40" spans="2:8" x14ac:dyDescent="0.25">
      <c r="B40" t="str">
        <f>IFERROR(VLOOKUP(TableEstmat[[#This Row],[Need ID]],Table3[#All],2,FALSE),"")</f>
        <v/>
      </c>
      <c r="C40" t="str">
        <f>IFERROR(VLOOKUP(TableEstmat[[#This Row],[Need ID]],Table3[#All],12,FALSE),"")</f>
        <v/>
      </c>
      <c r="D40" t="str">
        <f>IFERROR(VLOOKUP(TableEstmat[[#This Row],[Complexity Estimate]],$C$9:$D$11,2,FALSE),"0")</f>
        <v>0</v>
      </c>
      <c r="E40" t="str">
        <f>TableEstmat[[#This Row],[Estimated Design and Implementation effort]]</f>
        <v>0</v>
      </c>
      <c r="F40">
        <f>IFERROR(VLOOKUP(TableEstmat[[#Headers],[Requirements Development]],Table1[],2,FALSE)*TableEstmat[[#This Row],[Final Agreed Estimates]]/100, "")</f>
        <v>0</v>
      </c>
      <c r="G40">
        <f>IFERROR(TableEstmat[[#This Row],[Final Agreed Estimates]]*VLOOKUP(TableEstmat[[#Headers],[Planning]],Table1[],2,FALSE)/100,"")</f>
        <v>0</v>
      </c>
      <c r="H40">
        <f>IFERROR(VLOOKUP(TableEstmat[[#Headers],[Design &amp; Implementation]],Table1[],2,FALSE)*TableEstmat[[#This Row],[Final Agreed Estimates]]/100,"")</f>
        <v>0</v>
      </c>
    </row>
    <row r="41" spans="2:8" x14ac:dyDescent="0.25">
      <c r="B41" t="str">
        <f>IFERROR(VLOOKUP(TableEstmat[[#This Row],[Need ID]],Table3[#All],2,FALSE),"")</f>
        <v/>
      </c>
      <c r="C41" t="str">
        <f>IFERROR(VLOOKUP(TableEstmat[[#This Row],[Need ID]],Table3[#All],12,FALSE),"")</f>
        <v/>
      </c>
      <c r="D41" t="str">
        <f>IFERROR(VLOOKUP(TableEstmat[[#This Row],[Complexity Estimate]],$C$9:$D$11,2,FALSE),"0")</f>
        <v>0</v>
      </c>
      <c r="E41" t="str">
        <f>TableEstmat[[#This Row],[Estimated Design and Implementation effort]]</f>
        <v>0</v>
      </c>
      <c r="F41">
        <f>IFERROR(VLOOKUP(TableEstmat[[#Headers],[Requirements Development]],Table1[],2,FALSE)*TableEstmat[[#This Row],[Final Agreed Estimates]]/100, "")</f>
        <v>0</v>
      </c>
      <c r="G41">
        <f>IFERROR(TableEstmat[[#This Row],[Final Agreed Estimates]]*VLOOKUP(TableEstmat[[#Headers],[Planning]],Table1[],2,FALSE)/100,"")</f>
        <v>0</v>
      </c>
      <c r="H41">
        <f>IFERROR(VLOOKUP(TableEstmat[[#Headers],[Design &amp; Implementation]],Table1[],2,FALSE)*TableEstmat[[#This Row],[Final Agreed Estimates]]/100,"")</f>
        <v>0</v>
      </c>
    </row>
    <row r="42" spans="2:8" x14ac:dyDescent="0.25">
      <c r="B42" t="str">
        <f>IFERROR(VLOOKUP(TableEstmat[[#This Row],[Need ID]],Table3[#All],2,FALSE),"")</f>
        <v/>
      </c>
      <c r="C42" t="str">
        <f>IFERROR(VLOOKUP(TableEstmat[[#This Row],[Need ID]],Table3[#All],12,FALSE),"")</f>
        <v/>
      </c>
      <c r="D42" t="str">
        <f>IFERROR(VLOOKUP(TableEstmat[[#This Row],[Complexity Estimate]],$C$9:$D$11,2,FALSE),"0")</f>
        <v>0</v>
      </c>
      <c r="E42" t="str">
        <f>TableEstmat[[#This Row],[Estimated Design and Implementation effort]]</f>
        <v>0</v>
      </c>
      <c r="F42">
        <f>IFERROR(VLOOKUP(TableEstmat[[#Headers],[Requirements Development]],Table1[],2,FALSE)*TableEstmat[[#This Row],[Final Agreed Estimates]]/100, "")</f>
        <v>0</v>
      </c>
      <c r="G42">
        <f>IFERROR(TableEstmat[[#This Row],[Final Agreed Estimates]]*VLOOKUP(TableEstmat[[#Headers],[Planning]],Table1[],2,FALSE)/100,"")</f>
        <v>0</v>
      </c>
      <c r="H42">
        <f>IFERROR(VLOOKUP(TableEstmat[[#Headers],[Design &amp; Implementation]],Table1[],2,FALSE)*TableEstmat[[#This Row],[Final Agreed Estimates]]/100,"")</f>
        <v>0</v>
      </c>
    </row>
    <row r="43" spans="2:8" x14ac:dyDescent="0.25">
      <c r="B43" t="str">
        <f>IFERROR(VLOOKUP(TableEstmat[[#This Row],[Need ID]],Table3[#All],2,FALSE),"")</f>
        <v/>
      </c>
      <c r="C43" t="str">
        <f>IFERROR(VLOOKUP(TableEstmat[[#This Row],[Need ID]],Table3[#All],12,FALSE),"")</f>
        <v/>
      </c>
      <c r="D43" t="str">
        <f>IFERROR(VLOOKUP(TableEstmat[[#This Row],[Complexity Estimate]],$C$9:$D$11,2,FALSE),"0")</f>
        <v>0</v>
      </c>
      <c r="E43" t="str">
        <f>TableEstmat[[#This Row],[Estimated Design and Implementation effort]]</f>
        <v>0</v>
      </c>
      <c r="F43">
        <f>IFERROR(VLOOKUP(TableEstmat[[#Headers],[Requirements Development]],Table1[],2,FALSE)*TableEstmat[[#This Row],[Final Agreed Estimates]]/100, "")</f>
        <v>0</v>
      </c>
      <c r="G43">
        <f>IFERROR(TableEstmat[[#This Row],[Final Agreed Estimates]]*VLOOKUP(TableEstmat[[#Headers],[Planning]],Table1[],2,FALSE)/100,"")</f>
        <v>0</v>
      </c>
      <c r="H43">
        <f>IFERROR(VLOOKUP(TableEstmat[[#Headers],[Design &amp; Implementation]],Table1[],2,FALSE)*TableEstmat[[#This Row],[Final Agreed Estimates]]/100,"")</f>
        <v>0</v>
      </c>
    </row>
    <row r="44" spans="2:8" x14ac:dyDescent="0.25">
      <c r="B44" t="str">
        <f>IFERROR(VLOOKUP(TableEstmat[[#This Row],[Need ID]],Table3[#All],2,FALSE),"")</f>
        <v/>
      </c>
      <c r="C44" t="str">
        <f>IFERROR(VLOOKUP(TableEstmat[[#This Row],[Need ID]],Table3[#All],12,FALSE),"")</f>
        <v/>
      </c>
      <c r="D44" t="str">
        <f>IFERROR(VLOOKUP(TableEstmat[[#This Row],[Complexity Estimate]],$C$9:$D$11,2,FALSE),"0")</f>
        <v>0</v>
      </c>
      <c r="E44" t="str">
        <f>TableEstmat[[#This Row],[Estimated Design and Implementation effort]]</f>
        <v>0</v>
      </c>
      <c r="F44">
        <f>IFERROR(VLOOKUP(TableEstmat[[#Headers],[Requirements Development]],Table1[],2,FALSE)*TableEstmat[[#This Row],[Final Agreed Estimates]]/100, "")</f>
        <v>0</v>
      </c>
      <c r="G44">
        <f>IFERROR(TableEstmat[[#This Row],[Final Agreed Estimates]]*VLOOKUP(TableEstmat[[#Headers],[Planning]],Table1[],2,FALSE)/100,"")</f>
        <v>0</v>
      </c>
      <c r="H44">
        <f>IFERROR(VLOOKUP(TableEstmat[[#Headers],[Design &amp; Implementation]],Table1[],2,FALSE)*TableEstmat[[#This Row],[Final Agreed Estimates]]/100,"")</f>
        <v>0</v>
      </c>
    </row>
    <row r="45" spans="2:8" x14ac:dyDescent="0.25">
      <c r="B45" t="str">
        <f>IFERROR(VLOOKUP(TableEstmat[[#This Row],[Need ID]],Table3[#All],2,FALSE),"")</f>
        <v/>
      </c>
      <c r="C45" t="str">
        <f>IFERROR(VLOOKUP(TableEstmat[[#This Row],[Need ID]],Table3[#All],12,FALSE),"")</f>
        <v/>
      </c>
      <c r="D45" t="str">
        <f>IFERROR(VLOOKUP(TableEstmat[[#This Row],[Complexity Estimate]],$C$9:$D$11,2,FALSE),"0")</f>
        <v>0</v>
      </c>
      <c r="E45" t="str">
        <f>TableEstmat[[#This Row],[Estimated Design and Implementation effort]]</f>
        <v>0</v>
      </c>
      <c r="F45">
        <f>IFERROR(VLOOKUP(TableEstmat[[#Headers],[Requirements Development]],Table1[],2,FALSE)*TableEstmat[[#This Row],[Final Agreed Estimates]]/100, "")</f>
        <v>0</v>
      </c>
      <c r="G45">
        <f>IFERROR(TableEstmat[[#This Row],[Final Agreed Estimates]]*VLOOKUP(TableEstmat[[#Headers],[Planning]],Table1[],2,FALSE)/100,"")</f>
        <v>0</v>
      </c>
      <c r="H45">
        <f>IFERROR(VLOOKUP(TableEstmat[[#Headers],[Design &amp; Implementation]],Table1[],2,FALSE)*TableEstmat[[#This Row],[Final Agreed Estimates]]/100,"")</f>
        <v>0</v>
      </c>
    </row>
    <row r="46" spans="2:8" x14ac:dyDescent="0.25">
      <c r="B46" t="str">
        <f>IFERROR(VLOOKUP(TableEstmat[[#This Row],[Need ID]],Table3[#All],2,FALSE),"")</f>
        <v/>
      </c>
      <c r="C46" t="str">
        <f>IFERROR(VLOOKUP(TableEstmat[[#This Row],[Need ID]],Table3[#All],12,FALSE),"")</f>
        <v/>
      </c>
      <c r="D46" t="str">
        <f>IFERROR(VLOOKUP(TableEstmat[[#This Row],[Complexity Estimate]],$C$9:$D$11,2,FALSE),"0")</f>
        <v>0</v>
      </c>
      <c r="E46" t="str">
        <f>TableEstmat[[#This Row],[Estimated Design and Implementation effort]]</f>
        <v>0</v>
      </c>
      <c r="F46">
        <f>IFERROR(VLOOKUP(TableEstmat[[#Headers],[Requirements Development]],Table1[],2,FALSE)*TableEstmat[[#This Row],[Final Agreed Estimates]]/100, "")</f>
        <v>0</v>
      </c>
      <c r="G46">
        <f>IFERROR(TableEstmat[[#This Row],[Final Agreed Estimates]]*VLOOKUP(TableEstmat[[#Headers],[Planning]],Table1[],2,FALSE)/100,"")</f>
        <v>0</v>
      </c>
      <c r="H46">
        <f>IFERROR(VLOOKUP(TableEstmat[[#Headers],[Design &amp; Implementation]],Table1[],2,FALSE)*TableEstmat[[#This Row],[Final Agreed Estimates]]/100,"")</f>
        <v>0</v>
      </c>
    </row>
    <row r="47" spans="2:8" x14ac:dyDescent="0.25">
      <c r="B47" t="str">
        <f>IFERROR(VLOOKUP(TableEstmat[[#This Row],[Need ID]],Table3[#All],2,FALSE),"")</f>
        <v/>
      </c>
      <c r="C47" t="str">
        <f>IFERROR(VLOOKUP(TableEstmat[[#This Row],[Need ID]],Table3[#All],12,FALSE),"")</f>
        <v/>
      </c>
      <c r="D47" t="str">
        <f>IFERROR(VLOOKUP(TableEstmat[[#This Row],[Complexity Estimate]],$C$9:$D$11,2,FALSE),"0")</f>
        <v>0</v>
      </c>
      <c r="E47" t="str">
        <f>TableEstmat[[#This Row],[Estimated Design and Implementation effort]]</f>
        <v>0</v>
      </c>
      <c r="F47">
        <f>IFERROR(VLOOKUP(TableEstmat[[#Headers],[Requirements Development]],Table1[],2,FALSE)*TableEstmat[[#This Row],[Final Agreed Estimates]]/100, "")</f>
        <v>0</v>
      </c>
      <c r="G47">
        <f>IFERROR(TableEstmat[[#This Row],[Final Agreed Estimates]]*VLOOKUP(TableEstmat[[#Headers],[Planning]],Table1[],2,FALSE)/100,"")</f>
        <v>0</v>
      </c>
      <c r="H47">
        <f>IFERROR(VLOOKUP(TableEstmat[[#Headers],[Design &amp; Implementation]],Table1[],2,FALSE)*TableEstmat[[#This Row],[Final Agreed Estimates]]/100,"")</f>
        <v>0</v>
      </c>
    </row>
    <row r="48" spans="2:8" x14ac:dyDescent="0.25">
      <c r="B48" t="str">
        <f>IFERROR(VLOOKUP(TableEstmat[[#This Row],[Need ID]],Table3[#All],2,FALSE),"")</f>
        <v/>
      </c>
      <c r="C48" t="str">
        <f>IFERROR(VLOOKUP(TableEstmat[[#This Row],[Need ID]],Table3[#All],12,FALSE),"")</f>
        <v/>
      </c>
      <c r="D48" t="str">
        <f>IFERROR(VLOOKUP(TableEstmat[[#This Row],[Complexity Estimate]],$C$9:$D$11,2,FALSE),"0")</f>
        <v>0</v>
      </c>
      <c r="E48" t="str">
        <f>TableEstmat[[#This Row],[Estimated Design and Implementation effort]]</f>
        <v>0</v>
      </c>
      <c r="F48">
        <f>IFERROR(VLOOKUP(TableEstmat[[#Headers],[Requirements Development]],Table1[],2,FALSE)*TableEstmat[[#This Row],[Final Agreed Estimates]]/100, "")</f>
        <v>0</v>
      </c>
      <c r="G48">
        <f>IFERROR(TableEstmat[[#This Row],[Final Agreed Estimates]]*VLOOKUP(TableEstmat[[#Headers],[Planning]],Table1[],2,FALSE)/100,"")</f>
        <v>0</v>
      </c>
      <c r="H48">
        <f>IFERROR(VLOOKUP(TableEstmat[[#Headers],[Design &amp; Implementation]],Table1[],2,FALSE)*TableEstmat[[#This Row],[Final Agreed Estimates]]/100,"")</f>
        <v>0</v>
      </c>
    </row>
    <row r="49" spans="1:8" x14ac:dyDescent="0.25">
      <c r="B49" t="str">
        <f>IFERROR(VLOOKUP(TableEstmat[[#This Row],[Need ID]],Table3[#All],2,FALSE),"")</f>
        <v/>
      </c>
      <c r="C49" t="str">
        <f>IFERROR(VLOOKUP(TableEstmat[[#This Row],[Need ID]],Table3[#All],12,FALSE),"")</f>
        <v/>
      </c>
      <c r="D49" t="str">
        <f>IFERROR(VLOOKUP(TableEstmat[[#This Row],[Complexity Estimate]],$C$9:$D$11,2,FALSE),"0")</f>
        <v>0</v>
      </c>
      <c r="E49" t="str">
        <f>TableEstmat[[#This Row],[Estimated Design and Implementation effort]]</f>
        <v>0</v>
      </c>
      <c r="F49">
        <f>IFERROR(VLOOKUP(TableEstmat[[#Headers],[Requirements Development]],Table1[],2,FALSE)*TableEstmat[[#This Row],[Final Agreed Estimates]]/100, "")</f>
        <v>0</v>
      </c>
      <c r="G49">
        <f>IFERROR(TableEstmat[[#This Row],[Final Agreed Estimates]]*VLOOKUP(TableEstmat[[#Headers],[Planning]],Table1[],2,FALSE)/100,"")</f>
        <v>0</v>
      </c>
      <c r="H49">
        <f>IFERROR(VLOOKUP(TableEstmat[[#Headers],[Design &amp; Implementation]],Table1[],2,FALSE)*TableEstmat[[#This Row],[Final Agreed Estimates]]/100,"")</f>
        <v>0</v>
      </c>
    </row>
    <row r="50" spans="1:8" x14ac:dyDescent="0.25">
      <c r="A50" t="s">
        <v>10</v>
      </c>
      <c r="E50">
        <f>SUBTOTAL(109,TableEstmat[Final Agreed Estimates])</f>
        <v>54</v>
      </c>
      <c r="F50">
        <f>SUBTOTAL(109,TableEstmat[Requirements Development])</f>
        <v>8.1</v>
      </c>
      <c r="G50">
        <f>SUBTOTAL(109,TableEstmat[Planning])</f>
        <v>6.48</v>
      </c>
      <c r="H50">
        <f>SUBTOTAL(109,TableEstmat[Design &amp; Implementation])</f>
        <v>54</v>
      </c>
    </row>
  </sheetData>
  <dataValidations count="2">
    <dataValidation allowBlank="1" showDropDown="1" showInputMessage="1" showErrorMessage="1" errorTitle="Invalid Estimates" error="Ensure that the values are either 'L' or 'M' or 'H'." sqref="D15:D49"/>
    <dataValidation type="list" allowBlank="1" showInputMessage="1" showErrorMessage="1" errorTitle="Invalid Estimates" error="Ensure that the values are either 'L' or 'M' or 'H'." sqref="C15:C49">
      <formula1>"L,M,H, No Complexity"</formula1>
    </dataValidation>
  </dataValidations>
  <pageMargins left="0.7" right="0.7" top="0.75" bottom="0.75" header="0.3" footer="0.3"/>
  <pageSetup orientation="portrait" horizontalDpi="300" verticalDpi="300" r:id="rId1"/>
  <headerFooter>
    <oddHeader>&amp;LRisk Matrix
TMPL_RSKMTX_V01-01 
&amp;RDocument Number:__.__</oddHeader>
    <oddFooter>&amp;CGenus Power Infrastructures Limited</oddFooter>
  </headerFooter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C12CCDA-874A-4C52-9AFC-73F7D331D9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76F758-1A01-4B76-9FD3-C0201B48D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BE458E0-E5EC-4704-93C1-32F9A51503D6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Revision History</vt:lpstr>
      <vt:lpstr>LFC Dist</vt:lpstr>
      <vt:lpstr>Complexity Estimation</vt:lpstr>
      <vt:lpstr>DI Effort for Sample</vt:lpstr>
      <vt:lpstr>Final Estimation-MCH</vt:lpstr>
      <vt:lpstr>'Revision History'!_GoBack</vt:lpstr>
      <vt:lpstr>'Revision History'!_Toc291841766</vt:lpstr>
      <vt:lpstr>'Revision History'!_Toc291841767</vt:lpstr>
      <vt:lpstr>'Revision History'!_Toc291841768</vt:lpstr>
      <vt:lpstr>'Revision History'!_Toc291841769</vt:lpstr>
      <vt:lpstr>'Revision History'!_Toc291841770</vt:lpstr>
      <vt:lpstr>'Revision History'!_Toc291841771</vt:lpstr>
      <vt:lpstr>'Revision History'!_Toc291841772</vt:lpstr>
      <vt:lpstr>'Revision History'!_Toc291841773</vt:lpstr>
      <vt:lpstr>'Revision History'!_Toc291841774</vt:lpstr>
    </vt:vector>
  </TitlesOfParts>
  <Company>Genus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Estimates Template</dc:title>
  <dc:creator>Vaibhav Garg</dc:creator>
  <cp:lastModifiedBy>Rajkumar Jain</cp:lastModifiedBy>
  <cp:lastPrinted>2009-07-15T07:20:09Z</cp:lastPrinted>
  <dcterms:created xsi:type="dcterms:W3CDTF">2009-04-10T09:53:11Z</dcterms:created>
  <dcterms:modified xsi:type="dcterms:W3CDTF">2015-11-19T07:30:00Z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