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Dev\xmind\健康\"/>
    </mc:Choice>
  </mc:AlternateContent>
  <xr:revisionPtr revIDLastSave="0" documentId="13_ncr:1_{EB876D7D-E909-47BC-B341-8B95E332E6A4}" xr6:coauthVersionLast="45" xr6:coauthVersionMax="45" xr10:uidLastSave="{00000000-0000-0000-0000-000000000000}"/>
  <bookViews>
    <workbookView xWindow="-120" yWindow="-120" windowWidth="29040" windowHeight="15840" tabRatio="686" activeTab="12" xr2:uid="{00000000-000D-0000-FFFF-FFFF00000000}"/>
  </bookViews>
  <sheets>
    <sheet name="Base" sheetId="1" r:id="rId1"/>
    <sheet name="05" sheetId="24" r:id="rId2"/>
    <sheet name="06" sheetId="25" r:id="rId3"/>
    <sheet name="07" sheetId="26" r:id="rId4"/>
    <sheet name="08" sheetId="28" r:id="rId5"/>
    <sheet name="09" sheetId="27" r:id="rId6"/>
    <sheet name="10" sheetId="29" r:id="rId7"/>
    <sheet name="11" sheetId="30" r:id="rId8"/>
    <sheet name="12" sheetId="31" r:id="rId9"/>
    <sheet name="统计-Current" sheetId="5" r:id="rId10"/>
    <sheet name="预测202011" sheetId="34" r:id="rId11"/>
    <sheet name="预测202005" sheetId="35" r:id="rId12"/>
    <sheet name="统计" sheetId="37" r:id="rId13"/>
    <sheet name="年统计" sheetId="36" r:id="rId14"/>
  </sheets>
  <calcPr calcId="181029" concurrentCalc="0"/>
</workbook>
</file>

<file path=xl/calcChain.xml><?xml version="1.0" encoding="utf-8"?>
<calcChain xmlns="http://schemas.openxmlformats.org/spreadsheetml/2006/main">
  <c r="R50" i="37" l="1"/>
  <c r="P50" i="37"/>
  <c r="O50" i="37"/>
  <c r="G50" i="37"/>
  <c r="F50" i="37"/>
  <c r="E50" i="37"/>
  <c r="D50" i="37"/>
  <c r="P9" i="5"/>
  <c r="N9" i="5"/>
  <c r="G9" i="5"/>
  <c r="F9" i="5"/>
  <c r="D9" i="5"/>
  <c r="E9" i="5"/>
  <c r="AD5" i="31"/>
  <c r="R75" i="37"/>
  <c r="R76" i="37"/>
  <c r="H75" i="37"/>
  <c r="H76" i="37"/>
  <c r="E75" i="37"/>
  <c r="E76" i="37"/>
  <c r="C75" i="37"/>
  <c r="C76" i="37"/>
  <c r="B75" i="37"/>
  <c r="B76" i="37"/>
  <c r="P75" i="37"/>
  <c r="Q75" i="37"/>
  <c r="O75" i="37"/>
  <c r="R74" i="37"/>
  <c r="P74" i="37"/>
  <c r="Q74" i="37"/>
  <c r="O74" i="37"/>
  <c r="K76" i="37"/>
  <c r="L76" i="37"/>
  <c r="J76" i="37"/>
  <c r="D75" i="37"/>
  <c r="C74" i="37"/>
  <c r="E74" i="37"/>
  <c r="H74" i="37"/>
  <c r="B74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D67" i="37"/>
  <c r="L69" i="37"/>
  <c r="P67" i="37"/>
  <c r="P66" i="37"/>
  <c r="R67" i="37"/>
  <c r="R66" i="37"/>
  <c r="R5" i="37"/>
  <c r="R6" i="37"/>
  <c r="R69" i="37"/>
  <c r="R68" i="37"/>
  <c r="Q66" i="37"/>
  <c r="Q68" i="37"/>
  <c r="O66" i="37"/>
  <c r="H67" i="37"/>
  <c r="H66" i="37"/>
  <c r="E67" i="37"/>
  <c r="E66" i="37"/>
  <c r="C67" i="37"/>
  <c r="C66" i="37"/>
  <c r="B67" i="37"/>
  <c r="B66" i="37"/>
  <c r="M9" i="5"/>
  <c r="J17" i="31"/>
  <c r="K17" i="31"/>
  <c r="R32" i="37"/>
  <c r="R33" i="37"/>
  <c r="R34" i="37"/>
  <c r="R35" i="37"/>
  <c r="R36" i="37"/>
  <c r="R37" i="37"/>
  <c r="R38" i="37"/>
  <c r="R39" i="37"/>
  <c r="R40" i="37"/>
  <c r="R41" i="37"/>
  <c r="R42" i="37"/>
  <c r="R43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27" i="37"/>
  <c r="E27" i="37"/>
  <c r="O32" i="37"/>
  <c r="P32" i="37"/>
  <c r="O33" i="37"/>
  <c r="P33" i="37"/>
  <c r="O34" i="37"/>
  <c r="P34" i="37"/>
  <c r="O35" i="37"/>
  <c r="P35" i="37"/>
  <c r="O36" i="37"/>
  <c r="P36" i="37"/>
  <c r="O37" i="37"/>
  <c r="P37" i="37"/>
  <c r="O38" i="37"/>
  <c r="P38" i="37"/>
  <c r="O39" i="37"/>
  <c r="P39" i="37"/>
  <c r="O40" i="37"/>
  <c r="P40" i="37"/>
  <c r="O41" i="37"/>
  <c r="P41" i="37"/>
  <c r="O42" i="37"/>
  <c r="P42" i="37"/>
  <c r="O43" i="37"/>
  <c r="P43" i="37"/>
  <c r="E9" i="36"/>
  <c r="O27" i="37"/>
  <c r="P27" i="37"/>
  <c r="R27" i="37"/>
  <c r="O28" i="37"/>
  <c r="P28" i="37"/>
  <c r="R28" i="37"/>
  <c r="O29" i="37"/>
  <c r="P29" i="37"/>
  <c r="R29" i="37"/>
  <c r="O30" i="37"/>
  <c r="P30" i="37"/>
  <c r="R30" i="37"/>
  <c r="O31" i="37"/>
  <c r="P31" i="37"/>
  <c r="R31" i="37"/>
  <c r="R7" i="37"/>
  <c r="R8" i="37"/>
  <c r="R9" i="37"/>
  <c r="R10" i="37"/>
  <c r="R11" i="37"/>
  <c r="R12" i="37"/>
  <c r="R13" i="37"/>
  <c r="R14" i="37"/>
  <c r="O15" i="37"/>
  <c r="P15" i="37"/>
  <c r="R15" i="37"/>
  <c r="O16" i="37"/>
  <c r="P16" i="37"/>
  <c r="R16" i="37"/>
  <c r="O17" i="37"/>
  <c r="P17" i="37"/>
  <c r="R17" i="37"/>
  <c r="O18" i="37"/>
  <c r="P18" i="37"/>
  <c r="R18" i="37"/>
  <c r="O19" i="37"/>
  <c r="P19" i="37"/>
  <c r="R19" i="37"/>
  <c r="O20" i="37"/>
  <c r="P20" i="37"/>
  <c r="R20" i="37"/>
  <c r="O21" i="37"/>
  <c r="P21" i="37"/>
  <c r="R21" i="37"/>
  <c r="O22" i="37"/>
  <c r="P22" i="37"/>
  <c r="R22" i="37"/>
  <c r="O23" i="37"/>
  <c r="P23" i="37"/>
  <c r="R23" i="37"/>
  <c r="O24" i="37"/>
  <c r="P24" i="37"/>
  <c r="R24" i="37"/>
  <c r="O25" i="37"/>
  <c r="P25" i="37"/>
  <c r="R25" i="37"/>
  <c r="O26" i="37"/>
  <c r="P26" i="37"/>
  <c r="R26" i="37"/>
  <c r="P6" i="37"/>
  <c r="P7" i="37"/>
  <c r="P8" i="37"/>
  <c r="P9" i="37"/>
  <c r="P10" i="37"/>
  <c r="P11" i="37"/>
  <c r="P12" i="37"/>
  <c r="P13" i="37"/>
  <c r="P14" i="37"/>
  <c r="P5" i="37"/>
  <c r="O6" i="37"/>
  <c r="O7" i="37"/>
  <c r="O8" i="37"/>
  <c r="O9" i="37"/>
  <c r="O10" i="37"/>
  <c r="O11" i="37"/>
  <c r="O12" i="37"/>
  <c r="O13" i="37"/>
  <c r="O14" i="37"/>
  <c r="O5" i="37"/>
  <c r="G2" i="37"/>
  <c r="G3" i="37"/>
  <c r="F2" i="37"/>
  <c r="F3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E8" i="37"/>
  <c r="D8" i="37"/>
  <c r="E7" i="37"/>
  <c r="D7" i="37"/>
  <c r="E6" i="37"/>
  <c r="D6" i="37"/>
  <c r="E5" i="37"/>
  <c r="D5" i="37"/>
  <c r="E4" i="37"/>
  <c r="D4" i="37"/>
  <c r="E3" i="37"/>
  <c r="D3" i="37"/>
  <c r="E2" i="37"/>
  <c r="D2" i="37"/>
  <c r="O44" i="37"/>
  <c r="P44" i="37"/>
  <c r="R44" i="37"/>
  <c r="O45" i="37"/>
  <c r="P45" i="37"/>
  <c r="R45" i="37"/>
  <c r="O46" i="37"/>
  <c r="P46" i="37"/>
  <c r="R46" i="37"/>
  <c r="O47" i="37"/>
  <c r="P47" i="37"/>
  <c r="R47" i="37"/>
  <c r="O48" i="37"/>
  <c r="P48" i="37"/>
  <c r="R48" i="37"/>
  <c r="O49" i="37"/>
  <c r="P49" i="37"/>
  <c r="R49" i="37"/>
  <c r="P69" i="37"/>
  <c r="H69" i="37"/>
  <c r="C69" i="37"/>
  <c r="P68" i="37"/>
  <c r="H68" i="37"/>
  <c r="C68" i="37"/>
  <c r="E43" i="37"/>
  <c r="E44" i="37"/>
  <c r="E45" i="37"/>
  <c r="E46" i="37"/>
  <c r="E47" i="37"/>
  <c r="E48" i="37"/>
  <c r="E49" i="37"/>
  <c r="D43" i="37"/>
  <c r="D44" i="37"/>
  <c r="D45" i="37"/>
  <c r="D46" i="37"/>
  <c r="D47" i="37"/>
  <c r="D48" i="37"/>
  <c r="D49" i="37"/>
  <c r="E3" i="36"/>
  <c r="E2" i="36"/>
  <c r="E7" i="36"/>
  <c r="E5" i="36"/>
  <c r="E6" i="36"/>
  <c r="E8" i="36"/>
  <c r="E4" i="36"/>
  <c r="Q5" i="31"/>
  <c r="R5" i="31"/>
  <c r="S5" i="31"/>
  <c r="U5" i="31"/>
  <c r="T5" i="31"/>
  <c r="V5" i="31"/>
  <c r="P5" i="31"/>
  <c r="F15" i="31"/>
  <c r="W5" i="31"/>
  <c r="X5" i="31"/>
  <c r="Y5" i="31"/>
  <c r="Z5" i="31"/>
  <c r="AA5" i="31"/>
  <c r="AB5" i="31"/>
  <c r="AC5" i="31"/>
  <c r="F16" i="31"/>
  <c r="AE5" i="31"/>
  <c r="AF5" i="31"/>
  <c r="AI5" i="31"/>
  <c r="AH5" i="31"/>
  <c r="AG5" i="31"/>
  <c r="AJ5" i="31"/>
  <c r="F17" i="31"/>
  <c r="C5" i="31"/>
  <c r="D5" i="31"/>
  <c r="E5" i="31"/>
  <c r="F5" i="31"/>
  <c r="G5" i="31"/>
  <c r="H5" i="31"/>
  <c r="F13" i="31"/>
  <c r="I5" i="31"/>
  <c r="J5" i="31"/>
  <c r="K5" i="31"/>
  <c r="L5" i="31"/>
  <c r="M5" i="31"/>
  <c r="N5" i="31"/>
  <c r="O5" i="31"/>
  <c r="F14" i="31"/>
  <c r="F20" i="31"/>
  <c r="F21" i="31"/>
  <c r="M3" i="5"/>
  <c r="N3" i="5"/>
  <c r="P3" i="5"/>
  <c r="M4" i="5"/>
  <c r="N4" i="5"/>
  <c r="P4" i="5"/>
  <c r="M5" i="5"/>
  <c r="N5" i="5"/>
  <c r="P5" i="5"/>
  <c r="M6" i="5"/>
  <c r="N6" i="5"/>
  <c r="P6" i="5"/>
  <c r="M7" i="5"/>
  <c r="N7" i="5"/>
  <c r="P7" i="5"/>
  <c r="M8" i="5"/>
  <c r="N8" i="5"/>
  <c r="P8" i="5"/>
  <c r="P26" i="5"/>
  <c r="P28" i="5"/>
  <c r="P25" i="5"/>
  <c r="P27" i="5"/>
  <c r="L20" i="24"/>
  <c r="J13" i="31"/>
  <c r="J14" i="31"/>
  <c r="J15" i="31"/>
  <c r="J16" i="31"/>
  <c r="J20" i="31"/>
  <c r="I13" i="31"/>
  <c r="I14" i="31"/>
  <c r="I15" i="31"/>
  <c r="I16" i="31"/>
  <c r="I17" i="31"/>
  <c r="I20" i="31"/>
  <c r="L20" i="31"/>
  <c r="L20" i="30"/>
  <c r="L20" i="29"/>
  <c r="L20" i="27"/>
  <c r="L20" i="28"/>
  <c r="L20" i="26"/>
  <c r="L20" i="25"/>
  <c r="D13" i="31"/>
  <c r="E13" i="31"/>
  <c r="G13" i="31"/>
  <c r="H13" i="31"/>
  <c r="D14" i="31"/>
  <c r="E14" i="31"/>
  <c r="G14" i="31"/>
  <c r="H14" i="31"/>
  <c r="D15" i="31"/>
  <c r="E15" i="31"/>
  <c r="G15" i="31"/>
  <c r="H15" i="31"/>
  <c r="D16" i="31"/>
  <c r="E16" i="31"/>
  <c r="G16" i="31"/>
  <c r="H16" i="31"/>
  <c r="D17" i="31"/>
  <c r="E17" i="31"/>
  <c r="G17" i="31"/>
  <c r="H17" i="31"/>
  <c r="H20" i="31"/>
  <c r="G20" i="31"/>
  <c r="N26" i="5"/>
  <c r="N28" i="5"/>
  <c r="N25" i="5"/>
  <c r="N27" i="5"/>
  <c r="H26" i="5"/>
  <c r="H28" i="5"/>
  <c r="C26" i="5"/>
  <c r="C28" i="5"/>
  <c r="C25" i="5"/>
  <c r="C27" i="5"/>
  <c r="F2" i="5"/>
  <c r="F3" i="5"/>
  <c r="F4" i="5"/>
  <c r="F5" i="5"/>
  <c r="F6" i="5"/>
  <c r="F7" i="5"/>
  <c r="F8" i="5"/>
  <c r="G2" i="5"/>
  <c r="G3" i="5"/>
  <c r="G4" i="5"/>
  <c r="G5" i="5"/>
  <c r="G6" i="5"/>
  <c r="G7" i="5"/>
  <c r="G8" i="5"/>
  <c r="D8" i="5"/>
  <c r="E8" i="5"/>
  <c r="F21" i="30"/>
  <c r="J14" i="30"/>
  <c r="K14" i="30"/>
  <c r="J15" i="30"/>
  <c r="K15" i="30"/>
  <c r="J16" i="30"/>
  <c r="K16" i="30"/>
  <c r="K20" i="30"/>
  <c r="D15" i="30"/>
  <c r="D14" i="30"/>
  <c r="E15" i="30"/>
  <c r="P5" i="30"/>
  <c r="Q5" i="30"/>
  <c r="R5" i="30"/>
  <c r="S5" i="30"/>
  <c r="T5" i="30"/>
  <c r="U5" i="30"/>
  <c r="V5" i="30"/>
  <c r="F15" i="30"/>
  <c r="G15" i="30"/>
  <c r="H15" i="30"/>
  <c r="D16" i="30"/>
  <c r="E16" i="30"/>
  <c r="W5" i="30"/>
  <c r="X5" i="30"/>
  <c r="Y5" i="30"/>
  <c r="Z5" i="30"/>
  <c r="AA5" i="30"/>
  <c r="AB5" i="30"/>
  <c r="AC5" i="30"/>
  <c r="F16" i="30"/>
  <c r="G16" i="30"/>
  <c r="H16" i="30"/>
  <c r="E14" i="30"/>
  <c r="I5" i="30"/>
  <c r="J5" i="30"/>
  <c r="K5" i="30"/>
  <c r="L5" i="30"/>
  <c r="M5" i="30"/>
  <c r="N5" i="30"/>
  <c r="O5" i="30"/>
  <c r="F14" i="30"/>
  <c r="G14" i="30"/>
  <c r="H14" i="30"/>
  <c r="H19" i="30"/>
  <c r="N13" i="31"/>
  <c r="N14" i="31"/>
  <c r="N15" i="31"/>
  <c r="N16" i="31"/>
  <c r="N17" i="31"/>
  <c r="N20" i="31"/>
  <c r="B5" i="31"/>
  <c r="M13" i="31"/>
  <c r="M14" i="31"/>
  <c r="M15" i="31"/>
  <c r="M16" i="31"/>
  <c r="M17" i="31"/>
  <c r="M20" i="31"/>
  <c r="N19" i="31"/>
  <c r="M19" i="31"/>
  <c r="N13" i="30"/>
  <c r="N14" i="30"/>
  <c r="N15" i="30"/>
  <c r="N16" i="30"/>
  <c r="N20" i="30"/>
  <c r="M13" i="30"/>
  <c r="M14" i="30"/>
  <c r="M15" i="30"/>
  <c r="M16" i="30"/>
  <c r="M20" i="30"/>
  <c r="N19" i="30"/>
  <c r="M19" i="30"/>
  <c r="N17" i="29"/>
  <c r="M17" i="29"/>
  <c r="N13" i="29"/>
  <c r="N14" i="29"/>
  <c r="N15" i="29"/>
  <c r="N16" i="29"/>
  <c r="N20" i="29"/>
  <c r="M13" i="29"/>
  <c r="M14" i="29"/>
  <c r="M15" i="29"/>
  <c r="M16" i="29"/>
  <c r="M20" i="29"/>
  <c r="N19" i="29"/>
  <c r="M19" i="29"/>
  <c r="N20" i="27"/>
  <c r="M20" i="27"/>
  <c r="N20" i="28"/>
  <c r="M20" i="28"/>
  <c r="N20" i="26"/>
  <c r="M20" i="26"/>
  <c r="N20" i="25"/>
  <c r="M20" i="25"/>
  <c r="M20" i="24"/>
  <c r="N20" i="24"/>
  <c r="N13" i="27"/>
  <c r="N14" i="27"/>
  <c r="N15" i="27"/>
  <c r="N16" i="27"/>
  <c r="M13" i="27"/>
  <c r="M14" i="27"/>
  <c r="M15" i="27"/>
  <c r="M16" i="27"/>
  <c r="N19" i="27"/>
  <c r="M19" i="27"/>
  <c r="G5" i="28"/>
  <c r="H5" i="28"/>
  <c r="N13" i="28"/>
  <c r="N5" i="28"/>
  <c r="O5" i="28"/>
  <c r="N14" i="28"/>
  <c r="U5" i="28"/>
  <c r="V5" i="28"/>
  <c r="N15" i="28"/>
  <c r="AB5" i="28"/>
  <c r="AC5" i="28"/>
  <c r="N16" i="28"/>
  <c r="B5" i="28"/>
  <c r="C5" i="28"/>
  <c r="D5" i="28"/>
  <c r="E5" i="28"/>
  <c r="F5" i="28"/>
  <c r="M13" i="28"/>
  <c r="I5" i="28"/>
  <c r="J5" i="28"/>
  <c r="K5" i="28"/>
  <c r="L5" i="28"/>
  <c r="M5" i="28"/>
  <c r="M14" i="28"/>
  <c r="P5" i="28"/>
  <c r="Q5" i="28"/>
  <c r="R5" i="28"/>
  <c r="S5" i="28"/>
  <c r="T5" i="28"/>
  <c r="M15" i="28"/>
  <c r="W5" i="28"/>
  <c r="X5" i="28"/>
  <c r="Y5" i="28"/>
  <c r="Z5" i="28"/>
  <c r="AA5" i="28"/>
  <c r="M16" i="28"/>
  <c r="N19" i="28"/>
  <c r="M19" i="28"/>
  <c r="N17" i="26"/>
  <c r="M17" i="26"/>
  <c r="N19" i="26"/>
  <c r="M19" i="26"/>
  <c r="N13" i="26"/>
  <c r="N14" i="26"/>
  <c r="N15" i="26"/>
  <c r="N16" i="26"/>
  <c r="M13" i="26"/>
  <c r="M14" i="26"/>
  <c r="M15" i="26"/>
  <c r="M16" i="26"/>
  <c r="N16" i="25"/>
  <c r="M16" i="25"/>
  <c r="N19" i="25"/>
  <c r="M19" i="25"/>
  <c r="N13" i="25"/>
  <c r="N14" i="25"/>
  <c r="N15" i="25"/>
  <c r="M13" i="25"/>
  <c r="M14" i="25"/>
  <c r="M15" i="25"/>
  <c r="N19" i="24"/>
  <c r="M19" i="24"/>
  <c r="M15" i="24"/>
  <c r="M14" i="24"/>
  <c r="M13" i="24"/>
  <c r="N15" i="24"/>
  <c r="N14" i="24"/>
  <c r="N13" i="24"/>
  <c r="I11" i="26"/>
  <c r="E13" i="26"/>
  <c r="H13" i="26"/>
  <c r="H19" i="26"/>
  <c r="I11" i="28"/>
  <c r="D13" i="28"/>
  <c r="E13" i="28"/>
  <c r="F13" i="28"/>
  <c r="G13" i="28"/>
  <c r="H13" i="28"/>
  <c r="F14" i="28"/>
  <c r="G14" i="28"/>
  <c r="D14" i="28"/>
  <c r="E14" i="28"/>
  <c r="H14" i="28"/>
  <c r="F15" i="28"/>
  <c r="G15" i="28"/>
  <c r="D15" i="28"/>
  <c r="E15" i="28"/>
  <c r="H15" i="28"/>
  <c r="F16" i="28"/>
  <c r="G16" i="28"/>
  <c r="D16" i="28"/>
  <c r="E16" i="28"/>
  <c r="H16" i="28"/>
  <c r="H19" i="28"/>
  <c r="I11" i="27"/>
  <c r="E13" i="27"/>
  <c r="H13" i="27"/>
  <c r="H19" i="27"/>
  <c r="I11" i="29"/>
  <c r="E13" i="29"/>
  <c r="H13" i="29"/>
  <c r="H19" i="29"/>
  <c r="I11" i="25"/>
  <c r="E13" i="25"/>
  <c r="H13" i="25"/>
  <c r="H19" i="25"/>
  <c r="O25" i="5"/>
  <c r="O27" i="5"/>
  <c r="H25" i="5"/>
  <c r="H27" i="5"/>
  <c r="M25" i="5"/>
  <c r="E7" i="5"/>
  <c r="D7" i="5"/>
  <c r="D6" i="5"/>
  <c r="E6" i="5"/>
  <c r="N6" i="35"/>
  <c r="N44" i="35"/>
  <c r="N46" i="35"/>
  <c r="M6" i="35"/>
  <c r="M44" i="35"/>
  <c r="M46" i="35"/>
  <c r="L6" i="35"/>
  <c r="L44" i="35"/>
  <c r="L46" i="35"/>
  <c r="K6" i="35"/>
  <c r="K44" i="35"/>
  <c r="K46" i="35"/>
  <c r="J6" i="35"/>
  <c r="J44" i="35"/>
  <c r="J46" i="35"/>
  <c r="I6" i="35"/>
  <c r="I44" i="35"/>
  <c r="I46" i="35"/>
  <c r="H6" i="35"/>
  <c r="H44" i="35"/>
  <c r="H46" i="35"/>
  <c r="G6" i="35"/>
  <c r="G44" i="35"/>
  <c r="G46" i="35"/>
  <c r="F6" i="35"/>
  <c r="F44" i="35"/>
  <c r="F46" i="35"/>
  <c r="E6" i="35"/>
  <c r="E44" i="35"/>
  <c r="E46" i="35"/>
  <c r="D6" i="35"/>
  <c r="D44" i="35"/>
  <c r="D46" i="35"/>
  <c r="C6" i="35"/>
  <c r="C44" i="35"/>
  <c r="C46" i="35"/>
  <c r="B6" i="35"/>
  <c r="B44" i="35"/>
  <c r="B46" i="35"/>
  <c r="N4" i="35"/>
  <c r="N7" i="35"/>
  <c r="N45" i="35"/>
  <c r="M4" i="35"/>
  <c r="M7" i="35"/>
  <c r="M45" i="35"/>
  <c r="L4" i="35"/>
  <c r="L7" i="35"/>
  <c r="L45" i="35"/>
  <c r="K4" i="35"/>
  <c r="K7" i="35"/>
  <c r="K45" i="35"/>
  <c r="J4" i="35"/>
  <c r="J7" i="35"/>
  <c r="J45" i="35"/>
  <c r="I4" i="35"/>
  <c r="I7" i="35"/>
  <c r="I45" i="35"/>
  <c r="H4" i="35"/>
  <c r="H7" i="35"/>
  <c r="H45" i="35"/>
  <c r="G4" i="35"/>
  <c r="G7" i="35"/>
  <c r="G45" i="35"/>
  <c r="F4" i="35"/>
  <c r="F7" i="35"/>
  <c r="F45" i="35"/>
  <c r="E4" i="35"/>
  <c r="E7" i="35"/>
  <c r="E45" i="35"/>
  <c r="D4" i="35"/>
  <c r="D7" i="35"/>
  <c r="D45" i="35"/>
  <c r="C4" i="35"/>
  <c r="C7" i="35"/>
  <c r="C45" i="35"/>
  <c r="B4" i="35"/>
  <c r="B7" i="35"/>
  <c r="B45" i="35"/>
  <c r="A8" i="35"/>
  <c r="A11" i="35"/>
  <c r="A14" i="35"/>
  <c r="A17" i="35"/>
  <c r="A20" i="35"/>
  <c r="A23" i="35"/>
  <c r="A26" i="35"/>
  <c r="A29" i="35"/>
  <c r="A32" i="35"/>
  <c r="A35" i="35"/>
  <c r="A38" i="35"/>
  <c r="A41" i="35"/>
  <c r="A44" i="35"/>
  <c r="N41" i="35"/>
  <c r="N43" i="35"/>
  <c r="M41" i="35"/>
  <c r="M43" i="35"/>
  <c r="L41" i="35"/>
  <c r="L43" i="35"/>
  <c r="K41" i="35"/>
  <c r="K43" i="35"/>
  <c r="J41" i="35"/>
  <c r="J43" i="35"/>
  <c r="I41" i="35"/>
  <c r="I43" i="35"/>
  <c r="H41" i="35"/>
  <c r="H43" i="35"/>
  <c r="G41" i="35"/>
  <c r="G43" i="35"/>
  <c r="F41" i="35"/>
  <c r="F43" i="35"/>
  <c r="E41" i="35"/>
  <c r="E43" i="35"/>
  <c r="D41" i="35"/>
  <c r="D43" i="35"/>
  <c r="C41" i="35"/>
  <c r="C43" i="35"/>
  <c r="B41" i="35"/>
  <c r="B43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N38" i="35"/>
  <c r="N40" i="35"/>
  <c r="M38" i="35"/>
  <c r="M40" i="35"/>
  <c r="L38" i="35"/>
  <c r="L40" i="35"/>
  <c r="K38" i="35"/>
  <c r="K40" i="35"/>
  <c r="J38" i="35"/>
  <c r="J40" i="35"/>
  <c r="I38" i="35"/>
  <c r="I40" i="35"/>
  <c r="H38" i="35"/>
  <c r="H40" i="35"/>
  <c r="G38" i="35"/>
  <c r="G40" i="35"/>
  <c r="F38" i="35"/>
  <c r="F40" i="35"/>
  <c r="E38" i="35"/>
  <c r="E40" i="35"/>
  <c r="D38" i="35"/>
  <c r="D40" i="35"/>
  <c r="C38" i="35"/>
  <c r="C40" i="35"/>
  <c r="B38" i="35"/>
  <c r="B40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N35" i="35"/>
  <c r="N37" i="35"/>
  <c r="M35" i="35"/>
  <c r="M37" i="35"/>
  <c r="L35" i="35"/>
  <c r="L37" i="35"/>
  <c r="K35" i="35"/>
  <c r="K37" i="35"/>
  <c r="J35" i="35"/>
  <c r="J37" i="35"/>
  <c r="I35" i="35"/>
  <c r="I37" i="35"/>
  <c r="H35" i="35"/>
  <c r="H37" i="35"/>
  <c r="G35" i="35"/>
  <c r="G37" i="35"/>
  <c r="F35" i="35"/>
  <c r="F37" i="35"/>
  <c r="E35" i="35"/>
  <c r="E37" i="35"/>
  <c r="D35" i="35"/>
  <c r="D37" i="35"/>
  <c r="C35" i="35"/>
  <c r="C37" i="35"/>
  <c r="B35" i="35"/>
  <c r="B37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N32" i="35"/>
  <c r="N34" i="35"/>
  <c r="M32" i="35"/>
  <c r="M34" i="35"/>
  <c r="L32" i="35"/>
  <c r="L34" i="35"/>
  <c r="K32" i="35"/>
  <c r="K34" i="35"/>
  <c r="J32" i="35"/>
  <c r="J34" i="35"/>
  <c r="I32" i="35"/>
  <c r="I34" i="35"/>
  <c r="H32" i="35"/>
  <c r="H34" i="35"/>
  <c r="G32" i="35"/>
  <c r="G34" i="35"/>
  <c r="F32" i="35"/>
  <c r="F34" i="35"/>
  <c r="E32" i="35"/>
  <c r="E34" i="35"/>
  <c r="D32" i="35"/>
  <c r="D34" i="35"/>
  <c r="C32" i="35"/>
  <c r="C34" i="35"/>
  <c r="B32" i="35"/>
  <c r="B34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N29" i="35"/>
  <c r="N31" i="35"/>
  <c r="M29" i="35"/>
  <c r="M31" i="35"/>
  <c r="L29" i="35"/>
  <c r="L31" i="35"/>
  <c r="K29" i="35"/>
  <c r="K31" i="35"/>
  <c r="J29" i="35"/>
  <c r="J31" i="35"/>
  <c r="I29" i="35"/>
  <c r="I31" i="35"/>
  <c r="H29" i="35"/>
  <c r="H31" i="35"/>
  <c r="G29" i="35"/>
  <c r="G31" i="35"/>
  <c r="F29" i="35"/>
  <c r="F31" i="35"/>
  <c r="E29" i="35"/>
  <c r="E31" i="35"/>
  <c r="D29" i="35"/>
  <c r="D31" i="35"/>
  <c r="C29" i="35"/>
  <c r="C31" i="35"/>
  <c r="B29" i="35"/>
  <c r="B31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N26" i="35"/>
  <c r="N28" i="35"/>
  <c r="M26" i="35"/>
  <c r="M28" i="35"/>
  <c r="L26" i="35"/>
  <c r="L28" i="35"/>
  <c r="K26" i="35"/>
  <c r="K28" i="35"/>
  <c r="J26" i="35"/>
  <c r="J28" i="35"/>
  <c r="I26" i="35"/>
  <c r="I28" i="35"/>
  <c r="H26" i="35"/>
  <c r="H28" i="35"/>
  <c r="G26" i="35"/>
  <c r="G28" i="35"/>
  <c r="F26" i="35"/>
  <c r="F28" i="35"/>
  <c r="E26" i="35"/>
  <c r="E28" i="35"/>
  <c r="D26" i="35"/>
  <c r="D28" i="35"/>
  <c r="C26" i="35"/>
  <c r="C28" i="35"/>
  <c r="B26" i="35"/>
  <c r="B28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N23" i="35"/>
  <c r="N25" i="35"/>
  <c r="M23" i="35"/>
  <c r="M25" i="35"/>
  <c r="L23" i="35"/>
  <c r="L25" i="35"/>
  <c r="K23" i="35"/>
  <c r="K25" i="35"/>
  <c r="J23" i="35"/>
  <c r="J25" i="35"/>
  <c r="I23" i="35"/>
  <c r="I25" i="35"/>
  <c r="H23" i="35"/>
  <c r="H25" i="35"/>
  <c r="G23" i="35"/>
  <c r="G25" i="35"/>
  <c r="F23" i="35"/>
  <c r="F25" i="35"/>
  <c r="E23" i="35"/>
  <c r="E25" i="35"/>
  <c r="D23" i="35"/>
  <c r="D25" i="35"/>
  <c r="C23" i="35"/>
  <c r="C25" i="35"/>
  <c r="B23" i="35"/>
  <c r="B25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N20" i="35"/>
  <c r="N22" i="35"/>
  <c r="M20" i="35"/>
  <c r="M22" i="35"/>
  <c r="L20" i="35"/>
  <c r="L22" i="35"/>
  <c r="K20" i="35"/>
  <c r="K22" i="35"/>
  <c r="J20" i="35"/>
  <c r="J22" i="35"/>
  <c r="I20" i="35"/>
  <c r="I22" i="35"/>
  <c r="H20" i="35"/>
  <c r="H22" i="35"/>
  <c r="G20" i="35"/>
  <c r="G22" i="35"/>
  <c r="F20" i="35"/>
  <c r="F22" i="35"/>
  <c r="E20" i="35"/>
  <c r="E22" i="35"/>
  <c r="D20" i="35"/>
  <c r="D22" i="35"/>
  <c r="C20" i="35"/>
  <c r="C22" i="35"/>
  <c r="B20" i="35"/>
  <c r="B22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N17" i="35"/>
  <c r="N19" i="35"/>
  <c r="M17" i="35"/>
  <c r="M19" i="35"/>
  <c r="L17" i="35"/>
  <c r="L19" i="35"/>
  <c r="K17" i="35"/>
  <c r="K19" i="35"/>
  <c r="J17" i="35"/>
  <c r="J19" i="35"/>
  <c r="I17" i="35"/>
  <c r="I19" i="35"/>
  <c r="H17" i="35"/>
  <c r="H19" i="35"/>
  <c r="G17" i="35"/>
  <c r="G19" i="35"/>
  <c r="F17" i="35"/>
  <c r="F19" i="35"/>
  <c r="E17" i="35"/>
  <c r="E19" i="35"/>
  <c r="D17" i="35"/>
  <c r="D19" i="35"/>
  <c r="C17" i="35"/>
  <c r="C19" i="35"/>
  <c r="B17" i="35"/>
  <c r="B19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N14" i="35"/>
  <c r="N16" i="35"/>
  <c r="M14" i="35"/>
  <c r="M16" i="35"/>
  <c r="L14" i="35"/>
  <c r="L16" i="35"/>
  <c r="K14" i="35"/>
  <c r="K16" i="35"/>
  <c r="J14" i="35"/>
  <c r="J16" i="35"/>
  <c r="I14" i="35"/>
  <c r="I16" i="35"/>
  <c r="H14" i="35"/>
  <c r="H16" i="35"/>
  <c r="G14" i="35"/>
  <c r="G16" i="35"/>
  <c r="F14" i="35"/>
  <c r="F16" i="35"/>
  <c r="E14" i="35"/>
  <c r="E16" i="35"/>
  <c r="D14" i="35"/>
  <c r="D16" i="35"/>
  <c r="C14" i="35"/>
  <c r="C16" i="35"/>
  <c r="B14" i="35"/>
  <c r="B16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N11" i="35"/>
  <c r="N13" i="35"/>
  <c r="M11" i="35"/>
  <c r="M13" i="35"/>
  <c r="L11" i="35"/>
  <c r="L13" i="35"/>
  <c r="K11" i="35"/>
  <c r="K13" i="35"/>
  <c r="J11" i="35"/>
  <c r="J13" i="35"/>
  <c r="I11" i="35"/>
  <c r="I13" i="35"/>
  <c r="H11" i="35"/>
  <c r="H13" i="35"/>
  <c r="G11" i="35"/>
  <c r="G13" i="35"/>
  <c r="F11" i="35"/>
  <c r="F13" i="35"/>
  <c r="E11" i="35"/>
  <c r="E13" i="35"/>
  <c r="D11" i="35"/>
  <c r="D13" i="35"/>
  <c r="C11" i="35"/>
  <c r="C13" i="35"/>
  <c r="B11" i="35"/>
  <c r="B13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N8" i="35"/>
  <c r="N10" i="35"/>
  <c r="M8" i="35"/>
  <c r="M10" i="35"/>
  <c r="L8" i="35"/>
  <c r="L10" i="35"/>
  <c r="K8" i="35"/>
  <c r="K10" i="35"/>
  <c r="J8" i="35"/>
  <c r="J10" i="35"/>
  <c r="I8" i="35"/>
  <c r="I10" i="35"/>
  <c r="H8" i="35"/>
  <c r="H10" i="35"/>
  <c r="G8" i="35"/>
  <c r="G10" i="35"/>
  <c r="F8" i="35"/>
  <c r="F10" i="35"/>
  <c r="E8" i="35"/>
  <c r="E10" i="35"/>
  <c r="D8" i="35"/>
  <c r="D10" i="35"/>
  <c r="C8" i="35"/>
  <c r="C10" i="35"/>
  <c r="B8" i="35"/>
  <c r="B10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5" i="29"/>
  <c r="T5" i="29"/>
  <c r="U5" i="29"/>
  <c r="V5" i="29"/>
  <c r="F15" i="29"/>
  <c r="W5" i="29"/>
  <c r="X5" i="29"/>
  <c r="Z5" i="29"/>
  <c r="Y5" i="29"/>
  <c r="AC5" i="29"/>
  <c r="AB5" i="29"/>
  <c r="AA5" i="29"/>
  <c r="F16" i="29"/>
  <c r="F20" i="29"/>
  <c r="F21" i="29"/>
  <c r="F21" i="24"/>
  <c r="F21" i="27"/>
  <c r="F20" i="28"/>
  <c r="F21" i="28"/>
  <c r="F21" i="26"/>
  <c r="F21" i="25"/>
  <c r="D23" i="27"/>
  <c r="G6" i="1"/>
  <c r="B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C9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C8" i="27"/>
  <c r="O8" i="24"/>
  <c r="P8" i="24"/>
  <c r="Q8" i="24"/>
  <c r="R8" i="24"/>
  <c r="S8" i="24"/>
  <c r="T8" i="24"/>
  <c r="U8" i="24"/>
  <c r="V8" i="24"/>
  <c r="F4" i="34"/>
  <c r="F6" i="34"/>
  <c r="F44" i="34"/>
  <c r="F46" i="34"/>
  <c r="F7" i="34"/>
  <c r="F45" i="34"/>
  <c r="F41" i="34"/>
  <c r="F43" i="34"/>
  <c r="F42" i="34"/>
  <c r="F38" i="34"/>
  <c r="F40" i="34"/>
  <c r="F39" i="34"/>
  <c r="F35" i="34"/>
  <c r="F37" i="34"/>
  <c r="F36" i="34"/>
  <c r="F32" i="34"/>
  <c r="F34" i="34"/>
  <c r="F33" i="34"/>
  <c r="F29" i="34"/>
  <c r="F31" i="34"/>
  <c r="F30" i="34"/>
  <c r="F26" i="34"/>
  <c r="F28" i="34"/>
  <c r="F27" i="34"/>
  <c r="F23" i="34"/>
  <c r="F25" i="34"/>
  <c r="F24" i="34"/>
  <c r="F20" i="34"/>
  <c r="F22" i="34"/>
  <c r="F21" i="34"/>
  <c r="F17" i="34"/>
  <c r="F19" i="34"/>
  <c r="F18" i="34"/>
  <c r="F14" i="34"/>
  <c r="F16" i="34"/>
  <c r="F15" i="34"/>
  <c r="F11" i="34"/>
  <c r="F13" i="34"/>
  <c r="F12" i="34"/>
  <c r="F8" i="34"/>
  <c r="F10" i="34"/>
  <c r="F9" i="34"/>
  <c r="F5" i="34"/>
  <c r="I13" i="28"/>
  <c r="I14" i="28"/>
  <c r="I15" i="28"/>
  <c r="I16" i="28"/>
  <c r="I20" i="28"/>
  <c r="I20" i="25"/>
  <c r="C5" i="27"/>
  <c r="E5" i="5"/>
  <c r="D5" i="5"/>
  <c r="F17" i="26"/>
  <c r="D17" i="26"/>
  <c r="D23" i="31"/>
  <c r="D22" i="31"/>
  <c r="D21" i="31"/>
  <c r="D23" i="30"/>
  <c r="D22" i="30"/>
  <c r="D21" i="30"/>
  <c r="D23" i="29"/>
  <c r="D22" i="29"/>
  <c r="D21" i="29"/>
  <c r="D22" i="27"/>
  <c r="D21" i="27"/>
  <c r="J17" i="26"/>
  <c r="E4" i="5"/>
  <c r="D4" i="5"/>
  <c r="D23" i="28"/>
  <c r="D22" i="28"/>
  <c r="D21" i="28"/>
  <c r="D23" i="26"/>
  <c r="D22" i="26"/>
  <c r="D21" i="26"/>
  <c r="D23" i="24"/>
  <c r="D22" i="24"/>
  <c r="D21" i="24"/>
  <c r="D23" i="25"/>
  <c r="D22" i="25"/>
  <c r="D21" i="25"/>
  <c r="E3" i="5"/>
  <c r="D3" i="5"/>
  <c r="J20" i="24"/>
  <c r="C17" i="31"/>
  <c r="AH6" i="31"/>
  <c r="AE6" i="31"/>
  <c r="AF6" i="31"/>
  <c r="AG6" i="31"/>
  <c r="AI6" i="31"/>
  <c r="AJ6" i="31"/>
  <c r="AE8" i="31"/>
  <c r="AF8" i="31"/>
  <c r="AG8" i="31"/>
  <c r="AH8" i="31"/>
  <c r="AI8" i="31"/>
  <c r="AJ8" i="31"/>
  <c r="J13" i="28"/>
  <c r="J14" i="28"/>
  <c r="J15" i="28"/>
  <c r="D16" i="26"/>
  <c r="B17" i="26"/>
  <c r="K17" i="26"/>
  <c r="I17" i="26"/>
  <c r="X5" i="26"/>
  <c r="W5" i="26"/>
  <c r="Y5" i="26"/>
  <c r="Z5" i="26"/>
  <c r="AA5" i="26"/>
  <c r="AB5" i="26"/>
  <c r="AC5" i="26"/>
  <c r="G17" i="26"/>
  <c r="E17" i="26"/>
  <c r="AJ9" i="26"/>
  <c r="AI9" i="26"/>
  <c r="AH9" i="26"/>
  <c r="AG9" i="26"/>
  <c r="AF9" i="26"/>
  <c r="AE9" i="26"/>
  <c r="AD9" i="26"/>
  <c r="AJ8" i="26"/>
  <c r="AI8" i="26"/>
  <c r="AH8" i="26"/>
  <c r="AG8" i="26"/>
  <c r="AF8" i="26"/>
  <c r="AE8" i="26"/>
  <c r="AD8" i="26"/>
  <c r="AI5" i="26"/>
  <c r="AI6" i="26"/>
  <c r="AD5" i="26"/>
  <c r="AD6" i="26"/>
  <c r="AJ5" i="26"/>
  <c r="AJ6" i="26"/>
  <c r="AH5" i="26"/>
  <c r="AH6" i="26"/>
  <c r="AG5" i="26"/>
  <c r="AG6" i="26"/>
  <c r="AF5" i="26"/>
  <c r="AF6" i="26"/>
  <c r="AE5" i="26"/>
  <c r="AE6" i="26"/>
  <c r="I11" i="24"/>
  <c r="D6" i="34"/>
  <c r="D44" i="34"/>
  <c r="D46" i="34"/>
  <c r="E6" i="34"/>
  <c r="E44" i="34"/>
  <c r="G6" i="34"/>
  <c r="G44" i="34"/>
  <c r="H6" i="34"/>
  <c r="H44" i="34"/>
  <c r="I6" i="34"/>
  <c r="I44" i="34"/>
  <c r="J6" i="34"/>
  <c r="J44" i="34"/>
  <c r="K6" i="34"/>
  <c r="K44" i="34"/>
  <c r="K46" i="34"/>
  <c r="L6" i="34"/>
  <c r="L44" i="34"/>
  <c r="L46" i="34"/>
  <c r="M6" i="34"/>
  <c r="M44" i="34"/>
  <c r="M46" i="34"/>
  <c r="N6" i="34"/>
  <c r="N44" i="34"/>
  <c r="C6" i="34"/>
  <c r="C44" i="34"/>
  <c r="C46" i="34"/>
  <c r="B6" i="34"/>
  <c r="B44" i="34"/>
  <c r="B46" i="34"/>
  <c r="D41" i="34"/>
  <c r="E41" i="34"/>
  <c r="G41" i="34"/>
  <c r="H41" i="34"/>
  <c r="H43" i="34"/>
  <c r="I41" i="34"/>
  <c r="I43" i="34"/>
  <c r="J41" i="34"/>
  <c r="K41" i="34"/>
  <c r="L41" i="34"/>
  <c r="L43" i="34"/>
  <c r="M41" i="34"/>
  <c r="M43" i="34"/>
  <c r="N41" i="34"/>
  <c r="C41" i="34"/>
  <c r="C43" i="34"/>
  <c r="B41" i="34"/>
  <c r="B43" i="34"/>
  <c r="E38" i="34"/>
  <c r="E40" i="34"/>
  <c r="G38" i="34"/>
  <c r="H38" i="34"/>
  <c r="I38" i="34"/>
  <c r="J38" i="34"/>
  <c r="J40" i="34"/>
  <c r="K38" i="34"/>
  <c r="L38" i="34"/>
  <c r="L40" i="34"/>
  <c r="M38" i="34"/>
  <c r="M40" i="34"/>
  <c r="N38" i="34"/>
  <c r="B38" i="34"/>
  <c r="B40" i="34"/>
  <c r="D38" i="34"/>
  <c r="D40" i="34"/>
  <c r="C38" i="34"/>
  <c r="C40" i="34"/>
  <c r="N4" i="34"/>
  <c r="N7" i="34"/>
  <c r="N45" i="34"/>
  <c r="M4" i="34"/>
  <c r="M7" i="34"/>
  <c r="M45" i="34"/>
  <c r="L4" i="34"/>
  <c r="L7" i="34"/>
  <c r="L45" i="34"/>
  <c r="K4" i="34"/>
  <c r="K7" i="34"/>
  <c r="K45" i="34"/>
  <c r="J4" i="34"/>
  <c r="J7" i="34"/>
  <c r="J45" i="34"/>
  <c r="I4" i="34"/>
  <c r="I7" i="34"/>
  <c r="I45" i="34"/>
  <c r="H4" i="34"/>
  <c r="H7" i="34"/>
  <c r="H45" i="34"/>
  <c r="G4" i="34"/>
  <c r="G7" i="34"/>
  <c r="G45" i="34"/>
  <c r="E4" i="34"/>
  <c r="E7" i="34"/>
  <c r="E45" i="34"/>
  <c r="D4" i="34"/>
  <c r="D7" i="34"/>
  <c r="D45" i="34"/>
  <c r="C4" i="34"/>
  <c r="C7" i="34"/>
  <c r="C45" i="34"/>
  <c r="B4" i="34"/>
  <c r="B7" i="34"/>
  <c r="B45" i="34"/>
  <c r="N46" i="34"/>
  <c r="J46" i="34"/>
  <c r="I46" i="34"/>
  <c r="H46" i="34"/>
  <c r="G46" i="34"/>
  <c r="E46" i="34"/>
  <c r="N42" i="34"/>
  <c r="M42" i="34"/>
  <c r="L42" i="34"/>
  <c r="K42" i="34"/>
  <c r="J42" i="34"/>
  <c r="I42" i="34"/>
  <c r="H42" i="34"/>
  <c r="G42" i="34"/>
  <c r="E42" i="34"/>
  <c r="D42" i="34"/>
  <c r="C42" i="34"/>
  <c r="B42" i="34"/>
  <c r="N43" i="34"/>
  <c r="K43" i="34"/>
  <c r="J43" i="34"/>
  <c r="G43" i="34"/>
  <c r="E43" i="34"/>
  <c r="D43" i="34"/>
  <c r="N39" i="34"/>
  <c r="M39" i="34"/>
  <c r="L39" i="34"/>
  <c r="K39" i="34"/>
  <c r="J39" i="34"/>
  <c r="I39" i="34"/>
  <c r="H39" i="34"/>
  <c r="G39" i="34"/>
  <c r="E39" i="34"/>
  <c r="D39" i="34"/>
  <c r="C39" i="34"/>
  <c r="B39" i="34"/>
  <c r="N40" i="34"/>
  <c r="K40" i="34"/>
  <c r="I40" i="34"/>
  <c r="H40" i="34"/>
  <c r="G40" i="34"/>
  <c r="A8" i="34"/>
  <c r="A11" i="34"/>
  <c r="A14" i="34"/>
  <c r="A17" i="34"/>
  <c r="A20" i="34"/>
  <c r="A23" i="34"/>
  <c r="A26" i="34"/>
  <c r="A29" i="34"/>
  <c r="A32" i="34"/>
  <c r="A35" i="34"/>
  <c r="A38" i="34"/>
  <c r="A41" i="34"/>
  <c r="A44" i="34"/>
  <c r="B26" i="5"/>
  <c r="H17" i="26"/>
  <c r="N35" i="34"/>
  <c r="N37" i="34"/>
  <c r="M29" i="34"/>
  <c r="M31" i="34"/>
  <c r="L29" i="34"/>
  <c r="L31" i="34"/>
  <c r="K35" i="34"/>
  <c r="K37" i="34"/>
  <c r="J32" i="34"/>
  <c r="J34" i="34"/>
  <c r="I35" i="34"/>
  <c r="I37" i="34"/>
  <c r="H23" i="34"/>
  <c r="H25" i="34"/>
  <c r="H35" i="34"/>
  <c r="H37" i="34"/>
  <c r="G32" i="34"/>
  <c r="G34" i="34"/>
  <c r="E35" i="34"/>
  <c r="E37" i="34"/>
  <c r="D29" i="34"/>
  <c r="D31" i="34"/>
  <c r="C29" i="34"/>
  <c r="C31" i="34"/>
  <c r="B35" i="34"/>
  <c r="B37" i="34"/>
  <c r="L30" i="34"/>
  <c r="K5" i="34"/>
  <c r="K30" i="34"/>
  <c r="H5" i="34"/>
  <c r="C30" i="34"/>
  <c r="B5" i="34"/>
  <c r="L32" i="34"/>
  <c r="L34" i="34"/>
  <c r="K32" i="34"/>
  <c r="K34" i="34"/>
  <c r="I32" i="34"/>
  <c r="I34" i="34"/>
  <c r="B32" i="34"/>
  <c r="B34" i="34"/>
  <c r="N29" i="34"/>
  <c r="N31" i="34"/>
  <c r="K29" i="34"/>
  <c r="K31" i="34"/>
  <c r="J29" i="34"/>
  <c r="J31" i="34"/>
  <c r="I29" i="34"/>
  <c r="I31" i="34"/>
  <c r="G29" i="34"/>
  <c r="G31" i="34"/>
  <c r="E29" i="34"/>
  <c r="E31" i="34"/>
  <c r="B29" i="34"/>
  <c r="B31" i="34"/>
  <c r="L26" i="34"/>
  <c r="L28" i="34"/>
  <c r="K26" i="34"/>
  <c r="K28" i="34"/>
  <c r="I26" i="34"/>
  <c r="I28" i="34"/>
  <c r="B26" i="34"/>
  <c r="B28" i="34"/>
  <c r="N23" i="34"/>
  <c r="N25" i="34"/>
  <c r="K23" i="34"/>
  <c r="K25" i="34"/>
  <c r="I23" i="34"/>
  <c r="I25" i="34"/>
  <c r="G23" i="34"/>
  <c r="G25" i="34"/>
  <c r="E23" i="34"/>
  <c r="E25" i="34"/>
  <c r="B23" i="34"/>
  <c r="B25" i="34"/>
  <c r="L20" i="34"/>
  <c r="L22" i="34"/>
  <c r="K20" i="34"/>
  <c r="K22" i="34"/>
  <c r="I20" i="34"/>
  <c r="I22" i="34"/>
  <c r="B20" i="34"/>
  <c r="B22" i="34"/>
  <c r="N17" i="34"/>
  <c r="N19" i="34"/>
  <c r="K17" i="34"/>
  <c r="K19" i="34"/>
  <c r="I17" i="34"/>
  <c r="I19" i="34"/>
  <c r="H17" i="34"/>
  <c r="H19" i="34"/>
  <c r="G17" i="34"/>
  <c r="G19" i="34"/>
  <c r="E17" i="34"/>
  <c r="E19" i="34"/>
  <c r="B17" i="34"/>
  <c r="B19" i="34"/>
  <c r="N14" i="34"/>
  <c r="N16" i="34"/>
  <c r="L14" i="34"/>
  <c r="L16" i="34"/>
  <c r="K14" i="34"/>
  <c r="K16" i="34"/>
  <c r="I14" i="34"/>
  <c r="I16" i="34"/>
  <c r="E14" i="34"/>
  <c r="E16" i="34"/>
  <c r="C14" i="34"/>
  <c r="C16" i="34"/>
  <c r="B14" i="34"/>
  <c r="B16" i="34"/>
  <c r="N11" i="34"/>
  <c r="N13" i="34"/>
  <c r="K11" i="34"/>
  <c r="K13" i="34"/>
  <c r="I11" i="34"/>
  <c r="I13" i="34"/>
  <c r="H11" i="34"/>
  <c r="H13" i="34"/>
  <c r="G11" i="34"/>
  <c r="G13" i="34"/>
  <c r="E11" i="34"/>
  <c r="E13" i="34"/>
  <c r="B11" i="34"/>
  <c r="B13" i="34"/>
  <c r="N8" i="34"/>
  <c r="N10" i="34"/>
  <c r="L8" i="34"/>
  <c r="L10" i="34"/>
  <c r="K8" i="34"/>
  <c r="K10" i="34"/>
  <c r="I8" i="34"/>
  <c r="I10" i="34"/>
  <c r="H8" i="34"/>
  <c r="H10" i="34"/>
  <c r="G8" i="34"/>
  <c r="G10" i="34"/>
  <c r="E8" i="34"/>
  <c r="E10" i="34"/>
  <c r="B8" i="34"/>
  <c r="B10" i="34"/>
  <c r="N5" i="34"/>
  <c r="L5" i="34"/>
  <c r="I5" i="34"/>
  <c r="G5" i="34"/>
  <c r="E5" i="34"/>
  <c r="D5" i="34"/>
  <c r="C5" i="34"/>
  <c r="J16" i="28"/>
  <c r="F6" i="28"/>
  <c r="K6" i="28"/>
  <c r="R6" i="28"/>
  <c r="S6" i="28"/>
  <c r="T6" i="28"/>
  <c r="X6" i="28"/>
  <c r="Y6" i="28"/>
  <c r="Z6" i="28"/>
  <c r="B25" i="5"/>
  <c r="D16" i="25"/>
  <c r="D13" i="25"/>
  <c r="D14" i="25"/>
  <c r="D15" i="25"/>
  <c r="E15" i="25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T5" i="24"/>
  <c r="U5" i="24"/>
  <c r="U6" i="24"/>
  <c r="V5" i="24"/>
  <c r="K16" i="31"/>
  <c r="K15" i="31"/>
  <c r="K14" i="31"/>
  <c r="C13" i="31"/>
  <c r="C14" i="31"/>
  <c r="C15" i="31"/>
  <c r="C16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D6" i="31"/>
  <c r="AC6" i="31"/>
  <c r="AB6" i="31"/>
  <c r="AA6" i="31"/>
  <c r="Z6" i="31"/>
  <c r="Y6" i="31"/>
  <c r="X6" i="31"/>
  <c r="V6" i="31"/>
  <c r="U6" i="31"/>
  <c r="S6" i="31"/>
  <c r="R6" i="31"/>
  <c r="Q6" i="31"/>
  <c r="P6" i="31"/>
  <c r="O6" i="31"/>
  <c r="N6" i="31"/>
  <c r="M6" i="31"/>
  <c r="L6" i="31"/>
  <c r="K6" i="31"/>
  <c r="J6" i="31"/>
  <c r="H6" i="31"/>
  <c r="G6" i="31"/>
  <c r="F6" i="31"/>
  <c r="E6" i="31"/>
  <c r="D6" i="31"/>
  <c r="B6" i="31"/>
  <c r="I16" i="30"/>
  <c r="I11" i="31"/>
  <c r="I15" i="30"/>
  <c r="I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O6" i="30"/>
  <c r="N6" i="30"/>
  <c r="M6" i="30"/>
  <c r="L6" i="30"/>
  <c r="K6" i="30"/>
  <c r="J6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K15" i="29"/>
  <c r="I15" i="29"/>
  <c r="D15" i="29"/>
  <c r="D14" i="29"/>
  <c r="E15" i="29"/>
  <c r="J14" i="29"/>
  <c r="K14" i="29"/>
  <c r="I14" i="29"/>
  <c r="J13" i="29"/>
  <c r="K13" i="29"/>
  <c r="I13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AH5" i="29"/>
  <c r="AH6" i="29"/>
  <c r="AG5" i="29"/>
  <c r="AG6" i="29"/>
  <c r="AF5" i="29"/>
  <c r="AF6" i="29"/>
  <c r="AE5" i="29"/>
  <c r="AE6" i="29"/>
  <c r="AD5" i="29"/>
  <c r="AD6" i="29"/>
  <c r="AC6" i="29"/>
  <c r="AB6" i="29"/>
  <c r="AA6" i="29"/>
  <c r="Z6" i="29"/>
  <c r="Y6" i="29"/>
  <c r="X6" i="29"/>
  <c r="W6" i="29"/>
  <c r="V6" i="29"/>
  <c r="U6" i="29"/>
  <c r="T6" i="29"/>
  <c r="S6" i="29"/>
  <c r="R5" i="29"/>
  <c r="R6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I6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K15" i="28"/>
  <c r="K14" i="28"/>
  <c r="K13" i="28"/>
  <c r="C13" i="28"/>
  <c r="C14" i="28"/>
  <c r="C15" i="28"/>
  <c r="C16" i="28"/>
  <c r="B13" i="28"/>
  <c r="B14" i="28"/>
  <c r="B15" i="28"/>
  <c r="B16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C6" i="28"/>
  <c r="AB6" i="28"/>
  <c r="AA6" i="28"/>
  <c r="W6" i="28"/>
  <c r="U6" i="28"/>
  <c r="Q6" i="28"/>
  <c r="P6" i="28"/>
  <c r="O6" i="28"/>
  <c r="M6" i="28"/>
  <c r="L6" i="28"/>
  <c r="J6" i="28"/>
  <c r="I6" i="28"/>
  <c r="H6" i="28"/>
  <c r="G6" i="28"/>
  <c r="E6" i="28"/>
  <c r="C6" i="28"/>
  <c r="J16" i="27"/>
  <c r="K16" i="27"/>
  <c r="I16" i="27"/>
  <c r="D16" i="27"/>
  <c r="J15" i="27"/>
  <c r="K15" i="27"/>
  <c r="I15" i="27"/>
  <c r="D15" i="27"/>
  <c r="J14" i="27"/>
  <c r="K14" i="27"/>
  <c r="I14" i="27"/>
  <c r="D14" i="27"/>
  <c r="J13" i="27"/>
  <c r="K13" i="27"/>
  <c r="I13" i="27"/>
  <c r="D13" i="27"/>
  <c r="C13" i="27"/>
  <c r="C14" i="27"/>
  <c r="C15" i="27"/>
  <c r="C16" i="27"/>
  <c r="B13" i="27"/>
  <c r="B14" i="27"/>
  <c r="B15" i="27"/>
  <c r="B16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B8" i="27"/>
  <c r="AC5" i="27"/>
  <c r="AC6" i="27"/>
  <c r="AB5" i="27"/>
  <c r="AB6" i="27"/>
  <c r="AA5" i="27"/>
  <c r="W5" i="27"/>
  <c r="X5" i="27"/>
  <c r="Y5" i="27"/>
  <c r="Z5" i="27"/>
  <c r="F16" i="27"/>
  <c r="G16" i="27"/>
  <c r="E16" i="27"/>
  <c r="H16" i="27"/>
  <c r="AA6" i="27"/>
  <c r="Z6" i="27"/>
  <c r="Y6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D6" i="27"/>
  <c r="C6" i="27"/>
  <c r="B5" i="27"/>
  <c r="B6" i="27"/>
  <c r="J16" i="26"/>
  <c r="K16" i="26"/>
  <c r="I16" i="26"/>
  <c r="J15" i="26"/>
  <c r="K15" i="26"/>
  <c r="I15" i="26"/>
  <c r="D15" i="26"/>
  <c r="E16" i="26"/>
  <c r="J14" i="26"/>
  <c r="K14" i="26"/>
  <c r="I14" i="26"/>
  <c r="D14" i="26"/>
  <c r="J13" i="26"/>
  <c r="J20" i="26"/>
  <c r="I13" i="26"/>
  <c r="I20" i="26"/>
  <c r="D13" i="26"/>
  <c r="D20" i="26"/>
  <c r="C13" i="26"/>
  <c r="C14" i="26"/>
  <c r="C15" i="26"/>
  <c r="C16" i="26"/>
  <c r="C17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6" i="26"/>
  <c r="AB6" i="26"/>
  <c r="AA6" i="26"/>
  <c r="Z6" i="26"/>
  <c r="Y6" i="26"/>
  <c r="X6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E15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X6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P6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C6" i="25"/>
  <c r="B5" i="25"/>
  <c r="B6" i="25"/>
  <c r="I13" i="24"/>
  <c r="I14" i="24"/>
  <c r="J15" i="24"/>
  <c r="K15" i="24"/>
  <c r="D15" i="24"/>
  <c r="J14" i="24"/>
  <c r="K14" i="24"/>
  <c r="D14" i="24"/>
  <c r="J13" i="24"/>
  <c r="K13" i="24"/>
  <c r="D13" i="24"/>
  <c r="C13" i="24"/>
  <c r="C14" i="24"/>
  <c r="C15" i="24"/>
  <c r="B13" i="24"/>
  <c r="B14" i="24"/>
  <c r="B15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6" i="24"/>
  <c r="T6" i="24"/>
  <c r="S5" i="24"/>
  <c r="S6" i="24"/>
  <c r="R5" i="24"/>
  <c r="R6" i="24"/>
  <c r="Q5" i="24"/>
  <c r="Q6" i="24"/>
  <c r="P5" i="24"/>
  <c r="P6" i="24"/>
  <c r="O5" i="24"/>
  <c r="O6" i="24"/>
  <c r="N5" i="24"/>
  <c r="N6" i="24"/>
  <c r="M5" i="24"/>
  <c r="M6" i="24"/>
  <c r="L5" i="24"/>
  <c r="L6" i="24"/>
  <c r="K5" i="24"/>
  <c r="K6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O9" i="25"/>
  <c r="E2" i="5"/>
  <c r="D2" i="5"/>
  <c r="D26" i="5"/>
  <c r="E3" i="1"/>
  <c r="E5" i="1"/>
  <c r="E6" i="1"/>
  <c r="K13" i="31"/>
  <c r="Q6" i="29"/>
  <c r="C6" i="26"/>
  <c r="W6" i="26"/>
  <c r="G9" i="25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F9" i="24"/>
  <c r="N9" i="24"/>
  <c r="D9" i="24"/>
  <c r="L9" i="24"/>
  <c r="S9" i="24"/>
  <c r="V9" i="24"/>
  <c r="T9" i="24"/>
  <c r="U9" i="24"/>
  <c r="R9" i="24"/>
  <c r="E9" i="24"/>
  <c r="M9" i="24"/>
  <c r="G9" i="24"/>
  <c r="O9" i="24"/>
  <c r="H9" i="24"/>
  <c r="P9" i="24"/>
  <c r="I9" i="24"/>
  <c r="Q9" i="24"/>
  <c r="B9" i="24"/>
  <c r="J9" i="24"/>
  <c r="C9" i="24"/>
  <c r="K9" i="24"/>
  <c r="F13" i="30"/>
  <c r="G13" i="30"/>
  <c r="G15" i="29"/>
  <c r="I19" i="26"/>
  <c r="J19" i="28"/>
  <c r="I19" i="29"/>
  <c r="I6" i="31"/>
  <c r="X6" i="27"/>
  <c r="D6" i="28"/>
  <c r="N6" i="28"/>
  <c r="I19" i="30"/>
  <c r="F14" i="26"/>
  <c r="G14" i="26"/>
  <c r="I20" i="30"/>
  <c r="C6" i="31"/>
  <c r="K16" i="28"/>
  <c r="D20" i="29"/>
  <c r="E14" i="29"/>
  <c r="F13" i="29"/>
  <c r="P6" i="30"/>
  <c r="I11" i="30"/>
  <c r="E13" i="30"/>
  <c r="E17" i="29"/>
  <c r="T6" i="31"/>
  <c r="AE9" i="31"/>
  <c r="AF9" i="31"/>
  <c r="AG9" i="31"/>
  <c r="AH9" i="31"/>
  <c r="AI9" i="31"/>
  <c r="AJ9" i="31"/>
  <c r="E26" i="5"/>
  <c r="G16" i="29"/>
  <c r="E16" i="29"/>
  <c r="H16" i="29"/>
  <c r="F17" i="29"/>
  <c r="F14" i="29"/>
  <c r="H15" i="29"/>
  <c r="J23" i="34"/>
  <c r="J25" i="34"/>
  <c r="G14" i="29"/>
  <c r="H14" i="29"/>
  <c r="E25" i="5"/>
  <c r="J5" i="34"/>
  <c r="J17" i="34"/>
  <c r="J19" i="34"/>
  <c r="B30" i="34"/>
  <c r="F15" i="26"/>
  <c r="G15" i="26"/>
  <c r="H15" i="26"/>
  <c r="M5" i="34"/>
  <c r="C32" i="34"/>
  <c r="C34" i="34"/>
  <c r="D20" i="30"/>
  <c r="C26" i="34"/>
  <c r="C28" i="34"/>
  <c r="H32" i="34"/>
  <c r="H34" i="34"/>
  <c r="I19" i="31"/>
  <c r="H14" i="34"/>
  <c r="H16" i="34"/>
  <c r="C20" i="34"/>
  <c r="C22" i="34"/>
  <c r="H26" i="34"/>
  <c r="H28" i="34"/>
  <c r="H29" i="34"/>
  <c r="H31" i="34"/>
  <c r="G35" i="34"/>
  <c r="G37" i="34"/>
  <c r="AI6" i="29"/>
  <c r="I20" i="29"/>
  <c r="J20" i="29"/>
  <c r="C8" i="34"/>
  <c r="C10" i="34"/>
  <c r="J11" i="34"/>
  <c r="J13" i="34"/>
  <c r="H20" i="34"/>
  <c r="H22" i="34"/>
  <c r="F13" i="25"/>
  <c r="G13" i="25"/>
  <c r="E14" i="25"/>
  <c r="F14" i="24"/>
  <c r="G14" i="24"/>
  <c r="E15" i="24"/>
  <c r="E14" i="24"/>
  <c r="D20" i="24"/>
  <c r="F13" i="24"/>
  <c r="G13" i="24"/>
  <c r="E13" i="24"/>
  <c r="I20" i="24"/>
  <c r="G17" i="29"/>
  <c r="H17" i="29"/>
  <c r="F19" i="29"/>
  <c r="H13" i="30"/>
  <c r="G19" i="30"/>
  <c r="G20" i="30"/>
  <c r="E20" i="30"/>
  <c r="E19" i="30"/>
  <c r="N33" i="34"/>
  <c r="N27" i="34"/>
  <c r="N21" i="34"/>
  <c r="N15" i="34"/>
  <c r="N9" i="34"/>
  <c r="N36" i="34"/>
  <c r="N30" i="34"/>
  <c r="N24" i="34"/>
  <c r="N18" i="34"/>
  <c r="N12" i="34"/>
  <c r="F16" i="26"/>
  <c r="G16" i="26"/>
  <c r="H16" i="26"/>
  <c r="J20" i="30"/>
  <c r="G33" i="34"/>
  <c r="G27" i="34"/>
  <c r="G21" i="34"/>
  <c r="G15" i="34"/>
  <c r="G9" i="34"/>
  <c r="G36" i="34"/>
  <c r="G30" i="34"/>
  <c r="G24" i="34"/>
  <c r="G18" i="34"/>
  <c r="G12" i="34"/>
  <c r="I19" i="24"/>
  <c r="J19" i="31"/>
  <c r="B6" i="28"/>
  <c r="J19" i="30"/>
  <c r="J19" i="29"/>
  <c r="E20" i="31"/>
  <c r="F13" i="26"/>
  <c r="G13" i="26"/>
  <c r="W6" i="31"/>
  <c r="K13" i="26"/>
  <c r="M36" i="34"/>
  <c r="M33" i="34"/>
  <c r="M27" i="34"/>
  <c r="M21" i="34"/>
  <c r="M15" i="34"/>
  <c r="M9" i="34"/>
  <c r="M30" i="34"/>
  <c r="M24" i="34"/>
  <c r="M18" i="34"/>
  <c r="M12" i="34"/>
  <c r="J19" i="24"/>
  <c r="G13" i="29"/>
  <c r="F19" i="30"/>
  <c r="F20" i="30"/>
  <c r="F14" i="25"/>
  <c r="D20" i="31"/>
  <c r="F15" i="24"/>
  <c r="G15" i="24"/>
  <c r="J19" i="26"/>
  <c r="I30" i="34"/>
  <c r="I24" i="34"/>
  <c r="I18" i="34"/>
  <c r="I12" i="34"/>
  <c r="I36" i="34"/>
  <c r="I33" i="34"/>
  <c r="I27" i="34"/>
  <c r="I21" i="34"/>
  <c r="I15" i="34"/>
  <c r="I9" i="34"/>
  <c r="J36" i="34"/>
  <c r="J30" i="34"/>
  <c r="J24" i="34"/>
  <c r="J18" i="34"/>
  <c r="J12" i="34"/>
  <c r="J33" i="34"/>
  <c r="J27" i="34"/>
  <c r="J21" i="34"/>
  <c r="J15" i="34"/>
  <c r="J9" i="34"/>
  <c r="D36" i="34"/>
  <c r="D33" i="34"/>
  <c r="D27" i="34"/>
  <c r="D21" i="34"/>
  <c r="D15" i="34"/>
  <c r="D9" i="34"/>
  <c r="D30" i="34"/>
  <c r="D24" i="34"/>
  <c r="D18" i="34"/>
  <c r="D12" i="34"/>
  <c r="E33" i="34"/>
  <c r="E27" i="34"/>
  <c r="E21" i="34"/>
  <c r="E15" i="34"/>
  <c r="E9" i="34"/>
  <c r="E36" i="34"/>
  <c r="E30" i="34"/>
  <c r="E24" i="34"/>
  <c r="E18" i="34"/>
  <c r="E12" i="34"/>
  <c r="B36" i="34"/>
  <c r="K36" i="34"/>
  <c r="C35" i="34"/>
  <c r="C37" i="34"/>
  <c r="L35" i="34"/>
  <c r="L37" i="34"/>
  <c r="B9" i="34"/>
  <c r="K9" i="34"/>
  <c r="B15" i="34"/>
  <c r="K15" i="34"/>
  <c r="B21" i="34"/>
  <c r="K21" i="34"/>
  <c r="B27" i="34"/>
  <c r="K27" i="34"/>
  <c r="B33" i="34"/>
  <c r="K33" i="34"/>
  <c r="J35" i="34"/>
  <c r="J37" i="34"/>
  <c r="C9" i="34"/>
  <c r="L9" i="34"/>
  <c r="D8" i="34"/>
  <c r="D10" i="34"/>
  <c r="M8" i="34"/>
  <c r="M10" i="34"/>
  <c r="C15" i="34"/>
  <c r="L15" i="34"/>
  <c r="D14" i="34"/>
  <c r="D16" i="34"/>
  <c r="M14" i="34"/>
  <c r="M16" i="34"/>
  <c r="C21" i="34"/>
  <c r="L21" i="34"/>
  <c r="D20" i="34"/>
  <c r="D22" i="34"/>
  <c r="M20" i="34"/>
  <c r="M22" i="34"/>
  <c r="C27" i="34"/>
  <c r="L27" i="34"/>
  <c r="D26" i="34"/>
  <c r="D28" i="34"/>
  <c r="M26" i="34"/>
  <c r="M28" i="34"/>
  <c r="C33" i="34"/>
  <c r="L33" i="34"/>
  <c r="D32" i="34"/>
  <c r="D34" i="34"/>
  <c r="M32" i="34"/>
  <c r="M34" i="34"/>
  <c r="C36" i="34"/>
  <c r="L36" i="34"/>
  <c r="D35" i="34"/>
  <c r="D37" i="34"/>
  <c r="M35" i="34"/>
  <c r="M37" i="34"/>
  <c r="J8" i="34"/>
  <c r="J10" i="34"/>
  <c r="C11" i="34"/>
  <c r="C13" i="34"/>
  <c r="L11" i="34"/>
  <c r="L13" i="34"/>
  <c r="J14" i="34"/>
  <c r="J16" i="34"/>
  <c r="C17" i="34"/>
  <c r="C19" i="34"/>
  <c r="L17" i="34"/>
  <c r="L19" i="34"/>
  <c r="E20" i="34"/>
  <c r="E22" i="34"/>
  <c r="J20" i="34"/>
  <c r="J22" i="34"/>
  <c r="N20" i="34"/>
  <c r="N22" i="34"/>
  <c r="C23" i="34"/>
  <c r="C25" i="34"/>
  <c r="L23" i="34"/>
  <c r="L25" i="34"/>
  <c r="E26" i="34"/>
  <c r="E28" i="34"/>
  <c r="J26" i="34"/>
  <c r="J28" i="34"/>
  <c r="N26" i="34"/>
  <c r="N28" i="34"/>
  <c r="E32" i="34"/>
  <c r="E34" i="34"/>
  <c r="N32" i="34"/>
  <c r="N34" i="34"/>
  <c r="B12" i="34"/>
  <c r="K12" i="34"/>
  <c r="B18" i="34"/>
  <c r="K18" i="34"/>
  <c r="B24" i="34"/>
  <c r="K24" i="34"/>
  <c r="C12" i="34"/>
  <c r="L12" i="34"/>
  <c r="D11" i="34"/>
  <c r="D13" i="34"/>
  <c r="M11" i="34"/>
  <c r="M13" i="34"/>
  <c r="G14" i="34"/>
  <c r="G16" i="34"/>
  <c r="C18" i="34"/>
  <c r="L18" i="34"/>
  <c r="D17" i="34"/>
  <c r="D19" i="34"/>
  <c r="M17" i="34"/>
  <c r="M19" i="34"/>
  <c r="G20" i="34"/>
  <c r="G22" i="34"/>
  <c r="C24" i="34"/>
  <c r="L24" i="34"/>
  <c r="D23" i="34"/>
  <c r="D25" i="34"/>
  <c r="M23" i="34"/>
  <c r="M25" i="34"/>
  <c r="G26" i="34"/>
  <c r="G28" i="34"/>
  <c r="H15" i="24"/>
  <c r="H14" i="24"/>
  <c r="E20" i="24"/>
  <c r="F19" i="24"/>
  <c r="H13" i="24"/>
  <c r="E19" i="24"/>
  <c r="G20" i="29"/>
  <c r="G19" i="29"/>
  <c r="H20" i="30"/>
  <c r="E19" i="31"/>
  <c r="F19" i="26"/>
  <c r="G19" i="24"/>
  <c r="G20" i="24"/>
  <c r="F20" i="24"/>
  <c r="G19" i="31"/>
  <c r="G14" i="25"/>
  <c r="H36" i="34"/>
  <c r="H33" i="34"/>
  <c r="H27" i="34"/>
  <c r="H21" i="34"/>
  <c r="H15" i="34"/>
  <c r="H9" i="34"/>
  <c r="H30" i="34"/>
  <c r="H24" i="34"/>
  <c r="H18" i="34"/>
  <c r="H12" i="34"/>
  <c r="F19" i="31"/>
  <c r="H19" i="24"/>
  <c r="H20" i="24"/>
  <c r="H19" i="31"/>
  <c r="H14" i="25"/>
  <c r="G19" i="26"/>
  <c r="G20" i="26"/>
  <c r="F20" i="26"/>
  <c r="E14" i="26"/>
  <c r="H14" i="26"/>
  <c r="F16" i="25"/>
  <c r="G16" i="25"/>
  <c r="I19" i="25"/>
  <c r="F15" i="25"/>
  <c r="J20" i="25"/>
  <c r="E20" i="26"/>
  <c r="J19" i="25"/>
  <c r="E16" i="25"/>
  <c r="D20" i="25"/>
  <c r="E19" i="26"/>
  <c r="H16" i="25"/>
  <c r="G15" i="25"/>
  <c r="F19" i="25"/>
  <c r="F20" i="25"/>
  <c r="H20" i="26"/>
  <c r="E20" i="25"/>
  <c r="E19" i="25"/>
  <c r="G19" i="25"/>
  <c r="G20" i="25"/>
  <c r="H15" i="25"/>
  <c r="H20" i="25"/>
  <c r="E15" i="27"/>
  <c r="I20" i="27"/>
  <c r="E14" i="27"/>
  <c r="I19" i="27"/>
  <c r="J20" i="27"/>
  <c r="J19" i="27"/>
  <c r="F13" i="27"/>
  <c r="G13" i="27"/>
  <c r="E20" i="29"/>
  <c r="E19" i="29"/>
  <c r="F14" i="27"/>
  <c r="G14" i="27"/>
  <c r="F15" i="27"/>
  <c r="G15" i="27"/>
  <c r="D20" i="27"/>
  <c r="I19" i="28"/>
  <c r="V6" i="28"/>
  <c r="J20" i="28"/>
  <c r="D20" i="28"/>
  <c r="H15" i="27"/>
  <c r="G20" i="27"/>
  <c r="H14" i="27"/>
  <c r="G19" i="27"/>
  <c r="F19" i="27"/>
  <c r="F20" i="27"/>
  <c r="H20" i="29"/>
  <c r="E19" i="27"/>
  <c r="E20" i="27"/>
  <c r="F19" i="28"/>
  <c r="G19" i="28"/>
  <c r="G20" i="28"/>
  <c r="E19" i="28"/>
  <c r="E20" i="28"/>
  <c r="H20" i="27"/>
  <c r="H20" i="28"/>
</calcChain>
</file>

<file path=xl/sharedStrings.xml><?xml version="1.0" encoding="utf-8"?>
<sst xmlns="http://schemas.openxmlformats.org/spreadsheetml/2006/main" count="407" uniqueCount="117">
  <si>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</si>
  <si>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</si>
  <si>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</si>
  <si>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</si>
  <si>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</si>
  <si>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</si>
  <si>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</si>
  <si>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</si>
  <si>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</si>
  <si>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</si>
  <si>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</si>
  <si>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</si>
  <si>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</si>
  <si>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</si>
  <si>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</si>
  <si>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</si>
  <si>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</si>
  <si>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</si>
  <si>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</si>
  <si>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</si>
  <si>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</si>
  <si>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</si>
  <si>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</si>
  <si>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</si>
  <si>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</si>
  <si>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</si>
  <si>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</si>
  <si>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</si>
  <si>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</si>
  <si>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</si>
  <si>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</si>
  <si>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</si>
  <si>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</si>
  <si>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</si>
  <si>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</si>
  <si>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</si>
  <si>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</si>
  <si>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</si>
  <si>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</si>
  <si>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</si>
  <si>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</si>
  <si>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</si>
  <si>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</si>
  <si>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</si>
  <si>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</si>
  <si>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</si>
  <si>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</si>
  <si>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</si>
  <si>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</si>
  <si>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</si>
  <si>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</si>
  <si>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</si>
  <si>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</si>
  <si>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</si>
  <si>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</si>
  <si>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</si>
  <si>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</si>
  <si>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</si>
  <si>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</si>
  <si>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</si>
  <si>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</si>
  <si>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</si>
  <si>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</si>
  <si>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</si>
  <si>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</si>
  <si>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</si>
  <si>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</si>
  <si>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手环每天多计热量</t>
  </si>
  <si>
    <t>初始</t>
  </si>
  <si>
    <t>平均摄入</t>
  </si>
  <si>
    <t>0.3/W</t>
  </si>
  <si>
    <t>0.2/W</t>
  </si>
  <si>
    <t>0.1/W</t>
  </si>
  <si>
    <t>0.0/W</t>
  </si>
  <si>
    <t>0.15/W</t>
    <phoneticPr fontId="13" type="noConversion"/>
  </si>
  <si>
    <t>最低</t>
  </si>
  <si>
    <t>最高</t>
  </si>
  <si>
    <t>均值</t>
  </si>
  <si>
    <t>平均体重</t>
  </si>
  <si>
    <t>体重变化</t>
  </si>
  <si>
    <t>0.25/W</t>
  </si>
  <si>
    <t>7.30号去中医院</t>
  </si>
  <si>
    <t>9月3号看杨医生</t>
  </si>
  <si>
    <t>有效热量</t>
  </si>
  <si>
    <t>周内Delta</t>
  </si>
  <si>
    <t>周末Delta</t>
  </si>
  <si>
    <t>11月21号停药</t>
  </si>
  <si>
    <t>平均每日</t>
  </si>
  <si>
    <t>日均亏空</t>
  </si>
  <si>
    <t>日均摄入</t>
  </si>
  <si>
    <t>无效热量</t>
  </si>
  <si>
    <t>年度</t>
  </si>
  <si>
    <t>初始体重</t>
  </si>
  <si>
    <t>变化</t>
  </si>
  <si>
    <t>3~9</t>
  </si>
  <si>
    <t>10~12</t>
  </si>
  <si>
    <t>1~6</t>
  </si>
  <si>
    <t>7~12</t>
  </si>
  <si>
    <t>1~5</t>
  </si>
  <si>
    <t>6~12</t>
  </si>
  <si>
    <t>01~06</t>
  </si>
  <si>
    <t>结束体重</t>
  </si>
  <si>
    <t>01~04</t>
  </si>
  <si>
    <t>05~12</t>
  </si>
  <si>
    <t>日均消耗</t>
  </si>
  <si>
    <t>备注</t>
  </si>
  <si>
    <t>飞速</t>
  </si>
  <si>
    <t>平缓</t>
  </si>
  <si>
    <t>快速</t>
  </si>
  <si>
    <t>平衡</t>
  </si>
  <si>
    <t>强反弹</t>
  </si>
  <si>
    <t>压制拉锯，有反弹苗头</t>
  </si>
  <si>
    <t>2020年统计</t>
  </si>
  <si>
    <t>月均</t>
  </si>
  <si>
    <t>日均</t>
  </si>
  <si>
    <t>银屑病</t>
  </si>
  <si>
    <t>皮肤病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</si>
</sst>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27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6" fillId="0" borderId="0" xfId="1" applyFont="1" applyFill="1">
      <alignment vertical="center"/>
    </xf>
    <xf numFmtId="164" fontId="16" fillId="2" borderId="0" xfId="1" applyNumberFormat="1" applyFont="1" applyProtection="1">
      <alignment vertical="center"/>
      <protection locked="0"/>
    </xf>
    <xf numFmtId="164" fontId="16" fillId="0" borderId="0" xfId="1" applyNumberFormat="1" applyFont="1" applyFill="1" applyProtection="1">
      <alignment vertical="center"/>
      <protection locked="0"/>
    </xf>
    <xf numFmtId="0" fontId="17" fillId="0" borderId="0" xfId="0" applyFont="1">
      <alignment vertical="center"/>
    </xf>
    <xf numFmtId="0" fontId="16" fillId="0" borderId="0" xfId="1" applyFont="1" applyFill="1" applyProtection="1">
      <alignment vertical="center"/>
      <protection locked="0"/>
    </xf>
    <xf numFmtId="0" fontId="16" fillId="0" borderId="0" xfId="0" applyFont="1">
      <alignment vertical="center"/>
    </xf>
    <xf numFmtId="166" fontId="17" fillId="0" borderId="0" xfId="0" applyNumberFormat="1" applyFont="1">
      <alignment vertical="center"/>
    </xf>
    <xf numFmtId="0" fontId="16" fillId="10" borderId="0" xfId="0" applyFont="1" applyFill="1">
      <alignment vertical="center"/>
    </xf>
    <xf numFmtId="0" fontId="18" fillId="10" borderId="0" xfId="0" applyFont="1" applyFill="1" applyAlignment="1" applyProtection="1">
      <alignment horizontal="right" vertical="center"/>
      <protection hidden="1"/>
    </xf>
    <xf numFmtId="0" fontId="18" fillId="0" borderId="0" xfId="0" applyFont="1">
      <alignment vertical="center"/>
    </xf>
    <xf numFmtId="165" fontId="17" fillId="10" borderId="0" xfId="0" applyNumberFormat="1" applyFont="1" applyFill="1" applyProtection="1">
      <alignment vertical="center"/>
      <protection hidden="1"/>
    </xf>
    <xf numFmtId="165" fontId="17" fillId="0" borderId="0" xfId="0" applyNumberFormat="1" applyFont="1">
      <alignment vertical="center"/>
    </xf>
    <xf numFmtId="0" fontId="19" fillId="10" borderId="0" xfId="0" applyFont="1" applyFill="1">
      <alignment vertical="center"/>
    </xf>
    <xf numFmtId="0" fontId="17" fillId="1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14" fontId="23" fillId="0" borderId="0" xfId="0" applyNumberFormat="1" applyFont="1">
      <alignment vertical="center"/>
    </xf>
    <xf numFmtId="0" fontId="23" fillId="0" borderId="0" xfId="0" applyFont="1">
      <alignment vertical="center"/>
    </xf>
    <xf numFmtId="14" fontId="0" fillId="0" borderId="0" xfId="0" applyNumberFormat="1" applyAlignment="1"/>
    <xf numFmtId="0" fontId="24" fillId="0" borderId="0" xfId="0" applyFont="1" applyAlignment="1"/>
    <xf numFmtId="0" fontId="1" fillId="0" borderId="0" xfId="0" applyFont="1" applyAlignment="1"/>
    <xf numFmtId="0" fontId="25" fillId="0" borderId="0" xfId="0" applyFont="1" applyAlignment="1"/>
    <xf numFmtId="0" fontId="12" fillId="0" borderId="0" xfId="0" applyFont="1" applyAlignment="1"/>
    <xf numFmtId="0" fontId="0" fillId="11" borderId="0" xfId="0" applyFill="1" applyAlignment="1"/>
    <xf numFmtId="0" fontId="0" fillId="12" borderId="0" xfId="0" applyFill="1" applyAlignment="1"/>
    <xf numFmtId="0" fontId="1" fillId="13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/>
    <xf numFmtId="0" fontId="26" fillId="0" borderId="0" xfId="0" applyFont="1" applyAlignment="1"/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9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C7" sqref="C7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45" t="s">
        <v>0</v>
      </c>
      <c r="B1" s="45"/>
      <c r="C1" s="45"/>
      <c r="D1" s="45"/>
      <c r="E1" s="45"/>
      <c r="F1" s="45"/>
      <c r="G1" s="45"/>
      <c r="H1" s="2"/>
      <c r="I1" s="2"/>
      <c r="M1" s="12"/>
    </row>
    <row r="2" spans="1:13" ht="24.75" customHeight="1">
      <c r="A2" s="3" t="s">
        <v>1</v>
      </c>
      <c r="B2" s="3"/>
      <c r="D2" s="46" t="s">
        <v>2</v>
      </c>
      <c r="E2" s="46"/>
      <c r="F2" s="46"/>
      <c r="G2" s="46"/>
    </row>
    <row r="3" spans="1:13" ht="21.75" customHeight="1">
      <c r="A3" s="3" t="s">
        <v>3</v>
      </c>
      <c r="B3" s="4">
        <v>158</v>
      </c>
      <c r="D3" s="5" t="s">
        <v>4</v>
      </c>
      <c r="E3" s="62">
        <f>B4/(B3/100)^2</f>
        <v>25.63691716071142</v>
      </c>
      <c r="F3" s="62"/>
      <c r="G3" s="62"/>
    </row>
    <row r="4" spans="1:13" ht="21.75" customHeight="1">
      <c r="A4" s="3" t="s">
        <v>5</v>
      </c>
      <c r="B4" s="4">
        <v>64</v>
      </c>
      <c r="D4" s="5" t="s">
        <v>6</v>
      </c>
      <c r="E4" s="62"/>
      <c r="F4" s="62"/>
      <c r="G4" s="62"/>
    </row>
    <row r="5" spans="1:13" ht="21.75" customHeight="1">
      <c r="D5" s="6" t="s">
        <v>7</v>
      </c>
      <c r="E5" s="47" t="str">
        <f>IF(E3&lt;18.5,"體重過輕",IF(E3&lt;24,"正常範圍",IF(E3&lt;27,"過重",IF(E3&lt;30,"輕度肥胖",IF(E3&lt;35,"中度肥胖","重度肥胖")))))</f>
        <v>過重</v>
      </c>
      <c r="F5" s="47"/>
      <c r="G5" s="47"/>
    </row>
    <row r="6" spans="1:13" ht="21.75" customHeight="1">
      <c r="A6" s="7"/>
      <c r="B6" s="7"/>
      <c r="D6" s="6" t="s">
        <v>8</v>
      </c>
      <c r="E6" s="8">
        <f>18.5*(($B$3/100)^2)</f>
        <v>46.183400000000006</v>
      </c>
      <c r="F6" s="9" t="s">
        <v>9</v>
      </c>
      <c r="G6" s="8">
        <f>24*(($B$3/100)^2)</f>
        <v>59.91360000000001</v>
      </c>
    </row>
    <row r="7" spans="1:13" ht="25.5" customHeight="1"/>
    <row r="8" spans="1:13" ht="19.7" customHeight="1">
      <c r="A8" s="7"/>
      <c r="D8" s="48" t="s">
        <v>10</v>
      </c>
      <c r="E8" s="49"/>
      <c r="F8" s="49"/>
      <c r="G8" s="50"/>
    </row>
    <row r="9" spans="1:13" ht="19.7" customHeight="1">
      <c r="A9" s="1" t="s">
        <v>11</v>
      </c>
      <c r="D9" s="10" t="s">
        <v>12</v>
      </c>
      <c r="E9" s="51"/>
      <c r="F9" s="52"/>
      <c r="G9" s="53"/>
    </row>
    <row r="10" spans="1:13" ht="19.7" customHeight="1">
      <c r="D10" s="11" t="s">
        <v>13</v>
      </c>
      <c r="E10" s="60" t="s">
        <v>14</v>
      </c>
      <c r="F10" s="60"/>
      <c r="G10" s="61"/>
    </row>
    <row r="11" spans="1:13" ht="19.7" customHeight="1">
      <c r="D11" s="11" t="s">
        <v>15</v>
      </c>
      <c r="E11" s="60" t="s">
        <v>16</v>
      </c>
      <c r="F11" s="60"/>
      <c r="G11" s="61"/>
    </row>
    <row r="12" spans="1:13" ht="19.7" customHeight="1">
      <c r="D12" s="58" t="s">
        <v>17</v>
      </c>
      <c r="E12" s="54" t="s">
        <v>18</v>
      </c>
      <c r="F12" s="54"/>
      <c r="G12" s="55"/>
    </row>
    <row r="13" spans="1:13" ht="19.7" customHeight="1">
      <c r="D13" s="58"/>
      <c r="E13" s="54" t="s">
        <v>19</v>
      </c>
      <c r="F13" s="54"/>
      <c r="G13" s="55"/>
    </row>
    <row r="14" spans="1:13" ht="19.7" customHeight="1">
      <c r="D14" s="58"/>
      <c r="E14" s="54" t="s">
        <v>20</v>
      </c>
      <c r="F14" s="54"/>
      <c r="G14" s="55"/>
    </row>
    <row r="15" spans="1:13" ht="19.7" customHeight="1">
      <c r="D15" s="59"/>
      <c r="E15" s="56" t="s">
        <v>21</v>
      </c>
      <c r="F15" s="56"/>
      <c r="G15" s="57"/>
    </row>
  </sheetData>
  <sheetProtection password="EB07" sheet="1" objects="1" scenarios="1"/>
  <mergeCells count="13">
    <mergeCell ref="E14:G14"/>
    <mergeCell ref="E15:G15"/>
    <mergeCell ref="D12:D15"/>
    <mergeCell ref="E10:G10"/>
    <mergeCell ref="E3:G4"/>
    <mergeCell ref="E11:G11"/>
    <mergeCell ref="E12:G12"/>
    <mergeCell ref="E13:G13"/>
    <mergeCell ref="A1:G1"/>
    <mergeCell ref="D2:G2"/>
    <mergeCell ref="E5:G5"/>
    <mergeCell ref="D8:G8"/>
    <mergeCell ref="E9:G9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8"/>
  <sheetViews>
    <sheetView workbookViewId="0">
      <selection activeCell="O9" sqref="O9"/>
    </sheetView>
  </sheetViews>
  <sheetFormatPr defaultRowHeight="14.25"/>
  <cols>
    <col min="3" max="3" width="8.75" customWidth="1"/>
    <col min="9" max="9" width="11.125" customWidth="1"/>
    <col min="15" max="15" width="8.625" customWidth="1"/>
  </cols>
  <sheetData>
    <row r="1" spans="1:16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 t="s">
        <v>89</v>
      </c>
      <c r="J1" s="13" t="s">
        <v>88</v>
      </c>
      <c r="K1" s="13"/>
      <c r="L1" s="13" t="s">
        <v>78</v>
      </c>
      <c r="M1" s="13" t="s">
        <v>79</v>
      </c>
      <c r="N1" s="13" t="s">
        <v>83</v>
      </c>
      <c r="O1" s="30" t="s">
        <v>37</v>
      </c>
      <c r="P1" s="13" t="s">
        <v>90</v>
      </c>
    </row>
    <row r="2" spans="1:16">
      <c r="A2" s="13">
        <v>202005</v>
      </c>
      <c r="B2" s="13">
        <v>342901</v>
      </c>
      <c r="C2" s="13">
        <v>12768</v>
      </c>
      <c r="D2" s="13">
        <f t="shared" ref="D2:D9" si="0">B2/C2</f>
        <v>26.856281328320801</v>
      </c>
      <c r="E2" s="13">
        <f t="shared" ref="E2:E9" si="1">C2/7700</f>
        <v>1.6581818181818182</v>
      </c>
      <c r="F2" s="13">
        <f>B2</f>
        <v>342901</v>
      </c>
      <c r="G2" s="13">
        <f>C2</f>
        <v>12768</v>
      </c>
      <c r="H2" s="13">
        <v>31168</v>
      </c>
      <c r="I2">
        <v>1484</v>
      </c>
      <c r="J2">
        <v>177.19</v>
      </c>
      <c r="L2">
        <v>70.36</v>
      </c>
      <c r="O2">
        <v>3028.0000000000832</v>
      </c>
    </row>
    <row r="3" spans="1:16">
      <c r="A3" s="13">
        <v>202006</v>
      </c>
      <c r="B3" s="13">
        <v>317662</v>
      </c>
      <c r="C3" s="13">
        <v>11580</v>
      </c>
      <c r="D3" s="13">
        <f t="shared" si="0"/>
        <v>27.43195164075993</v>
      </c>
      <c r="E3" s="13">
        <f t="shared" si="1"/>
        <v>1.5038961038961038</v>
      </c>
      <c r="F3" s="13">
        <f t="shared" ref="F3:F9" si="2">B3+F2</f>
        <v>660563</v>
      </c>
      <c r="G3" s="13">
        <f>G2+C3</f>
        <v>24348</v>
      </c>
      <c r="H3" s="13">
        <v>38158</v>
      </c>
      <c r="I3">
        <v>1363</v>
      </c>
      <c r="J3">
        <v>218.97</v>
      </c>
      <c r="L3">
        <v>69.510000000000005</v>
      </c>
      <c r="M3">
        <f>L2-L3</f>
        <v>0.84999999999999432</v>
      </c>
      <c r="N3">
        <f>M3*7700</f>
        <v>6544.9999999999563</v>
      </c>
      <c r="O3">
        <v>-3340.00000000003</v>
      </c>
      <c r="P3">
        <f>C3-N3</f>
        <v>5035.0000000000437</v>
      </c>
    </row>
    <row r="4" spans="1:16">
      <c r="A4" s="13">
        <v>202007</v>
      </c>
      <c r="B4" s="13">
        <v>357845</v>
      </c>
      <c r="C4" s="13">
        <v>12569</v>
      </c>
      <c r="D4" s="13">
        <f t="shared" si="0"/>
        <v>28.470443153791074</v>
      </c>
      <c r="E4" s="13">
        <f t="shared" si="1"/>
        <v>1.6323376623376624</v>
      </c>
      <c r="F4" s="13">
        <f t="shared" si="2"/>
        <v>1018408</v>
      </c>
      <c r="G4" s="13">
        <f t="shared" ref="G4:G7" si="3">G3+C4</f>
        <v>36917</v>
      </c>
      <c r="H4">
        <v>48377</v>
      </c>
      <c r="I4">
        <v>1382</v>
      </c>
      <c r="J4">
        <v>233.71</v>
      </c>
      <c r="L4">
        <v>69.260000000000005</v>
      </c>
      <c r="M4">
        <f>L3-L4</f>
        <v>0.25</v>
      </c>
      <c r="N4">
        <f t="shared" ref="N4:N9" si="4">M4*7700</f>
        <v>1925</v>
      </c>
      <c r="O4">
        <v>4868.99999999995</v>
      </c>
      <c r="P4">
        <f t="shared" ref="P4:P9" si="5">C4-N4</f>
        <v>10644</v>
      </c>
    </row>
    <row r="5" spans="1:16">
      <c r="A5" s="13">
        <v>202008</v>
      </c>
      <c r="B5" s="13">
        <v>407139</v>
      </c>
      <c r="C5" s="13">
        <v>13282</v>
      </c>
      <c r="D5" s="13">
        <f t="shared" si="0"/>
        <v>30.653440746875471</v>
      </c>
      <c r="E5" s="13">
        <f t="shared" si="1"/>
        <v>1.724935064935065</v>
      </c>
      <c r="F5" s="13">
        <f t="shared" si="2"/>
        <v>1425547</v>
      </c>
      <c r="G5" s="13">
        <f t="shared" si="3"/>
        <v>50199</v>
      </c>
      <c r="H5" s="13">
        <v>40356</v>
      </c>
      <c r="I5">
        <v>1441</v>
      </c>
      <c r="J5">
        <v>177.89</v>
      </c>
      <c r="L5">
        <v>67.86</v>
      </c>
      <c r="M5">
        <f>L4-L5</f>
        <v>1.4000000000000057</v>
      </c>
      <c r="N5">
        <f t="shared" si="4"/>
        <v>10780.000000000044</v>
      </c>
      <c r="O5">
        <v>-3334.9999999999868</v>
      </c>
      <c r="P5">
        <f t="shared" si="5"/>
        <v>2501.9999999999563</v>
      </c>
    </row>
    <row r="6" spans="1:16">
      <c r="A6" s="13">
        <v>202009</v>
      </c>
      <c r="B6" s="13">
        <v>418406</v>
      </c>
      <c r="C6" s="13">
        <v>15079</v>
      </c>
      <c r="D6" s="13">
        <f t="shared" si="0"/>
        <v>27.747595994429339</v>
      </c>
      <c r="E6" s="13">
        <f t="shared" si="1"/>
        <v>1.9583116883116882</v>
      </c>
      <c r="F6" s="13">
        <f t="shared" si="2"/>
        <v>1843953</v>
      </c>
      <c r="G6" s="13">
        <f t="shared" si="3"/>
        <v>65278</v>
      </c>
      <c r="H6" s="13">
        <v>34938</v>
      </c>
      <c r="I6">
        <v>1248</v>
      </c>
      <c r="J6">
        <v>457.1</v>
      </c>
      <c r="L6">
        <v>66.48</v>
      </c>
      <c r="M6">
        <f t="shared" ref="M6:M9" si="6">L5-L6</f>
        <v>1.3799999999999955</v>
      </c>
      <c r="N6">
        <f t="shared" si="4"/>
        <v>10625.999999999965</v>
      </c>
      <c r="O6">
        <v>-2369.9999999999909</v>
      </c>
      <c r="P6">
        <f t="shared" si="5"/>
        <v>4453.0000000000346</v>
      </c>
    </row>
    <row r="7" spans="1:16">
      <c r="A7" s="13">
        <v>202010</v>
      </c>
      <c r="B7" s="13">
        <v>423476</v>
      </c>
      <c r="C7" s="13">
        <v>14452</v>
      </c>
      <c r="D7" s="13">
        <f t="shared" si="0"/>
        <v>29.302241904234709</v>
      </c>
      <c r="E7" s="13">
        <f t="shared" si="1"/>
        <v>1.8768831168831168</v>
      </c>
      <c r="F7" s="13">
        <f t="shared" si="2"/>
        <v>2267429</v>
      </c>
      <c r="G7" s="13">
        <f t="shared" si="3"/>
        <v>79730</v>
      </c>
      <c r="H7" s="13">
        <v>54914</v>
      </c>
      <c r="I7">
        <v>1577</v>
      </c>
      <c r="J7">
        <v>75.569999999999993</v>
      </c>
      <c r="L7">
        <v>66.209999999999994</v>
      </c>
      <c r="M7">
        <f t="shared" si="6"/>
        <v>0.27000000000001023</v>
      </c>
      <c r="N7">
        <f t="shared" si="4"/>
        <v>2079.0000000000787</v>
      </c>
      <c r="O7">
        <v>4048.0000000000646</v>
      </c>
      <c r="P7">
        <f t="shared" si="5"/>
        <v>12372.999999999922</v>
      </c>
    </row>
    <row r="8" spans="1:16">
      <c r="A8" s="13">
        <v>202011</v>
      </c>
      <c r="B8" s="13">
        <v>441434</v>
      </c>
      <c r="C8" s="13">
        <v>15940</v>
      </c>
      <c r="D8" s="13">
        <f t="shared" si="0"/>
        <v>27.693475533249686</v>
      </c>
      <c r="E8" s="13">
        <f t="shared" si="1"/>
        <v>2.07012987012987</v>
      </c>
      <c r="F8" s="13">
        <f t="shared" si="2"/>
        <v>2708863</v>
      </c>
      <c r="G8" s="13">
        <f t="shared" ref="G8:G9" si="7">G7+C8</f>
        <v>95670</v>
      </c>
      <c r="H8" s="13">
        <v>42336</v>
      </c>
      <c r="I8">
        <v>1512</v>
      </c>
      <c r="J8">
        <v>216.64</v>
      </c>
      <c r="L8">
        <v>65.180000000000007</v>
      </c>
      <c r="M8">
        <f t="shared" si="6"/>
        <v>1.0299999999999869</v>
      </c>
      <c r="N8">
        <f t="shared" si="4"/>
        <v>7930.999999999899</v>
      </c>
      <c r="O8">
        <v>-1788.00000000008</v>
      </c>
      <c r="P8">
        <f t="shared" si="5"/>
        <v>8009.000000000101</v>
      </c>
    </row>
    <row r="9" spans="1:16">
      <c r="A9" s="13">
        <v>202012</v>
      </c>
      <c r="B9" s="13">
        <v>451246</v>
      </c>
      <c r="C9" s="13">
        <v>15753</v>
      </c>
      <c r="D9" s="13">
        <f t="shared" si="0"/>
        <v>28.645083476163272</v>
      </c>
      <c r="E9" s="13">
        <f t="shared" si="1"/>
        <v>2.045844155844156</v>
      </c>
      <c r="F9" s="13">
        <f t="shared" si="2"/>
        <v>3160109</v>
      </c>
      <c r="G9" s="13">
        <f t="shared" si="7"/>
        <v>111423</v>
      </c>
      <c r="H9" s="13">
        <v>49180</v>
      </c>
      <c r="I9">
        <v>1405</v>
      </c>
      <c r="J9">
        <v>286.86</v>
      </c>
      <c r="L9">
        <v>63.94</v>
      </c>
      <c r="M9">
        <f t="shared" si="6"/>
        <v>1.2400000000000091</v>
      </c>
      <c r="N9">
        <f t="shared" si="4"/>
        <v>9548.0000000000691</v>
      </c>
      <c r="O9">
        <v>-4128</v>
      </c>
      <c r="P9">
        <f t="shared" si="5"/>
        <v>6204.9999999999309</v>
      </c>
    </row>
    <row r="10" spans="1:16">
      <c r="A10" s="13">
        <v>202101</v>
      </c>
      <c r="B10" s="13"/>
      <c r="C10" s="13"/>
      <c r="D10" s="13"/>
      <c r="E10" s="13"/>
      <c r="F10" s="13"/>
      <c r="G10" s="13"/>
    </row>
    <row r="11" spans="1:16">
      <c r="A11" s="13">
        <v>202102</v>
      </c>
      <c r="B11" s="13"/>
      <c r="C11" s="13"/>
      <c r="D11" s="13"/>
      <c r="E11" s="13"/>
      <c r="F11" s="13"/>
      <c r="G11" s="13"/>
    </row>
    <row r="12" spans="1:16">
      <c r="A12" s="13">
        <v>202103</v>
      </c>
      <c r="B12" s="13"/>
      <c r="C12" s="13"/>
      <c r="D12" s="13"/>
      <c r="E12" s="13"/>
      <c r="F12" s="13"/>
      <c r="G12" s="13"/>
    </row>
    <row r="13" spans="1:16">
      <c r="A13" s="13">
        <v>202104</v>
      </c>
      <c r="B13" s="13"/>
      <c r="C13" s="13"/>
      <c r="D13" s="13"/>
      <c r="E13" s="13"/>
      <c r="F13" s="13"/>
      <c r="G13" s="13"/>
    </row>
    <row r="14" spans="1:16">
      <c r="A14" s="13">
        <v>202105</v>
      </c>
      <c r="B14" s="13"/>
      <c r="C14" s="13"/>
      <c r="D14" s="13"/>
      <c r="E14" s="13"/>
      <c r="F14" s="13"/>
      <c r="G14" s="13"/>
    </row>
    <row r="15" spans="1:16">
      <c r="A15" s="13">
        <v>202106</v>
      </c>
      <c r="B15" s="13"/>
      <c r="C15" s="13"/>
      <c r="D15" s="13"/>
      <c r="E15" s="13"/>
      <c r="F15" s="13"/>
      <c r="G15" s="13"/>
    </row>
    <row r="16" spans="1:16">
      <c r="A16" s="13">
        <v>202107</v>
      </c>
      <c r="B16" s="13"/>
      <c r="C16" s="13"/>
      <c r="D16" s="13"/>
      <c r="E16" s="13"/>
      <c r="F16" s="13"/>
      <c r="G16" s="13"/>
    </row>
    <row r="17" spans="1:16">
      <c r="A17" s="13">
        <v>202108</v>
      </c>
      <c r="B17" s="13"/>
      <c r="C17" s="13"/>
      <c r="D17" s="13"/>
      <c r="E17" s="13"/>
      <c r="F17" s="13"/>
      <c r="G17" s="13"/>
    </row>
    <row r="18" spans="1:16">
      <c r="A18" s="13">
        <v>202109</v>
      </c>
      <c r="B18" s="13"/>
      <c r="C18" s="13"/>
      <c r="D18" s="13"/>
      <c r="E18" s="13"/>
      <c r="F18" s="13"/>
      <c r="G18" s="13"/>
    </row>
    <row r="19" spans="1:16">
      <c r="A19" s="13">
        <v>202110</v>
      </c>
      <c r="B19" s="13"/>
      <c r="C19" s="13"/>
      <c r="D19" s="13"/>
      <c r="E19" s="13"/>
      <c r="F19" s="13"/>
      <c r="G19" s="13"/>
    </row>
    <row r="20" spans="1:16">
      <c r="A20" s="13">
        <v>202111</v>
      </c>
      <c r="B20" s="13"/>
      <c r="C20" s="13"/>
      <c r="D20" s="13"/>
      <c r="E20" s="13"/>
      <c r="F20" s="13"/>
      <c r="G20" s="13"/>
    </row>
    <row r="21" spans="1:16">
      <c r="A21" s="13">
        <v>202112</v>
      </c>
      <c r="B21" s="13"/>
      <c r="C21" s="13"/>
      <c r="D21" s="13"/>
      <c r="E21" s="13"/>
      <c r="F21" s="13"/>
      <c r="G21" s="13"/>
    </row>
    <row r="22" spans="1:16">
      <c r="A22" s="13"/>
      <c r="B22" s="13"/>
      <c r="C22" s="13"/>
      <c r="D22" s="13"/>
      <c r="E22" s="13"/>
      <c r="F22" s="13"/>
      <c r="G22" s="13"/>
    </row>
    <row r="23" spans="1:16">
      <c r="A23" s="13"/>
      <c r="B23" s="13"/>
      <c r="C23" s="13"/>
      <c r="D23" s="13"/>
      <c r="E23" s="13"/>
      <c r="F23" s="13"/>
      <c r="G23" s="13"/>
    </row>
    <row r="24" spans="1:16">
      <c r="A24" s="13"/>
      <c r="B24" s="13"/>
      <c r="C24" s="13"/>
      <c r="D24" s="13"/>
      <c r="E24" s="13"/>
      <c r="F24" s="13"/>
      <c r="G24" s="13"/>
    </row>
    <row r="25" spans="1:16">
      <c r="A25" s="13" t="s">
        <v>44</v>
      </c>
      <c r="B25" s="13">
        <f>SUM(B2:B24)</f>
        <v>3160109</v>
      </c>
      <c r="C25" s="13">
        <f>SUM(C2:C24)</f>
        <v>111423</v>
      </c>
      <c r="D25" s="13"/>
      <c r="E25" s="13">
        <f>SUM(E2:E24)</f>
        <v>14.470519480519481</v>
      </c>
      <c r="F25" s="13"/>
      <c r="G25" s="13"/>
      <c r="H25" s="13">
        <f>SUM(H2:H24)</f>
        <v>339427</v>
      </c>
      <c r="M25" s="13">
        <f>SUM(M2:M24)</f>
        <v>6.4200000000000017</v>
      </c>
      <c r="N25" s="13">
        <f>SUM(N2:N24)</f>
        <v>49434.000000000015</v>
      </c>
      <c r="O25" s="13">
        <f>SUM(O2:O24)</f>
        <v>-3015.9999999999895</v>
      </c>
      <c r="P25" s="13">
        <f>SUM(P2:P24)</f>
        <v>49220.999999999985</v>
      </c>
    </row>
    <row r="26" spans="1:16">
      <c r="A26" s="13" t="s">
        <v>45</v>
      </c>
      <c r="B26" s="13">
        <f>AVERAGE(B2:B24)</f>
        <v>395013.625</v>
      </c>
      <c r="C26" s="13">
        <f>AVERAGE(C2:C24)</f>
        <v>13927.875</v>
      </c>
      <c r="D26" s="13">
        <f>AVERAGE(D2:D24)</f>
        <v>28.350064222228035</v>
      </c>
      <c r="E26" s="13">
        <f>AVERAGE(E2:E24)</f>
        <v>1.8088149350649352</v>
      </c>
      <c r="F26" s="13"/>
      <c r="G26" s="13"/>
      <c r="H26" s="13">
        <f>AVERAGE(H2:H24)</f>
        <v>42428.375</v>
      </c>
      <c r="N26" s="13">
        <f>AVERAGE(N2:N24)</f>
        <v>7062.0000000000018</v>
      </c>
      <c r="P26" s="13">
        <f>AVERAGE(P2:P24)</f>
        <v>7031.5714285714266</v>
      </c>
    </row>
    <row r="27" spans="1:16">
      <c r="A27" t="s">
        <v>43</v>
      </c>
      <c r="C27">
        <f>C25/7700</f>
        <v>14.47051948051948</v>
      </c>
      <c r="H27">
        <f>H25/7700</f>
        <v>44.081428571428575</v>
      </c>
      <c r="N27">
        <f>N25/7700</f>
        <v>6.4200000000000017</v>
      </c>
      <c r="O27">
        <f>O25/7700</f>
        <v>-0.39168831168831031</v>
      </c>
      <c r="P27">
        <f>P25/7700</f>
        <v>6.3923376623376607</v>
      </c>
    </row>
    <row r="28" spans="1:16">
      <c r="A28" s="13" t="s">
        <v>87</v>
      </c>
      <c r="C28">
        <f>C26/30.5</f>
        <v>456.65163934426232</v>
      </c>
      <c r="H28">
        <f>H26/30.5</f>
        <v>1391.094262295082</v>
      </c>
      <c r="N28">
        <f>N26/30.5</f>
        <v>231.54098360655743</v>
      </c>
      <c r="P28">
        <f>P26/30.5</f>
        <v>230.54332552693202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N46"/>
  <sheetViews>
    <sheetView workbookViewId="0">
      <selection activeCell="G16" sqref="G16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66</v>
      </c>
      <c r="B1" s="13" t="s">
        <v>73</v>
      </c>
      <c r="C1" s="13" t="s">
        <v>72</v>
      </c>
      <c r="D1" s="38" t="s">
        <v>74</v>
      </c>
      <c r="E1" s="13" t="s">
        <v>71</v>
      </c>
      <c r="F1" s="40" t="s">
        <v>80</v>
      </c>
      <c r="G1" s="40" t="s">
        <v>70</v>
      </c>
      <c r="H1" s="13" t="s">
        <v>52</v>
      </c>
      <c r="I1" s="4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</row>
    <row r="2" spans="1:14">
      <c r="A2" s="34">
        <v>44130</v>
      </c>
      <c r="B2" s="13">
        <v>66.2</v>
      </c>
      <c r="C2" s="13">
        <v>66.2</v>
      </c>
      <c r="D2" s="13">
        <v>66.2</v>
      </c>
      <c r="E2" s="13">
        <v>66.2</v>
      </c>
      <c r="F2" s="13">
        <v>66.2</v>
      </c>
      <c r="G2" s="13">
        <v>66.2</v>
      </c>
      <c r="H2" s="13">
        <v>66.2</v>
      </c>
      <c r="I2" s="13">
        <v>66.2</v>
      </c>
      <c r="J2" s="13">
        <v>66.2</v>
      </c>
      <c r="K2" s="13">
        <v>66.2</v>
      </c>
      <c r="L2" s="13">
        <v>66.2</v>
      </c>
      <c r="M2" s="13">
        <v>66.2</v>
      </c>
      <c r="N2" s="13">
        <v>66.2</v>
      </c>
    </row>
    <row r="3" spans="1:14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60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61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ref="F5" si="2">F4/7</f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62</v>
      </c>
      <c r="B6" s="13">
        <f t="shared" ref="B6:N7" si="3">B3*4</f>
        <v>0</v>
      </c>
      <c r="C6" s="13">
        <f t="shared" si="3"/>
        <v>0.4</v>
      </c>
      <c r="D6" s="13">
        <f t="shared" si="3"/>
        <v>0.6</v>
      </c>
      <c r="E6" s="13">
        <f t="shared" si="3"/>
        <v>0.8</v>
      </c>
      <c r="F6" s="13">
        <f t="shared" ref="F6" si="4">F3*4</f>
        <v>1</v>
      </c>
      <c r="G6" s="13">
        <f t="shared" si="3"/>
        <v>1.2</v>
      </c>
      <c r="H6" s="13">
        <f t="shared" si="3"/>
        <v>1.6</v>
      </c>
      <c r="I6" s="13">
        <f t="shared" si="3"/>
        <v>2</v>
      </c>
      <c r="J6" s="13">
        <f t="shared" si="3"/>
        <v>2.4</v>
      </c>
      <c r="K6" s="13">
        <f t="shared" si="3"/>
        <v>2.8</v>
      </c>
      <c r="L6" s="13">
        <f t="shared" si="3"/>
        <v>3.2</v>
      </c>
      <c r="M6" s="13">
        <f t="shared" si="3"/>
        <v>3.6</v>
      </c>
      <c r="N6" s="13">
        <f t="shared" si="3"/>
        <v>4</v>
      </c>
    </row>
    <row r="7" spans="1:14">
      <c r="A7" s="13" t="s">
        <v>63</v>
      </c>
      <c r="B7" s="13">
        <f t="shared" si="3"/>
        <v>0</v>
      </c>
      <c r="C7" s="13">
        <f t="shared" si="3"/>
        <v>3080</v>
      </c>
      <c r="D7" s="13">
        <f t="shared" si="3"/>
        <v>4620</v>
      </c>
      <c r="E7" s="44">
        <f t="shared" si="3"/>
        <v>6160</v>
      </c>
      <c r="F7" s="44">
        <f t="shared" ref="F7" si="5">F4*4</f>
        <v>7700</v>
      </c>
      <c r="G7" s="44">
        <f t="shared" si="3"/>
        <v>9240</v>
      </c>
      <c r="H7" s="44">
        <f t="shared" si="3"/>
        <v>12320</v>
      </c>
      <c r="I7" s="44">
        <f t="shared" si="3"/>
        <v>15400</v>
      </c>
      <c r="J7" s="44">
        <f t="shared" si="3"/>
        <v>18480</v>
      </c>
      <c r="K7" s="44">
        <f t="shared" si="3"/>
        <v>21560</v>
      </c>
      <c r="L7" s="44">
        <f t="shared" si="3"/>
        <v>24640</v>
      </c>
      <c r="M7" s="44">
        <f t="shared" si="3"/>
        <v>27720</v>
      </c>
      <c r="N7" s="44">
        <f t="shared" si="3"/>
        <v>30800</v>
      </c>
    </row>
    <row r="8" spans="1:14">
      <c r="A8" s="34">
        <f>A2+28</f>
        <v>44158</v>
      </c>
      <c r="B8" s="13">
        <f t="shared" ref="B8:N8" si="6">B$6*1</f>
        <v>0</v>
      </c>
      <c r="C8" s="13">
        <f t="shared" si="6"/>
        <v>0.4</v>
      </c>
      <c r="D8" s="13">
        <f t="shared" si="6"/>
        <v>0.6</v>
      </c>
      <c r="E8" s="44">
        <f t="shared" si="6"/>
        <v>0.8</v>
      </c>
      <c r="F8" s="44">
        <f t="shared" si="6"/>
        <v>1</v>
      </c>
      <c r="G8" s="44">
        <f t="shared" si="6"/>
        <v>1.2</v>
      </c>
      <c r="H8" s="44">
        <f t="shared" si="6"/>
        <v>1.6</v>
      </c>
      <c r="I8" s="44">
        <f t="shared" si="6"/>
        <v>2</v>
      </c>
      <c r="J8" s="44">
        <f t="shared" si="6"/>
        <v>2.4</v>
      </c>
      <c r="K8" s="44">
        <f t="shared" si="6"/>
        <v>2.8</v>
      </c>
      <c r="L8" s="44">
        <f t="shared" si="6"/>
        <v>3.2</v>
      </c>
      <c r="M8" s="44">
        <f t="shared" si="6"/>
        <v>3.6</v>
      </c>
      <c r="N8" s="44">
        <f t="shared" si="6"/>
        <v>4</v>
      </c>
    </row>
    <row r="9" spans="1:14">
      <c r="A9" s="34" t="s">
        <v>64</v>
      </c>
      <c r="B9" s="13">
        <f t="shared" ref="B9:N9" si="7">B$7*1</f>
        <v>0</v>
      </c>
      <c r="C9" s="13">
        <f t="shared" si="7"/>
        <v>3080</v>
      </c>
      <c r="D9" s="36">
        <f t="shared" si="7"/>
        <v>4620</v>
      </c>
      <c r="E9" s="36">
        <f t="shared" si="7"/>
        <v>6160</v>
      </c>
      <c r="F9" s="36">
        <f t="shared" si="7"/>
        <v>7700</v>
      </c>
      <c r="G9" s="36">
        <f t="shared" si="7"/>
        <v>9240</v>
      </c>
      <c r="H9" s="36">
        <f t="shared" si="7"/>
        <v>12320</v>
      </c>
      <c r="I9" s="36">
        <f t="shared" si="7"/>
        <v>15400</v>
      </c>
      <c r="J9" s="36">
        <f t="shared" si="7"/>
        <v>18480</v>
      </c>
      <c r="K9" s="36">
        <f t="shared" si="7"/>
        <v>21560</v>
      </c>
      <c r="L9" s="36">
        <f t="shared" si="7"/>
        <v>24640</v>
      </c>
      <c r="M9" s="36">
        <f t="shared" si="7"/>
        <v>27720</v>
      </c>
      <c r="N9" s="36">
        <f t="shared" si="7"/>
        <v>30800</v>
      </c>
    </row>
    <row r="10" spans="1:14">
      <c r="A10" s="13" t="s">
        <v>65</v>
      </c>
      <c r="B10" s="13">
        <f t="shared" ref="B10:N10" si="8">B$2-B$8</f>
        <v>66.2</v>
      </c>
      <c r="C10" s="36">
        <f t="shared" si="8"/>
        <v>65.8</v>
      </c>
      <c r="D10" s="42">
        <f t="shared" si="8"/>
        <v>65.600000000000009</v>
      </c>
      <c r="E10" s="36">
        <f t="shared" si="8"/>
        <v>65.400000000000006</v>
      </c>
      <c r="F10" s="41">
        <f t="shared" si="8"/>
        <v>65.2</v>
      </c>
      <c r="G10" s="36">
        <f t="shared" si="8"/>
        <v>65</v>
      </c>
      <c r="H10" s="36">
        <f t="shared" si="8"/>
        <v>64.600000000000009</v>
      </c>
      <c r="I10" s="36">
        <f t="shared" si="8"/>
        <v>64.2</v>
      </c>
      <c r="J10" s="36">
        <f t="shared" si="8"/>
        <v>63.800000000000004</v>
      </c>
      <c r="K10" s="36">
        <f t="shared" si="8"/>
        <v>63.400000000000006</v>
      </c>
      <c r="L10" s="36">
        <f t="shared" si="8"/>
        <v>63</v>
      </c>
      <c r="M10" s="36">
        <f t="shared" si="8"/>
        <v>62.6</v>
      </c>
      <c r="N10" s="36">
        <f t="shared" si="8"/>
        <v>62.2</v>
      </c>
    </row>
    <row r="11" spans="1:14">
      <c r="A11" s="34">
        <f>A8+28</f>
        <v>44186</v>
      </c>
      <c r="B11" s="13">
        <f t="shared" ref="B11:N11" si="9">B$6*2</f>
        <v>0</v>
      </c>
      <c r="C11" s="13">
        <f t="shared" si="9"/>
        <v>0.8</v>
      </c>
      <c r="D11" s="36">
        <f t="shared" si="9"/>
        <v>1.2</v>
      </c>
      <c r="E11" s="36">
        <f t="shared" si="9"/>
        <v>1.6</v>
      </c>
      <c r="F11" s="36">
        <f t="shared" si="9"/>
        <v>2</v>
      </c>
      <c r="G11" s="36">
        <f t="shared" si="9"/>
        <v>2.4</v>
      </c>
      <c r="H11" s="36">
        <f t="shared" si="9"/>
        <v>3.2</v>
      </c>
      <c r="I11" s="36">
        <f t="shared" si="9"/>
        <v>4</v>
      </c>
      <c r="J11" s="36">
        <f t="shared" si="9"/>
        <v>4.8</v>
      </c>
      <c r="K11" s="36">
        <f t="shared" si="9"/>
        <v>5.6</v>
      </c>
      <c r="L11" s="36">
        <f t="shared" si="9"/>
        <v>6.4</v>
      </c>
      <c r="M11" s="36">
        <f t="shared" si="9"/>
        <v>7.2</v>
      </c>
      <c r="N11" s="36">
        <f t="shared" si="9"/>
        <v>8</v>
      </c>
    </row>
    <row r="12" spans="1:14">
      <c r="A12" s="34" t="s">
        <v>64</v>
      </c>
      <c r="B12" s="13">
        <f t="shared" ref="B12:N12" si="10">B$7*2</f>
        <v>0</v>
      </c>
      <c r="C12" s="13">
        <f t="shared" si="10"/>
        <v>6160</v>
      </c>
      <c r="D12" s="36">
        <f t="shared" si="10"/>
        <v>9240</v>
      </c>
      <c r="E12" s="36">
        <f t="shared" si="10"/>
        <v>12320</v>
      </c>
      <c r="F12" s="36">
        <f t="shared" si="10"/>
        <v>15400</v>
      </c>
      <c r="G12" s="36">
        <f t="shared" si="10"/>
        <v>18480</v>
      </c>
      <c r="H12" s="36">
        <f t="shared" si="10"/>
        <v>24640</v>
      </c>
      <c r="I12" s="36">
        <f t="shared" si="10"/>
        <v>30800</v>
      </c>
      <c r="J12" s="36">
        <f t="shared" si="10"/>
        <v>36960</v>
      </c>
      <c r="K12" s="36">
        <f t="shared" si="10"/>
        <v>43120</v>
      </c>
      <c r="L12" s="36">
        <f t="shared" si="10"/>
        <v>49280</v>
      </c>
      <c r="M12" s="36">
        <f t="shared" si="10"/>
        <v>55440</v>
      </c>
      <c r="N12" s="36">
        <f t="shared" si="10"/>
        <v>61600</v>
      </c>
    </row>
    <row r="13" spans="1:14">
      <c r="A13" s="13" t="s">
        <v>65</v>
      </c>
      <c r="B13" s="13">
        <f t="shared" ref="B13:N13" si="11">B$2-B$11</f>
        <v>66.2</v>
      </c>
      <c r="C13" s="42">
        <f t="shared" si="11"/>
        <v>65.400000000000006</v>
      </c>
      <c r="D13" s="42">
        <f t="shared" si="11"/>
        <v>65</v>
      </c>
      <c r="E13" s="36">
        <f t="shared" si="11"/>
        <v>64.600000000000009</v>
      </c>
      <c r="F13" s="41">
        <f t="shared" si="11"/>
        <v>64.2</v>
      </c>
      <c r="G13" s="36">
        <f t="shared" si="11"/>
        <v>63.800000000000004</v>
      </c>
      <c r="H13" s="36">
        <f t="shared" si="11"/>
        <v>63</v>
      </c>
      <c r="I13" s="36">
        <f t="shared" si="11"/>
        <v>62.2</v>
      </c>
      <c r="J13" s="36">
        <f t="shared" si="11"/>
        <v>61.400000000000006</v>
      </c>
      <c r="K13" s="36">
        <f t="shared" si="11"/>
        <v>60.6</v>
      </c>
      <c r="L13" s="36">
        <f t="shared" si="11"/>
        <v>59.800000000000004</v>
      </c>
      <c r="M13" s="36">
        <f t="shared" si="11"/>
        <v>59</v>
      </c>
      <c r="N13" s="35">
        <f t="shared" si="11"/>
        <v>58.2</v>
      </c>
    </row>
    <row r="14" spans="1:14">
      <c r="A14" s="34">
        <f>A11+28</f>
        <v>44214</v>
      </c>
      <c r="B14" s="13">
        <f t="shared" ref="B14:N14" si="12">B$6*3</f>
        <v>0</v>
      </c>
      <c r="C14" s="13">
        <f t="shared" si="12"/>
        <v>1.2000000000000002</v>
      </c>
      <c r="D14" s="36">
        <f t="shared" si="12"/>
        <v>1.7999999999999998</v>
      </c>
      <c r="E14" s="36">
        <f t="shared" si="12"/>
        <v>2.4000000000000004</v>
      </c>
      <c r="F14" s="36">
        <f t="shared" si="12"/>
        <v>3</v>
      </c>
      <c r="G14" s="36">
        <f t="shared" si="12"/>
        <v>3.5999999999999996</v>
      </c>
      <c r="H14" s="36">
        <f t="shared" si="12"/>
        <v>4.8000000000000007</v>
      </c>
      <c r="I14" s="36">
        <f t="shared" si="12"/>
        <v>6</v>
      </c>
      <c r="J14" s="36">
        <f t="shared" si="12"/>
        <v>7.1999999999999993</v>
      </c>
      <c r="K14" s="36">
        <f t="shared" si="12"/>
        <v>8.3999999999999986</v>
      </c>
      <c r="L14" s="36">
        <f t="shared" si="12"/>
        <v>9.6000000000000014</v>
      </c>
      <c r="M14" s="36">
        <f t="shared" si="12"/>
        <v>10.8</v>
      </c>
      <c r="N14" s="36">
        <f t="shared" si="12"/>
        <v>12</v>
      </c>
    </row>
    <row r="15" spans="1:14">
      <c r="A15" s="34" t="s">
        <v>64</v>
      </c>
      <c r="B15" s="13">
        <f t="shared" ref="B15:N15" si="13">B$7*3</f>
        <v>0</v>
      </c>
      <c r="C15" s="13">
        <f t="shared" si="13"/>
        <v>9240</v>
      </c>
      <c r="D15" s="36">
        <f t="shared" si="13"/>
        <v>13860</v>
      </c>
      <c r="E15" s="36">
        <f t="shared" si="13"/>
        <v>18480</v>
      </c>
      <c r="F15" s="36">
        <f t="shared" si="13"/>
        <v>23100</v>
      </c>
      <c r="G15" s="36">
        <f t="shared" si="13"/>
        <v>27720</v>
      </c>
      <c r="H15" s="36">
        <f t="shared" si="13"/>
        <v>36960</v>
      </c>
      <c r="I15" s="36">
        <f t="shared" si="13"/>
        <v>46200</v>
      </c>
      <c r="J15" s="36">
        <f t="shared" si="13"/>
        <v>55440</v>
      </c>
      <c r="K15" s="36">
        <f t="shared" si="13"/>
        <v>64680</v>
      </c>
      <c r="L15" s="36">
        <f t="shared" si="13"/>
        <v>73920</v>
      </c>
      <c r="M15" s="36">
        <f t="shared" si="13"/>
        <v>83160</v>
      </c>
      <c r="N15" s="36">
        <f t="shared" si="13"/>
        <v>92400</v>
      </c>
    </row>
    <row r="16" spans="1:14">
      <c r="A16" s="13" t="s">
        <v>65</v>
      </c>
      <c r="B16" s="13">
        <f t="shared" ref="B16:N16" si="14">B$2-B$14</f>
        <v>66.2</v>
      </c>
      <c r="C16" s="13">
        <f t="shared" si="14"/>
        <v>65</v>
      </c>
      <c r="D16" s="42">
        <f t="shared" si="14"/>
        <v>64.400000000000006</v>
      </c>
      <c r="E16" s="36">
        <f t="shared" si="14"/>
        <v>63.800000000000004</v>
      </c>
      <c r="F16" s="36">
        <f t="shared" si="14"/>
        <v>63.2</v>
      </c>
      <c r="G16" s="36">
        <f t="shared" si="14"/>
        <v>62.6</v>
      </c>
      <c r="H16" s="36">
        <f t="shared" si="14"/>
        <v>61.400000000000006</v>
      </c>
      <c r="I16" s="36">
        <f t="shared" si="14"/>
        <v>60.2</v>
      </c>
      <c r="J16" s="36">
        <f t="shared" si="14"/>
        <v>59</v>
      </c>
      <c r="K16" s="35">
        <f t="shared" si="14"/>
        <v>57.800000000000004</v>
      </c>
      <c r="L16" s="35">
        <f t="shared" si="14"/>
        <v>56.6</v>
      </c>
      <c r="M16" s="35">
        <f t="shared" si="14"/>
        <v>55.400000000000006</v>
      </c>
      <c r="N16" s="36">
        <f t="shared" si="14"/>
        <v>54.2</v>
      </c>
    </row>
    <row r="17" spans="1:14">
      <c r="A17" s="34">
        <f>A14+28</f>
        <v>44242</v>
      </c>
      <c r="B17" s="13">
        <f t="shared" ref="B17:N17" si="15">B$6*4</f>
        <v>0</v>
      </c>
      <c r="C17" s="13">
        <f t="shared" si="15"/>
        <v>1.6</v>
      </c>
      <c r="D17" s="36">
        <f t="shared" si="15"/>
        <v>2.4</v>
      </c>
      <c r="E17" s="36">
        <f t="shared" si="15"/>
        <v>3.2</v>
      </c>
      <c r="F17" s="36">
        <f t="shared" si="15"/>
        <v>4</v>
      </c>
      <c r="G17" s="36">
        <f t="shared" si="15"/>
        <v>4.8</v>
      </c>
      <c r="H17" s="36">
        <f t="shared" si="15"/>
        <v>6.4</v>
      </c>
      <c r="I17" s="36">
        <f t="shared" si="15"/>
        <v>8</v>
      </c>
      <c r="J17" s="36">
        <f t="shared" si="15"/>
        <v>9.6</v>
      </c>
      <c r="K17" s="36">
        <f t="shared" si="15"/>
        <v>11.2</v>
      </c>
      <c r="L17" s="36">
        <f t="shared" si="15"/>
        <v>12.8</v>
      </c>
      <c r="M17" s="36">
        <f t="shared" si="15"/>
        <v>14.4</v>
      </c>
      <c r="N17" s="36">
        <f t="shared" si="15"/>
        <v>16</v>
      </c>
    </row>
    <row r="18" spans="1:14">
      <c r="A18" s="34" t="s">
        <v>64</v>
      </c>
      <c r="B18" s="13">
        <f t="shared" ref="B18:N18" si="16">B$7*4</f>
        <v>0</v>
      </c>
      <c r="C18" s="13">
        <f t="shared" si="16"/>
        <v>12320</v>
      </c>
      <c r="D18" s="36">
        <f t="shared" si="16"/>
        <v>18480</v>
      </c>
      <c r="E18" s="36">
        <f t="shared" si="16"/>
        <v>24640</v>
      </c>
      <c r="F18" s="36">
        <f t="shared" si="16"/>
        <v>30800</v>
      </c>
      <c r="G18" s="36">
        <f t="shared" si="16"/>
        <v>36960</v>
      </c>
      <c r="H18" s="36">
        <f t="shared" si="16"/>
        <v>49280</v>
      </c>
      <c r="I18" s="36">
        <f t="shared" si="16"/>
        <v>61600</v>
      </c>
      <c r="J18" s="36">
        <f t="shared" si="16"/>
        <v>73920</v>
      </c>
      <c r="K18" s="36">
        <f t="shared" si="16"/>
        <v>86240</v>
      </c>
      <c r="L18" s="36">
        <f t="shared" si="16"/>
        <v>98560</v>
      </c>
      <c r="M18" s="36">
        <f t="shared" si="16"/>
        <v>110880</v>
      </c>
      <c r="N18" s="36">
        <f t="shared" si="16"/>
        <v>123200</v>
      </c>
    </row>
    <row r="19" spans="1:14">
      <c r="A19" s="13" t="s">
        <v>65</v>
      </c>
      <c r="B19" s="13">
        <f t="shared" ref="B19:N19" si="17">B$2-B$17</f>
        <v>66.2</v>
      </c>
      <c r="C19" s="13">
        <f t="shared" si="17"/>
        <v>64.600000000000009</v>
      </c>
      <c r="D19" s="42">
        <f t="shared" si="17"/>
        <v>63.800000000000004</v>
      </c>
      <c r="E19" s="36">
        <f t="shared" si="17"/>
        <v>63</v>
      </c>
      <c r="F19" s="36">
        <f t="shared" si="17"/>
        <v>62.2</v>
      </c>
      <c r="G19" s="36">
        <f t="shared" si="17"/>
        <v>61.400000000000006</v>
      </c>
      <c r="H19" s="36">
        <f t="shared" si="17"/>
        <v>59.800000000000004</v>
      </c>
      <c r="I19" s="35">
        <f t="shared" si="17"/>
        <v>58.2</v>
      </c>
      <c r="J19" s="35">
        <f t="shared" si="17"/>
        <v>56.6</v>
      </c>
      <c r="K19" s="36">
        <f t="shared" si="17"/>
        <v>55</v>
      </c>
      <c r="L19" s="36">
        <f t="shared" si="17"/>
        <v>53.400000000000006</v>
      </c>
      <c r="M19" s="36">
        <f t="shared" si="17"/>
        <v>51.800000000000004</v>
      </c>
      <c r="N19" s="36">
        <f t="shared" si="17"/>
        <v>50.2</v>
      </c>
    </row>
    <row r="20" spans="1:14">
      <c r="A20" s="34">
        <f>A17+28</f>
        <v>44270</v>
      </c>
      <c r="B20" s="13">
        <f t="shared" ref="B20:N20" si="18">B$6*5</f>
        <v>0</v>
      </c>
      <c r="C20" s="13">
        <f t="shared" si="18"/>
        <v>2</v>
      </c>
      <c r="D20" s="36">
        <f t="shared" si="18"/>
        <v>3</v>
      </c>
      <c r="E20" s="36">
        <f t="shared" si="18"/>
        <v>4</v>
      </c>
      <c r="F20" s="36">
        <f t="shared" si="18"/>
        <v>5</v>
      </c>
      <c r="G20" s="36">
        <f t="shared" si="18"/>
        <v>6</v>
      </c>
      <c r="H20" s="36">
        <f t="shared" si="18"/>
        <v>8</v>
      </c>
      <c r="I20" s="36">
        <f t="shared" si="18"/>
        <v>10</v>
      </c>
      <c r="J20" s="36">
        <f t="shared" si="18"/>
        <v>12</v>
      </c>
      <c r="K20" s="36">
        <f t="shared" si="18"/>
        <v>14</v>
      </c>
      <c r="L20" s="36">
        <f t="shared" si="18"/>
        <v>16</v>
      </c>
      <c r="M20" s="36">
        <f t="shared" si="18"/>
        <v>18</v>
      </c>
      <c r="N20" s="36">
        <f t="shared" si="18"/>
        <v>20</v>
      </c>
    </row>
    <row r="21" spans="1:14">
      <c r="A21" s="34" t="s">
        <v>64</v>
      </c>
      <c r="B21" s="13">
        <f t="shared" ref="B21:N21" si="19">B$7*5</f>
        <v>0</v>
      </c>
      <c r="C21" s="13">
        <f t="shared" si="19"/>
        <v>15400</v>
      </c>
      <c r="D21" s="36">
        <f t="shared" si="19"/>
        <v>23100</v>
      </c>
      <c r="E21" s="36">
        <f t="shared" si="19"/>
        <v>30800</v>
      </c>
      <c r="F21" s="36">
        <f t="shared" si="19"/>
        <v>38500</v>
      </c>
      <c r="G21" s="36">
        <f t="shared" si="19"/>
        <v>46200</v>
      </c>
      <c r="H21" s="36">
        <f t="shared" si="19"/>
        <v>61600</v>
      </c>
      <c r="I21" s="36">
        <f t="shared" si="19"/>
        <v>77000</v>
      </c>
      <c r="J21" s="36">
        <f t="shared" si="19"/>
        <v>92400</v>
      </c>
      <c r="K21" s="36">
        <f t="shared" si="19"/>
        <v>107800</v>
      </c>
      <c r="L21" s="36">
        <f t="shared" si="19"/>
        <v>123200</v>
      </c>
      <c r="M21" s="36">
        <f t="shared" si="19"/>
        <v>138600</v>
      </c>
      <c r="N21" s="36">
        <f t="shared" si="19"/>
        <v>154000</v>
      </c>
    </row>
    <row r="22" spans="1:14">
      <c r="A22" s="13" t="s">
        <v>65</v>
      </c>
      <c r="B22" s="36">
        <f t="shared" ref="B22:N22" si="20">B$2-B$20</f>
        <v>66.2</v>
      </c>
      <c r="C22" s="13">
        <f t="shared" si="20"/>
        <v>64.2</v>
      </c>
      <c r="D22" s="36">
        <f t="shared" si="20"/>
        <v>63.2</v>
      </c>
      <c r="E22" s="42">
        <f t="shared" si="20"/>
        <v>62.2</v>
      </c>
      <c r="F22" s="42">
        <f t="shared" si="20"/>
        <v>61.2</v>
      </c>
      <c r="G22" s="36">
        <f t="shared" si="20"/>
        <v>60.2</v>
      </c>
      <c r="H22" s="35">
        <f t="shared" si="20"/>
        <v>58.2</v>
      </c>
      <c r="I22" s="36">
        <f t="shared" si="20"/>
        <v>56.2</v>
      </c>
      <c r="J22" s="36">
        <f t="shared" si="20"/>
        <v>54.2</v>
      </c>
      <c r="K22" s="36">
        <f t="shared" si="20"/>
        <v>52.2</v>
      </c>
      <c r="L22" s="36">
        <f t="shared" si="20"/>
        <v>50.2</v>
      </c>
      <c r="M22" s="36">
        <f t="shared" si="20"/>
        <v>48.2</v>
      </c>
      <c r="N22" s="36">
        <f t="shared" si="20"/>
        <v>46.2</v>
      </c>
    </row>
    <row r="23" spans="1:14">
      <c r="A23" s="34">
        <f>A20+28</f>
        <v>44298</v>
      </c>
      <c r="B23" s="13">
        <f t="shared" ref="B23:N23" si="21">B$6*6</f>
        <v>0</v>
      </c>
      <c r="C23" s="13">
        <f t="shared" si="21"/>
        <v>2.4000000000000004</v>
      </c>
      <c r="D23" s="36">
        <f t="shared" si="21"/>
        <v>3.5999999999999996</v>
      </c>
      <c r="E23" s="36">
        <f t="shared" si="21"/>
        <v>4.8000000000000007</v>
      </c>
      <c r="F23" s="36">
        <f t="shared" si="21"/>
        <v>6</v>
      </c>
      <c r="G23" s="36">
        <f t="shared" si="21"/>
        <v>7.1999999999999993</v>
      </c>
      <c r="H23" s="36">
        <f t="shared" si="21"/>
        <v>9.6000000000000014</v>
      </c>
      <c r="I23" s="36">
        <f t="shared" si="21"/>
        <v>12</v>
      </c>
      <c r="J23" s="36">
        <f t="shared" si="21"/>
        <v>14.399999999999999</v>
      </c>
      <c r="K23" s="36">
        <f t="shared" si="21"/>
        <v>16.799999999999997</v>
      </c>
      <c r="L23" s="36">
        <f t="shared" si="21"/>
        <v>19.200000000000003</v>
      </c>
      <c r="M23" s="36">
        <f t="shared" si="21"/>
        <v>21.6</v>
      </c>
      <c r="N23" s="36">
        <f t="shared" si="21"/>
        <v>24</v>
      </c>
    </row>
    <row r="24" spans="1:14">
      <c r="A24" s="34" t="s">
        <v>64</v>
      </c>
      <c r="B24" s="13">
        <f t="shared" ref="B24:N24" si="22">B$7*6</f>
        <v>0</v>
      </c>
      <c r="C24" s="13">
        <f t="shared" si="22"/>
        <v>18480</v>
      </c>
      <c r="D24" s="36">
        <f t="shared" si="22"/>
        <v>27720</v>
      </c>
      <c r="E24" s="36">
        <f t="shared" si="22"/>
        <v>36960</v>
      </c>
      <c r="F24" s="36">
        <f t="shared" si="22"/>
        <v>46200</v>
      </c>
      <c r="G24" s="36">
        <f t="shared" si="22"/>
        <v>55440</v>
      </c>
      <c r="H24" s="36">
        <f t="shared" si="22"/>
        <v>73920</v>
      </c>
      <c r="I24" s="36">
        <f t="shared" si="22"/>
        <v>92400</v>
      </c>
      <c r="J24" s="36">
        <f t="shared" si="22"/>
        <v>110880</v>
      </c>
      <c r="K24" s="36">
        <f t="shared" si="22"/>
        <v>129360</v>
      </c>
      <c r="L24" s="36">
        <f t="shared" si="22"/>
        <v>147840</v>
      </c>
      <c r="M24" s="36">
        <f t="shared" si="22"/>
        <v>166320</v>
      </c>
      <c r="N24" s="36">
        <f t="shared" si="22"/>
        <v>184800</v>
      </c>
    </row>
    <row r="25" spans="1:14">
      <c r="A25" s="13" t="s">
        <v>65</v>
      </c>
      <c r="B25" s="13">
        <f t="shared" ref="B25:N25" si="23">B$2-B23</f>
        <v>66.2</v>
      </c>
      <c r="C25" s="36">
        <f t="shared" si="23"/>
        <v>63.800000000000004</v>
      </c>
      <c r="D25" s="42">
        <f t="shared" si="23"/>
        <v>62.6</v>
      </c>
      <c r="E25" s="36">
        <f t="shared" si="23"/>
        <v>61.400000000000006</v>
      </c>
      <c r="F25" s="36">
        <f t="shared" ref="F25" si="24">F$2-F23</f>
        <v>60.2</v>
      </c>
      <c r="G25" s="36">
        <f t="shared" si="23"/>
        <v>59</v>
      </c>
      <c r="H25" s="36">
        <f t="shared" si="23"/>
        <v>56.6</v>
      </c>
      <c r="I25" s="36">
        <f t="shared" si="23"/>
        <v>54.2</v>
      </c>
      <c r="J25" s="36">
        <f t="shared" si="23"/>
        <v>51.800000000000004</v>
      </c>
      <c r="K25" s="36">
        <f t="shared" si="23"/>
        <v>49.400000000000006</v>
      </c>
      <c r="L25" s="36">
        <f t="shared" si="23"/>
        <v>47</v>
      </c>
      <c r="M25" s="36">
        <f t="shared" si="23"/>
        <v>44.6</v>
      </c>
      <c r="N25" s="36">
        <f t="shared" si="23"/>
        <v>42.2</v>
      </c>
    </row>
    <row r="26" spans="1:14">
      <c r="A26" s="34">
        <f>A23+28</f>
        <v>44326</v>
      </c>
      <c r="B26" s="13">
        <f t="shared" ref="B26:N26" si="25">B$6*7</f>
        <v>0</v>
      </c>
      <c r="C26" s="13">
        <f t="shared" si="25"/>
        <v>2.8000000000000003</v>
      </c>
      <c r="D26" s="36">
        <f t="shared" si="25"/>
        <v>4.2</v>
      </c>
      <c r="E26" s="36">
        <f t="shared" si="25"/>
        <v>5.6000000000000005</v>
      </c>
      <c r="F26" s="36">
        <f t="shared" si="25"/>
        <v>7</v>
      </c>
      <c r="G26" s="36">
        <f t="shared" si="25"/>
        <v>8.4</v>
      </c>
      <c r="H26" s="36">
        <f t="shared" si="25"/>
        <v>11.200000000000001</v>
      </c>
      <c r="I26" s="36">
        <f t="shared" si="25"/>
        <v>14</v>
      </c>
      <c r="J26" s="36">
        <f t="shared" si="25"/>
        <v>16.8</v>
      </c>
      <c r="K26" s="36">
        <f t="shared" si="25"/>
        <v>19.599999999999998</v>
      </c>
      <c r="L26" s="36">
        <f t="shared" si="25"/>
        <v>22.400000000000002</v>
      </c>
      <c r="M26" s="36">
        <f t="shared" si="25"/>
        <v>25.2</v>
      </c>
      <c r="N26" s="36">
        <f t="shared" si="25"/>
        <v>28</v>
      </c>
    </row>
    <row r="27" spans="1:14">
      <c r="A27" s="34" t="s">
        <v>64</v>
      </c>
      <c r="B27" s="13">
        <f t="shared" ref="B27:N27" si="26">B$7*7</f>
        <v>0</v>
      </c>
      <c r="C27" s="13">
        <f t="shared" si="26"/>
        <v>21560</v>
      </c>
      <c r="D27" s="36">
        <f t="shared" si="26"/>
        <v>32340</v>
      </c>
      <c r="E27" s="36">
        <f t="shared" si="26"/>
        <v>43120</v>
      </c>
      <c r="F27" s="36">
        <f t="shared" si="26"/>
        <v>53900</v>
      </c>
      <c r="G27" s="36">
        <f t="shared" si="26"/>
        <v>64680</v>
      </c>
      <c r="H27" s="36">
        <f t="shared" si="26"/>
        <v>86240</v>
      </c>
      <c r="I27" s="36">
        <f t="shared" si="26"/>
        <v>107800</v>
      </c>
      <c r="J27" s="36">
        <f t="shared" si="26"/>
        <v>129360</v>
      </c>
      <c r="K27" s="36">
        <f t="shared" si="26"/>
        <v>150920</v>
      </c>
      <c r="L27" s="36">
        <f t="shared" si="26"/>
        <v>172480</v>
      </c>
      <c r="M27" s="36">
        <f t="shared" si="26"/>
        <v>194040</v>
      </c>
      <c r="N27" s="36">
        <f t="shared" si="26"/>
        <v>215600</v>
      </c>
    </row>
    <row r="28" spans="1:14" ht="15.75">
      <c r="A28" s="13" t="s">
        <v>65</v>
      </c>
      <c r="B28" s="36">
        <f t="shared" ref="B28:N28" si="27">B$2-B26</f>
        <v>66.2</v>
      </c>
      <c r="C28" s="13">
        <f t="shared" si="27"/>
        <v>63.400000000000006</v>
      </c>
      <c r="D28" s="36">
        <f t="shared" si="27"/>
        <v>62</v>
      </c>
      <c r="E28" s="36">
        <f t="shared" si="27"/>
        <v>60.6</v>
      </c>
      <c r="F28" s="36">
        <f t="shared" ref="F28" si="28">F$2-F26</f>
        <v>59.2</v>
      </c>
      <c r="G28" s="35">
        <f t="shared" si="27"/>
        <v>57.800000000000004</v>
      </c>
      <c r="H28" s="36">
        <f t="shared" si="27"/>
        <v>55</v>
      </c>
      <c r="I28" s="36">
        <f t="shared" si="27"/>
        <v>52.2</v>
      </c>
      <c r="J28" s="36">
        <f t="shared" si="27"/>
        <v>49.400000000000006</v>
      </c>
      <c r="K28" s="37">
        <f t="shared" si="27"/>
        <v>46.600000000000009</v>
      </c>
      <c r="L28" s="36">
        <f t="shared" si="27"/>
        <v>43.8</v>
      </c>
      <c r="M28" s="36">
        <f t="shared" si="27"/>
        <v>41</v>
      </c>
      <c r="N28" s="36">
        <f t="shared" si="27"/>
        <v>38.200000000000003</v>
      </c>
    </row>
    <row r="29" spans="1:14">
      <c r="A29" s="34">
        <f>A26+28</f>
        <v>44354</v>
      </c>
      <c r="B29" s="13">
        <f t="shared" ref="B29:N29" si="29">B$6*8</f>
        <v>0</v>
      </c>
      <c r="C29" s="13">
        <f t="shared" si="29"/>
        <v>3.2</v>
      </c>
      <c r="D29" s="36">
        <f t="shared" si="29"/>
        <v>4.8</v>
      </c>
      <c r="E29" s="36">
        <f t="shared" si="29"/>
        <v>6.4</v>
      </c>
      <c r="F29" s="36">
        <f t="shared" si="29"/>
        <v>8</v>
      </c>
      <c r="G29" s="36">
        <f t="shared" si="29"/>
        <v>9.6</v>
      </c>
      <c r="H29" s="36">
        <f t="shared" si="29"/>
        <v>12.8</v>
      </c>
      <c r="I29" s="36">
        <f t="shared" si="29"/>
        <v>16</v>
      </c>
      <c r="J29" s="36">
        <f t="shared" si="29"/>
        <v>19.2</v>
      </c>
      <c r="K29" s="36">
        <f t="shared" si="29"/>
        <v>22.4</v>
      </c>
      <c r="L29" s="36">
        <f t="shared" si="29"/>
        <v>25.6</v>
      </c>
      <c r="M29" s="36">
        <f t="shared" si="29"/>
        <v>28.8</v>
      </c>
      <c r="N29" s="36">
        <f t="shared" si="29"/>
        <v>32</v>
      </c>
    </row>
    <row r="30" spans="1:14">
      <c r="A30" s="34" t="s">
        <v>64</v>
      </c>
      <c r="B30" s="13">
        <f t="shared" ref="B30:N30" si="30">B$7*8</f>
        <v>0</v>
      </c>
      <c r="C30" s="13">
        <f t="shared" si="30"/>
        <v>24640</v>
      </c>
      <c r="D30" s="36">
        <f t="shared" si="30"/>
        <v>36960</v>
      </c>
      <c r="E30" s="36">
        <f t="shared" si="30"/>
        <v>49280</v>
      </c>
      <c r="F30" s="36">
        <f t="shared" si="30"/>
        <v>61600</v>
      </c>
      <c r="G30" s="36">
        <f t="shared" si="30"/>
        <v>73920</v>
      </c>
      <c r="H30" s="36">
        <f t="shared" si="30"/>
        <v>98560</v>
      </c>
      <c r="I30" s="36">
        <f t="shared" si="30"/>
        <v>123200</v>
      </c>
      <c r="J30" s="36">
        <f t="shared" si="30"/>
        <v>147840</v>
      </c>
      <c r="K30" s="36">
        <f t="shared" si="30"/>
        <v>172480</v>
      </c>
      <c r="L30" s="36">
        <f t="shared" si="30"/>
        <v>197120</v>
      </c>
      <c r="M30" s="36">
        <f t="shared" si="30"/>
        <v>221760</v>
      </c>
      <c r="N30" s="36">
        <f t="shared" si="30"/>
        <v>246400</v>
      </c>
    </row>
    <row r="31" spans="1:14" ht="15.75">
      <c r="A31" s="13" t="s">
        <v>65</v>
      </c>
      <c r="B31" s="36">
        <f t="shared" ref="B31:N31" si="31">B$2-B29</f>
        <v>66.2</v>
      </c>
      <c r="C31" s="13">
        <f t="shared" si="31"/>
        <v>63</v>
      </c>
      <c r="D31" s="36">
        <f t="shared" si="31"/>
        <v>61.400000000000006</v>
      </c>
      <c r="E31" s="36">
        <f t="shared" si="31"/>
        <v>59.800000000000004</v>
      </c>
      <c r="F31" s="35">
        <f t="shared" ref="F31" si="32">F$2-F29</f>
        <v>58.2</v>
      </c>
      <c r="G31" s="36">
        <f t="shared" si="31"/>
        <v>56.6</v>
      </c>
      <c r="H31" s="36">
        <f t="shared" si="31"/>
        <v>53.400000000000006</v>
      </c>
      <c r="I31" s="36">
        <f t="shared" si="31"/>
        <v>50.2</v>
      </c>
      <c r="J31" s="36">
        <f t="shared" si="31"/>
        <v>47</v>
      </c>
      <c r="K31" s="37">
        <f t="shared" si="31"/>
        <v>43.800000000000004</v>
      </c>
      <c r="L31" s="36">
        <f t="shared" si="31"/>
        <v>40.6</v>
      </c>
      <c r="M31" s="36">
        <f t="shared" si="31"/>
        <v>37.400000000000006</v>
      </c>
      <c r="N31" s="36">
        <f t="shared" si="31"/>
        <v>34.200000000000003</v>
      </c>
    </row>
    <row r="32" spans="1:14">
      <c r="A32" s="34">
        <f>A29+28</f>
        <v>44382</v>
      </c>
      <c r="B32" s="13">
        <f t="shared" ref="B32:N32" si="33">B$6*9</f>
        <v>0</v>
      </c>
      <c r="C32" s="13">
        <f t="shared" si="33"/>
        <v>3.6</v>
      </c>
      <c r="D32" s="36">
        <f t="shared" si="33"/>
        <v>5.3999999999999995</v>
      </c>
      <c r="E32" s="36">
        <f t="shared" si="33"/>
        <v>7.2</v>
      </c>
      <c r="F32" s="36">
        <f t="shared" si="33"/>
        <v>9</v>
      </c>
      <c r="G32" s="36">
        <f t="shared" si="33"/>
        <v>10.799999999999999</v>
      </c>
      <c r="H32" s="36">
        <f t="shared" si="33"/>
        <v>14.4</v>
      </c>
      <c r="I32" s="36">
        <f t="shared" si="33"/>
        <v>18</v>
      </c>
      <c r="J32" s="36">
        <f t="shared" si="33"/>
        <v>21.599999999999998</v>
      </c>
      <c r="K32" s="36">
        <f t="shared" si="33"/>
        <v>25.2</v>
      </c>
      <c r="L32" s="36">
        <f t="shared" si="33"/>
        <v>28.8</v>
      </c>
      <c r="M32" s="36">
        <f t="shared" si="33"/>
        <v>32.4</v>
      </c>
      <c r="N32" s="36">
        <f t="shared" si="33"/>
        <v>36</v>
      </c>
    </row>
    <row r="33" spans="1:14">
      <c r="A33" s="34" t="s">
        <v>64</v>
      </c>
      <c r="B33" s="13">
        <f t="shared" ref="B33:N33" si="34">B$7*9</f>
        <v>0</v>
      </c>
      <c r="C33" s="13">
        <f t="shared" si="34"/>
        <v>27720</v>
      </c>
      <c r="D33" s="36">
        <f t="shared" si="34"/>
        <v>41580</v>
      </c>
      <c r="E33" s="36">
        <f t="shared" si="34"/>
        <v>55440</v>
      </c>
      <c r="F33" s="36">
        <f t="shared" si="34"/>
        <v>69300</v>
      </c>
      <c r="G33" s="36">
        <f t="shared" si="34"/>
        <v>83160</v>
      </c>
      <c r="H33" s="36">
        <f t="shared" si="34"/>
        <v>110880</v>
      </c>
      <c r="I33" s="36">
        <f t="shared" si="34"/>
        <v>138600</v>
      </c>
      <c r="J33" s="36">
        <f t="shared" si="34"/>
        <v>166320</v>
      </c>
      <c r="K33" s="36">
        <f t="shared" si="34"/>
        <v>194040</v>
      </c>
      <c r="L33" s="36">
        <f t="shared" si="34"/>
        <v>221760</v>
      </c>
      <c r="M33" s="36">
        <f t="shared" si="34"/>
        <v>249480</v>
      </c>
      <c r="N33" s="36">
        <f t="shared" si="34"/>
        <v>277200</v>
      </c>
    </row>
    <row r="34" spans="1:14" ht="15.75">
      <c r="A34" s="13" t="s">
        <v>65</v>
      </c>
      <c r="B34" s="36">
        <f t="shared" ref="B34:N34" si="35">B$2-B32</f>
        <v>66.2</v>
      </c>
      <c r="C34" s="13">
        <f t="shared" si="35"/>
        <v>62.6</v>
      </c>
      <c r="D34" s="36">
        <f t="shared" si="35"/>
        <v>60.800000000000004</v>
      </c>
      <c r="E34" s="36">
        <f t="shared" si="35"/>
        <v>59</v>
      </c>
      <c r="F34" s="36">
        <f t="shared" ref="F34" si="36">F$2-F32</f>
        <v>57.2</v>
      </c>
      <c r="G34" s="36">
        <f t="shared" si="35"/>
        <v>55.400000000000006</v>
      </c>
      <c r="H34" s="36">
        <f t="shared" si="35"/>
        <v>51.800000000000004</v>
      </c>
      <c r="I34" s="36">
        <f t="shared" si="35"/>
        <v>48.2</v>
      </c>
      <c r="J34" s="36">
        <f t="shared" si="35"/>
        <v>44.600000000000009</v>
      </c>
      <c r="K34" s="37">
        <f t="shared" si="35"/>
        <v>41</v>
      </c>
      <c r="L34" s="36">
        <f t="shared" si="35"/>
        <v>37.400000000000006</v>
      </c>
      <c r="M34" s="36">
        <f t="shared" si="35"/>
        <v>33.800000000000004</v>
      </c>
      <c r="N34" s="36">
        <f t="shared" si="35"/>
        <v>30.200000000000003</v>
      </c>
    </row>
    <row r="35" spans="1:14">
      <c r="A35" s="34">
        <f>A32+28</f>
        <v>44410</v>
      </c>
      <c r="B35" s="13">
        <f t="shared" ref="B35:N35" si="37">B$6*10</f>
        <v>0</v>
      </c>
      <c r="C35" s="13">
        <f t="shared" si="37"/>
        <v>4</v>
      </c>
      <c r="D35" s="36">
        <f t="shared" si="37"/>
        <v>6</v>
      </c>
      <c r="E35" s="36">
        <f t="shared" si="37"/>
        <v>8</v>
      </c>
      <c r="F35" s="36">
        <f t="shared" si="37"/>
        <v>10</v>
      </c>
      <c r="G35" s="36">
        <f t="shared" si="37"/>
        <v>12</v>
      </c>
      <c r="H35" s="36">
        <f t="shared" si="37"/>
        <v>16</v>
      </c>
      <c r="I35" s="36">
        <f t="shared" si="37"/>
        <v>20</v>
      </c>
      <c r="J35" s="36">
        <f t="shared" si="37"/>
        <v>24</v>
      </c>
      <c r="K35" s="36">
        <f t="shared" si="37"/>
        <v>28</v>
      </c>
      <c r="L35" s="36">
        <f t="shared" si="37"/>
        <v>32</v>
      </c>
      <c r="M35" s="36">
        <f t="shared" si="37"/>
        <v>36</v>
      </c>
      <c r="N35" s="36">
        <f t="shared" si="37"/>
        <v>40</v>
      </c>
    </row>
    <row r="36" spans="1:14">
      <c r="A36" s="34" t="s">
        <v>64</v>
      </c>
      <c r="B36" s="13">
        <f t="shared" ref="B36:N36" si="38">B$7*10</f>
        <v>0</v>
      </c>
      <c r="C36" s="13">
        <f t="shared" si="38"/>
        <v>30800</v>
      </c>
      <c r="D36" s="36">
        <f t="shared" si="38"/>
        <v>46200</v>
      </c>
      <c r="E36" s="36">
        <f t="shared" si="38"/>
        <v>61600</v>
      </c>
      <c r="F36" s="36">
        <f t="shared" si="38"/>
        <v>77000</v>
      </c>
      <c r="G36" s="36">
        <f t="shared" si="38"/>
        <v>92400</v>
      </c>
      <c r="H36" s="36">
        <f t="shared" si="38"/>
        <v>123200</v>
      </c>
      <c r="I36" s="36">
        <f t="shared" si="38"/>
        <v>154000</v>
      </c>
      <c r="J36" s="36">
        <f t="shared" si="38"/>
        <v>184800</v>
      </c>
      <c r="K36" s="36">
        <f t="shared" si="38"/>
        <v>215600</v>
      </c>
      <c r="L36" s="36">
        <f t="shared" si="38"/>
        <v>246400</v>
      </c>
      <c r="M36" s="36">
        <f t="shared" si="38"/>
        <v>277200</v>
      </c>
      <c r="N36" s="36">
        <f t="shared" si="38"/>
        <v>308000</v>
      </c>
    </row>
    <row r="37" spans="1:14" ht="15.75">
      <c r="A37" s="13" t="s">
        <v>65</v>
      </c>
      <c r="B37" s="36">
        <f t="shared" ref="B37:N37" si="39">B$2-B35</f>
        <v>66.2</v>
      </c>
      <c r="C37" s="36">
        <f t="shared" si="39"/>
        <v>62.2</v>
      </c>
      <c r="D37" s="36">
        <f t="shared" si="39"/>
        <v>60.2</v>
      </c>
      <c r="E37" s="35">
        <f t="shared" si="39"/>
        <v>58.2</v>
      </c>
      <c r="F37" s="36">
        <f t="shared" ref="F37" si="40">F$2-F35</f>
        <v>56.2</v>
      </c>
      <c r="G37" s="36">
        <f t="shared" si="39"/>
        <v>54.2</v>
      </c>
      <c r="H37" s="36">
        <f t="shared" si="39"/>
        <v>50.2</v>
      </c>
      <c r="I37" s="36">
        <f t="shared" si="39"/>
        <v>46.2</v>
      </c>
      <c r="J37" s="36">
        <f t="shared" si="39"/>
        <v>42.2</v>
      </c>
      <c r="K37" s="37">
        <f t="shared" si="39"/>
        <v>38.200000000000003</v>
      </c>
      <c r="L37" s="36">
        <f t="shared" si="39"/>
        <v>34.200000000000003</v>
      </c>
      <c r="M37" s="36">
        <f t="shared" si="39"/>
        <v>30.200000000000003</v>
      </c>
      <c r="N37" s="36">
        <f t="shared" si="39"/>
        <v>26.200000000000003</v>
      </c>
    </row>
    <row r="38" spans="1:14">
      <c r="A38" s="34">
        <f>A35+28</f>
        <v>44438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44">
        <f t="shared" ref="E38:N38" si="41">E$6*11</f>
        <v>8.8000000000000007</v>
      </c>
      <c r="F38" s="44">
        <f t="shared" si="41"/>
        <v>11</v>
      </c>
      <c r="G38" s="44">
        <f t="shared" si="41"/>
        <v>13.2</v>
      </c>
      <c r="H38" s="36">
        <f t="shared" si="41"/>
        <v>17.600000000000001</v>
      </c>
      <c r="I38" s="44">
        <f t="shared" si="41"/>
        <v>22</v>
      </c>
      <c r="J38" s="44">
        <f t="shared" si="41"/>
        <v>26.4</v>
      </c>
      <c r="K38" s="36">
        <f t="shared" si="41"/>
        <v>30.799999999999997</v>
      </c>
      <c r="L38" s="44">
        <f t="shared" si="41"/>
        <v>35.200000000000003</v>
      </c>
      <c r="M38" s="44">
        <f t="shared" si="41"/>
        <v>39.6</v>
      </c>
      <c r="N38" s="36">
        <f t="shared" si="41"/>
        <v>44</v>
      </c>
    </row>
    <row r="39" spans="1:14">
      <c r="A39" s="34" t="s">
        <v>64</v>
      </c>
      <c r="B39" s="13">
        <f t="shared" ref="B39:N39" si="42">B$7*8</f>
        <v>0</v>
      </c>
      <c r="C39" s="13">
        <f t="shared" si="42"/>
        <v>24640</v>
      </c>
      <c r="D39" s="36">
        <f t="shared" si="42"/>
        <v>36960</v>
      </c>
      <c r="E39" s="36">
        <f t="shared" si="42"/>
        <v>49280</v>
      </c>
      <c r="F39" s="36">
        <f t="shared" si="42"/>
        <v>61600</v>
      </c>
      <c r="G39" s="36">
        <f t="shared" si="42"/>
        <v>73920</v>
      </c>
      <c r="H39" s="36">
        <f t="shared" si="42"/>
        <v>98560</v>
      </c>
      <c r="I39" s="36">
        <f t="shared" si="42"/>
        <v>123200</v>
      </c>
      <c r="J39" s="36">
        <f t="shared" si="42"/>
        <v>147840</v>
      </c>
      <c r="K39" s="36">
        <f t="shared" si="42"/>
        <v>172480</v>
      </c>
      <c r="L39" s="36">
        <f t="shared" si="42"/>
        <v>197120</v>
      </c>
      <c r="M39" s="36">
        <f t="shared" si="42"/>
        <v>221760</v>
      </c>
      <c r="N39" s="36">
        <f t="shared" si="42"/>
        <v>246400</v>
      </c>
    </row>
    <row r="40" spans="1:14" ht="15.75">
      <c r="A40" s="13" t="s">
        <v>65</v>
      </c>
      <c r="B40" s="36">
        <f t="shared" ref="B40:N40" si="43">B$2-B38</f>
        <v>66.2</v>
      </c>
      <c r="C40" s="13">
        <f t="shared" si="43"/>
        <v>61.800000000000004</v>
      </c>
      <c r="D40" s="36">
        <f t="shared" si="43"/>
        <v>59.6</v>
      </c>
      <c r="E40" s="36">
        <f t="shared" si="43"/>
        <v>57.400000000000006</v>
      </c>
      <c r="F40" s="36">
        <f t="shared" ref="F40" si="44">F$2-F38</f>
        <v>55.2</v>
      </c>
      <c r="G40" s="36">
        <f t="shared" si="43"/>
        <v>53</v>
      </c>
      <c r="H40" s="36">
        <f t="shared" si="43"/>
        <v>48.6</v>
      </c>
      <c r="I40" s="36">
        <f t="shared" si="43"/>
        <v>44.2</v>
      </c>
      <c r="J40" s="36">
        <f t="shared" si="43"/>
        <v>39.800000000000004</v>
      </c>
      <c r="K40" s="37">
        <f t="shared" si="43"/>
        <v>35.400000000000006</v>
      </c>
      <c r="L40" s="36">
        <f t="shared" si="43"/>
        <v>31</v>
      </c>
      <c r="M40" s="36">
        <f t="shared" si="43"/>
        <v>26.6</v>
      </c>
      <c r="N40" s="36">
        <f t="shared" si="43"/>
        <v>22.200000000000003</v>
      </c>
    </row>
    <row r="41" spans="1:14">
      <c r="A41" s="34">
        <f>A38+28</f>
        <v>44466</v>
      </c>
      <c r="B41" s="13">
        <f>B$6*12</f>
        <v>0</v>
      </c>
      <c r="C41" s="13">
        <f>C$6*12</f>
        <v>4.8000000000000007</v>
      </c>
      <c r="D41" s="13">
        <f t="shared" ref="D41:N41" si="45">D$6*12</f>
        <v>7.1999999999999993</v>
      </c>
      <c r="E41" s="44">
        <f t="shared" si="45"/>
        <v>9.6000000000000014</v>
      </c>
      <c r="F41" s="44">
        <f t="shared" si="45"/>
        <v>12</v>
      </c>
      <c r="G41" s="44">
        <f t="shared" si="45"/>
        <v>14.399999999999999</v>
      </c>
      <c r="H41" s="44">
        <f t="shared" si="45"/>
        <v>19.200000000000003</v>
      </c>
      <c r="I41" s="44">
        <f t="shared" si="45"/>
        <v>24</v>
      </c>
      <c r="J41" s="44">
        <f t="shared" si="45"/>
        <v>28.799999999999997</v>
      </c>
      <c r="K41" s="44">
        <f t="shared" si="45"/>
        <v>33.599999999999994</v>
      </c>
      <c r="L41" s="44">
        <f t="shared" si="45"/>
        <v>38.400000000000006</v>
      </c>
      <c r="M41" s="44">
        <f t="shared" si="45"/>
        <v>43.2</v>
      </c>
      <c r="N41" s="44">
        <f t="shared" si="45"/>
        <v>48</v>
      </c>
    </row>
    <row r="42" spans="1:14">
      <c r="A42" s="34" t="s">
        <v>64</v>
      </c>
      <c r="B42" s="13">
        <f t="shared" ref="B42:N42" si="46">B$7*9</f>
        <v>0</v>
      </c>
      <c r="C42" s="13">
        <f t="shared" si="46"/>
        <v>27720</v>
      </c>
      <c r="D42" s="36">
        <f t="shared" si="46"/>
        <v>41580</v>
      </c>
      <c r="E42" s="36">
        <f t="shared" si="46"/>
        <v>55440</v>
      </c>
      <c r="F42" s="36">
        <f t="shared" si="46"/>
        <v>69300</v>
      </c>
      <c r="G42" s="36">
        <f t="shared" si="46"/>
        <v>83160</v>
      </c>
      <c r="H42" s="36">
        <f t="shared" si="46"/>
        <v>110880</v>
      </c>
      <c r="I42" s="36">
        <f t="shared" si="46"/>
        <v>138600</v>
      </c>
      <c r="J42" s="36">
        <f t="shared" si="46"/>
        <v>166320</v>
      </c>
      <c r="K42" s="36">
        <f t="shared" si="46"/>
        <v>194040</v>
      </c>
      <c r="L42" s="36">
        <f t="shared" si="46"/>
        <v>221760</v>
      </c>
      <c r="M42" s="36">
        <f t="shared" si="46"/>
        <v>249480</v>
      </c>
      <c r="N42" s="36">
        <f t="shared" si="46"/>
        <v>277200</v>
      </c>
    </row>
    <row r="43" spans="1:14" ht="15.75">
      <c r="A43" s="13" t="s">
        <v>65</v>
      </c>
      <c r="B43" s="36">
        <f t="shared" ref="B43:N43" si="47">B$2-B41</f>
        <v>66.2</v>
      </c>
      <c r="C43" s="13">
        <f t="shared" si="47"/>
        <v>61.400000000000006</v>
      </c>
      <c r="D43" s="36">
        <f t="shared" si="47"/>
        <v>59</v>
      </c>
      <c r="E43" s="36">
        <f t="shared" si="47"/>
        <v>56.6</v>
      </c>
      <c r="F43" s="36">
        <f t="shared" ref="F43" si="48">F$2-F41</f>
        <v>54.2</v>
      </c>
      <c r="G43" s="36">
        <f t="shared" si="47"/>
        <v>51.800000000000004</v>
      </c>
      <c r="H43" s="36">
        <f t="shared" si="47"/>
        <v>47</v>
      </c>
      <c r="I43" s="36">
        <f t="shared" si="47"/>
        <v>42.2</v>
      </c>
      <c r="J43" s="36">
        <f t="shared" si="47"/>
        <v>37.400000000000006</v>
      </c>
      <c r="K43" s="37">
        <f t="shared" si="47"/>
        <v>32.600000000000009</v>
      </c>
      <c r="L43" s="36">
        <f t="shared" si="47"/>
        <v>27.799999999999997</v>
      </c>
      <c r="M43" s="36">
        <f t="shared" si="47"/>
        <v>23</v>
      </c>
      <c r="N43" s="36">
        <f t="shared" si="47"/>
        <v>18.200000000000003</v>
      </c>
    </row>
    <row r="44" spans="1:14">
      <c r="A44" s="34">
        <f>A41+28</f>
        <v>44494</v>
      </c>
      <c r="B44" s="13">
        <f>B$6*13</f>
        <v>0</v>
      </c>
      <c r="C44" s="13">
        <f>C$6*13</f>
        <v>5.2</v>
      </c>
      <c r="D44" s="13">
        <f t="shared" ref="D44:N44" si="49">D$6*13</f>
        <v>7.8</v>
      </c>
      <c r="E44" s="44">
        <f t="shared" si="49"/>
        <v>10.4</v>
      </c>
      <c r="F44" s="44">
        <f t="shared" si="49"/>
        <v>13</v>
      </c>
      <c r="G44" s="44">
        <f t="shared" si="49"/>
        <v>15.6</v>
      </c>
      <c r="H44" s="44">
        <f t="shared" si="49"/>
        <v>20.8</v>
      </c>
      <c r="I44" s="44">
        <f t="shared" si="49"/>
        <v>26</v>
      </c>
      <c r="J44" s="44">
        <f t="shared" si="49"/>
        <v>31.2</v>
      </c>
      <c r="K44" s="44">
        <f t="shared" si="49"/>
        <v>36.4</v>
      </c>
      <c r="L44" s="44">
        <f t="shared" si="49"/>
        <v>41.6</v>
      </c>
      <c r="M44" s="44">
        <f t="shared" si="49"/>
        <v>46.800000000000004</v>
      </c>
      <c r="N44" s="44">
        <f t="shared" si="49"/>
        <v>52</v>
      </c>
    </row>
    <row r="45" spans="1:14">
      <c r="A45" s="34" t="s">
        <v>64</v>
      </c>
      <c r="B45" s="13">
        <f t="shared" ref="B45:N45" si="50">B$7*10</f>
        <v>0</v>
      </c>
      <c r="C45" s="13">
        <f t="shared" si="50"/>
        <v>30800</v>
      </c>
      <c r="D45" s="36">
        <f t="shared" si="50"/>
        <v>46200</v>
      </c>
      <c r="E45" s="36">
        <f t="shared" si="50"/>
        <v>61600</v>
      </c>
      <c r="F45" s="36">
        <f t="shared" si="50"/>
        <v>77000</v>
      </c>
      <c r="G45" s="36">
        <f t="shared" si="50"/>
        <v>92400</v>
      </c>
      <c r="H45" s="36">
        <f t="shared" si="50"/>
        <v>123200</v>
      </c>
      <c r="I45" s="36">
        <f t="shared" si="50"/>
        <v>154000</v>
      </c>
      <c r="J45" s="36">
        <f t="shared" si="50"/>
        <v>184800</v>
      </c>
      <c r="K45" s="36">
        <f t="shared" si="50"/>
        <v>215600</v>
      </c>
      <c r="L45" s="36">
        <f t="shared" si="50"/>
        <v>246400</v>
      </c>
      <c r="M45" s="36">
        <f t="shared" si="50"/>
        <v>277200</v>
      </c>
      <c r="N45" s="36">
        <f t="shared" si="50"/>
        <v>308000</v>
      </c>
    </row>
    <row r="46" spans="1:14" ht="15.75">
      <c r="A46" s="13" t="s">
        <v>65</v>
      </c>
      <c r="B46" s="36">
        <f t="shared" ref="B46:N46" si="51">B$2-B44</f>
        <v>66.2</v>
      </c>
      <c r="C46" s="36">
        <f t="shared" si="51"/>
        <v>61</v>
      </c>
      <c r="D46" s="35">
        <f t="shared" si="51"/>
        <v>58.400000000000006</v>
      </c>
      <c r="E46" s="36">
        <f t="shared" si="51"/>
        <v>55.800000000000004</v>
      </c>
      <c r="F46" s="36">
        <f t="shared" ref="F46" si="52">F$2-F44</f>
        <v>53.2</v>
      </c>
      <c r="G46" s="36">
        <f t="shared" si="51"/>
        <v>50.6</v>
      </c>
      <c r="H46" s="36">
        <f t="shared" si="51"/>
        <v>45.400000000000006</v>
      </c>
      <c r="I46" s="36">
        <f t="shared" si="51"/>
        <v>40.200000000000003</v>
      </c>
      <c r="J46" s="36">
        <f t="shared" si="51"/>
        <v>35</v>
      </c>
      <c r="K46" s="37">
        <f t="shared" si="51"/>
        <v>29.800000000000004</v>
      </c>
      <c r="L46" s="36">
        <f t="shared" si="51"/>
        <v>24.6</v>
      </c>
      <c r="M46" s="36">
        <f t="shared" si="51"/>
        <v>19.399999999999999</v>
      </c>
      <c r="N46" s="36">
        <f t="shared" si="51"/>
        <v>14.200000000000003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9858-54F7-453C-9B2E-97BF8F9BB545}">
  <dimension ref="A1:N46"/>
  <sheetViews>
    <sheetView topLeftCell="A7" workbookViewId="0">
      <selection activeCell="E31" sqref="E31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66</v>
      </c>
      <c r="B1" s="13" t="s">
        <v>73</v>
      </c>
      <c r="C1" s="13" t="s">
        <v>72</v>
      </c>
      <c r="D1" s="38" t="s">
        <v>74</v>
      </c>
      <c r="E1" s="13" t="s">
        <v>71</v>
      </c>
      <c r="F1" s="40" t="s">
        <v>80</v>
      </c>
      <c r="G1" s="40" t="s">
        <v>70</v>
      </c>
      <c r="H1" s="13" t="s">
        <v>52</v>
      </c>
      <c r="I1" s="39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</row>
    <row r="2" spans="1:14">
      <c r="A2" s="34">
        <v>43962</v>
      </c>
      <c r="B2" s="13">
        <v>70.599999999999994</v>
      </c>
      <c r="C2" s="13">
        <v>70.599999999999994</v>
      </c>
      <c r="D2" s="13">
        <v>70.599999999999994</v>
      </c>
      <c r="E2" s="13">
        <v>70.599999999999994</v>
      </c>
      <c r="F2" s="13">
        <v>70.599999999999994</v>
      </c>
      <c r="G2" s="13">
        <v>70.599999999999994</v>
      </c>
      <c r="H2" s="13">
        <v>70.599999999999994</v>
      </c>
      <c r="I2" s="13">
        <v>70.599999999999994</v>
      </c>
      <c r="J2" s="13">
        <v>70.599999999999994</v>
      </c>
      <c r="K2" s="13">
        <v>70.599999999999994</v>
      </c>
      <c r="L2" s="13">
        <v>70.599999999999994</v>
      </c>
      <c r="M2" s="13">
        <v>70.599999999999994</v>
      </c>
      <c r="N2" s="13">
        <v>70.599999999999994</v>
      </c>
    </row>
    <row r="3" spans="1:14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60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61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62</v>
      </c>
      <c r="B6" s="13">
        <f t="shared" ref="B6:N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</v>
      </c>
      <c r="G6" s="13">
        <f t="shared" si="2"/>
        <v>1.2</v>
      </c>
      <c r="H6" s="13">
        <f t="shared" si="2"/>
        <v>1.6</v>
      </c>
      <c r="I6" s="13">
        <f t="shared" si="2"/>
        <v>2</v>
      </c>
      <c r="J6" s="13">
        <f t="shared" si="2"/>
        <v>2.4</v>
      </c>
      <c r="K6" s="13">
        <f t="shared" si="2"/>
        <v>2.8</v>
      </c>
      <c r="L6" s="13">
        <f t="shared" si="2"/>
        <v>3.2</v>
      </c>
      <c r="M6" s="13">
        <f t="shared" si="2"/>
        <v>3.6</v>
      </c>
      <c r="N6" s="13">
        <f t="shared" si="2"/>
        <v>4</v>
      </c>
    </row>
    <row r="7" spans="1:14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7700</v>
      </c>
      <c r="G7" s="13">
        <f t="shared" si="2"/>
        <v>9240</v>
      </c>
      <c r="H7" s="13">
        <f t="shared" si="2"/>
        <v>12320</v>
      </c>
      <c r="I7" s="13">
        <f t="shared" si="2"/>
        <v>15400</v>
      </c>
      <c r="J7" s="13">
        <f t="shared" si="2"/>
        <v>18480</v>
      </c>
      <c r="K7" s="13">
        <f t="shared" si="2"/>
        <v>21560</v>
      </c>
      <c r="L7" s="13">
        <f t="shared" si="2"/>
        <v>24640</v>
      </c>
      <c r="M7" s="13">
        <f t="shared" si="2"/>
        <v>27720</v>
      </c>
      <c r="N7" s="13">
        <f t="shared" si="2"/>
        <v>30800</v>
      </c>
    </row>
    <row r="8" spans="1:14">
      <c r="A8" s="34">
        <f>A2+28</f>
        <v>43990</v>
      </c>
      <c r="B8" s="13">
        <f t="shared" ref="B8:N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</v>
      </c>
      <c r="G8" s="13">
        <f t="shared" si="3"/>
        <v>1.2</v>
      </c>
      <c r="H8" s="13">
        <f t="shared" si="3"/>
        <v>1.6</v>
      </c>
      <c r="I8" s="13">
        <f t="shared" si="3"/>
        <v>2</v>
      </c>
      <c r="J8" s="13">
        <f t="shared" si="3"/>
        <v>2.4</v>
      </c>
      <c r="K8" s="13">
        <f t="shared" si="3"/>
        <v>2.8</v>
      </c>
      <c r="L8" s="13">
        <f t="shared" si="3"/>
        <v>3.2</v>
      </c>
      <c r="M8" s="13">
        <f t="shared" si="3"/>
        <v>3.6</v>
      </c>
      <c r="N8" s="13">
        <f t="shared" si="3"/>
        <v>4</v>
      </c>
    </row>
    <row r="9" spans="1:14">
      <c r="A9" s="34" t="s">
        <v>64</v>
      </c>
      <c r="B9" s="13">
        <f t="shared" ref="B9:N9" si="4">B$7*1</f>
        <v>0</v>
      </c>
      <c r="C9" s="13">
        <f t="shared" si="4"/>
        <v>3080</v>
      </c>
      <c r="D9" s="36">
        <f t="shared" si="4"/>
        <v>4620</v>
      </c>
      <c r="E9" s="36">
        <f t="shared" si="4"/>
        <v>6160</v>
      </c>
      <c r="F9" s="36">
        <f t="shared" si="4"/>
        <v>7700</v>
      </c>
      <c r="G9" s="36">
        <f t="shared" si="4"/>
        <v>9240</v>
      </c>
      <c r="H9" s="36">
        <f t="shared" si="4"/>
        <v>12320</v>
      </c>
      <c r="I9" s="36">
        <f t="shared" si="4"/>
        <v>15400</v>
      </c>
      <c r="J9" s="36">
        <f t="shared" si="4"/>
        <v>18480</v>
      </c>
      <c r="K9" s="36">
        <f t="shared" si="4"/>
        <v>21560</v>
      </c>
      <c r="L9" s="36">
        <f t="shared" si="4"/>
        <v>24640</v>
      </c>
      <c r="M9" s="36">
        <f t="shared" si="4"/>
        <v>27720</v>
      </c>
      <c r="N9" s="36">
        <f t="shared" si="4"/>
        <v>30800</v>
      </c>
    </row>
    <row r="10" spans="1:14">
      <c r="A10" s="13" t="s">
        <v>65</v>
      </c>
      <c r="B10" s="13">
        <f t="shared" ref="B10:N10" si="5">B$2-B$8</f>
        <v>70.599999999999994</v>
      </c>
      <c r="C10" s="36">
        <f t="shared" si="5"/>
        <v>70.199999999999989</v>
      </c>
      <c r="D10" s="41">
        <f t="shared" si="5"/>
        <v>70</v>
      </c>
      <c r="E10" s="36">
        <f t="shared" si="5"/>
        <v>69.8</v>
      </c>
      <c r="F10" s="36">
        <f t="shared" si="5"/>
        <v>69.599999999999994</v>
      </c>
      <c r="G10" s="36">
        <f t="shared" si="5"/>
        <v>69.399999999999991</v>
      </c>
      <c r="H10" s="36">
        <f t="shared" si="5"/>
        <v>69</v>
      </c>
      <c r="I10" s="36">
        <f t="shared" si="5"/>
        <v>68.599999999999994</v>
      </c>
      <c r="J10" s="36">
        <f t="shared" si="5"/>
        <v>68.199999999999989</v>
      </c>
      <c r="K10" s="36">
        <f t="shared" si="5"/>
        <v>67.8</v>
      </c>
      <c r="L10" s="36">
        <f t="shared" si="5"/>
        <v>67.399999999999991</v>
      </c>
      <c r="M10" s="36">
        <f t="shared" si="5"/>
        <v>67</v>
      </c>
      <c r="N10" s="36">
        <f t="shared" si="5"/>
        <v>66.599999999999994</v>
      </c>
    </row>
    <row r="11" spans="1:14">
      <c r="A11" s="34">
        <f>A8+28</f>
        <v>44018</v>
      </c>
      <c r="B11" s="13">
        <f t="shared" ref="B11:N11" si="6">B$6*2</f>
        <v>0</v>
      </c>
      <c r="C11" s="13">
        <f t="shared" si="6"/>
        <v>0.8</v>
      </c>
      <c r="D11" s="36">
        <f t="shared" si="6"/>
        <v>1.2</v>
      </c>
      <c r="E11" s="36">
        <f t="shared" si="6"/>
        <v>1.6</v>
      </c>
      <c r="F11" s="36">
        <f t="shared" si="6"/>
        <v>2</v>
      </c>
      <c r="G11" s="36">
        <f t="shared" si="6"/>
        <v>2.4</v>
      </c>
      <c r="H11" s="36">
        <f t="shared" si="6"/>
        <v>3.2</v>
      </c>
      <c r="I11" s="36">
        <f t="shared" si="6"/>
        <v>4</v>
      </c>
      <c r="J11" s="36">
        <f t="shared" si="6"/>
        <v>4.8</v>
      </c>
      <c r="K11" s="36">
        <f t="shared" si="6"/>
        <v>5.6</v>
      </c>
      <c r="L11" s="36">
        <f t="shared" si="6"/>
        <v>6.4</v>
      </c>
      <c r="M11" s="36">
        <f t="shared" si="6"/>
        <v>7.2</v>
      </c>
      <c r="N11" s="36">
        <f t="shared" si="6"/>
        <v>8</v>
      </c>
    </row>
    <row r="12" spans="1:14">
      <c r="A12" s="34" t="s">
        <v>64</v>
      </c>
      <c r="B12" s="13">
        <f t="shared" ref="B12:N12" si="7">B$7*2</f>
        <v>0</v>
      </c>
      <c r="C12" s="13">
        <f t="shared" si="7"/>
        <v>6160</v>
      </c>
      <c r="D12" s="36">
        <f t="shared" si="7"/>
        <v>9240</v>
      </c>
      <c r="E12" s="36">
        <f t="shared" si="7"/>
        <v>12320</v>
      </c>
      <c r="F12" s="36">
        <f t="shared" si="7"/>
        <v>15400</v>
      </c>
      <c r="G12" s="36">
        <f t="shared" si="7"/>
        <v>18480</v>
      </c>
      <c r="H12" s="36">
        <f t="shared" si="7"/>
        <v>24640</v>
      </c>
      <c r="I12" s="36">
        <f t="shared" si="7"/>
        <v>30800</v>
      </c>
      <c r="J12" s="36">
        <f t="shared" si="7"/>
        <v>36960</v>
      </c>
      <c r="K12" s="36">
        <f t="shared" si="7"/>
        <v>43120</v>
      </c>
      <c r="L12" s="36">
        <f t="shared" si="7"/>
        <v>49280</v>
      </c>
      <c r="M12" s="36">
        <f t="shared" si="7"/>
        <v>55440</v>
      </c>
      <c r="N12" s="36">
        <f t="shared" si="7"/>
        <v>61600</v>
      </c>
    </row>
    <row r="13" spans="1:14">
      <c r="A13" s="13" t="s">
        <v>65</v>
      </c>
      <c r="B13" s="13">
        <f t="shared" ref="B13:N13" si="8">B$2-B$11</f>
        <v>70.599999999999994</v>
      </c>
      <c r="C13" s="41">
        <f t="shared" si="8"/>
        <v>69.8</v>
      </c>
      <c r="D13" s="42">
        <f t="shared" si="8"/>
        <v>69.399999999999991</v>
      </c>
      <c r="E13" s="36">
        <f t="shared" si="8"/>
        <v>69</v>
      </c>
      <c r="F13" s="36">
        <f t="shared" si="8"/>
        <v>68.599999999999994</v>
      </c>
      <c r="G13" s="36">
        <f t="shared" si="8"/>
        <v>68.199999999999989</v>
      </c>
      <c r="H13" s="36">
        <f t="shared" si="8"/>
        <v>67.399999999999991</v>
      </c>
      <c r="I13" s="36">
        <f t="shared" si="8"/>
        <v>66.599999999999994</v>
      </c>
      <c r="J13" s="36">
        <f t="shared" si="8"/>
        <v>65.8</v>
      </c>
      <c r="K13" s="36">
        <f t="shared" si="8"/>
        <v>65</v>
      </c>
      <c r="L13" s="36">
        <f t="shared" si="8"/>
        <v>64.199999999999989</v>
      </c>
      <c r="M13" s="36">
        <f t="shared" si="8"/>
        <v>63.399999999999991</v>
      </c>
      <c r="N13" s="36">
        <f t="shared" si="8"/>
        <v>62.599999999999994</v>
      </c>
    </row>
    <row r="14" spans="1:14">
      <c r="A14" s="34">
        <f>A11+28</f>
        <v>44046</v>
      </c>
      <c r="B14" s="13">
        <f t="shared" ref="B14:N14" si="9">B$6*3</f>
        <v>0</v>
      </c>
      <c r="C14" s="13">
        <f t="shared" si="9"/>
        <v>1.2000000000000002</v>
      </c>
      <c r="D14" s="36">
        <f t="shared" si="9"/>
        <v>1.7999999999999998</v>
      </c>
      <c r="E14" s="36">
        <f t="shared" si="9"/>
        <v>2.4000000000000004</v>
      </c>
      <c r="F14" s="36">
        <f t="shared" si="9"/>
        <v>3</v>
      </c>
      <c r="G14" s="36">
        <f t="shared" si="9"/>
        <v>3.5999999999999996</v>
      </c>
      <c r="H14" s="36">
        <f t="shared" si="9"/>
        <v>4.8000000000000007</v>
      </c>
      <c r="I14" s="36">
        <f t="shared" si="9"/>
        <v>6</v>
      </c>
      <c r="J14" s="36">
        <f t="shared" si="9"/>
        <v>7.1999999999999993</v>
      </c>
      <c r="K14" s="36">
        <f t="shared" si="9"/>
        <v>8.3999999999999986</v>
      </c>
      <c r="L14" s="36">
        <f t="shared" si="9"/>
        <v>9.6000000000000014</v>
      </c>
      <c r="M14" s="36">
        <f t="shared" si="9"/>
        <v>10.8</v>
      </c>
      <c r="N14" s="36">
        <f t="shared" si="9"/>
        <v>12</v>
      </c>
    </row>
    <row r="15" spans="1:14">
      <c r="A15" s="34" t="s">
        <v>64</v>
      </c>
      <c r="B15" s="13">
        <f t="shared" ref="B15:N15" si="10">B$7*3</f>
        <v>0</v>
      </c>
      <c r="C15" s="13">
        <f t="shared" si="10"/>
        <v>9240</v>
      </c>
      <c r="D15" s="36">
        <f t="shared" si="10"/>
        <v>13860</v>
      </c>
      <c r="E15" s="36">
        <f t="shared" si="10"/>
        <v>18480</v>
      </c>
      <c r="F15" s="36">
        <f t="shared" si="10"/>
        <v>23100</v>
      </c>
      <c r="G15" s="36">
        <f t="shared" si="10"/>
        <v>27720</v>
      </c>
      <c r="H15" s="36">
        <f t="shared" si="10"/>
        <v>36960</v>
      </c>
      <c r="I15" s="36">
        <f t="shared" si="10"/>
        <v>46200</v>
      </c>
      <c r="J15" s="36">
        <f t="shared" si="10"/>
        <v>55440</v>
      </c>
      <c r="K15" s="36">
        <f t="shared" si="10"/>
        <v>64680</v>
      </c>
      <c r="L15" s="36">
        <f t="shared" si="10"/>
        <v>73920</v>
      </c>
      <c r="M15" s="36">
        <f t="shared" si="10"/>
        <v>83160</v>
      </c>
      <c r="N15" s="36">
        <f t="shared" si="10"/>
        <v>92400</v>
      </c>
    </row>
    <row r="16" spans="1:14">
      <c r="A16" s="13" t="s">
        <v>65</v>
      </c>
      <c r="B16" s="13">
        <f t="shared" ref="B16:N16" si="11">B$2-B$14</f>
        <v>70.599999999999994</v>
      </c>
      <c r="C16" s="13">
        <f t="shared" si="11"/>
        <v>69.399999999999991</v>
      </c>
      <c r="D16" s="41">
        <f t="shared" si="11"/>
        <v>68.8</v>
      </c>
      <c r="E16" s="36">
        <f t="shared" si="11"/>
        <v>68.199999999999989</v>
      </c>
      <c r="F16" s="36">
        <f t="shared" si="11"/>
        <v>67.599999999999994</v>
      </c>
      <c r="G16" s="36">
        <f t="shared" si="11"/>
        <v>67</v>
      </c>
      <c r="H16" s="36">
        <f t="shared" si="11"/>
        <v>65.8</v>
      </c>
      <c r="I16" s="36">
        <f t="shared" si="11"/>
        <v>64.599999999999994</v>
      </c>
      <c r="J16" s="36">
        <f t="shared" si="11"/>
        <v>63.399999999999991</v>
      </c>
      <c r="K16" s="36">
        <f t="shared" si="11"/>
        <v>62.199999999999996</v>
      </c>
      <c r="L16" s="36">
        <f t="shared" si="11"/>
        <v>60.999999999999993</v>
      </c>
      <c r="M16" s="35">
        <f t="shared" si="11"/>
        <v>59.8</v>
      </c>
      <c r="N16" s="35">
        <f t="shared" si="11"/>
        <v>58.599999999999994</v>
      </c>
    </row>
    <row r="17" spans="1:14">
      <c r="A17" s="34">
        <f>A14+28</f>
        <v>44074</v>
      </c>
      <c r="B17" s="13">
        <f t="shared" ref="B17:N17" si="12">B$6*4</f>
        <v>0</v>
      </c>
      <c r="C17" s="13">
        <f t="shared" si="12"/>
        <v>1.6</v>
      </c>
      <c r="D17" s="36">
        <f t="shared" si="12"/>
        <v>2.4</v>
      </c>
      <c r="E17" s="36">
        <f t="shared" si="12"/>
        <v>3.2</v>
      </c>
      <c r="F17" s="36">
        <f t="shared" si="12"/>
        <v>4</v>
      </c>
      <c r="G17" s="36">
        <f t="shared" si="12"/>
        <v>4.8</v>
      </c>
      <c r="H17" s="36">
        <f t="shared" si="12"/>
        <v>6.4</v>
      </c>
      <c r="I17" s="36">
        <f t="shared" si="12"/>
        <v>8</v>
      </c>
      <c r="J17" s="36">
        <f t="shared" si="12"/>
        <v>9.6</v>
      </c>
      <c r="K17" s="36">
        <f t="shared" si="12"/>
        <v>11.2</v>
      </c>
      <c r="L17" s="36">
        <f t="shared" si="12"/>
        <v>12.8</v>
      </c>
      <c r="M17" s="36">
        <f t="shared" si="12"/>
        <v>14.4</v>
      </c>
      <c r="N17" s="36">
        <f t="shared" si="12"/>
        <v>16</v>
      </c>
    </row>
    <row r="18" spans="1:14">
      <c r="A18" s="34" t="s">
        <v>64</v>
      </c>
      <c r="B18" s="13">
        <f t="shared" ref="B18:N18" si="13">B$7*4</f>
        <v>0</v>
      </c>
      <c r="C18" s="13">
        <f t="shared" si="13"/>
        <v>12320</v>
      </c>
      <c r="D18" s="36">
        <f t="shared" si="13"/>
        <v>18480</v>
      </c>
      <c r="E18" s="36">
        <f t="shared" si="13"/>
        <v>24640</v>
      </c>
      <c r="F18" s="36">
        <f t="shared" si="13"/>
        <v>30800</v>
      </c>
      <c r="G18" s="36">
        <f t="shared" si="13"/>
        <v>36960</v>
      </c>
      <c r="H18" s="36">
        <f t="shared" si="13"/>
        <v>49280</v>
      </c>
      <c r="I18" s="36">
        <f t="shared" si="13"/>
        <v>61600</v>
      </c>
      <c r="J18" s="36">
        <f t="shared" si="13"/>
        <v>73920</v>
      </c>
      <c r="K18" s="36">
        <f t="shared" si="13"/>
        <v>86240</v>
      </c>
      <c r="L18" s="36">
        <f t="shared" si="13"/>
        <v>98560</v>
      </c>
      <c r="M18" s="36">
        <f t="shared" si="13"/>
        <v>110880</v>
      </c>
      <c r="N18" s="36">
        <f t="shared" si="13"/>
        <v>123200</v>
      </c>
    </row>
    <row r="19" spans="1:14">
      <c r="A19" s="13" t="s">
        <v>65</v>
      </c>
      <c r="B19" s="13">
        <f t="shared" ref="B19:N19" si="14">B$2-B$17</f>
        <v>70.599999999999994</v>
      </c>
      <c r="C19" s="13">
        <f t="shared" si="14"/>
        <v>69</v>
      </c>
      <c r="D19" s="41">
        <f t="shared" si="14"/>
        <v>68.199999999999989</v>
      </c>
      <c r="E19" s="36">
        <f t="shared" si="14"/>
        <v>67.399999999999991</v>
      </c>
      <c r="F19" s="36">
        <f t="shared" si="14"/>
        <v>66.599999999999994</v>
      </c>
      <c r="G19" s="36">
        <f t="shared" si="14"/>
        <v>65.8</v>
      </c>
      <c r="H19" s="36">
        <f t="shared" si="14"/>
        <v>64.199999999999989</v>
      </c>
      <c r="I19" s="36">
        <f t="shared" si="14"/>
        <v>62.599999999999994</v>
      </c>
      <c r="J19" s="36">
        <f t="shared" si="14"/>
        <v>60.999999999999993</v>
      </c>
      <c r="K19" s="35">
        <f t="shared" si="14"/>
        <v>59.399999999999991</v>
      </c>
      <c r="L19" s="35">
        <f t="shared" si="14"/>
        <v>57.8</v>
      </c>
      <c r="M19" s="36">
        <f t="shared" si="14"/>
        <v>56.199999999999996</v>
      </c>
      <c r="N19" s="36">
        <f t="shared" si="14"/>
        <v>54.599999999999994</v>
      </c>
    </row>
    <row r="20" spans="1:14">
      <c r="A20" s="34">
        <f>A17+28</f>
        <v>44102</v>
      </c>
      <c r="B20" s="13">
        <f t="shared" ref="B20:N20" si="15">B$6*5</f>
        <v>0</v>
      </c>
      <c r="C20" s="13">
        <f t="shared" si="15"/>
        <v>2</v>
      </c>
      <c r="D20" s="36">
        <f t="shared" si="15"/>
        <v>3</v>
      </c>
      <c r="E20" s="36">
        <f t="shared" si="15"/>
        <v>4</v>
      </c>
      <c r="F20" s="36">
        <f t="shared" si="15"/>
        <v>5</v>
      </c>
      <c r="G20" s="36">
        <f t="shared" si="15"/>
        <v>6</v>
      </c>
      <c r="H20" s="36">
        <f t="shared" si="15"/>
        <v>8</v>
      </c>
      <c r="I20" s="36">
        <f t="shared" si="15"/>
        <v>10</v>
      </c>
      <c r="J20" s="36">
        <f t="shared" si="15"/>
        <v>12</v>
      </c>
      <c r="K20" s="36">
        <f t="shared" si="15"/>
        <v>14</v>
      </c>
      <c r="L20" s="36">
        <f t="shared" si="15"/>
        <v>16</v>
      </c>
      <c r="M20" s="36">
        <f t="shared" si="15"/>
        <v>18</v>
      </c>
      <c r="N20" s="36">
        <f t="shared" si="15"/>
        <v>20</v>
      </c>
    </row>
    <row r="21" spans="1:14">
      <c r="A21" s="34" t="s">
        <v>64</v>
      </c>
      <c r="B21" s="13">
        <f t="shared" ref="B21:N21" si="16">B$7*5</f>
        <v>0</v>
      </c>
      <c r="C21" s="13">
        <f t="shared" si="16"/>
        <v>15400</v>
      </c>
      <c r="D21" s="36">
        <f t="shared" si="16"/>
        <v>23100</v>
      </c>
      <c r="E21" s="36">
        <f t="shared" si="16"/>
        <v>30800</v>
      </c>
      <c r="F21" s="36">
        <f t="shared" si="16"/>
        <v>38500</v>
      </c>
      <c r="G21" s="36">
        <f t="shared" si="16"/>
        <v>46200</v>
      </c>
      <c r="H21" s="36">
        <f t="shared" si="16"/>
        <v>61600</v>
      </c>
      <c r="I21" s="36">
        <f t="shared" si="16"/>
        <v>77000</v>
      </c>
      <c r="J21" s="36">
        <f t="shared" si="16"/>
        <v>92400</v>
      </c>
      <c r="K21" s="36">
        <f t="shared" si="16"/>
        <v>107800</v>
      </c>
      <c r="L21" s="36">
        <f t="shared" si="16"/>
        <v>123200</v>
      </c>
      <c r="M21" s="36">
        <f t="shared" si="16"/>
        <v>138600</v>
      </c>
      <c r="N21" s="36">
        <f t="shared" si="16"/>
        <v>154000</v>
      </c>
    </row>
    <row r="22" spans="1:14">
      <c r="A22" s="13" t="s">
        <v>65</v>
      </c>
      <c r="B22" s="36">
        <f t="shared" ref="B22:N22" si="17">B$2-B$20</f>
        <v>70.599999999999994</v>
      </c>
      <c r="C22" s="13">
        <f t="shared" si="17"/>
        <v>68.599999999999994</v>
      </c>
      <c r="D22" s="36">
        <f t="shared" si="17"/>
        <v>67.599999999999994</v>
      </c>
      <c r="E22" s="41">
        <f t="shared" si="17"/>
        <v>66.599999999999994</v>
      </c>
      <c r="F22" s="42">
        <f t="shared" si="17"/>
        <v>65.599999999999994</v>
      </c>
      <c r="G22" s="36">
        <f t="shared" si="17"/>
        <v>64.599999999999994</v>
      </c>
      <c r="H22" s="36">
        <f t="shared" si="17"/>
        <v>62.599999999999994</v>
      </c>
      <c r="I22" s="36">
        <f t="shared" si="17"/>
        <v>60.599999999999994</v>
      </c>
      <c r="J22" s="35">
        <f t="shared" si="17"/>
        <v>58.599999999999994</v>
      </c>
      <c r="K22" s="36">
        <f t="shared" si="17"/>
        <v>56.599999999999994</v>
      </c>
      <c r="L22" s="36">
        <f t="shared" si="17"/>
        <v>54.599999999999994</v>
      </c>
      <c r="M22" s="36">
        <f t="shared" si="17"/>
        <v>52.599999999999994</v>
      </c>
      <c r="N22" s="36">
        <f t="shared" si="17"/>
        <v>50.599999999999994</v>
      </c>
    </row>
    <row r="23" spans="1:14">
      <c r="A23" s="34">
        <f>A20+28</f>
        <v>44130</v>
      </c>
      <c r="B23" s="13">
        <f t="shared" ref="B23:N23" si="18">B$6*6</f>
        <v>0</v>
      </c>
      <c r="C23" s="13">
        <f t="shared" si="18"/>
        <v>2.4000000000000004</v>
      </c>
      <c r="D23" s="36">
        <f t="shared" si="18"/>
        <v>3.5999999999999996</v>
      </c>
      <c r="E23" s="36">
        <f t="shared" si="18"/>
        <v>4.8000000000000007</v>
      </c>
      <c r="F23" s="36">
        <f t="shared" si="18"/>
        <v>6</v>
      </c>
      <c r="G23" s="36">
        <f t="shared" si="18"/>
        <v>7.1999999999999993</v>
      </c>
      <c r="H23" s="36">
        <f t="shared" si="18"/>
        <v>9.6000000000000014</v>
      </c>
      <c r="I23" s="36">
        <f t="shared" si="18"/>
        <v>12</v>
      </c>
      <c r="J23" s="36">
        <f t="shared" si="18"/>
        <v>14.399999999999999</v>
      </c>
      <c r="K23" s="36">
        <f t="shared" si="18"/>
        <v>16.799999999999997</v>
      </c>
      <c r="L23" s="36">
        <f t="shared" si="18"/>
        <v>19.200000000000003</v>
      </c>
      <c r="M23" s="36">
        <f t="shared" si="18"/>
        <v>21.6</v>
      </c>
      <c r="N23" s="36">
        <f t="shared" si="18"/>
        <v>24</v>
      </c>
    </row>
    <row r="24" spans="1:14">
      <c r="A24" s="34" t="s">
        <v>64</v>
      </c>
      <c r="B24" s="13">
        <f t="shared" ref="B24:N24" si="19">B$7*6</f>
        <v>0</v>
      </c>
      <c r="C24" s="13">
        <f t="shared" si="19"/>
        <v>18480</v>
      </c>
      <c r="D24" s="36">
        <f t="shared" si="19"/>
        <v>27720</v>
      </c>
      <c r="E24" s="36">
        <f t="shared" si="19"/>
        <v>36960</v>
      </c>
      <c r="F24" s="36">
        <f t="shared" si="19"/>
        <v>46200</v>
      </c>
      <c r="G24" s="36">
        <f t="shared" si="19"/>
        <v>55440</v>
      </c>
      <c r="H24" s="36">
        <f t="shared" si="19"/>
        <v>73920</v>
      </c>
      <c r="I24" s="36">
        <f t="shared" si="19"/>
        <v>92400</v>
      </c>
      <c r="J24" s="36">
        <f t="shared" si="19"/>
        <v>110880</v>
      </c>
      <c r="K24" s="36">
        <f t="shared" si="19"/>
        <v>129360</v>
      </c>
      <c r="L24" s="36">
        <f t="shared" si="19"/>
        <v>147840</v>
      </c>
      <c r="M24" s="36">
        <f t="shared" si="19"/>
        <v>166320</v>
      </c>
      <c r="N24" s="36">
        <f t="shared" si="19"/>
        <v>184800</v>
      </c>
    </row>
    <row r="25" spans="1:14">
      <c r="A25" s="13" t="s">
        <v>65</v>
      </c>
      <c r="B25" s="13">
        <f t="shared" ref="B25:N25" si="20">B$2-B23</f>
        <v>70.599999999999994</v>
      </c>
      <c r="C25" s="36">
        <f t="shared" si="20"/>
        <v>68.199999999999989</v>
      </c>
      <c r="D25" s="41">
        <f t="shared" si="20"/>
        <v>67</v>
      </c>
      <c r="E25" s="36">
        <f t="shared" si="20"/>
        <v>65.8</v>
      </c>
      <c r="F25" s="36">
        <f t="shared" si="20"/>
        <v>64.599999999999994</v>
      </c>
      <c r="G25" s="36">
        <f t="shared" si="20"/>
        <v>63.399999999999991</v>
      </c>
      <c r="H25" s="36">
        <f t="shared" si="20"/>
        <v>60.999999999999993</v>
      </c>
      <c r="I25" s="35">
        <f t="shared" si="20"/>
        <v>58.599999999999994</v>
      </c>
      <c r="J25" s="36">
        <f t="shared" si="20"/>
        <v>56.199999999999996</v>
      </c>
      <c r="K25" s="36">
        <f t="shared" si="20"/>
        <v>53.8</v>
      </c>
      <c r="L25" s="36">
        <f t="shared" si="20"/>
        <v>51.399999999999991</v>
      </c>
      <c r="M25" s="36">
        <f t="shared" si="20"/>
        <v>48.999999999999993</v>
      </c>
      <c r="N25" s="36">
        <f t="shared" si="20"/>
        <v>46.599999999999994</v>
      </c>
    </row>
    <row r="26" spans="1:14">
      <c r="A26" s="34">
        <f>A23+28</f>
        <v>44158</v>
      </c>
      <c r="B26" s="13">
        <f t="shared" ref="B26:N26" si="21">B$6*7</f>
        <v>0</v>
      </c>
      <c r="C26" s="13">
        <f t="shared" si="21"/>
        <v>2.8000000000000003</v>
      </c>
      <c r="D26" s="36">
        <f t="shared" si="21"/>
        <v>4.2</v>
      </c>
      <c r="E26" s="36">
        <f t="shared" si="21"/>
        <v>5.6000000000000005</v>
      </c>
      <c r="F26" s="36">
        <f t="shared" si="21"/>
        <v>7</v>
      </c>
      <c r="G26" s="36">
        <f t="shared" si="21"/>
        <v>8.4</v>
      </c>
      <c r="H26" s="36">
        <f t="shared" si="21"/>
        <v>11.200000000000001</v>
      </c>
      <c r="I26" s="36">
        <f t="shared" si="21"/>
        <v>14</v>
      </c>
      <c r="J26" s="36">
        <f t="shared" si="21"/>
        <v>16.8</v>
      </c>
      <c r="K26" s="36">
        <f t="shared" si="21"/>
        <v>19.599999999999998</v>
      </c>
      <c r="L26" s="36">
        <f t="shared" si="21"/>
        <v>22.400000000000002</v>
      </c>
      <c r="M26" s="36">
        <f t="shared" si="21"/>
        <v>25.2</v>
      </c>
      <c r="N26" s="36">
        <f t="shared" si="21"/>
        <v>28</v>
      </c>
    </row>
    <row r="27" spans="1:14">
      <c r="A27" s="34" t="s">
        <v>64</v>
      </c>
      <c r="B27" s="13">
        <f t="shared" ref="B27:N27" si="22">B$7*7</f>
        <v>0</v>
      </c>
      <c r="C27" s="13">
        <f t="shared" si="22"/>
        <v>21560</v>
      </c>
      <c r="D27" s="36">
        <f t="shared" si="22"/>
        <v>32340</v>
      </c>
      <c r="E27" s="36">
        <f t="shared" si="22"/>
        <v>43120</v>
      </c>
      <c r="F27" s="36">
        <f t="shared" si="22"/>
        <v>53900</v>
      </c>
      <c r="G27" s="36">
        <f t="shared" si="22"/>
        <v>64680</v>
      </c>
      <c r="H27" s="36">
        <f t="shared" si="22"/>
        <v>86240</v>
      </c>
      <c r="I27" s="36">
        <f t="shared" si="22"/>
        <v>107800</v>
      </c>
      <c r="J27" s="36">
        <f t="shared" si="22"/>
        <v>129360</v>
      </c>
      <c r="K27" s="36">
        <f t="shared" si="22"/>
        <v>150920</v>
      </c>
      <c r="L27" s="36">
        <f t="shared" si="22"/>
        <v>172480</v>
      </c>
      <c r="M27" s="36">
        <f t="shared" si="22"/>
        <v>194040</v>
      </c>
      <c r="N27" s="36">
        <f t="shared" si="22"/>
        <v>215600</v>
      </c>
    </row>
    <row r="28" spans="1:14" ht="15.75">
      <c r="A28" s="13" t="s">
        <v>65</v>
      </c>
      <c r="B28" s="36">
        <f t="shared" ref="B28:N28" si="23">B$2-B26</f>
        <v>70.599999999999994</v>
      </c>
      <c r="C28" s="13">
        <f t="shared" si="23"/>
        <v>67.8</v>
      </c>
      <c r="D28" s="41">
        <f t="shared" si="23"/>
        <v>66.399999999999991</v>
      </c>
      <c r="E28" s="42">
        <f t="shared" si="23"/>
        <v>65</v>
      </c>
      <c r="F28" s="36">
        <f t="shared" si="23"/>
        <v>63.599999999999994</v>
      </c>
      <c r="G28" s="36">
        <f t="shared" si="23"/>
        <v>62.199999999999996</v>
      </c>
      <c r="H28" s="35">
        <f t="shared" si="23"/>
        <v>59.399999999999991</v>
      </c>
      <c r="I28" s="36">
        <f t="shared" si="23"/>
        <v>56.599999999999994</v>
      </c>
      <c r="J28" s="36">
        <f t="shared" si="23"/>
        <v>53.8</v>
      </c>
      <c r="K28" s="37">
        <f t="shared" si="23"/>
        <v>51</v>
      </c>
      <c r="L28" s="36">
        <f t="shared" si="23"/>
        <v>48.199999999999989</v>
      </c>
      <c r="M28" s="36">
        <f t="shared" si="23"/>
        <v>45.399999999999991</v>
      </c>
      <c r="N28" s="36">
        <f t="shared" si="23"/>
        <v>42.599999999999994</v>
      </c>
    </row>
    <row r="29" spans="1:14">
      <c r="A29" s="34">
        <f>A26+28</f>
        <v>44186</v>
      </c>
      <c r="B29" s="13">
        <f t="shared" ref="B29:N29" si="24">B$6*8</f>
        <v>0</v>
      </c>
      <c r="C29" s="13">
        <f t="shared" si="24"/>
        <v>3.2</v>
      </c>
      <c r="D29" s="36">
        <f t="shared" si="24"/>
        <v>4.8</v>
      </c>
      <c r="E29" s="36">
        <f t="shared" si="24"/>
        <v>6.4</v>
      </c>
      <c r="F29" s="36">
        <f t="shared" si="24"/>
        <v>8</v>
      </c>
      <c r="G29" s="36">
        <f t="shared" si="24"/>
        <v>9.6</v>
      </c>
      <c r="H29" s="36">
        <f t="shared" si="24"/>
        <v>12.8</v>
      </c>
      <c r="I29" s="36">
        <f t="shared" si="24"/>
        <v>16</v>
      </c>
      <c r="J29" s="36">
        <f t="shared" si="24"/>
        <v>19.2</v>
      </c>
      <c r="K29" s="36">
        <f t="shared" si="24"/>
        <v>22.4</v>
      </c>
      <c r="L29" s="36">
        <f t="shared" si="24"/>
        <v>25.6</v>
      </c>
      <c r="M29" s="36">
        <f t="shared" si="24"/>
        <v>28.8</v>
      </c>
      <c r="N29" s="36">
        <f t="shared" si="24"/>
        <v>32</v>
      </c>
    </row>
    <row r="30" spans="1:14">
      <c r="A30" s="34" t="s">
        <v>64</v>
      </c>
      <c r="B30" s="13">
        <f t="shared" ref="B30:N30" si="25">B$7*8</f>
        <v>0</v>
      </c>
      <c r="C30" s="13">
        <f t="shared" si="25"/>
        <v>24640</v>
      </c>
      <c r="D30" s="36">
        <f t="shared" si="25"/>
        <v>36960</v>
      </c>
      <c r="E30" s="36">
        <f t="shared" si="25"/>
        <v>49280</v>
      </c>
      <c r="F30" s="36">
        <f t="shared" si="25"/>
        <v>61600</v>
      </c>
      <c r="G30" s="36">
        <f t="shared" si="25"/>
        <v>73920</v>
      </c>
      <c r="H30" s="36">
        <f t="shared" si="25"/>
        <v>98560</v>
      </c>
      <c r="I30" s="36">
        <f t="shared" si="25"/>
        <v>123200</v>
      </c>
      <c r="J30" s="36">
        <f t="shared" si="25"/>
        <v>147840</v>
      </c>
      <c r="K30" s="36">
        <f t="shared" si="25"/>
        <v>172480</v>
      </c>
      <c r="L30" s="36">
        <f t="shared" si="25"/>
        <v>197120</v>
      </c>
      <c r="M30" s="36">
        <f t="shared" si="25"/>
        <v>221760</v>
      </c>
      <c r="N30" s="36">
        <f t="shared" si="25"/>
        <v>246400</v>
      </c>
    </row>
    <row r="31" spans="1:14" ht="15.75">
      <c r="A31" s="13" t="s">
        <v>65</v>
      </c>
      <c r="B31" s="36">
        <f t="shared" ref="B31:N31" si="26">B$2-B29</f>
        <v>70.599999999999994</v>
      </c>
      <c r="C31" s="13">
        <f t="shared" si="26"/>
        <v>67.399999999999991</v>
      </c>
      <c r="D31" s="36">
        <f t="shared" si="26"/>
        <v>65.8</v>
      </c>
      <c r="E31" s="41">
        <f t="shared" si="26"/>
        <v>64.199999999999989</v>
      </c>
      <c r="F31" s="36">
        <f t="shared" si="26"/>
        <v>62.599999999999994</v>
      </c>
      <c r="G31" s="36">
        <f t="shared" si="26"/>
        <v>60.999999999999993</v>
      </c>
      <c r="H31" s="36">
        <f t="shared" si="26"/>
        <v>57.8</v>
      </c>
      <c r="I31" s="36">
        <f t="shared" si="26"/>
        <v>54.599999999999994</v>
      </c>
      <c r="J31" s="36">
        <f t="shared" si="26"/>
        <v>51.399999999999991</v>
      </c>
      <c r="K31" s="37">
        <f t="shared" si="26"/>
        <v>48.199999999999996</v>
      </c>
      <c r="L31" s="36">
        <f t="shared" si="26"/>
        <v>44.999999999999993</v>
      </c>
      <c r="M31" s="36">
        <f t="shared" si="26"/>
        <v>41.8</v>
      </c>
      <c r="N31" s="36">
        <f t="shared" si="26"/>
        <v>38.599999999999994</v>
      </c>
    </row>
    <row r="32" spans="1:14">
      <c r="A32" s="34">
        <f>A29+28</f>
        <v>44214</v>
      </c>
      <c r="B32" s="13">
        <f t="shared" ref="B32:N32" si="27">B$6*9</f>
        <v>0</v>
      </c>
      <c r="C32" s="13">
        <f t="shared" si="27"/>
        <v>3.6</v>
      </c>
      <c r="D32" s="36">
        <f t="shared" si="27"/>
        <v>5.3999999999999995</v>
      </c>
      <c r="E32" s="36">
        <f t="shared" si="27"/>
        <v>7.2</v>
      </c>
      <c r="F32" s="36">
        <f t="shared" si="27"/>
        <v>9</v>
      </c>
      <c r="G32" s="36">
        <f t="shared" si="27"/>
        <v>10.799999999999999</v>
      </c>
      <c r="H32" s="36">
        <f t="shared" si="27"/>
        <v>14.4</v>
      </c>
      <c r="I32" s="36">
        <f t="shared" si="27"/>
        <v>18</v>
      </c>
      <c r="J32" s="36">
        <f t="shared" si="27"/>
        <v>21.599999999999998</v>
      </c>
      <c r="K32" s="36">
        <f t="shared" si="27"/>
        <v>25.2</v>
      </c>
      <c r="L32" s="36">
        <f t="shared" si="27"/>
        <v>28.8</v>
      </c>
      <c r="M32" s="36">
        <f t="shared" si="27"/>
        <v>32.4</v>
      </c>
      <c r="N32" s="36">
        <f t="shared" si="27"/>
        <v>36</v>
      </c>
    </row>
    <row r="33" spans="1:14">
      <c r="A33" s="34" t="s">
        <v>64</v>
      </c>
      <c r="B33" s="13">
        <f t="shared" ref="B33:N33" si="28">B$7*9</f>
        <v>0</v>
      </c>
      <c r="C33" s="13">
        <f t="shared" si="28"/>
        <v>27720</v>
      </c>
      <c r="D33" s="36">
        <f t="shared" si="28"/>
        <v>41580</v>
      </c>
      <c r="E33" s="36">
        <f t="shared" si="28"/>
        <v>55440</v>
      </c>
      <c r="F33" s="36">
        <f t="shared" si="28"/>
        <v>69300</v>
      </c>
      <c r="G33" s="36">
        <f t="shared" si="28"/>
        <v>83160</v>
      </c>
      <c r="H33" s="36">
        <f t="shared" si="28"/>
        <v>110880</v>
      </c>
      <c r="I33" s="36">
        <f t="shared" si="28"/>
        <v>138600</v>
      </c>
      <c r="J33" s="36">
        <f t="shared" si="28"/>
        <v>166320</v>
      </c>
      <c r="K33" s="36">
        <f t="shared" si="28"/>
        <v>194040</v>
      </c>
      <c r="L33" s="36">
        <f t="shared" si="28"/>
        <v>221760</v>
      </c>
      <c r="M33" s="36">
        <f t="shared" si="28"/>
        <v>249480</v>
      </c>
      <c r="N33" s="36">
        <f t="shared" si="28"/>
        <v>277200</v>
      </c>
    </row>
    <row r="34" spans="1:14" ht="15.75">
      <c r="A34" s="13" t="s">
        <v>65</v>
      </c>
      <c r="B34" s="36">
        <f t="shared" ref="B34:N34" si="29">B$2-B32</f>
        <v>70.599999999999994</v>
      </c>
      <c r="C34" s="13">
        <f t="shared" si="29"/>
        <v>67</v>
      </c>
      <c r="D34" s="36">
        <f t="shared" si="29"/>
        <v>65.199999999999989</v>
      </c>
      <c r="E34" s="36">
        <f t="shared" si="29"/>
        <v>63.399999999999991</v>
      </c>
      <c r="F34" s="36">
        <f t="shared" si="29"/>
        <v>61.599999999999994</v>
      </c>
      <c r="G34" s="35">
        <f t="shared" si="29"/>
        <v>59.8</v>
      </c>
      <c r="H34" s="36">
        <f t="shared" si="29"/>
        <v>56.199999999999996</v>
      </c>
      <c r="I34" s="36">
        <f t="shared" si="29"/>
        <v>52.599999999999994</v>
      </c>
      <c r="J34" s="36">
        <f t="shared" si="29"/>
        <v>49</v>
      </c>
      <c r="K34" s="37">
        <f t="shared" si="29"/>
        <v>45.399999999999991</v>
      </c>
      <c r="L34" s="36">
        <f t="shared" si="29"/>
        <v>41.8</v>
      </c>
      <c r="M34" s="36">
        <f t="shared" si="29"/>
        <v>38.199999999999996</v>
      </c>
      <c r="N34" s="36">
        <f t="shared" si="29"/>
        <v>34.599999999999994</v>
      </c>
    </row>
    <row r="35" spans="1:14">
      <c r="A35" s="34">
        <f>A32+28</f>
        <v>44242</v>
      </c>
      <c r="B35" s="13">
        <f t="shared" ref="B35:N35" si="30">B$6*10</f>
        <v>0</v>
      </c>
      <c r="C35" s="13">
        <f t="shared" si="30"/>
        <v>4</v>
      </c>
      <c r="D35" s="36">
        <f t="shared" si="30"/>
        <v>6</v>
      </c>
      <c r="E35" s="36">
        <f t="shared" si="30"/>
        <v>8</v>
      </c>
      <c r="F35" s="36">
        <f t="shared" si="30"/>
        <v>10</v>
      </c>
      <c r="G35" s="36">
        <f t="shared" si="30"/>
        <v>12</v>
      </c>
      <c r="H35" s="36">
        <f t="shared" si="30"/>
        <v>16</v>
      </c>
      <c r="I35" s="36">
        <f t="shared" si="30"/>
        <v>20</v>
      </c>
      <c r="J35" s="36">
        <f t="shared" si="30"/>
        <v>24</v>
      </c>
      <c r="K35" s="36">
        <f t="shared" si="30"/>
        <v>28</v>
      </c>
      <c r="L35" s="36">
        <f t="shared" si="30"/>
        <v>32</v>
      </c>
      <c r="M35" s="36">
        <f t="shared" si="30"/>
        <v>36</v>
      </c>
      <c r="N35" s="36">
        <f t="shared" si="30"/>
        <v>40</v>
      </c>
    </row>
    <row r="36" spans="1:14">
      <c r="A36" s="34" t="s">
        <v>64</v>
      </c>
      <c r="B36" s="13">
        <f t="shared" ref="B36:N36" si="31">B$7*10</f>
        <v>0</v>
      </c>
      <c r="C36" s="13">
        <f t="shared" si="31"/>
        <v>30800</v>
      </c>
      <c r="D36" s="36">
        <f t="shared" si="31"/>
        <v>46200</v>
      </c>
      <c r="E36" s="36">
        <f t="shared" si="31"/>
        <v>61600</v>
      </c>
      <c r="F36" s="36">
        <f t="shared" si="31"/>
        <v>77000</v>
      </c>
      <c r="G36" s="36">
        <f t="shared" si="31"/>
        <v>92400</v>
      </c>
      <c r="H36" s="36">
        <f t="shared" si="31"/>
        <v>123200</v>
      </c>
      <c r="I36" s="36">
        <f t="shared" si="31"/>
        <v>154000</v>
      </c>
      <c r="J36" s="36">
        <f t="shared" si="31"/>
        <v>184800</v>
      </c>
      <c r="K36" s="36">
        <f t="shared" si="31"/>
        <v>215600</v>
      </c>
      <c r="L36" s="36">
        <f t="shared" si="31"/>
        <v>246400</v>
      </c>
      <c r="M36" s="36">
        <f t="shared" si="31"/>
        <v>277200</v>
      </c>
      <c r="N36" s="36">
        <f t="shared" si="31"/>
        <v>308000</v>
      </c>
    </row>
    <row r="37" spans="1:14" ht="15.75">
      <c r="A37" s="13" t="s">
        <v>65</v>
      </c>
      <c r="B37" s="36">
        <f t="shared" ref="B37:N37" si="32">B$2-B35</f>
        <v>70.599999999999994</v>
      </c>
      <c r="C37" s="36">
        <f t="shared" si="32"/>
        <v>66.599999999999994</v>
      </c>
      <c r="D37" s="36">
        <f t="shared" si="32"/>
        <v>64.599999999999994</v>
      </c>
      <c r="E37" s="36">
        <f t="shared" si="32"/>
        <v>62.599999999999994</v>
      </c>
      <c r="F37" s="36">
        <f t="shared" si="32"/>
        <v>60.599999999999994</v>
      </c>
      <c r="G37" s="36">
        <f t="shared" si="32"/>
        <v>58.599999999999994</v>
      </c>
      <c r="H37" s="36">
        <f t="shared" si="32"/>
        <v>54.599999999999994</v>
      </c>
      <c r="I37" s="36">
        <f t="shared" si="32"/>
        <v>50.599999999999994</v>
      </c>
      <c r="J37" s="36">
        <f t="shared" si="32"/>
        <v>46.599999999999994</v>
      </c>
      <c r="K37" s="37">
        <f t="shared" si="32"/>
        <v>42.599999999999994</v>
      </c>
      <c r="L37" s="36">
        <f t="shared" si="32"/>
        <v>38.599999999999994</v>
      </c>
      <c r="M37" s="36">
        <f t="shared" si="32"/>
        <v>34.599999999999994</v>
      </c>
      <c r="N37" s="36">
        <f t="shared" si="32"/>
        <v>30.599999999999994</v>
      </c>
    </row>
    <row r="38" spans="1:14">
      <c r="A38" s="34">
        <f>A35+28</f>
        <v>44270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13">
        <f t="shared" ref="E38:N38" si="33">E$6*11</f>
        <v>8.8000000000000007</v>
      </c>
      <c r="F38" s="13">
        <f t="shared" si="33"/>
        <v>11</v>
      </c>
      <c r="G38" s="13">
        <f t="shared" si="33"/>
        <v>13.2</v>
      </c>
      <c r="H38" s="36">
        <f t="shared" si="33"/>
        <v>17.600000000000001</v>
      </c>
      <c r="I38" s="13">
        <f t="shared" si="33"/>
        <v>22</v>
      </c>
      <c r="J38" s="13">
        <f t="shared" si="33"/>
        <v>26.4</v>
      </c>
      <c r="K38" s="36">
        <f t="shared" si="33"/>
        <v>30.799999999999997</v>
      </c>
      <c r="L38" s="13">
        <f t="shared" si="33"/>
        <v>35.200000000000003</v>
      </c>
      <c r="M38" s="13">
        <f t="shared" si="33"/>
        <v>39.6</v>
      </c>
      <c r="N38" s="36">
        <f t="shared" si="33"/>
        <v>44</v>
      </c>
    </row>
    <row r="39" spans="1:14">
      <c r="A39" s="34" t="s">
        <v>64</v>
      </c>
      <c r="B39" s="13">
        <f t="shared" ref="B39:N39" si="34">B$7*8</f>
        <v>0</v>
      </c>
      <c r="C39" s="13">
        <f t="shared" si="34"/>
        <v>24640</v>
      </c>
      <c r="D39" s="36">
        <f t="shared" si="34"/>
        <v>36960</v>
      </c>
      <c r="E39" s="36">
        <f t="shared" si="34"/>
        <v>49280</v>
      </c>
      <c r="F39" s="36">
        <f t="shared" si="34"/>
        <v>61600</v>
      </c>
      <c r="G39" s="36">
        <f t="shared" si="34"/>
        <v>73920</v>
      </c>
      <c r="H39" s="36">
        <f t="shared" si="34"/>
        <v>98560</v>
      </c>
      <c r="I39" s="36">
        <f t="shared" si="34"/>
        <v>123200</v>
      </c>
      <c r="J39" s="36">
        <f t="shared" si="34"/>
        <v>147840</v>
      </c>
      <c r="K39" s="36">
        <f t="shared" si="34"/>
        <v>172480</v>
      </c>
      <c r="L39" s="36">
        <f t="shared" si="34"/>
        <v>197120</v>
      </c>
      <c r="M39" s="36">
        <f t="shared" si="34"/>
        <v>221760</v>
      </c>
      <c r="N39" s="36">
        <f t="shared" si="34"/>
        <v>246400</v>
      </c>
    </row>
    <row r="40" spans="1:14" ht="15.75">
      <c r="A40" s="13" t="s">
        <v>65</v>
      </c>
      <c r="B40" s="36">
        <f t="shared" ref="B40:N40" si="35">B$2-B38</f>
        <v>70.599999999999994</v>
      </c>
      <c r="C40" s="13">
        <f t="shared" si="35"/>
        <v>66.199999999999989</v>
      </c>
      <c r="D40" s="36">
        <f t="shared" si="35"/>
        <v>63.999999999999993</v>
      </c>
      <c r="E40" s="36">
        <f t="shared" si="35"/>
        <v>61.8</v>
      </c>
      <c r="F40" s="35">
        <f t="shared" si="35"/>
        <v>59.599999999999994</v>
      </c>
      <c r="G40" s="36">
        <f t="shared" si="35"/>
        <v>57.399999999999991</v>
      </c>
      <c r="H40" s="36">
        <f t="shared" si="35"/>
        <v>52.999999999999993</v>
      </c>
      <c r="I40" s="36">
        <f t="shared" si="35"/>
        <v>48.599999999999994</v>
      </c>
      <c r="J40" s="36">
        <f t="shared" si="35"/>
        <v>44.199999999999996</v>
      </c>
      <c r="K40" s="37">
        <f t="shared" si="35"/>
        <v>39.799999999999997</v>
      </c>
      <c r="L40" s="36">
        <f t="shared" si="35"/>
        <v>35.399999999999991</v>
      </c>
      <c r="M40" s="36">
        <f t="shared" si="35"/>
        <v>30.999999999999993</v>
      </c>
      <c r="N40" s="36">
        <f t="shared" si="35"/>
        <v>26.599999999999994</v>
      </c>
    </row>
    <row r="41" spans="1:14">
      <c r="A41" s="34">
        <f>A38+28</f>
        <v>44298</v>
      </c>
      <c r="B41" s="13">
        <f>B$6*12</f>
        <v>0</v>
      </c>
      <c r="C41" s="13">
        <f>C$6*12</f>
        <v>4.8000000000000007</v>
      </c>
      <c r="D41" s="13">
        <f t="shared" ref="D41:N41" si="36">D$6*12</f>
        <v>7.1999999999999993</v>
      </c>
      <c r="E41" s="13">
        <f t="shared" si="36"/>
        <v>9.6000000000000014</v>
      </c>
      <c r="F41" s="13">
        <f t="shared" si="36"/>
        <v>12</v>
      </c>
      <c r="G41" s="13">
        <f t="shared" si="36"/>
        <v>14.399999999999999</v>
      </c>
      <c r="H41" s="13">
        <f t="shared" si="36"/>
        <v>19.200000000000003</v>
      </c>
      <c r="I41" s="13">
        <f t="shared" si="36"/>
        <v>24</v>
      </c>
      <c r="J41" s="13">
        <f t="shared" si="36"/>
        <v>28.799999999999997</v>
      </c>
      <c r="K41" s="13">
        <f t="shared" si="36"/>
        <v>33.599999999999994</v>
      </c>
      <c r="L41" s="13">
        <f t="shared" si="36"/>
        <v>38.400000000000006</v>
      </c>
      <c r="M41" s="13">
        <f t="shared" si="36"/>
        <v>43.2</v>
      </c>
      <c r="N41" s="13">
        <f t="shared" si="36"/>
        <v>48</v>
      </c>
    </row>
    <row r="42" spans="1:14">
      <c r="A42" s="34" t="s">
        <v>64</v>
      </c>
      <c r="B42" s="13">
        <f t="shared" ref="B42:N42" si="37">B$7*9</f>
        <v>0</v>
      </c>
      <c r="C42" s="13">
        <f t="shared" si="37"/>
        <v>27720</v>
      </c>
      <c r="D42" s="36">
        <f t="shared" si="37"/>
        <v>41580</v>
      </c>
      <c r="E42" s="36">
        <f t="shared" si="37"/>
        <v>55440</v>
      </c>
      <c r="F42" s="36">
        <f t="shared" si="37"/>
        <v>69300</v>
      </c>
      <c r="G42" s="36">
        <f t="shared" si="37"/>
        <v>83160</v>
      </c>
      <c r="H42" s="36">
        <f t="shared" si="37"/>
        <v>110880</v>
      </c>
      <c r="I42" s="36">
        <f t="shared" si="37"/>
        <v>138600</v>
      </c>
      <c r="J42" s="36">
        <f t="shared" si="37"/>
        <v>166320</v>
      </c>
      <c r="K42" s="36">
        <f t="shared" si="37"/>
        <v>194040</v>
      </c>
      <c r="L42" s="36">
        <f t="shared" si="37"/>
        <v>221760</v>
      </c>
      <c r="M42" s="36">
        <f t="shared" si="37"/>
        <v>249480</v>
      </c>
      <c r="N42" s="36">
        <f t="shared" si="37"/>
        <v>277200</v>
      </c>
    </row>
    <row r="43" spans="1:14" ht="15.75">
      <c r="A43" s="13" t="s">
        <v>65</v>
      </c>
      <c r="B43" s="36">
        <f t="shared" ref="B43:N43" si="38">B$2-B41</f>
        <v>70.599999999999994</v>
      </c>
      <c r="C43" s="13">
        <f t="shared" si="38"/>
        <v>65.8</v>
      </c>
      <c r="D43" s="36">
        <f t="shared" si="38"/>
        <v>63.399999999999991</v>
      </c>
      <c r="E43" s="36">
        <f t="shared" si="38"/>
        <v>60.999999999999993</v>
      </c>
      <c r="F43" s="36">
        <f t="shared" si="38"/>
        <v>58.599999999999994</v>
      </c>
      <c r="G43" s="36">
        <f t="shared" si="38"/>
        <v>56.199999999999996</v>
      </c>
      <c r="H43" s="36">
        <f t="shared" si="38"/>
        <v>51.399999999999991</v>
      </c>
      <c r="I43" s="36">
        <f t="shared" si="38"/>
        <v>46.599999999999994</v>
      </c>
      <c r="J43" s="36">
        <f t="shared" si="38"/>
        <v>41.8</v>
      </c>
      <c r="K43" s="37">
        <f t="shared" si="38"/>
        <v>37</v>
      </c>
      <c r="L43" s="36">
        <f t="shared" si="38"/>
        <v>32.199999999999989</v>
      </c>
      <c r="M43" s="36">
        <f t="shared" si="38"/>
        <v>27.399999999999991</v>
      </c>
      <c r="N43" s="36">
        <f t="shared" si="38"/>
        <v>22.599999999999994</v>
      </c>
    </row>
    <row r="44" spans="1:14">
      <c r="A44" s="34">
        <f>A41+28</f>
        <v>44326</v>
      </c>
      <c r="B44" s="13">
        <f>B$6*13</f>
        <v>0</v>
      </c>
      <c r="C44" s="13">
        <f>C$6*13</f>
        <v>5.2</v>
      </c>
      <c r="D44" s="13">
        <f t="shared" ref="D44:N44" si="39">D$6*13</f>
        <v>7.8</v>
      </c>
      <c r="E44" s="13">
        <f t="shared" si="39"/>
        <v>10.4</v>
      </c>
      <c r="F44" s="13">
        <f t="shared" si="39"/>
        <v>13</v>
      </c>
      <c r="G44" s="13">
        <f t="shared" si="39"/>
        <v>15.6</v>
      </c>
      <c r="H44" s="13">
        <f t="shared" si="39"/>
        <v>20.8</v>
      </c>
      <c r="I44" s="13">
        <f t="shared" si="39"/>
        <v>26</v>
      </c>
      <c r="J44" s="13">
        <f t="shared" si="39"/>
        <v>31.2</v>
      </c>
      <c r="K44" s="13">
        <f t="shared" si="39"/>
        <v>36.4</v>
      </c>
      <c r="L44" s="13">
        <f t="shared" si="39"/>
        <v>41.6</v>
      </c>
      <c r="M44" s="13">
        <f t="shared" si="39"/>
        <v>46.800000000000004</v>
      </c>
      <c r="N44" s="13">
        <f t="shared" si="39"/>
        <v>52</v>
      </c>
    </row>
    <row r="45" spans="1:14">
      <c r="A45" s="34" t="s">
        <v>64</v>
      </c>
      <c r="B45" s="13">
        <f t="shared" ref="B45:N45" si="40">B$7*10</f>
        <v>0</v>
      </c>
      <c r="C45" s="13">
        <f t="shared" si="40"/>
        <v>30800</v>
      </c>
      <c r="D45" s="36">
        <f t="shared" si="40"/>
        <v>46200</v>
      </c>
      <c r="E45" s="36">
        <f t="shared" si="40"/>
        <v>61600</v>
      </c>
      <c r="F45" s="36">
        <f t="shared" si="40"/>
        <v>77000</v>
      </c>
      <c r="G45" s="36">
        <f t="shared" si="40"/>
        <v>92400</v>
      </c>
      <c r="H45" s="36">
        <f t="shared" si="40"/>
        <v>123200</v>
      </c>
      <c r="I45" s="36">
        <f t="shared" si="40"/>
        <v>154000</v>
      </c>
      <c r="J45" s="36">
        <f t="shared" si="40"/>
        <v>184800</v>
      </c>
      <c r="K45" s="36">
        <f t="shared" si="40"/>
        <v>215600</v>
      </c>
      <c r="L45" s="36">
        <f t="shared" si="40"/>
        <v>246400</v>
      </c>
      <c r="M45" s="36">
        <f t="shared" si="40"/>
        <v>277200</v>
      </c>
      <c r="N45" s="36">
        <f t="shared" si="40"/>
        <v>308000</v>
      </c>
    </row>
    <row r="46" spans="1:14" ht="15.75">
      <c r="A46" s="13" t="s">
        <v>65</v>
      </c>
      <c r="B46" s="36">
        <f t="shared" ref="B46:N46" si="41">B$2-B44</f>
        <v>70.599999999999994</v>
      </c>
      <c r="C46" s="36">
        <f t="shared" si="41"/>
        <v>65.399999999999991</v>
      </c>
      <c r="D46" s="36">
        <f t="shared" si="41"/>
        <v>62.8</v>
      </c>
      <c r="E46" s="35">
        <f t="shared" si="41"/>
        <v>60.199999999999996</v>
      </c>
      <c r="F46" s="36">
        <f t="shared" si="41"/>
        <v>57.599999999999994</v>
      </c>
      <c r="G46" s="36">
        <f t="shared" si="41"/>
        <v>54.999999999999993</v>
      </c>
      <c r="H46" s="36">
        <f t="shared" si="41"/>
        <v>49.8</v>
      </c>
      <c r="I46" s="36">
        <f t="shared" si="41"/>
        <v>44.599999999999994</v>
      </c>
      <c r="J46" s="36">
        <f t="shared" si="41"/>
        <v>39.399999999999991</v>
      </c>
      <c r="K46" s="37">
        <f t="shared" si="41"/>
        <v>34.199999999999996</v>
      </c>
      <c r="L46" s="36">
        <f t="shared" si="41"/>
        <v>28.999999999999993</v>
      </c>
      <c r="M46" s="36">
        <f t="shared" si="41"/>
        <v>23.79999999999999</v>
      </c>
      <c r="N46" s="36">
        <f t="shared" si="41"/>
        <v>18.599999999999994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CC7C-A07A-433E-B6BF-46807CD46214}">
  <dimension ref="A1:T76"/>
  <sheetViews>
    <sheetView tabSelected="1" workbookViewId="0">
      <pane ySplit="1" topLeftCell="A38" activePane="bottomLeft" state="frozen"/>
      <selection pane="bottomLeft" activeCell="L54" sqref="L54"/>
    </sheetView>
  </sheetViews>
  <sheetFormatPr defaultRowHeight="14.25"/>
  <cols>
    <col min="3" max="3" width="8.75" customWidth="1"/>
    <col min="6" max="6" width="11.5" customWidth="1"/>
    <col min="11" max="11" width="11.125" customWidth="1"/>
    <col min="17" max="17" width="8.625" customWidth="1"/>
  </cols>
  <sheetData>
    <row r="1" spans="1:18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/>
      <c r="J1" s="13" t="s">
        <v>104</v>
      </c>
      <c r="K1" s="13" t="s">
        <v>89</v>
      </c>
      <c r="L1" s="13" t="s">
        <v>88</v>
      </c>
      <c r="M1" s="13"/>
      <c r="N1" s="13" t="s">
        <v>78</v>
      </c>
      <c r="O1" s="13" t="s">
        <v>79</v>
      </c>
      <c r="P1" s="13" t="s">
        <v>83</v>
      </c>
      <c r="Q1" s="30" t="s">
        <v>37</v>
      </c>
      <c r="R1" s="13" t="s">
        <v>90</v>
      </c>
    </row>
    <row r="2" spans="1:18">
      <c r="A2" s="13">
        <v>201612</v>
      </c>
      <c r="B2" s="13">
        <v>53990</v>
      </c>
      <c r="C2" s="13">
        <v>1563</v>
      </c>
      <c r="D2" s="13">
        <f t="shared" ref="D2:D13" si="0">B2/C2</f>
        <v>34.542546385156747</v>
      </c>
      <c r="E2" s="13">
        <f t="shared" ref="E2:E42" si="1">C2/7700</f>
        <v>0.20298701298701299</v>
      </c>
      <c r="F2" s="13">
        <f>B2</f>
        <v>53990</v>
      </c>
      <c r="G2" s="13">
        <f>C2</f>
        <v>1563</v>
      </c>
      <c r="H2" s="13"/>
      <c r="I2" s="13"/>
      <c r="J2" s="13"/>
    </row>
    <row r="3" spans="1:18">
      <c r="A3" s="13">
        <v>201701</v>
      </c>
      <c r="B3" s="13">
        <v>187886</v>
      </c>
      <c r="C3" s="13">
        <v>5490</v>
      </c>
      <c r="D3" s="13">
        <f t="shared" si="0"/>
        <v>34.223315118397089</v>
      </c>
      <c r="E3" s="13">
        <f t="shared" si="1"/>
        <v>0.71298701298701295</v>
      </c>
      <c r="F3" s="13">
        <f>SUM(F2,B3)</f>
        <v>241876</v>
      </c>
      <c r="G3" s="13">
        <f>SUM(G2,C3)</f>
        <v>7053</v>
      </c>
      <c r="H3" s="13"/>
      <c r="I3" s="13"/>
      <c r="J3" s="13"/>
    </row>
    <row r="4" spans="1:18">
      <c r="A4" s="13">
        <v>201702</v>
      </c>
      <c r="B4" s="13">
        <v>225966</v>
      </c>
      <c r="C4" s="13">
        <v>7182</v>
      </c>
      <c r="D4" s="13">
        <f t="shared" si="0"/>
        <v>31.462823725981622</v>
      </c>
      <c r="E4" s="13">
        <f t="shared" si="1"/>
        <v>0.93272727272727274</v>
      </c>
      <c r="F4" s="13">
        <f t="shared" ref="F4:F19" si="2">SUM(F3,B4)</f>
        <v>467842</v>
      </c>
      <c r="G4" s="13">
        <f t="shared" ref="G4:G51" si="3">SUM(G3,C4)</f>
        <v>14235</v>
      </c>
      <c r="N4">
        <v>89</v>
      </c>
    </row>
    <row r="5" spans="1:18">
      <c r="A5" s="13">
        <v>201703</v>
      </c>
      <c r="B5" s="13">
        <v>247284</v>
      </c>
      <c r="C5" s="13">
        <v>6768</v>
      </c>
      <c r="D5" s="13">
        <f t="shared" si="0"/>
        <v>36.537234042553195</v>
      </c>
      <c r="E5" s="13">
        <f t="shared" si="1"/>
        <v>0.87896103896103894</v>
      </c>
      <c r="F5" s="13">
        <f t="shared" si="2"/>
        <v>715126</v>
      </c>
      <c r="G5" s="13">
        <f t="shared" si="3"/>
        <v>21003</v>
      </c>
      <c r="N5">
        <v>86.71</v>
      </c>
      <c r="O5">
        <f>N4-N5</f>
        <v>2.2900000000000063</v>
      </c>
      <c r="P5">
        <f>O5*7700</f>
        <v>17633.000000000047</v>
      </c>
      <c r="R5">
        <f t="shared" ref="R5:R26" si="4">C5-P5</f>
        <v>-10865.000000000047</v>
      </c>
    </row>
    <row r="6" spans="1:18">
      <c r="A6" s="13">
        <v>201704</v>
      </c>
      <c r="B6" s="13">
        <v>352632</v>
      </c>
      <c r="C6" s="13">
        <v>12696</v>
      </c>
      <c r="D6" s="13">
        <f t="shared" si="0"/>
        <v>27.775047258979207</v>
      </c>
      <c r="E6" s="13">
        <f t="shared" si="1"/>
        <v>1.6488311688311688</v>
      </c>
      <c r="F6" s="13">
        <f t="shared" si="2"/>
        <v>1067758</v>
      </c>
      <c r="G6" s="13">
        <f t="shared" si="3"/>
        <v>33699</v>
      </c>
      <c r="N6">
        <v>84.12</v>
      </c>
      <c r="O6">
        <f t="shared" ref="O6:O43" si="5">N5-N6</f>
        <v>2.5899999999999892</v>
      </c>
      <c r="P6">
        <f t="shared" ref="P6:P43" si="6">O6*7700</f>
        <v>19942.999999999916</v>
      </c>
      <c r="R6">
        <f t="shared" si="4"/>
        <v>-7246.9999999999163</v>
      </c>
    </row>
    <row r="7" spans="1:18">
      <c r="A7" s="13">
        <v>201705</v>
      </c>
      <c r="B7" s="13">
        <v>569417</v>
      </c>
      <c r="C7" s="13">
        <v>24670</v>
      </c>
      <c r="D7" s="13">
        <f t="shared" si="0"/>
        <v>23.0813538710985</v>
      </c>
      <c r="E7" s="13">
        <f t="shared" si="1"/>
        <v>3.203896103896104</v>
      </c>
      <c r="F7" s="13">
        <f t="shared" si="2"/>
        <v>1637175</v>
      </c>
      <c r="G7" s="13">
        <f t="shared" si="3"/>
        <v>58369</v>
      </c>
      <c r="H7">
        <v>42832</v>
      </c>
      <c r="J7">
        <v>836</v>
      </c>
      <c r="K7">
        <v>1505</v>
      </c>
      <c r="L7">
        <v>1002</v>
      </c>
      <c r="N7">
        <v>81.14</v>
      </c>
      <c r="O7">
        <f t="shared" si="5"/>
        <v>2.980000000000004</v>
      </c>
      <c r="P7">
        <f t="shared" si="6"/>
        <v>22946.000000000029</v>
      </c>
      <c r="Q7">
        <v>1818</v>
      </c>
      <c r="R7">
        <f t="shared" si="4"/>
        <v>1723.9999999999709</v>
      </c>
    </row>
    <row r="8" spans="1:18">
      <c r="A8" s="13">
        <v>201706</v>
      </c>
      <c r="B8" s="13">
        <v>632876</v>
      </c>
      <c r="C8" s="13">
        <v>26090</v>
      </c>
      <c r="D8" s="13">
        <f t="shared" si="0"/>
        <v>24.257416634725949</v>
      </c>
      <c r="E8" s="13">
        <f t="shared" si="1"/>
        <v>3.3883116883116884</v>
      </c>
      <c r="F8" s="13">
        <f t="shared" si="2"/>
        <v>2270051</v>
      </c>
      <c r="G8" s="13">
        <f t="shared" si="3"/>
        <v>84459</v>
      </c>
      <c r="H8" s="13">
        <v>41367</v>
      </c>
      <c r="I8" s="13"/>
      <c r="J8">
        <v>884</v>
      </c>
      <c r="K8">
        <v>1505</v>
      </c>
      <c r="L8" s="13">
        <v>1050</v>
      </c>
      <c r="N8">
        <v>77.45</v>
      </c>
      <c r="O8">
        <f t="shared" si="5"/>
        <v>3.6899999999999977</v>
      </c>
      <c r="P8">
        <f t="shared" si="6"/>
        <v>28412.999999999982</v>
      </c>
      <c r="Q8">
        <v>-2843</v>
      </c>
      <c r="R8">
        <f t="shared" si="4"/>
        <v>-2322.9999999999818</v>
      </c>
    </row>
    <row r="9" spans="1:18">
      <c r="A9" s="13">
        <v>201707</v>
      </c>
      <c r="B9" s="13">
        <v>568600</v>
      </c>
      <c r="C9" s="13">
        <v>19252</v>
      </c>
      <c r="D9" s="13">
        <f t="shared" si="0"/>
        <v>29.534593808435488</v>
      </c>
      <c r="E9" s="13">
        <f t="shared" si="1"/>
        <v>2.5002597402597404</v>
      </c>
      <c r="F9" s="13">
        <f t="shared" si="2"/>
        <v>2838651</v>
      </c>
      <c r="G9" s="13">
        <f t="shared" si="3"/>
        <v>103711</v>
      </c>
      <c r="H9" s="13">
        <v>48330</v>
      </c>
      <c r="I9" s="13"/>
      <c r="J9">
        <v>639</v>
      </c>
      <c r="K9">
        <v>1380</v>
      </c>
      <c r="L9" s="13">
        <v>758</v>
      </c>
      <c r="N9">
        <v>73.87</v>
      </c>
      <c r="O9">
        <f t="shared" si="5"/>
        <v>3.5799999999999983</v>
      </c>
      <c r="P9">
        <f t="shared" si="6"/>
        <v>27565.999999999985</v>
      </c>
      <c r="Q9">
        <v>1995</v>
      </c>
      <c r="R9">
        <f t="shared" si="4"/>
        <v>-8313.9999999999854</v>
      </c>
    </row>
    <row r="10" spans="1:18">
      <c r="A10" s="13">
        <v>201708</v>
      </c>
      <c r="B10" s="13">
        <v>571687</v>
      </c>
      <c r="C10" s="13">
        <v>18651</v>
      </c>
      <c r="D10" s="13">
        <f t="shared" si="0"/>
        <v>30.651814916090292</v>
      </c>
      <c r="E10" s="13">
        <f t="shared" si="1"/>
        <v>2.422207792207792</v>
      </c>
      <c r="F10" s="13">
        <f t="shared" si="2"/>
        <v>3410338</v>
      </c>
      <c r="G10" s="13">
        <f t="shared" si="3"/>
        <v>122362</v>
      </c>
      <c r="H10">
        <v>45135</v>
      </c>
      <c r="J10">
        <v>590</v>
      </c>
      <c r="K10">
        <v>1612</v>
      </c>
      <c r="L10">
        <v>378</v>
      </c>
      <c r="N10">
        <v>71.77</v>
      </c>
      <c r="O10">
        <f t="shared" si="5"/>
        <v>2.1000000000000085</v>
      </c>
      <c r="P10">
        <f t="shared" si="6"/>
        <v>16170.000000000065</v>
      </c>
      <c r="Q10">
        <v>-207</v>
      </c>
      <c r="R10">
        <f t="shared" si="4"/>
        <v>2480.9999999999345</v>
      </c>
    </row>
    <row r="11" spans="1:18">
      <c r="A11" s="13">
        <v>201709</v>
      </c>
      <c r="B11" s="13">
        <v>586503</v>
      </c>
      <c r="C11" s="13">
        <v>22515</v>
      </c>
      <c r="D11" s="13">
        <f t="shared" si="0"/>
        <v>26.049433710859429</v>
      </c>
      <c r="E11" s="13">
        <f t="shared" si="1"/>
        <v>2.924025974025974</v>
      </c>
      <c r="F11" s="13">
        <f t="shared" si="2"/>
        <v>3996841</v>
      </c>
      <c r="G11" s="13">
        <f t="shared" si="3"/>
        <v>144877</v>
      </c>
      <c r="H11">
        <v>48515</v>
      </c>
      <c r="J11">
        <v>755</v>
      </c>
      <c r="K11">
        <v>1386</v>
      </c>
      <c r="L11">
        <v>768</v>
      </c>
      <c r="N11">
        <v>69.5</v>
      </c>
      <c r="O11">
        <f t="shared" si="5"/>
        <v>2.269999999999996</v>
      </c>
      <c r="P11">
        <f t="shared" si="6"/>
        <v>17478.999999999971</v>
      </c>
      <c r="Q11">
        <v>2023</v>
      </c>
      <c r="R11">
        <f t="shared" si="4"/>
        <v>5036.0000000000291</v>
      </c>
    </row>
    <row r="12" spans="1:18">
      <c r="A12" s="13">
        <v>201710</v>
      </c>
      <c r="B12" s="13">
        <v>560810</v>
      </c>
      <c r="C12" s="13">
        <v>21167</v>
      </c>
      <c r="D12" s="13">
        <f t="shared" si="0"/>
        <v>26.494543393017434</v>
      </c>
      <c r="E12" s="13">
        <f t="shared" si="1"/>
        <v>2.7489610389610388</v>
      </c>
      <c r="F12" s="13">
        <f t="shared" si="2"/>
        <v>4557651</v>
      </c>
      <c r="G12" s="13">
        <f t="shared" si="3"/>
        <v>166044</v>
      </c>
      <c r="H12">
        <v>44087</v>
      </c>
      <c r="J12">
        <v>679</v>
      </c>
      <c r="K12">
        <v>1575</v>
      </c>
      <c r="L12">
        <v>505</v>
      </c>
      <c r="N12">
        <v>67.739999999999995</v>
      </c>
      <c r="O12">
        <f t="shared" si="5"/>
        <v>1.7600000000000051</v>
      </c>
      <c r="P12">
        <f t="shared" si="6"/>
        <v>13552.00000000004</v>
      </c>
      <c r="Q12">
        <v>1355</v>
      </c>
      <c r="R12">
        <f t="shared" si="4"/>
        <v>7614.99999999996</v>
      </c>
    </row>
    <row r="13" spans="1:18">
      <c r="A13" s="13">
        <v>201711</v>
      </c>
      <c r="B13" s="13">
        <v>509750</v>
      </c>
      <c r="C13" s="13">
        <v>20794</v>
      </c>
      <c r="D13" s="13">
        <f t="shared" si="0"/>
        <v>24.514282966240263</v>
      </c>
      <c r="E13" s="13">
        <f t="shared" si="1"/>
        <v>2.7005194805194805</v>
      </c>
      <c r="F13" s="13">
        <f t="shared" si="2"/>
        <v>5067401</v>
      </c>
      <c r="G13" s="13">
        <f t="shared" si="3"/>
        <v>186838</v>
      </c>
      <c r="H13">
        <v>43992</v>
      </c>
      <c r="J13">
        <v>475</v>
      </c>
      <c r="K13">
        <v>1571</v>
      </c>
      <c r="L13">
        <v>537</v>
      </c>
      <c r="N13">
        <v>66.180000000000007</v>
      </c>
      <c r="O13">
        <f t="shared" si="5"/>
        <v>1.5599999999999881</v>
      </c>
      <c r="P13">
        <f t="shared" si="6"/>
        <v>12011.999999999907</v>
      </c>
      <c r="Q13">
        <v>1515</v>
      </c>
      <c r="R13">
        <f t="shared" si="4"/>
        <v>8782.0000000000928</v>
      </c>
    </row>
    <row r="14" spans="1:18">
      <c r="A14" s="13">
        <v>201712</v>
      </c>
      <c r="B14" s="13">
        <v>520978</v>
      </c>
      <c r="C14" s="13">
        <v>22757</v>
      </c>
      <c r="D14" s="13">
        <f>B14/C14</f>
        <v>22.893087841103835</v>
      </c>
      <c r="E14" s="13">
        <f t="shared" si="1"/>
        <v>2.9554545454545456</v>
      </c>
      <c r="F14" s="13">
        <f t="shared" si="2"/>
        <v>5588379</v>
      </c>
      <c r="G14" s="13">
        <f t="shared" si="3"/>
        <v>209595</v>
      </c>
      <c r="H14">
        <v>54492</v>
      </c>
      <c r="J14">
        <v>485</v>
      </c>
      <c r="K14">
        <v>1557</v>
      </c>
      <c r="L14">
        <v>275</v>
      </c>
      <c r="N14">
        <v>65.86</v>
      </c>
      <c r="O14">
        <f t="shared" si="5"/>
        <v>0.32000000000000739</v>
      </c>
      <c r="P14">
        <f t="shared" si="6"/>
        <v>2464.0000000000568</v>
      </c>
      <c r="Q14">
        <v>9069</v>
      </c>
      <c r="R14">
        <f t="shared" si="4"/>
        <v>20292.999999999942</v>
      </c>
    </row>
    <row r="15" spans="1:18">
      <c r="A15" s="13">
        <v>201801</v>
      </c>
      <c r="B15" s="13">
        <v>519318</v>
      </c>
      <c r="C15" s="13">
        <v>21094</v>
      </c>
      <c r="D15" s="13">
        <f>B15/C15</f>
        <v>24.619228216554472</v>
      </c>
      <c r="E15" s="13">
        <f t="shared" si="1"/>
        <v>2.7394805194805194</v>
      </c>
      <c r="F15" s="13">
        <f t="shared" si="2"/>
        <v>6107697</v>
      </c>
      <c r="G15" s="13">
        <f t="shared" si="3"/>
        <v>230689</v>
      </c>
      <c r="H15">
        <v>43666</v>
      </c>
      <c r="J15">
        <v>695</v>
      </c>
      <c r="K15">
        <v>1560</v>
      </c>
      <c r="L15">
        <v>335</v>
      </c>
      <c r="N15">
        <v>65.150000000000006</v>
      </c>
      <c r="O15">
        <f t="shared" si="5"/>
        <v>0.70999999999999375</v>
      </c>
      <c r="P15">
        <f t="shared" si="6"/>
        <v>5466.9999999999518</v>
      </c>
      <c r="Q15">
        <v>2771</v>
      </c>
      <c r="R15">
        <f t="shared" si="4"/>
        <v>15627.000000000047</v>
      </c>
    </row>
    <row r="16" spans="1:18">
      <c r="A16" s="13">
        <v>201802</v>
      </c>
      <c r="B16" s="13">
        <v>484403</v>
      </c>
      <c r="C16" s="13">
        <v>20453</v>
      </c>
      <c r="D16" s="13">
        <f>B16/C16</f>
        <v>23.683713880604312</v>
      </c>
      <c r="E16" s="13">
        <f t="shared" si="1"/>
        <v>2.6562337662337661</v>
      </c>
      <c r="F16" s="13">
        <f t="shared" si="2"/>
        <v>6592100</v>
      </c>
      <c r="G16" s="13">
        <f t="shared" si="3"/>
        <v>251142</v>
      </c>
      <c r="H16">
        <v>48955</v>
      </c>
      <c r="J16">
        <v>669</v>
      </c>
      <c r="K16">
        <v>1748</v>
      </c>
      <c r="L16">
        <v>121</v>
      </c>
      <c r="N16">
        <v>65.02</v>
      </c>
      <c r="O16">
        <f t="shared" si="5"/>
        <v>0.13000000000000966</v>
      </c>
      <c r="P16">
        <f t="shared" si="6"/>
        <v>1001.0000000000744</v>
      </c>
      <c r="Q16">
        <v>9919</v>
      </c>
      <c r="R16">
        <f t="shared" si="4"/>
        <v>19451.999999999927</v>
      </c>
    </row>
    <row r="17" spans="1:18">
      <c r="A17" s="13">
        <v>201803</v>
      </c>
      <c r="B17" s="13">
        <v>536337</v>
      </c>
      <c r="C17" s="13">
        <v>20991</v>
      </c>
      <c r="D17" s="13">
        <f>B17/C17</f>
        <v>25.550807488923823</v>
      </c>
      <c r="E17" s="13">
        <f t="shared" si="1"/>
        <v>2.7261038961038961</v>
      </c>
      <c r="F17" s="13">
        <f t="shared" si="2"/>
        <v>7128437</v>
      </c>
      <c r="G17" s="13">
        <f t="shared" si="3"/>
        <v>272133</v>
      </c>
      <c r="H17">
        <v>53956</v>
      </c>
      <c r="J17">
        <v>674</v>
      </c>
      <c r="K17">
        <v>1559</v>
      </c>
      <c r="L17">
        <v>321</v>
      </c>
      <c r="N17">
        <v>63.71</v>
      </c>
      <c r="O17">
        <f t="shared" si="5"/>
        <v>1.3099999999999952</v>
      </c>
      <c r="P17">
        <f t="shared" si="6"/>
        <v>10086.999999999964</v>
      </c>
      <c r="Q17">
        <v>-8558</v>
      </c>
      <c r="R17">
        <f t="shared" si="4"/>
        <v>10904.000000000036</v>
      </c>
    </row>
    <row r="18" spans="1:18">
      <c r="A18" s="13">
        <v>201804</v>
      </c>
      <c r="B18" s="13">
        <v>484329</v>
      </c>
      <c r="C18" s="13">
        <v>18907</v>
      </c>
      <c r="D18" s="13">
        <f>B18/C18</f>
        <v>25.616385465700535</v>
      </c>
      <c r="E18" s="13">
        <f t="shared" si="1"/>
        <v>2.4554545454545456</v>
      </c>
      <c r="F18" s="13">
        <f t="shared" si="2"/>
        <v>7612766</v>
      </c>
      <c r="G18" s="13">
        <f t="shared" si="3"/>
        <v>291040</v>
      </c>
      <c r="H18">
        <v>47027</v>
      </c>
      <c r="J18">
        <v>626</v>
      </c>
      <c r="K18">
        <v>1680</v>
      </c>
      <c r="L18">
        <v>146</v>
      </c>
      <c r="N18">
        <v>62.63</v>
      </c>
      <c r="O18">
        <f t="shared" si="5"/>
        <v>1.0799999999999983</v>
      </c>
      <c r="P18">
        <f t="shared" si="6"/>
        <v>8315.9999999999873</v>
      </c>
      <c r="Q18">
        <v>-755</v>
      </c>
      <c r="R18">
        <f t="shared" si="4"/>
        <v>10591.000000000013</v>
      </c>
    </row>
    <row r="19" spans="1:18">
      <c r="A19" s="13">
        <v>201805</v>
      </c>
      <c r="B19" s="13">
        <v>531000</v>
      </c>
      <c r="C19" s="13">
        <v>21541</v>
      </c>
      <c r="D19" s="13">
        <f t="shared" ref="D19:D42" si="7">B19/C19</f>
        <v>24.650666171486932</v>
      </c>
      <c r="E19" s="13">
        <f t="shared" si="1"/>
        <v>2.7975324675324673</v>
      </c>
      <c r="F19" s="13">
        <f t="shared" si="2"/>
        <v>8143766</v>
      </c>
      <c r="G19" s="13">
        <f t="shared" si="3"/>
        <v>312581</v>
      </c>
      <c r="H19">
        <v>61498</v>
      </c>
      <c r="J19">
        <v>704</v>
      </c>
      <c r="K19">
        <v>1757</v>
      </c>
      <c r="L19">
        <v>147</v>
      </c>
      <c r="N19">
        <v>61.87</v>
      </c>
      <c r="O19">
        <f t="shared" si="5"/>
        <v>0.76000000000000512</v>
      </c>
      <c r="P19">
        <f t="shared" si="6"/>
        <v>5852.0000000000391</v>
      </c>
      <c r="Q19">
        <v>-1484</v>
      </c>
      <c r="R19">
        <f t="shared" si="4"/>
        <v>15688.99999999996</v>
      </c>
    </row>
    <row r="20" spans="1:18">
      <c r="A20" s="13">
        <v>201806</v>
      </c>
      <c r="B20" s="13">
        <v>448120</v>
      </c>
      <c r="C20" s="13">
        <v>17532</v>
      </c>
      <c r="D20" s="13">
        <f t="shared" si="7"/>
        <v>25.560118640200777</v>
      </c>
      <c r="E20" s="13">
        <f t="shared" si="1"/>
        <v>2.2768831168831167</v>
      </c>
      <c r="F20" s="13">
        <f t="shared" ref="F20:F50" si="8">SUM(F19,B20)</f>
        <v>8591886</v>
      </c>
      <c r="G20" s="13">
        <f t="shared" si="3"/>
        <v>330113</v>
      </c>
      <c r="H20">
        <v>47713</v>
      </c>
      <c r="J20">
        <v>558</v>
      </c>
      <c r="K20">
        <v>1704</v>
      </c>
      <c r="L20">
        <v>54</v>
      </c>
      <c r="N20">
        <v>61.56</v>
      </c>
      <c r="O20">
        <f t="shared" si="5"/>
        <v>0.30999999999999517</v>
      </c>
      <c r="P20">
        <f t="shared" si="6"/>
        <v>2386.9999999999627</v>
      </c>
      <c r="Q20">
        <v>1828</v>
      </c>
      <c r="R20">
        <f t="shared" si="4"/>
        <v>15145.000000000036</v>
      </c>
    </row>
    <row r="21" spans="1:18">
      <c r="A21" s="13">
        <v>201807</v>
      </c>
      <c r="B21" s="13">
        <v>456974</v>
      </c>
      <c r="C21" s="13">
        <v>17833</v>
      </c>
      <c r="D21" s="13">
        <f t="shared" si="7"/>
        <v>25.625189255873941</v>
      </c>
      <c r="E21" s="13">
        <f t="shared" si="1"/>
        <v>2.3159740259740258</v>
      </c>
      <c r="F21" s="13">
        <f t="shared" si="8"/>
        <v>9048860</v>
      </c>
      <c r="G21" s="13">
        <f t="shared" si="3"/>
        <v>347946</v>
      </c>
      <c r="H21">
        <v>44160</v>
      </c>
      <c r="J21">
        <v>576</v>
      </c>
      <c r="K21">
        <v>1577</v>
      </c>
      <c r="L21">
        <v>199</v>
      </c>
      <c r="N21">
        <v>61.08</v>
      </c>
      <c r="O21">
        <f t="shared" si="5"/>
        <v>0.48000000000000398</v>
      </c>
      <c r="P21">
        <f t="shared" si="6"/>
        <v>3696.0000000000305</v>
      </c>
      <c r="Q21">
        <v>631</v>
      </c>
      <c r="R21">
        <f t="shared" si="4"/>
        <v>14136.999999999969</v>
      </c>
    </row>
    <row r="22" spans="1:18">
      <c r="A22" s="13">
        <v>201808</v>
      </c>
      <c r="B22" s="13">
        <v>531590</v>
      </c>
      <c r="C22" s="13">
        <v>20181</v>
      </c>
      <c r="D22" s="13">
        <f t="shared" si="7"/>
        <v>26.341112928001586</v>
      </c>
      <c r="E22" s="13">
        <f t="shared" si="1"/>
        <v>2.6209090909090911</v>
      </c>
      <c r="F22" s="13">
        <f t="shared" si="8"/>
        <v>9580450</v>
      </c>
      <c r="G22" s="13">
        <f t="shared" si="3"/>
        <v>368127</v>
      </c>
      <c r="H22">
        <v>58733</v>
      </c>
      <c r="J22">
        <v>659</v>
      </c>
      <c r="K22">
        <v>1678</v>
      </c>
      <c r="L22">
        <v>181</v>
      </c>
      <c r="N22">
        <v>60.53</v>
      </c>
      <c r="O22">
        <f t="shared" si="5"/>
        <v>0.54999999999999716</v>
      </c>
      <c r="P22">
        <f t="shared" si="6"/>
        <v>4234.9999999999782</v>
      </c>
      <c r="Q22">
        <v>3728</v>
      </c>
      <c r="R22">
        <f t="shared" si="4"/>
        <v>15946.000000000022</v>
      </c>
    </row>
    <row r="23" spans="1:18">
      <c r="A23" s="13">
        <v>201809</v>
      </c>
      <c r="B23" s="13">
        <v>460335</v>
      </c>
      <c r="C23" s="13">
        <v>17958</v>
      </c>
      <c r="D23" s="13">
        <f t="shared" si="7"/>
        <v>25.633979284998329</v>
      </c>
      <c r="E23" s="13">
        <f t="shared" si="1"/>
        <v>2.3322077922077922</v>
      </c>
      <c r="F23" s="13">
        <f t="shared" si="8"/>
        <v>10040785</v>
      </c>
      <c r="G23" s="13">
        <f t="shared" si="3"/>
        <v>386085</v>
      </c>
      <c r="H23">
        <v>47030</v>
      </c>
      <c r="J23">
        <v>548</v>
      </c>
      <c r="K23">
        <v>1680</v>
      </c>
      <c r="L23">
        <v>69</v>
      </c>
      <c r="N23">
        <v>59.69</v>
      </c>
      <c r="O23">
        <f t="shared" si="5"/>
        <v>0.84000000000000341</v>
      </c>
      <c r="P23">
        <f t="shared" si="6"/>
        <v>6468.0000000000264</v>
      </c>
      <c r="Q23">
        <v>-3699</v>
      </c>
      <c r="R23">
        <f t="shared" si="4"/>
        <v>11489.999999999975</v>
      </c>
    </row>
    <row r="24" spans="1:18">
      <c r="A24" s="13">
        <v>201810</v>
      </c>
      <c r="B24" s="13">
        <v>460739</v>
      </c>
      <c r="C24" s="13">
        <v>18515</v>
      </c>
      <c r="D24" s="13">
        <f t="shared" si="7"/>
        <v>24.884634080475291</v>
      </c>
      <c r="E24" s="13">
        <f t="shared" si="1"/>
        <v>2.4045454545454548</v>
      </c>
      <c r="F24" s="13">
        <f t="shared" si="8"/>
        <v>10501524</v>
      </c>
      <c r="G24" s="13">
        <f t="shared" si="3"/>
        <v>404600</v>
      </c>
      <c r="H24">
        <v>53424</v>
      </c>
      <c r="J24">
        <v>588</v>
      </c>
      <c r="K24">
        <v>1723</v>
      </c>
      <c r="L24">
        <v>49</v>
      </c>
      <c r="N24">
        <v>60.35</v>
      </c>
      <c r="O24">
        <f t="shared" si="5"/>
        <v>-0.66000000000000369</v>
      </c>
      <c r="P24">
        <f t="shared" si="6"/>
        <v>-5082.0000000000282</v>
      </c>
      <c r="Q24">
        <v>1729</v>
      </c>
      <c r="R24">
        <f t="shared" si="4"/>
        <v>23597.000000000029</v>
      </c>
    </row>
    <row r="25" spans="1:18">
      <c r="A25" s="13">
        <v>201811</v>
      </c>
      <c r="B25" s="13">
        <v>405909</v>
      </c>
      <c r="C25" s="13">
        <v>15481</v>
      </c>
      <c r="D25" s="13">
        <f t="shared" si="7"/>
        <v>26.219817841224728</v>
      </c>
      <c r="E25" s="13">
        <f t="shared" si="1"/>
        <v>2.0105194805194806</v>
      </c>
      <c r="F25" s="13">
        <f t="shared" si="8"/>
        <v>10907433</v>
      </c>
      <c r="G25" s="13">
        <f t="shared" si="3"/>
        <v>420081</v>
      </c>
      <c r="H25">
        <v>48415</v>
      </c>
      <c r="J25">
        <v>518</v>
      </c>
      <c r="K25">
        <v>1647</v>
      </c>
      <c r="L25">
        <v>55</v>
      </c>
      <c r="N25">
        <v>60.02</v>
      </c>
      <c r="O25">
        <f t="shared" si="5"/>
        <v>0.32999999999999829</v>
      </c>
      <c r="P25">
        <f t="shared" si="6"/>
        <v>2540.9999999999868</v>
      </c>
      <c r="Q25">
        <v>6473</v>
      </c>
      <c r="R25">
        <f t="shared" si="4"/>
        <v>12940.000000000013</v>
      </c>
    </row>
    <row r="26" spans="1:18">
      <c r="A26" s="13">
        <v>201812</v>
      </c>
      <c r="B26" s="13">
        <v>445382</v>
      </c>
      <c r="C26" s="13">
        <v>19507</v>
      </c>
      <c r="D26" s="13">
        <f t="shared" si="7"/>
        <v>22.83190649510432</v>
      </c>
      <c r="E26" s="13">
        <f t="shared" si="1"/>
        <v>2.5333766233766233</v>
      </c>
      <c r="F26" s="13">
        <f t="shared" si="8"/>
        <v>11352815</v>
      </c>
      <c r="G26" s="13">
        <f t="shared" si="3"/>
        <v>439588</v>
      </c>
      <c r="H26">
        <v>47454</v>
      </c>
      <c r="J26">
        <v>660</v>
      </c>
      <c r="K26">
        <v>1605</v>
      </c>
      <c r="L26">
        <v>170</v>
      </c>
      <c r="N26">
        <v>60.12</v>
      </c>
      <c r="O26">
        <f t="shared" si="5"/>
        <v>-9.9999999999994316E-2</v>
      </c>
      <c r="P26">
        <f t="shared" si="6"/>
        <v>-769.99999999995623</v>
      </c>
      <c r="Q26">
        <v>-65</v>
      </c>
      <c r="R26">
        <f t="shared" si="4"/>
        <v>20276.999999999956</v>
      </c>
    </row>
    <row r="27" spans="1:18">
      <c r="A27" s="13">
        <v>201901</v>
      </c>
      <c r="B27" s="13">
        <v>468158</v>
      </c>
      <c r="C27" s="13">
        <v>22470</v>
      </c>
      <c r="D27" s="13">
        <f t="shared" si="7"/>
        <v>20.834801958166445</v>
      </c>
      <c r="E27" s="13">
        <f t="shared" si="1"/>
        <v>2.918181818181818</v>
      </c>
      <c r="F27" s="13">
        <f t="shared" si="8"/>
        <v>11820973</v>
      </c>
      <c r="G27" s="13">
        <f t="shared" si="3"/>
        <v>462058</v>
      </c>
      <c r="H27">
        <v>43646</v>
      </c>
      <c r="J27">
        <v>725</v>
      </c>
      <c r="K27">
        <v>1559</v>
      </c>
      <c r="L27">
        <v>267</v>
      </c>
      <c r="N27">
        <v>60.3</v>
      </c>
      <c r="O27">
        <f t="shared" si="5"/>
        <v>-0.17999999999999972</v>
      </c>
      <c r="P27">
        <f t="shared" si="6"/>
        <v>-1385.9999999999977</v>
      </c>
      <c r="Q27">
        <v>13010</v>
      </c>
      <c r="R27">
        <f t="shared" ref="R27:R43" si="9">C27-P27</f>
        <v>23855.999999999996</v>
      </c>
    </row>
    <row r="28" spans="1:18">
      <c r="A28" s="13">
        <v>201902</v>
      </c>
      <c r="B28" s="13">
        <v>377299</v>
      </c>
      <c r="C28" s="13">
        <v>16368</v>
      </c>
      <c r="D28" s="13">
        <f t="shared" si="7"/>
        <v>23.051014173998045</v>
      </c>
      <c r="E28" s="13">
        <f t="shared" si="1"/>
        <v>2.1257142857142859</v>
      </c>
      <c r="F28" s="13">
        <f t="shared" si="8"/>
        <v>12198272</v>
      </c>
      <c r="G28" s="13">
        <f t="shared" si="3"/>
        <v>478426</v>
      </c>
      <c r="H28">
        <v>52829</v>
      </c>
      <c r="J28">
        <v>595</v>
      </c>
      <c r="K28">
        <v>1887</v>
      </c>
      <c r="L28">
        <v>-192</v>
      </c>
      <c r="N28">
        <v>61.65</v>
      </c>
      <c r="O28">
        <f t="shared" si="5"/>
        <v>-1.3500000000000014</v>
      </c>
      <c r="P28">
        <f t="shared" si="6"/>
        <v>-10395.000000000011</v>
      </c>
      <c r="Q28">
        <v>7100</v>
      </c>
      <c r="R28">
        <f t="shared" si="9"/>
        <v>26763.000000000011</v>
      </c>
    </row>
    <row r="29" spans="1:18">
      <c r="A29" s="13">
        <v>201903</v>
      </c>
      <c r="B29" s="13">
        <v>448341</v>
      </c>
      <c r="C29" s="13">
        <v>17733</v>
      </c>
      <c r="D29" s="13">
        <f t="shared" si="7"/>
        <v>25.282862459820674</v>
      </c>
      <c r="E29" s="13">
        <f t="shared" si="1"/>
        <v>2.3029870129870131</v>
      </c>
      <c r="F29" s="13">
        <f t="shared" si="8"/>
        <v>12646613</v>
      </c>
      <c r="G29" s="13">
        <f t="shared" si="3"/>
        <v>496159</v>
      </c>
      <c r="H29">
        <v>59936</v>
      </c>
      <c r="J29">
        <v>567</v>
      </c>
      <c r="K29">
        <v>1717</v>
      </c>
      <c r="L29">
        <v>7</v>
      </c>
      <c r="N29">
        <v>61.6</v>
      </c>
      <c r="O29">
        <f t="shared" si="5"/>
        <v>4.9999999999997158E-2</v>
      </c>
      <c r="P29">
        <f t="shared" si="6"/>
        <v>384.99999999997812</v>
      </c>
      <c r="Q29">
        <v>-823</v>
      </c>
      <c r="R29">
        <f t="shared" si="9"/>
        <v>17348.000000000022</v>
      </c>
    </row>
    <row r="30" spans="1:18">
      <c r="A30" s="13">
        <v>201904</v>
      </c>
      <c r="B30" s="13">
        <v>348490</v>
      </c>
      <c r="C30" s="13">
        <v>13288</v>
      </c>
      <c r="D30" s="13">
        <f t="shared" si="7"/>
        <v>26.225918121613486</v>
      </c>
      <c r="E30" s="13">
        <f t="shared" si="1"/>
        <v>1.7257142857142858</v>
      </c>
      <c r="F30" s="13">
        <f t="shared" si="8"/>
        <v>12995103</v>
      </c>
      <c r="G30" s="13">
        <f t="shared" si="3"/>
        <v>509447</v>
      </c>
      <c r="H30">
        <v>38204</v>
      </c>
      <c r="J30">
        <v>443</v>
      </c>
      <c r="K30">
        <v>1364</v>
      </c>
      <c r="L30">
        <v>278</v>
      </c>
      <c r="N30">
        <v>61.62</v>
      </c>
      <c r="O30">
        <f t="shared" si="5"/>
        <v>-1.9999999999996021E-2</v>
      </c>
      <c r="P30">
        <f t="shared" si="6"/>
        <v>-153.99999999996936</v>
      </c>
      <c r="Q30">
        <v>3166</v>
      </c>
      <c r="R30">
        <f t="shared" si="9"/>
        <v>13441.999999999969</v>
      </c>
    </row>
    <row r="31" spans="1:18">
      <c r="A31" s="13">
        <v>201905</v>
      </c>
      <c r="B31" s="13">
        <v>352831</v>
      </c>
      <c r="C31" s="13">
        <v>14583</v>
      </c>
      <c r="D31" s="13">
        <f t="shared" si="7"/>
        <v>24.194678735513953</v>
      </c>
      <c r="E31" s="13">
        <f t="shared" si="1"/>
        <v>1.893896103896104</v>
      </c>
      <c r="F31" s="13">
        <f t="shared" si="8"/>
        <v>13347934</v>
      </c>
      <c r="G31" s="13">
        <f t="shared" si="3"/>
        <v>524030</v>
      </c>
      <c r="H31">
        <v>57373</v>
      </c>
      <c r="J31">
        <v>456</v>
      </c>
      <c r="K31">
        <v>1639</v>
      </c>
      <c r="L31">
        <v>17</v>
      </c>
      <c r="N31">
        <v>62.01</v>
      </c>
      <c r="O31">
        <f t="shared" si="5"/>
        <v>-0.39000000000000057</v>
      </c>
      <c r="P31">
        <f t="shared" si="6"/>
        <v>-3003.0000000000045</v>
      </c>
      <c r="Q31">
        <v>6523</v>
      </c>
      <c r="R31">
        <f t="shared" si="9"/>
        <v>17586.000000000004</v>
      </c>
    </row>
    <row r="32" spans="1:18">
      <c r="A32" s="13">
        <v>201906</v>
      </c>
      <c r="B32" s="13">
        <v>300264</v>
      </c>
      <c r="C32" s="13">
        <v>11827</v>
      </c>
      <c r="D32" s="13">
        <f t="shared" si="7"/>
        <v>25.388010484484653</v>
      </c>
      <c r="E32" s="13">
        <f t="shared" si="1"/>
        <v>1.535974025974026</v>
      </c>
      <c r="F32" s="13">
        <f t="shared" si="8"/>
        <v>13648198</v>
      </c>
      <c r="G32" s="13">
        <f t="shared" si="3"/>
        <v>535857</v>
      </c>
      <c r="H32">
        <v>44766</v>
      </c>
      <c r="J32">
        <v>380</v>
      </c>
      <c r="K32">
        <v>1631</v>
      </c>
      <c r="L32">
        <v>-52</v>
      </c>
      <c r="N32">
        <v>63</v>
      </c>
      <c r="O32">
        <f t="shared" si="5"/>
        <v>-0.99000000000000199</v>
      </c>
      <c r="P32">
        <f t="shared" si="6"/>
        <v>-7623.0000000000155</v>
      </c>
      <c r="Q32">
        <v>5076</v>
      </c>
      <c r="R32">
        <f t="shared" si="9"/>
        <v>19450.000000000015</v>
      </c>
    </row>
    <row r="33" spans="1:20">
      <c r="A33" s="13">
        <v>201907</v>
      </c>
      <c r="B33" s="13">
        <v>303177</v>
      </c>
      <c r="C33" s="13">
        <v>11883</v>
      </c>
      <c r="D33" s="13">
        <f t="shared" si="7"/>
        <v>25.51350669022974</v>
      </c>
      <c r="E33" s="13">
        <f t="shared" si="1"/>
        <v>1.5432467532467533</v>
      </c>
      <c r="F33" s="13">
        <f t="shared" si="8"/>
        <v>13951375</v>
      </c>
      <c r="G33" s="13">
        <f t="shared" si="3"/>
        <v>547740</v>
      </c>
      <c r="N33">
        <v>63.5</v>
      </c>
      <c r="O33">
        <f t="shared" si="5"/>
        <v>-0.5</v>
      </c>
      <c r="P33">
        <f t="shared" si="6"/>
        <v>-3850</v>
      </c>
      <c r="R33">
        <f t="shared" si="9"/>
        <v>15733</v>
      </c>
    </row>
    <row r="34" spans="1:20">
      <c r="A34" s="13">
        <v>201908</v>
      </c>
      <c r="B34" s="13">
        <v>392869</v>
      </c>
      <c r="C34" s="13">
        <v>13608</v>
      </c>
      <c r="D34" s="13">
        <f t="shared" si="7"/>
        <v>28.870443856554967</v>
      </c>
      <c r="E34" s="13">
        <f t="shared" si="1"/>
        <v>1.7672727272727273</v>
      </c>
      <c r="F34" s="13">
        <f t="shared" si="8"/>
        <v>14344244</v>
      </c>
      <c r="G34" s="13">
        <f t="shared" si="3"/>
        <v>561348</v>
      </c>
      <c r="N34">
        <v>63.5</v>
      </c>
      <c r="O34">
        <f t="shared" si="5"/>
        <v>0</v>
      </c>
      <c r="P34">
        <f t="shared" si="6"/>
        <v>0</v>
      </c>
      <c r="R34">
        <f t="shared" si="9"/>
        <v>13608</v>
      </c>
      <c r="T34" t="s">
        <v>115</v>
      </c>
    </row>
    <row r="35" spans="1:20">
      <c r="A35" s="13">
        <v>201909</v>
      </c>
      <c r="B35" s="13">
        <v>304662</v>
      </c>
      <c r="C35" s="13">
        <v>11506</v>
      </c>
      <c r="D35" s="13">
        <f t="shared" si="7"/>
        <v>26.478532939335999</v>
      </c>
      <c r="E35" s="13">
        <f t="shared" si="1"/>
        <v>1.4942857142857142</v>
      </c>
      <c r="F35" s="13">
        <f t="shared" si="8"/>
        <v>14648906</v>
      </c>
      <c r="G35" s="13">
        <f t="shared" si="3"/>
        <v>572854</v>
      </c>
      <c r="N35">
        <v>64.2</v>
      </c>
      <c r="O35">
        <f t="shared" si="5"/>
        <v>-0.70000000000000284</v>
      </c>
      <c r="P35">
        <f t="shared" si="6"/>
        <v>-5390.0000000000218</v>
      </c>
      <c r="R35">
        <f t="shared" si="9"/>
        <v>16896.000000000022</v>
      </c>
    </row>
    <row r="36" spans="1:20">
      <c r="A36" s="13">
        <v>201910</v>
      </c>
      <c r="B36" s="13">
        <v>312471</v>
      </c>
      <c r="C36" s="13">
        <v>12146</v>
      </c>
      <c r="D36" s="13">
        <f t="shared" si="7"/>
        <v>25.726247324221966</v>
      </c>
      <c r="E36" s="13">
        <f t="shared" si="1"/>
        <v>1.5774025974025974</v>
      </c>
      <c r="F36" s="13">
        <f t="shared" si="8"/>
        <v>14961377</v>
      </c>
      <c r="G36" s="13">
        <f t="shared" si="3"/>
        <v>585000</v>
      </c>
      <c r="N36">
        <v>65.5</v>
      </c>
      <c r="O36">
        <f t="shared" si="5"/>
        <v>-1.2999999999999972</v>
      </c>
      <c r="P36">
        <f t="shared" si="6"/>
        <v>-10009.999999999978</v>
      </c>
      <c r="R36">
        <f t="shared" si="9"/>
        <v>22155.999999999978</v>
      </c>
    </row>
    <row r="37" spans="1:20">
      <c r="A37" s="13">
        <v>201911</v>
      </c>
      <c r="B37" s="13">
        <v>315217</v>
      </c>
      <c r="C37" s="13">
        <v>13651</v>
      </c>
      <c r="D37" s="13">
        <f t="shared" si="7"/>
        <v>23.091128855028934</v>
      </c>
      <c r="E37" s="13">
        <f t="shared" si="1"/>
        <v>1.7728571428571429</v>
      </c>
      <c r="F37" s="13">
        <f t="shared" si="8"/>
        <v>15276594</v>
      </c>
      <c r="G37" s="13">
        <f t="shared" si="3"/>
        <v>598651</v>
      </c>
      <c r="N37">
        <v>66.5</v>
      </c>
      <c r="O37">
        <f t="shared" si="5"/>
        <v>-1</v>
      </c>
      <c r="P37">
        <f t="shared" si="6"/>
        <v>-7700</v>
      </c>
      <c r="R37">
        <f t="shared" si="9"/>
        <v>21351</v>
      </c>
    </row>
    <row r="38" spans="1:20">
      <c r="A38" s="13">
        <v>201912</v>
      </c>
      <c r="B38" s="13">
        <v>309537</v>
      </c>
      <c r="C38" s="13">
        <v>12191</v>
      </c>
      <c r="D38" s="13">
        <f t="shared" si="7"/>
        <v>25.390616028217536</v>
      </c>
      <c r="E38" s="13">
        <f t="shared" si="1"/>
        <v>1.5832467532467533</v>
      </c>
      <c r="F38" s="13">
        <f t="shared" si="8"/>
        <v>15586131</v>
      </c>
      <c r="G38" s="13">
        <f t="shared" si="3"/>
        <v>610842</v>
      </c>
      <c r="N38">
        <v>68</v>
      </c>
      <c r="O38">
        <f t="shared" si="5"/>
        <v>-1.5</v>
      </c>
      <c r="P38">
        <f t="shared" si="6"/>
        <v>-11550</v>
      </c>
      <c r="R38">
        <f t="shared" si="9"/>
        <v>23741</v>
      </c>
    </row>
    <row r="39" spans="1:20">
      <c r="A39" s="13">
        <v>202001</v>
      </c>
      <c r="B39" s="13">
        <v>218538</v>
      </c>
      <c r="C39" s="13">
        <v>8134</v>
      </c>
      <c r="D39" s="13">
        <f t="shared" si="7"/>
        <v>26.867223998032948</v>
      </c>
      <c r="E39" s="13">
        <f t="shared" si="1"/>
        <v>1.0563636363636364</v>
      </c>
      <c r="F39" s="13">
        <f t="shared" si="8"/>
        <v>15804669</v>
      </c>
      <c r="G39" s="13">
        <f t="shared" si="3"/>
        <v>618976</v>
      </c>
      <c r="N39">
        <v>67.5</v>
      </c>
      <c r="O39">
        <f t="shared" si="5"/>
        <v>0.5</v>
      </c>
      <c r="P39">
        <f t="shared" si="6"/>
        <v>3850</v>
      </c>
      <c r="R39">
        <f t="shared" si="9"/>
        <v>4284</v>
      </c>
    </row>
    <row r="40" spans="1:20">
      <c r="A40" s="13">
        <v>202002</v>
      </c>
      <c r="B40" s="13">
        <v>111393</v>
      </c>
      <c r="C40" s="13">
        <v>3485</v>
      </c>
      <c r="D40" s="13">
        <f t="shared" si="7"/>
        <v>31.963558106169298</v>
      </c>
      <c r="E40" s="13">
        <f t="shared" si="1"/>
        <v>0.45259740259740261</v>
      </c>
      <c r="F40" s="13">
        <f t="shared" si="8"/>
        <v>15916062</v>
      </c>
      <c r="G40" s="13">
        <f t="shared" si="3"/>
        <v>622461</v>
      </c>
      <c r="N40">
        <v>70.5</v>
      </c>
      <c r="O40">
        <f t="shared" si="5"/>
        <v>-3</v>
      </c>
      <c r="P40">
        <f t="shared" si="6"/>
        <v>-23100</v>
      </c>
      <c r="R40">
        <f t="shared" si="9"/>
        <v>26585</v>
      </c>
    </row>
    <row r="41" spans="1:20">
      <c r="A41" s="13">
        <v>202003</v>
      </c>
      <c r="B41" s="13">
        <v>174034</v>
      </c>
      <c r="C41" s="13">
        <v>6213</v>
      </c>
      <c r="D41" s="13">
        <f t="shared" si="7"/>
        <v>28.011266698857234</v>
      </c>
      <c r="E41" s="13">
        <f t="shared" si="1"/>
        <v>0.80688311688311687</v>
      </c>
      <c r="F41" s="13">
        <f t="shared" si="8"/>
        <v>16090096</v>
      </c>
      <c r="G41" s="13">
        <f t="shared" si="3"/>
        <v>628674</v>
      </c>
      <c r="N41">
        <v>69.5</v>
      </c>
      <c r="O41">
        <f t="shared" si="5"/>
        <v>1</v>
      </c>
      <c r="P41">
        <f t="shared" si="6"/>
        <v>7700</v>
      </c>
      <c r="R41">
        <f t="shared" si="9"/>
        <v>-1487</v>
      </c>
    </row>
    <row r="42" spans="1:20">
      <c r="A42" s="13">
        <v>202004</v>
      </c>
      <c r="B42" s="13">
        <v>204692</v>
      </c>
      <c r="C42" s="13">
        <v>7099</v>
      </c>
      <c r="D42" s="13">
        <f t="shared" si="7"/>
        <v>28.833920270460627</v>
      </c>
      <c r="E42" s="13">
        <f t="shared" si="1"/>
        <v>0.92194805194805196</v>
      </c>
      <c r="F42" s="13">
        <f t="shared" si="8"/>
        <v>16294788</v>
      </c>
      <c r="G42" s="13">
        <f t="shared" si="3"/>
        <v>635773</v>
      </c>
      <c r="N42">
        <v>70.599999999999994</v>
      </c>
      <c r="O42">
        <f t="shared" si="5"/>
        <v>-1.0999999999999943</v>
      </c>
      <c r="P42">
        <f t="shared" si="6"/>
        <v>-8469.9999999999563</v>
      </c>
      <c r="R42">
        <f t="shared" si="9"/>
        <v>15568.999999999956</v>
      </c>
    </row>
    <row r="43" spans="1:20">
      <c r="A43" s="13">
        <v>202005</v>
      </c>
      <c r="B43" s="13">
        <v>342901</v>
      </c>
      <c r="C43" s="13">
        <v>12768</v>
      </c>
      <c r="D43" s="13">
        <f t="shared" ref="D43:D50" si="10">B43/C43</f>
        <v>26.856281328320801</v>
      </c>
      <c r="E43" s="13">
        <f t="shared" ref="E43:E50" si="11">C43/7700</f>
        <v>1.6581818181818182</v>
      </c>
      <c r="F43" s="13">
        <f t="shared" si="8"/>
        <v>16637689</v>
      </c>
      <c r="G43" s="13">
        <f t="shared" si="3"/>
        <v>648541</v>
      </c>
      <c r="H43" s="13">
        <v>31168</v>
      </c>
      <c r="I43" s="13"/>
      <c r="J43" s="13">
        <v>461</v>
      </c>
      <c r="K43">
        <v>1484</v>
      </c>
      <c r="L43">
        <v>177.19</v>
      </c>
      <c r="N43">
        <v>70.36</v>
      </c>
      <c r="O43">
        <f t="shared" si="5"/>
        <v>0.23999999999999488</v>
      </c>
      <c r="P43">
        <f t="shared" si="6"/>
        <v>1847.9999999999607</v>
      </c>
      <c r="Q43">
        <v>3028.0000000000832</v>
      </c>
      <c r="R43">
        <f t="shared" si="9"/>
        <v>10920.00000000004</v>
      </c>
    </row>
    <row r="44" spans="1:20">
      <c r="A44" s="13">
        <v>202006</v>
      </c>
      <c r="B44" s="13">
        <v>317662</v>
      </c>
      <c r="C44" s="13">
        <v>11580</v>
      </c>
      <c r="D44" s="13">
        <f t="shared" si="10"/>
        <v>27.43195164075993</v>
      </c>
      <c r="E44" s="13">
        <f t="shared" si="11"/>
        <v>1.5038961038961038</v>
      </c>
      <c r="F44" s="13">
        <f t="shared" si="8"/>
        <v>16955351</v>
      </c>
      <c r="G44" s="13">
        <f t="shared" si="3"/>
        <v>660121</v>
      </c>
      <c r="H44" s="13">
        <v>38158</v>
      </c>
      <c r="I44" s="13"/>
      <c r="J44" s="13">
        <v>382</v>
      </c>
      <c r="K44">
        <v>1363</v>
      </c>
      <c r="L44">
        <v>218.97</v>
      </c>
      <c r="N44">
        <v>69.510000000000005</v>
      </c>
      <c r="O44">
        <f>N43-N44</f>
        <v>0.84999999999999432</v>
      </c>
      <c r="P44">
        <f>O44*7700</f>
        <v>6544.9999999999563</v>
      </c>
      <c r="Q44">
        <v>-3340.00000000003</v>
      </c>
      <c r="R44">
        <f>C44-P44</f>
        <v>5035.0000000000437</v>
      </c>
    </row>
    <row r="45" spans="1:20">
      <c r="A45" s="13">
        <v>202007</v>
      </c>
      <c r="B45" s="13">
        <v>357845</v>
      </c>
      <c r="C45" s="13">
        <v>12569</v>
      </c>
      <c r="D45" s="13">
        <f t="shared" si="10"/>
        <v>28.470443153791074</v>
      </c>
      <c r="E45" s="13">
        <f t="shared" si="11"/>
        <v>1.6323376623376624</v>
      </c>
      <c r="F45" s="13">
        <f t="shared" si="8"/>
        <v>17313196</v>
      </c>
      <c r="G45" s="13">
        <f t="shared" si="3"/>
        <v>672690</v>
      </c>
      <c r="H45">
        <v>48377</v>
      </c>
      <c r="J45">
        <v>404</v>
      </c>
      <c r="K45">
        <v>1382</v>
      </c>
      <c r="L45">
        <v>233.71</v>
      </c>
      <c r="N45">
        <v>69.260000000000005</v>
      </c>
      <c r="O45">
        <f>N44-N45</f>
        <v>0.25</v>
      </c>
      <c r="P45">
        <f t="shared" ref="P45:P50" si="12">O45*7700</f>
        <v>1925</v>
      </c>
      <c r="Q45">
        <v>4868.99999999995</v>
      </c>
      <c r="R45">
        <f t="shared" ref="R45:R50" si="13">C45-P45</f>
        <v>10644</v>
      </c>
      <c r="T45" t="s">
        <v>116</v>
      </c>
    </row>
    <row r="46" spans="1:20">
      <c r="A46" s="13">
        <v>202008</v>
      </c>
      <c r="B46" s="13">
        <v>407139</v>
      </c>
      <c r="C46" s="13">
        <v>13282</v>
      </c>
      <c r="D46" s="13">
        <f t="shared" si="10"/>
        <v>30.653440746875471</v>
      </c>
      <c r="E46" s="13">
        <f t="shared" si="11"/>
        <v>1.724935064935065</v>
      </c>
      <c r="F46" s="13">
        <f t="shared" si="8"/>
        <v>17720335</v>
      </c>
      <c r="G46" s="13">
        <f t="shared" si="3"/>
        <v>685972</v>
      </c>
      <c r="H46" s="13">
        <v>40356</v>
      </c>
      <c r="I46" s="13"/>
      <c r="J46" s="13">
        <v>419</v>
      </c>
      <c r="K46">
        <v>1441</v>
      </c>
      <c r="L46">
        <v>177.89</v>
      </c>
      <c r="N46">
        <v>67.86</v>
      </c>
      <c r="O46">
        <f>N45-N46</f>
        <v>1.4000000000000057</v>
      </c>
      <c r="P46">
        <f t="shared" si="12"/>
        <v>10780.000000000044</v>
      </c>
      <c r="Q46">
        <v>-3334.9999999999868</v>
      </c>
      <c r="R46">
        <f t="shared" si="13"/>
        <v>2501.9999999999563</v>
      </c>
    </row>
    <row r="47" spans="1:20">
      <c r="A47" s="13">
        <v>202009</v>
      </c>
      <c r="B47" s="13">
        <v>418406</v>
      </c>
      <c r="C47" s="13">
        <v>15079</v>
      </c>
      <c r="D47" s="13">
        <f t="shared" si="10"/>
        <v>27.747595994429339</v>
      </c>
      <c r="E47" s="13">
        <f t="shared" si="11"/>
        <v>1.9583116883116882</v>
      </c>
      <c r="F47" s="13">
        <f t="shared" si="8"/>
        <v>18138741</v>
      </c>
      <c r="G47" s="13">
        <f t="shared" si="3"/>
        <v>701051</v>
      </c>
      <c r="H47" s="13">
        <v>34938</v>
      </c>
      <c r="I47" s="13"/>
      <c r="J47" s="13">
        <v>505</v>
      </c>
      <c r="K47">
        <v>1248</v>
      </c>
      <c r="L47">
        <v>457.1</v>
      </c>
      <c r="N47">
        <v>66.48</v>
      </c>
      <c r="O47">
        <f t="shared" ref="O47:O50" si="14">N46-N47</f>
        <v>1.3799999999999955</v>
      </c>
      <c r="P47">
        <f t="shared" si="12"/>
        <v>10625.999999999965</v>
      </c>
      <c r="Q47">
        <v>-2369.9999999999909</v>
      </c>
      <c r="R47">
        <f t="shared" si="13"/>
        <v>4453.0000000000346</v>
      </c>
    </row>
    <row r="48" spans="1:20">
      <c r="A48" s="13">
        <v>202010</v>
      </c>
      <c r="B48" s="13">
        <v>423476</v>
      </c>
      <c r="C48" s="13">
        <v>14452</v>
      </c>
      <c r="D48" s="13">
        <f t="shared" si="10"/>
        <v>29.302241904234709</v>
      </c>
      <c r="E48" s="13">
        <f t="shared" si="11"/>
        <v>1.8768831168831168</v>
      </c>
      <c r="F48" s="13">
        <f t="shared" si="8"/>
        <v>18562217</v>
      </c>
      <c r="G48" s="13">
        <f t="shared" si="3"/>
        <v>715503</v>
      </c>
      <c r="H48" s="13">
        <v>54914</v>
      </c>
      <c r="I48" s="13"/>
      <c r="J48" s="13">
        <v>453</v>
      </c>
      <c r="K48">
        <v>1577</v>
      </c>
      <c r="L48">
        <v>75.569999999999993</v>
      </c>
      <c r="N48">
        <v>66.209999999999994</v>
      </c>
      <c r="O48">
        <f t="shared" si="14"/>
        <v>0.27000000000001023</v>
      </c>
      <c r="P48">
        <f t="shared" si="12"/>
        <v>2079.0000000000787</v>
      </c>
      <c r="Q48">
        <v>4048.0000000000646</v>
      </c>
      <c r="R48">
        <f t="shared" si="13"/>
        <v>12372.999999999922</v>
      </c>
    </row>
    <row r="49" spans="1:18">
      <c r="A49" s="13">
        <v>202011</v>
      </c>
      <c r="B49" s="13">
        <v>441434</v>
      </c>
      <c r="C49" s="13">
        <v>15940</v>
      </c>
      <c r="D49" s="13">
        <f t="shared" si="10"/>
        <v>27.693475533249686</v>
      </c>
      <c r="E49" s="13">
        <f t="shared" si="11"/>
        <v>2.07012987012987</v>
      </c>
      <c r="F49" s="13">
        <f t="shared" si="8"/>
        <v>19003651</v>
      </c>
      <c r="G49" s="13">
        <f t="shared" si="3"/>
        <v>731443</v>
      </c>
      <c r="H49" s="13">
        <v>42336</v>
      </c>
      <c r="I49" s="13"/>
      <c r="J49" s="13">
        <v>529</v>
      </c>
      <c r="K49">
        <v>1512</v>
      </c>
      <c r="L49">
        <v>216.64</v>
      </c>
      <c r="N49">
        <v>65.180000000000007</v>
      </c>
      <c r="O49">
        <f t="shared" si="14"/>
        <v>1.0299999999999869</v>
      </c>
      <c r="P49">
        <f t="shared" si="12"/>
        <v>7930.999999999899</v>
      </c>
      <c r="Q49">
        <v>-1788.00000000008</v>
      </c>
      <c r="R49">
        <f t="shared" si="13"/>
        <v>8009.000000000101</v>
      </c>
    </row>
    <row r="50" spans="1:18">
      <c r="A50" s="13">
        <v>202012</v>
      </c>
      <c r="B50" s="13">
        <v>451246</v>
      </c>
      <c r="C50" s="13">
        <v>15753</v>
      </c>
      <c r="D50" s="13">
        <f t="shared" si="10"/>
        <v>28.645083476163272</v>
      </c>
      <c r="E50" s="13">
        <f t="shared" si="11"/>
        <v>2.045844155844156</v>
      </c>
      <c r="F50" s="13">
        <f t="shared" si="8"/>
        <v>19454897</v>
      </c>
      <c r="G50" s="13">
        <f t="shared" si="3"/>
        <v>747196</v>
      </c>
      <c r="H50" s="13">
        <v>49180</v>
      </c>
      <c r="I50" s="13"/>
      <c r="J50" s="13">
        <v>492</v>
      </c>
      <c r="K50">
        <v>1405</v>
      </c>
      <c r="L50">
        <v>286.86</v>
      </c>
      <c r="N50">
        <v>63.94</v>
      </c>
      <c r="O50">
        <f t="shared" si="14"/>
        <v>1.2400000000000091</v>
      </c>
      <c r="P50">
        <f t="shared" si="12"/>
        <v>9548.0000000000691</v>
      </c>
      <c r="Q50">
        <v>-4128</v>
      </c>
      <c r="R50">
        <f t="shared" si="13"/>
        <v>6204.9999999999309</v>
      </c>
    </row>
    <row r="51" spans="1:18">
      <c r="A51" s="13">
        <v>202101</v>
      </c>
      <c r="B51" s="13"/>
      <c r="C51" s="13"/>
      <c r="D51" s="13"/>
      <c r="E51" s="13"/>
      <c r="F51" s="13"/>
      <c r="G51" s="13"/>
    </row>
    <row r="52" spans="1:18">
      <c r="A52" s="13">
        <v>202102</v>
      </c>
      <c r="B52" s="13"/>
      <c r="C52" s="13"/>
      <c r="D52" s="13"/>
      <c r="E52" s="13"/>
      <c r="F52" s="13"/>
      <c r="G52" s="13"/>
    </row>
    <row r="53" spans="1:18">
      <c r="A53" s="13">
        <v>202103</v>
      </c>
      <c r="B53" s="13"/>
      <c r="C53" s="13"/>
      <c r="D53" s="13"/>
      <c r="E53" s="13"/>
      <c r="F53" s="13"/>
      <c r="G53" s="13"/>
    </row>
    <row r="54" spans="1:18">
      <c r="A54" s="13">
        <v>202104</v>
      </c>
      <c r="B54" s="13"/>
      <c r="C54" s="13"/>
      <c r="D54" s="13"/>
      <c r="E54" s="13"/>
      <c r="F54" s="13"/>
      <c r="G54" s="13"/>
    </row>
    <row r="55" spans="1:18">
      <c r="A55" s="13">
        <v>202105</v>
      </c>
      <c r="B55" s="13"/>
      <c r="C55" s="13"/>
      <c r="D55" s="13"/>
      <c r="E55" s="13"/>
      <c r="F55" s="13"/>
      <c r="G55" s="13"/>
    </row>
    <row r="56" spans="1:18">
      <c r="A56" s="13">
        <v>202106</v>
      </c>
      <c r="B56" s="13"/>
      <c r="C56" s="13"/>
      <c r="D56" s="13"/>
      <c r="E56" s="13"/>
      <c r="F56" s="13"/>
      <c r="G56" s="13"/>
    </row>
    <row r="57" spans="1:18">
      <c r="A57" s="13">
        <v>202107</v>
      </c>
      <c r="B57" s="13"/>
      <c r="C57" s="13"/>
      <c r="D57" s="13"/>
      <c r="E57" s="13"/>
      <c r="F57" s="13"/>
      <c r="G57" s="13"/>
    </row>
    <row r="58" spans="1:18">
      <c r="A58" s="13">
        <v>202108</v>
      </c>
      <c r="B58" s="13"/>
      <c r="C58" s="13"/>
      <c r="D58" s="13"/>
      <c r="E58" s="13"/>
      <c r="F58" s="13"/>
      <c r="G58" s="13"/>
    </row>
    <row r="59" spans="1:18">
      <c r="A59" s="13">
        <v>202109</v>
      </c>
      <c r="B59" s="13"/>
      <c r="C59" s="13"/>
      <c r="D59" s="13"/>
      <c r="E59" s="13"/>
      <c r="F59" s="13"/>
      <c r="G59" s="13"/>
    </row>
    <row r="60" spans="1:18">
      <c r="A60" s="13">
        <v>202110</v>
      </c>
      <c r="B60" s="13"/>
      <c r="C60" s="13"/>
      <c r="D60" s="13"/>
      <c r="E60" s="13"/>
      <c r="F60" s="13"/>
      <c r="G60" s="13"/>
    </row>
    <row r="61" spans="1:18">
      <c r="A61" s="13">
        <v>202111</v>
      </c>
      <c r="B61" s="13"/>
      <c r="C61" s="13"/>
      <c r="D61" s="13"/>
      <c r="E61" s="13"/>
      <c r="F61" s="13"/>
      <c r="G61" s="13"/>
    </row>
    <row r="62" spans="1:18">
      <c r="A62" s="13">
        <v>202112</v>
      </c>
      <c r="B62" s="13"/>
      <c r="C62" s="13"/>
      <c r="D62" s="13"/>
      <c r="E62" s="13"/>
      <c r="F62" s="13"/>
      <c r="G62" s="13"/>
    </row>
    <row r="63" spans="1:18">
      <c r="A63" s="13"/>
      <c r="B63" s="13"/>
      <c r="C63" s="13"/>
      <c r="D63" s="13"/>
      <c r="E63" s="13"/>
      <c r="F63" s="13"/>
      <c r="G63" s="13"/>
    </row>
    <row r="64" spans="1:18">
      <c r="A64" s="13"/>
      <c r="B64" s="13"/>
      <c r="C64" s="13"/>
      <c r="D64" s="13"/>
      <c r="E64" s="13"/>
      <c r="F64" s="13"/>
      <c r="G64" s="13"/>
    </row>
    <row r="65" spans="1:18">
      <c r="A65" s="13"/>
      <c r="B65" s="13"/>
      <c r="C65" s="13"/>
      <c r="D65" s="13"/>
      <c r="E65" s="13"/>
      <c r="F65" s="13"/>
      <c r="G65" s="13"/>
    </row>
    <row r="66" spans="1:18">
      <c r="A66" s="13" t="s">
        <v>44</v>
      </c>
      <c r="B66" s="13">
        <f>SUM(B2:B65)</f>
        <v>19454897</v>
      </c>
      <c r="C66" s="13">
        <f>SUM(C2:C65)</f>
        <v>747196</v>
      </c>
      <c r="D66" s="13"/>
      <c r="E66" s="13">
        <f>SUM(E2:E65)</f>
        <v>97.038441558441576</v>
      </c>
      <c r="F66" s="13"/>
      <c r="G66" s="13"/>
      <c r="H66" s="13">
        <f>SUM(H2:H65)</f>
        <v>1606962</v>
      </c>
      <c r="I66" s="13"/>
      <c r="J66" s="13"/>
      <c r="O66" s="13">
        <f>SUM(O2:O65)</f>
        <v>25.060000000000002</v>
      </c>
      <c r="P66" s="13">
        <f>SUM(P43:P65)</f>
        <v>51281.999999999971</v>
      </c>
      <c r="Q66" s="13">
        <f>SUM(Q2:Q65)</f>
        <v>58279.000000000007</v>
      </c>
      <c r="R66" s="13">
        <f>SUM(R43:R65)</f>
        <v>60141.000000000029</v>
      </c>
    </row>
    <row r="67" spans="1:18">
      <c r="A67" s="13" t="s">
        <v>45</v>
      </c>
      <c r="B67" s="13">
        <f>AVERAGE(B2:B65)</f>
        <v>397038.71428571426</v>
      </c>
      <c r="C67" s="13">
        <f>AVERAGE(C2:C65)</f>
        <v>15248.897959183674</v>
      </c>
      <c r="D67" s="13">
        <f>AVERAGE(D43:D65)</f>
        <v>28.350064222228035</v>
      </c>
      <c r="E67" s="13">
        <f>AVERAGE(E2:E65)</f>
        <v>1.9803763583355423</v>
      </c>
      <c r="F67" s="13"/>
      <c r="G67" s="13"/>
      <c r="H67" s="13">
        <f>AVERAGE(H2:H65)</f>
        <v>47263.588235294119</v>
      </c>
      <c r="I67" s="13"/>
      <c r="J67" s="13"/>
      <c r="P67" s="13">
        <f>AVERAGE(P43:P65)</f>
        <v>6410.2499999999964</v>
      </c>
      <c r="R67" s="13">
        <f>AVERAGE(R43:R65)</f>
        <v>7517.6250000000036</v>
      </c>
    </row>
    <row r="68" spans="1:18">
      <c r="A68" t="s">
        <v>43</v>
      </c>
      <c r="C68">
        <f>C66/7700</f>
        <v>97.038441558441562</v>
      </c>
      <c r="H68">
        <f>H66/7700</f>
        <v>208.69636363636363</v>
      </c>
      <c r="P68">
        <f>P66/7700</f>
        <v>6.6599999999999966</v>
      </c>
      <c r="Q68">
        <f>Q66/7700</f>
        <v>7.5687012987013</v>
      </c>
      <c r="R68">
        <f>R66/7700</f>
        <v>7.810519480519484</v>
      </c>
    </row>
    <row r="69" spans="1:18">
      <c r="A69" s="13" t="s">
        <v>87</v>
      </c>
      <c r="C69">
        <f>C67/30.5</f>
        <v>499.9638675142188</v>
      </c>
      <c r="H69">
        <f>H67/30.5</f>
        <v>1549.625843780135</v>
      </c>
      <c r="L69">
        <f>AVERAGE(L43:L65)</f>
        <v>230.49125000000004</v>
      </c>
      <c r="P69">
        <f>P67/30.5</f>
        <v>210.17213114754085</v>
      </c>
      <c r="R69">
        <f>R67/30.5</f>
        <v>246.47950819672144</v>
      </c>
    </row>
    <row r="73" spans="1:18">
      <c r="A73" t="s">
        <v>112</v>
      </c>
    </row>
    <row r="74" spans="1:18">
      <c r="A74" t="s">
        <v>44</v>
      </c>
      <c r="B74">
        <f>SUM(B39:B50)</f>
        <v>3868766</v>
      </c>
      <c r="C74">
        <f t="shared" ref="C74:H74" si="15">SUM(C39:C50)</f>
        <v>136354</v>
      </c>
      <c r="E74">
        <f t="shared" si="15"/>
        <v>17.708311688311689</v>
      </c>
      <c r="H74">
        <f t="shared" si="15"/>
        <v>339427</v>
      </c>
      <c r="O74">
        <f t="shared" ref="O74:R74" si="16">SUM(O39:O50)</f>
        <v>4.0600000000000023</v>
      </c>
      <c r="P74">
        <f t="shared" si="16"/>
        <v>31262.000000000015</v>
      </c>
      <c r="Q74">
        <f t="shared" si="16"/>
        <v>-3015.9999999999895</v>
      </c>
      <c r="R74">
        <f t="shared" si="16"/>
        <v>105091.99999999999</v>
      </c>
    </row>
    <row r="75" spans="1:18">
      <c r="A75" t="s">
        <v>113</v>
      </c>
      <c r="B75">
        <f>AVERAGE(B39:B50)</f>
        <v>322397.16666666669</v>
      </c>
      <c r="C75">
        <f t="shared" ref="C75:H75" si="17">AVERAGE(C39:C50)</f>
        <v>11362.833333333334</v>
      </c>
      <c r="D75">
        <f t="shared" si="17"/>
        <v>28.539706904278702</v>
      </c>
      <c r="E75">
        <f t="shared" si="17"/>
        <v>1.4756926406926407</v>
      </c>
      <c r="H75">
        <f t="shared" si="17"/>
        <v>42428.375</v>
      </c>
      <c r="O75">
        <f t="shared" ref="O75:R75" si="18">AVERAGE(O39:O50)</f>
        <v>0.33833333333333354</v>
      </c>
      <c r="P75">
        <f t="shared" si="18"/>
        <v>2605.1666666666679</v>
      </c>
      <c r="Q75">
        <f t="shared" si="18"/>
        <v>-376.99999999999869</v>
      </c>
      <c r="R75">
        <f t="shared" si="18"/>
        <v>8757.6666666666661</v>
      </c>
    </row>
    <row r="76" spans="1:18">
      <c r="A76" t="s">
        <v>114</v>
      </c>
      <c r="B76">
        <f>B75/30.5</f>
        <v>10570.398907103825</v>
      </c>
      <c r="C76">
        <f>C75/30.5</f>
        <v>372.55191256830602</v>
      </c>
      <c r="E76">
        <f>E75/30.5</f>
        <v>4.8383365268611173E-2</v>
      </c>
      <c r="H76">
        <f>H75/30.5</f>
        <v>1391.094262295082</v>
      </c>
      <c r="J76">
        <f>AVERAGE(J39:J50)</f>
        <v>455.625</v>
      </c>
      <c r="K76">
        <f t="shared" ref="K76:L76" si="19">AVERAGE(K39:K50)</f>
        <v>1426.5</v>
      </c>
      <c r="L76">
        <f t="shared" si="19"/>
        <v>230.49125000000004</v>
      </c>
      <c r="R76">
        <f>R75/30.5</f>
        <v>287.1366120218579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6A6B-07A6-4C52-8D98-FEAE1C0A3396}">
  <dimension ref="A1:F10"/>
  <sheetViews>
    <sheetView workbookViewId="0">
      <selection activeCell="F12" sqref="F12"/>
    </sheetView>
  </sheetViews>
  <sheetFormatPr defaultRowHeight="14.25"/>
  <cols>
    <col min="1" max="2" width="11" customWidth="1"/>
    <col min="6" max="6" width="30.75" customWidth="1"/>
  </cols>
  <sheetData>
    <row r="1" spans="1:6">
      <c r="A1" t="s">
        <v>91</v>
      </c>
      <c r="B1" t="s">
        <v>39</v>
      </c>
      <c r="C1" t="s">
        <v>92</v>
      </c>
      <c r="D1" t="s">
        <v>101</v>
      </c>
      <c r="E1" t="s">
        <v>93</v>
      </c>
      <c r="F1" t="s">
        <v>105</v>
      </c>
    </row>
    <row r="2" spans="1:6">
      <c r="A2">
        <v>2017</v>
      </c>
      <c r="B2" t="s">
        <v>94</v>
      </c>
      <c r="C2">
        <v>89</v>
      </c>
      <c r="D2">
        <v>70</v>
      </c>
      <c r="E2">
        <f>C2-D2</f>
        <v>19</v>
      </c>
      <c r="F2" t="s">
        <v>106</v>
      </c>
    </row>
    <row r="3" spans="1:6">
      <c r="A3">
        <v>2017</v>
      </c>
      <c r="B3" t="s">
        <v>95</v>
      </c>
      <c r="C3">
        <v>70</v>
      </c>
      <c r="D3">
        <v>66</v>
      </c>
      <c r="E3">
        <f t="shared" ref="E3" si="0">C3-D3</f>
        <v>4</v>
      </c>
      <c r="F3" t="s">
        <v>108</v>
      </c>
    </row>
    <row r="4" spans="1:6">
      <c r="A4">
        <v>2018</v>
      </c>
      <c r="B4" t="s">
        <v>96</v>
      </c>
      <c r="C4">
        <v>66</v>
      </c>
      <c r="D4">
        <v>62</v>
      </c>
      <c r="E4">
        <f>C4-D4</f>
        <v>4</v>
      </c>
      <c r="F4" t="s">
        <v>107</v>
      </c>
    </row>
    <row r="5" spans="1:6">
      <c r="A5">
        <v>2018</v>
      </c>
      <c r="B5" t="s">
        <v>97</v>
      </c>
      <c r="C5">
        <v>62</v>
      </c>
      <c r="D5">
        <v>60</v>
      </c>
      <c r="E5">
        <f t="shared" ref="E5:E8" si="1">C5-D5</f>
        <v>2</v>
      </c>
      <c r="F5" t="s">
        <v>109</v>
      </c>
    </row>
    <row r="6" spans="1:6">
      <c r="A6">
        <v>2019</v>
      </c>
      <c r="B6" t="s">
        <v>98</v>
      </c>
      <c r="C6">
        <v>60</v>
      </c>
      <c r="D6">
        <v>62</v>
      </c>
      <c r="E6">
        <f t="shared" si="1"/>
        <v>-2</v>
      </c>
      <c r="F6" t="s">
        <v>111</v>
      </c>
    </row>
    <row r="7" spans="1:6">
      <c r="A7">
        <v>2019</v>
      </c>
      <c r="B7" t="s">
        <v>99</v>
      </c>
      <c r="C7">
        <v>62</v>
      </c>
      <c r="D7">
        <v>68</v>
      </c>
      <c r="E7">
        <f t="shared" ref="E7" si="2">C7-D7</f>
        <v>-6</v>
      </c>
      <c r="F7" t="s">
        <v>110</v>
      </c>
    </row>
    <row r="8" spans="1:6">
      <c r="A8">
        <v>2020</v>
      </c>
      <c r="B8" t="s">
        <v>102</v>
      </c>
      <c r="C8">
        <v>68</v>
      </c>
      <c r="D8">
        <v>71</v>
      </c>
      <c r="E8">
        <f t="shared" si="1"/>
        <v>-3</v>
      </c>
      <c r="F8" t="s">
        <v>110</v>
      </c>
    </row>
    <row r="9" spans="1:6">
      <c r="A9">
        <v>2020</v>
      </c>
      <c r="B9" t="s">
        <v>103</v>
      </c>
      <c r="C9">
        <v>71</v>
      </c>
      <c r="D9">
        <v>63</v>
      </c>
      <c r="E9">
        <f t="shared" ref="E9" si="3">C9-D9</f>
        <v>8</v>
      </c>
      <c r="F9" t="s">
        <v>107</v>
      </c>
    </row>
    <row r="10" spans="1:6">
      <c r="A10">
        <v>2021</v>
      </c>
      <c r="B10" t="s">
        <v>100</v>
      </c>
      <c r="C10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Y23"/>
  <sheetViews>
    <sheetView zoomScaleNormal="100" workbookViewId="0">
      <selection activeCell="I20" sqref="I20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8.5" style="17" bestFit="1" customWidth="1"/>
    <col min="9" max="19" width="7.125" style="17"/>
    <col min="20" max="20" width="7.75" style="17" customWidth="1"/>
    <col min="21" max="16384" width="7.125" style="17"/>
  </cols>
  <sheetData>
    <row r="1" spans="1:207">
      <c r="A1" s="14" t="s">
        <v>22</v>
      </c>
      <c r="B1" s="15">
        <v>43962</v>
      </c>
      <c r="C1" s="16">
        <v>43963</v>
      </c>
      <c r="D1" s="16">
        <v>43964</v>
      </c>
      <c r="E1" s="16">
        <v>43965</v>
      </c>
      <c r="F1" s="16">
        <v>43966</v>
      </c>
      <c r="G1" s="16">
        <v>43967</v>
      </c>
      <c r="H1" s="16">
        <v>43968</v>
      </c>
      <c r="I1" s="15">
        <v>43969</v>
      </c>
      <c r="J1" s="16">
        <v>43970</v>
      </c>
      <c r="K1" s="16">
        <v>43971</v>
      </c>
      <c r="L1" s="16">
        <v>43972</v>
      </c>
      <c r="M1" s="16">
        <v>43973</v>
      </c>
      <c r="N1" s="16">
        <v>43974</v>
      </c>
      <c r="O1" s="16">
        <v>43975</v>
      </c>
      <c r="P1" s="15">
        <v>43976</v>
      </c>
      <c r="Q1" s="16">
        <v>43977</v>
      </c>
      <c r="R1" s="16">
        <v>43978</v>
      </c>
      <c r="S1" s="16">
        <v>43979</v>
      </c>
      <c r="T1" s="16">
        <v>43980</v>
      </c>
      <c r="U1" s="16">
        <v>43981</v>
      </c>
      <c r="V1" s="16">
        <v>43982</v>
      </c>
    </row>
    <row r="2" spans="1:207">
      <c r="A2" s="14" t="s">
        <v>27</v>
      </c>
      <c r="B2" s="18">
        <v>70.599999999999994</v>
      </c>
      <c r="C2" s="18">
        <v>70.599999999999994</v>
      </c>
      <c r="D2" s="18">
        <v>70.400000000000006</v>
      </c>
      <c r="E2" s="18">
        <v>70.400000000000006</v>
      </c>
      <c r="F2" s="18">
        <v>70.2</v>
      </c>
      <c r="G2" s="18">
        <v>69.599999999999994</v>
      </c>
      <c r="H2" s="18">
        <v>69.900000000000006</v>
      </c>
      <c r="I2" s="18">
        <v>71.099999999999994</v>
      </c>
      <c r="J2" s="18">
        <v>70.400000000000006</v>
      </c>
      <c r="K2" s="18">
        <v>70.7</v>
      </c>
      <c r="L2" s="18">
        <v>70.5</v>
      </c>
      <c r="M2" s="18">
        <v>69.7</v>
      </c>
      <c r="N2" s="18">
        <v>69.400000000000006</v>
      </c>
      <c r="O2" s="18">
        <v>70.5</v>
      </c>
      <c r="P2" s="18">
        <v>71.2</v>
      </c>
      <c r="Q2" s="18">
        <v>71</v>
      </c>
      <c r="R2" s="18">
        <v>70.400000000000006</v>
      </c>
      <c r="S2" s="18">
        <v>69.8</v>
      </c>
      <c r="T2" s="17">
        <v>70.8</v>
      </c>
      <c r="U2" s="17">
        <v>70</v>
      </c>
      <c r="V2" s="17">
        <v>70.400000000000006</v>
      </c>
    </row>
    <row r="3" spans="1:207">
      <c r="A3" s="19" t="s">
        <v>32</v>
      </c>
      <c r="B3" s="17">
        <v>489</v>
      </c>
      <c r="C3" s="17">
        <v>318</v>
      </c>
      <c r="D3" s="17">
        <v>271</v>
      </c>
      <c r="E3" s="17">
        <v>742</v>
      </c>
      <c r="F3" s="17">
        <v>258</v>
      </c>
      <c r="G3" s="17">
        <v>305</v>
      </c>
      <c r="H3" s="17">
        <v>266</v>
      </c>
      <c r="I3" s="17">
        <v>784</v>
      </c>
      <c r="J3" s="17">
        <v>511</v>
      </c>
      <c r="K3" s="17">
        <v>259</v>
      </c>
      <c r="L3" s="17">
        <v>659</v>
      </c>
      <c r="M3" s="17">
        <v>285</v>
      </c>
      <c r="N3" s="17">
        <v>633</v>
      </c>
      <c r="O3" s="17">
        <v>719</v>
      </c>
      <c r="P3" s="17">
        <v>390</v>
      </c>
      <c r="Q3" s="17">
        <v>514</v>
      </c>
      <c r="R3" s="17">
        <v>774</v>
      </c>
      <c r="S3" s="17">
        <v>256</v>
      </c>
      <c r="T3" s="18">
        <v>281</v>
      </c>
      <c r="U3" s="18">
        <v>251</v>
      </c>
      <c r="V3" s="18">
        <v>724</v>
      </c>
    </row>
    <row r="4" spans="1:207">
      <c r="A4" s="19" t="s">
        <v>31</v>
      </c>
      <c r="B4" s="17">
        <v>1446</v>
      </c>
      <c r="C4" s="17">
        <v>1559</v>
      </c>
      <c r="D4" s="17">
        <v>1276</v>
      </c>
      <c r="E4" s="17">
        <v>1325</v>
      </c>
      <c r="F4" s="17">
        <v>1566</v>
      </c>
      <c r="G4" s="17">
        <v>2063</v>
      </c>
      <c r="H4" s="17">
        <v>2102</v>
      </c>
      <c r="I4" s="17">
        <v>1334</v>
      </c>
      <c r="J4" s="17">
        <v>1445</v>
      </c>
      <c r="K4" s="17">
        <v>951</v>
      </c>
      <c r="L4" s="17">
        <v>1518</v>
      </c>
      <c r="M4" s="17">
        <v>1442</v>
      </c>
      <c r="N4" s="17">
        <v>1618</v>
      </c>
      <c r="O4" s="17">
        <v>1767</v>
      </c>
      <c r="P4" s="17">
        <v>1396</v>
      </c>
      <c r="Q4" s="17">
        <v>1368</v>
      </c>
      <c r="R4" s="17">
        <v>1356</v>
      </c>
      <c r="S4" s="17">
        <v>1404</v>
      </c>
      <c r="T4" s="17">
        <v>1382</v>
      </c>
      <c r="U4" s="17">
        <v>1454</v>
      </c>
      <c r="V4" s="17">
        <v>1396</v>
      </c>
    </row>
    <row r="5" spans="1:207">
      <c r="A5" s="19" t="s">
        <v>33</v>
      </c>
      <c r="B5" s="17">
        <f>$B$11+B3-B4-$F$11</f>
        <v>243</v>
      </c>
      <c r="C5" s="17">
        <f t="shared" ref="C5:V5" si="0">$B$11+C3-C4-$F$11</f>
        <v>-41</v>
      </c>
      <c r="D5" s="17">
        <f t="shared" si="0"/>
        <v>195</v>
      </c>
      <c r="E5" s="17">
        <f t="shared" si="0"/>
        <v>617</v>
      </c>
      <c r="F5" s="17">
        <f t="shared" si="0"/>
        <v>-108</v>
      </c>
      <c r="G5" s="17">
        <f t="shared" si="0"/>
        <v>-558</v>
      </c>
      <c r="H5" s="17">
        <f t="shared" si="0"/>
        <v>-636</v>
      </c>
      <c r="I5" s="17">
        <f t="shared" si="0"/>
        <v>650</v>
      </c>
      <c r="J5" s="17">
        <f t="shared" si="0"/>
        <v>266</v>
      </c>
      <c r="K5" s="17">
        <f t="shared" si="0"/>
        <v>508</v>
      </c>
      <c r="L5" s="17">
        <f t="shared" si="0"/>
        <v>341</v>
      </c>
      <c r="M5" s="17">
        <f t="shared" si="0"/>
        <v>43</v>
      </c>
      <c r="N5" s="17">
        <f t="shared" si="0"/>
        <v>215</v>
      </c>
      <c r="O5" s="17">
        <f t="shared" si="0"/>
        <v>152</v>
      </c>
      <c r="P5" s="17">
        <f t="shared" si="0"/>
        <v>194</v>
      </c>
      <c r="Q5" s="17">
        <f t="shared" si="0"/>
        <v>346</v>
      </c>
      <c r="R5" s="17">
        <f t="shared" si="0"/>
        <v>618</v>
      </c>
      <c r="S5" s="17">
        <f t="shared" si="0"/>
        <v>52</v>
      </c>
      <c r="T5" s="17">
        <f t="shared" si="0"/>
        <v>99</v>
      </c>
      <c r="U5" s="17">
        <f t="shared" si="0"/>
        <v>-3</v>
      </c>
      <c r="V5" s="17">
        <f t="shared" si="0"/>
        <v>528</v>
      </c>
    </row>
    <row r="6" spans="1:207" ht="8.4499999999999993" hidden="1" customHeight="1">
      <c r="A6" s="19" t="s">
        <v>36</v>
      </c>
      <c r="B6" s="20">
        <f>B5/7700</f>
        <v>3.1558441558441556E-2</v>
      </c>
      <c r="C6" s="20">
        <f t="shared" ref="C6:V6" si="1">C5/7700</f>
        <v>-5.3246753246753249E-3</v>
      </c>
      <c r="D6" s="20">
        <f t="shared" si="1"/>
        <v>2.5324675324675326E-2</v>
      </c>
      <c r="E6" s="20">
        <f t="shared" si="1"/>
        <v>8.0129870129870134E-2</v>
      </c>
      <c r="F6" s="20">
        <f t="shared" si="1"/>
        <v>-1.4025974025974027E-2</v>
      </c>
      <c r="G6" s="20">
        <f t="shared" si="1"/>
        <v>-7.2467532467532472E-2</v>
      </c>
      <c r="H6" s="20">
        <f t="shared" si="1"/>
        <v>-8.25974025974026E-2</v>
      </c>
      <c r="I6" s="20">
        <f t="shared" si="1"/>
        <v>8.4415584415584416E-2</v>
      </c>
      <c r="J6" s="20">
        <f t="shared" si="1"/>
        <v>3.4545454545454546E-2</v>
      </c>
      <c r="K6" s="20">
        <f t="shared" si="1"/>
        <v>6.5974025974025977E-2</v>
      </c>
      <c r="L6" s="20">
        <f t="shared" si="1"/>
        <v>4.4285714285714282E-2</v>
      </c>
      <c r="M6" s="20">
        <f t="shared" si="1"/>
        <v>5.5844155844155842E-3</v>
      </c>
      <c r="N6" s="20">
        <f t="shared" si="1"/>
        <v>2.7922077922077921E-2</v>
      </c>
      <c r="O6" s="20">
        <f t="shared" si="1"/>
        <v>1.9740259740259742E-2</v>
      </c>
      <c r="P6" s="20">
        <f t="shared" si="1"/>
        <v>2.5194805194805193E-2</v>
      </c>
      <c r="Q6" s="20">
        <f t="shared" si="1"/>
        <v>4.4935064935064932E-2</v>
      </c>
      <c r="R6" s="20">
        <f t="shared" si="1"/>
        <v>8.0259740259740253E-2</v>
      </c>
      <c r="S6" s="20">
        <f t="shared" si="1"/>
        <v>6.7532467532467532E-3</v>
      </c>
      <c r="T6" s="20">
        <f t="shared" si="1"/>
        <v>1.2857142857142857E-2</v>
      </c>
      <c r="U6" s="20">
        <f t="shared" si="1"/>
        <v>-3.8961038961038961E-4</v>
      </c>
      <c r="V6" s="20">
        <f t="shared" si="1"/>
        <v>6.8571428571428575E-2</v>
      </c>
    </row>
    <row r="8" spans="1:207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=</v>
      </c>
      <c r="D8" s="22" t="str">
        <f t="shared" ref="D8:N8" si="2">IF(D2=0,"",IF(D2-C2&gt;0,"N",IF(D2-C2=0,"=","Y")))</f>
        <v>Y</v>
      </c>
      <c r="E8" s="22" t="str">
        <f t="shared" si="2"/>
        <v>=</v>
      </c>
      <c r="F8" s="22" t="str">
        <f t="shared" si="2"/>
        <v>Y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Y</v>
      </c>
      <c r="O8" s="22" t="str">
        <f t="shared" ref="O8" si="3">IF(O2=0,"",IF(O2-N2&gt;0,"N",IF(O2-N2=0,"=","Y")))</f>
        <v>N</v>
      </c>
      <c r="P8" s="22" t="str">
        <f t="shared" ref="P8" si="4">IF(P2=0,"",IF(P2-O2&gt;0,"N",IF(P2-O2=0,"=","Y")))</f>
        <v>N</v>
      </c>
      <c r="Q8" s="22" t="str">
        <f t="shared" ref="Q8" si="5">IF(Q2=0,"",IF(Q2-P2&gt;0,"N",IF(Q2-P2=0,"=","Y")))</f>
        <v>Y</v>
      </c>
      <c r="R8" s="22" t="str">
        <f t="shared" ref="R8" si="6">IF(R2=0,"",IF(R2-Q2&gt;0,"N",IF(R2-Q2=0,"=","Y")))</f>
        <v>Y</v>
      </c>
      <c r="S8" s="22" t="str">
        <f t="shared" ref="S8" si="7">IF(S2=0,"",IF(S2-R2&gt;0,"N",IF(S2-R2=0,"=","Y")))</f>
        <v>Y</v>
      </c>
      <c r="T8" s="22" t="str">
        <f t="shared" ref="T8" si="8">IF(T2=0,"",IF(T2-S2&gt;0,"N",IF(T2-S2=0,"=","Y")))</f>
        <v>N</v>
      </c>
      <c r="U8" s="22" t="str">
        <f t="shared" ref="U8" si="9">IF(U2=0,"",IF(U2-T2&gt;0,"N",IF(U2-T2=0,"=","Y")))</f>
        <v>Y</v>
      </c>
      <c r="V8" s="22" t="str">
        <f t="shared" ref="V8" si="10">IF(V2=0,"",IF(V2-U2&gt;0,"N",IF(V2-U2=0,"=","Y")))</f>
        <v>N</v>
      </c>
      <c r="W8" s="23" t="str">
        <f>IF(W2=0,"",IF(W2-#REF!&gt;0,"減肥失敗",IF(W2-#REF!=0,"體重不變","減肥成功")))</f>
        <v/>
      </c>
      <c r="X8" s="23" t="str">
        <f t="shared" ref="X8:CB8" si="11">IF(X2=0,"",IF(X2-W2&gt;0,"減肥失敗",IF(X2-W2=0,"體重不變","減肥成功")))</f>
        <v/>
      </c>
      <c r="Y8" s="23" t="str">
        <f t="shared" si="11"/>
        <v/>
      </c>
      <c r="Z8" s="23" t="str">
        <f t="shared" si="11"/>
        <v/>
      </c>
      <c r="AA8" s="23" t="str">
        <f t="shared" si="11"/>
        <v/>
      </c>
      <c r="AB8" s="23" t="str">
        <f t="shared" si="11"/>
        <v/>
      </c>
      <c r="AC8" s="23" t="str">
        <f t="shared" si="11"/>
        <v/>
      </c>
      <c r="AD8" s="23" t="str">
        <f t="shared" si="11"/>
        <v/>
      </c>
      <c r="AE8" s="23" t="str">
        <f t="shared" si="11"/>
        <v/>
      </c>
      <c r="AF8" s="23" t="str">
        <f t="shared" si="11"/>
        <v/>
      </c>
      <c r="AG8" s="23" t="str">
        <f t="shared" si="11"/>
        <v/>
      </c>
      <c r="AH8" s="23" t="str">
        <f t="shared" si="11"/>
        <v/>
      </c>
      <c r="AI8" s="23" t="str">
        <f t="shared" si="11"/>
        <v/>
      </c>
      <c r="AJ8" s="23" t="str">
        <f t="shared" si="11"/>
        <v/>
      </c>
      <c r="AK8" s="23" t="str">
        <f t="shared" si="11"/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ref="CC8:EN8" si="12">IF(CC2=0,"",IF(CC2-CB2&gt;0,"減肥失敗",IF(CC2-CB2=0,"體重不變","減肥成功")))</f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si="12"/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ref="EO8:GY8" si="13">IF(EO2=0,"",IF(EO2-EN2&gt;0,"減肥失敗",IF(EO2-EN2=0,"體重不變","減肥成功")))</f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si="13"/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</row>
    <row r="9" spans="1:207">
      <c r="A9" s="21" t="s">
        <v>29</v>
      </c>
      <c r="B9" s="24">
        <f>IF(B2="","",B2-Base!$G$6)</f>
        <v>10.686399999999985</v>
      </c>
      <c r="C9" s="24">
        <f>IF(C2="","",C2-Base!$G$6)</f>
        <v>10.686399999999985</v>
      </c>
      <c r="D9" s="24">
        <f>IF(D2="","",D2-Base!$G$6)</f>
        <v>10.486399999999996</v>
      </c>
      <c r="E9" s="24">
        <f>IF(E2="","",E2-Base!$G$6)</f>
        <v>10.486399999999996</v>
      </c>
      <c r="F9" s="24">
        <f>IF(F2="","",F2-Base!$G$6)</f>
        <v>10.286399999999993</v>
      </c>
      <c r="G9" s="24">
        <f>IF(G2="","",G2-Base!$G$6)</f>
        <v>9.6863999999999848</v>
      </c>
      <c r="H9" s="24">
        <f>IF(H2="","",H2-Base!$G$6)</f>
        <v>9.9863999999999962</v>
      </c>
      <c r="I9" s="24">
        <f>IF(I2="","",I2-Base!$G$6)</f>
        <v>11.186399999999985</v>
      </c>
      <c r="J9" s="24">
        <f>IF(J2="","",J2-Base!$G$6)</f>
        <v>10.486399999999996</v>
      </c>
      <c r="K9" s="24">
        <f>IF(K2="","",K2-Base!$G$6)</f>
        <v>10.786399999999993</v>
      </c>
      <c r="L9" s="24">
        <f>IF(L2="","",L2-Base!$G$6)</f>
        <v>10.58639999999999</v>
      </c>
      <c r="M9" s="24">
        <f>IF(M2="","",M2-Base!$G$6)</f>
        <v>9.7863999999999933</v>
      </c>
      <c r="N9" s="24">
        <f>IF(N2="","",N2-Base!$G$6)</f>
        <v>9.4863999999999962</v>
      </c>
      <c r="O9" s="24">
        <f>IF(O2="","",O2-Base!$G$6)</f>
        <v>10.58639999999999</v>
      </c>
      <c r="P9" s="24">
        <f>IF(P2="","",P2-Base!$G$6)</f>
        <v>11.286399999999993</v>
      </c>
      <c r="Q9" s="24">
        <f>IF(Q2="","",Q2-Base!$G$6)</f>
        <v>11.08639999999999</v>
      </c>
      <c r="R9" s="24">
        <f>IF(R2="","",R2-Base!$G$6)</f>
        <v>10.486399999999996</v>
      </c>
      <c r="S9" s="24">
        <f>IF(S2="","",S2-Base!$G$6)</f>
        <v>9.8863999999999876</v>
      </c>
      <c r="T9" s="24">
        <f>IF(T2="","",T2-Base!$G$6)</f>
        <v>10.886399999999988</v>
      </c>
      <c r="U9" s="24">
        <f>IF(U2="","",U2-Base!$G$6)</f>
        <v>10.08639999999999</v>
      </c>
      <c r="V9" s="24">
        <f>IF(V2="","",V2-Base!$G$6)</f>
        <v>10.486399999999996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207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07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70.6</f>
        <v>70.599999999999994</v>
      </c>
    </row>
    <row r="12" spans="1:207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07">
      <c r="B13" s="32">
        <f>B$1</f>
        <v>43962</v>
      </c>
      <c r="C13" s="32">
        <f>H$1</f>
        <v>43968</v>
      </c>
      <c r="D13" s="33">
        <f>ROUNDDOWN(AVERAGE(B2:H2),2)</f>
        <v>70.239999999999995</v>
      </c>
      <c r="E13" s="17">
        <f>I11-D13</f>
        <v>0.35999999999999943</v>
      </c>
      <c r="F13" s="17">
        <f>SUM(B5:H5)</f>
        <v>-288</v>
      </c>
      <c r="G13" s="17">
        <f>F13/7700</f>
        <v>-3.7402597402597403E-2</v>
      </c>
      <c r="H13" s="17">
        <f>(G13-E13)*7700</f>
        <v>-3059.9999999999955</v>
      </c>
      <c r="I13" s="17">
        <f>SUM(B3:H3)</f>
        <v>2649</v>
      </c>
      <c r="J13" s="17">
        <f>SUM(B4:H4)</f>
        <v>11337</v>
      </c>
      <c r="K13" s="17">
        <f>J13/7</f>
        <v>1619.5714285714287</v>
      </c>
      <c r="M13" s="17">
        <f>SUM(B5:F5)</f>
        <v>906</v>
      </c>
      <c r="N13" s="17">
        <f>G5+H5</f>
        <v>-1194</v>
      </c>
    </row>
    <row r="14" spans="1:207">
      <c r="B14" s="32">
        <f t="shared" ref="B14:C15" si="14">B13+7</f>
        <v>43969</v>
      </c>
      <c r="C14" s="32">
        <f t="shared" si="14"/>
        <v>43975</v>
      </c>
      <c r="D14" s="33">
        <f>ROUNDDOWN(AVERAGE(I2:O2),2)</f>
        <v>70.319999999999993</v>
      </c>
      <c r="E14" s="17">
        <f>D13-D14</f>
        <v>-7.9999999999998295E-2</v>
      </c>
      <c r="F14" s="17">
        <f>SUM($I$5:$O$5)</f>
        <v>2175</v>
      </c>
      <c r="G14" s="17">
        <f>F14/7700</f>
        <v>0.28246753246753248</v>
      </c>
      <c r="H14" s="17">
        <f>(G14-E14)*7700</f>
        <v>2790.9999999999868</v>
      </c>
      <c r="I14" s="17">
        <f>SUM($I$3:$O$3)</f>
        <v>3850</v>
      </c>
      <c r="J14" s="17">
        <f>SUM($I$4:$O$4)</f>
        <v>10075</v>
      </c>
      <c r="K14" s="17">
        <f>J14/7</f>
        <v>1439.2857142857142</v>
      </c>
      <c r="M14" s="17">
        <f>SUM(I5:M5)</f>
        <v>1808</v>
      </c>
      <c r="N14" s="17">
        <f>N5+O5</f>
        <v>367</v>
      </c>
    </row>
    <row r="15" spans="1:207">
      <c r="B15" s="32">
        <f t="shared" si="14"/>
        <v>43976</v>
      </c>
      <c r="C15" s="32">
        <f t="shared" si="14"/>
        <v>43982</v>
      </c>
      <c r="D15" s="33">
        <f>ROUNDDOWN(AVERAGE(P2:V2),2)</f>
        <v>70.510000000000005</v>
      </c>
      <c r="E15" s="17">
        <f>D14-D15</f>
        <v>-0.19000000000001194</v>
      </c>
      <c r="F15" s="17">
        <f>SUM($P$5:$V$5)</f>
        <v>1834</v>
      </c>
      <c r="G15" s="17">
        <f>F15/7700</f>
        <v>0.23818181818181819</v>
      </c>
      <c r="H15" s="17">
        <f>(G15-E15)*7700</f>
        <v>3297.0000000000919</v>
      </c>
      <c r="I15" s="17">
        <f>SUM($P$3:$V$3)</f>
        <v>3190</v>
      </c>
      <c r="J15" s="17">
        <f>SUM($P$4:$V$4)</f>
        <v>9756</v>
      </c>
      <c r="K15" s="17">
        <f>J15/7</f>
        <v>1393.7142857142858</v>
      </c>
      <c r="M15" s="17">
        <f>SUM(P5:T5)</f>
        <v>1309</v>
      </c>
      <c r="N15" s="17">
        <f>U5+V5</f>
        <v>525</v>
      </c>
    </row>
    <row r="16" spans="1:207">
      <c r="B16" s="32"/>
      <c r="C16" s="32"/>
      <c r="D16" s="33"/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15">SUM(E13:E18)</f>
        <v>8.99999999999892E-2</v>
      </c>
      <c r="F19" s="17">
        <f t="shared" si="15"/>
        <v>3721</v>
      </c>
      <c r="G19" s="17">
        <f t="shared" si="15"/>
        <v>0.48324675324675326</v>
      </c>
      <c r="H19" s="17">
        <f t="shared" si="15"/>
        <v>3028.0000000000832</v>
      </c>
      <c r="I19" s="17">
        <f t="shared" si="15"/>
        <v>9689</v>
      </c>
      <c r="J19" s="17">
        <f t="shared" si="15"/>
        <v>31168</v>
      </c>
      <c r="M19" s="17">
        <f t="shared" ref="M19:N19" si="16">SUM(M13:M18)</f>
        <v>4023</v>
      </c>
      <c r="N19" s="17">
        <f t="shared" si="16"/>
        <v>-302</v>
      </c>
    </row>
    <row r="20" spans="1:14">
      <c r="A20" s="19" t="s">
        <v>46</v>
      </c>
      <c r="D20" s="17">
        <f>AVERAGE(D13:D15)</f>
        <v>70.356666666666669</v>
      </c>
      <c r="E20" s="17">
        <f>AVERAGE(E13:E15)</f>
        <v>2.9999999999996401E-2</v>
      </c>
      <c r="F20" s="17">
        <f>AVERAGE(F13:F15)</f>
        <v>1240.3333333333333</v>
      </c>
      <c r="G20" s="17">
        <f>AVERAGE(G13:G15)</f>
        <v>0.16108225108225108</v>
      </c>
      <c r="H20" s="17">
        <f>AVERAGE(H13:H15)/7</f>
        <v>144.19047619048015</v>
      </c>
      <c r="I20" s="17">
        <f>AVERAGE(I13:I15)/7</f>
        <v>461.38095238095235</v>
      </c>
      <c r="J20" s="17">
        <f>AVERAGE(J13:J15)/7</f>
        <v>1484.1904761904764</v>
      </c>
      <c r="L20" s="17">
        <f>J20-I20</f>
        <v>1022.8095238095241</v>
      </c>
      <c r="M20" s="17">
        <f>AVERAGE(M13:M15)/5</f>
        <v>268.2</v>
      </c>
      <c r="N20" s="17">
        <f>AVERAGE(N13:N15)/2</f>
        <v>-50.333333333333336</v>
      </c>
    </row>
    <row r="21" spans="1:14" ht="15">
      <c r="A21" s="30" t="s">
        <v>75</v>
      </c>
      <c r="D21" s="17">
        <f>MIN(B2:AC2)</f>
        <v>69.400000000000006</v>
      </c>
      <c r="F21" s="17">
        <f>F20/7</f>
        <v>177.19047619047618</v>
      </c>
    </row>
    <row r="22" spans="1:14" ht="15">
      <c r="A22" s="30" t="s">
        <v>76</v>
      </c>
      <c r="D22" s="17">
        <f>MAX(B2:AC2)</f>
        <v>71.2</v>
      </c>
    </row>
    <row r="23" spans="1:14">
      <c r="A23" s="19" t="s">
        <v>77</v>
      </c>
      <c r="D23" s="17">
        <f>AVERAGE(B2:AC2)</f>
        <v>70.361904761904768</v>
      </c>
    </row>
  </sheetData>
  <phoneticPr fontId="15" type="noConversion"/>
  <conditionalFormatting sqref="B8:IH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23"/>
  <sheetViews>
    <sheetView workbookViewId="0">
      <selection activeCell="I20" sqref="I20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43983</v>
      </c>
      <c r="C1" s="16">
        <v>43984</v>
      </c>
      <c r="D1" s="16">
        <v>43985</v>
      </c>
      <c r="E1" s="16">
        <v>43986</v>
      </c>
      <c r="F1" s="16">
        <v>43987</v>
      </c>
      <c r="G1" s="16">
        <v>43988</v>
      </c>
      <c r="H1" s="16">
        <v>43989</v>
      </c>
      <c r="I1" s="15">
        <v>43990</v>
      </c>
      <c r="J1" s="16">
        <v>43991</v>
      </c>
      <c r="K1" s="16">
        <v>43992</v>
      </c>
      <c r="L1" s="16">
        <v>43993</v>
      </c>
      <c r="M1" s="16">
        <v>43994</v>
      </c>
      <c r="N1" s="16">
        <v>43995</v>
      </c>
      <c r="O1" s="16">
        <v>43996</v>
      </c>
      <c r="P1" s="15">
        <v>43997</v>
      </c>
      <c r="Q1" s="16">
        <v>43998</v>
      </c>
      <c r="R1" s="16">
        <v>43999</v>
      </c>
      <c r="S1" s="16">
        <v>44000</v>
      </c>
      <c r="T1" s="16">
        <v>44001</v>
      </c>
      <c r="U1" s="16">
        <v>44002</v>
      </c>
      <c r="V1" s="16">
        <v>44003</v>
      </c>
      <c r="W1" s="15">
        <v>44004</v>
      </c>
      <c r="X1" s="16">
        <v>44005</v>
      </c>
      <c r="Y1" s="16">
        <v>44006</v>
      </c>
      <c r="Z1" s="16">
        <v>44007</v>
      </c>
      <c r="AA1" s="16">
        <v>44008</v>
      </c>
      <c r="AB1" s="16">
        <v>44009</v>
      </c>
      <c r="AC1" s="16">
        <v>44010</v>
      </c>
    </row>
    <row r="2" spans="1:221">
      <c r="A2" s="14" t="s">
        <v>27</v>
      </c>
      <c r="B2" s="18">
        <v>70</v>
      </c>
      <c r="C2" s="18">
        <v>69.7</v>
      </c>
      <c r="D2" s="18">
        <v>69.900000000000006</v>
      </c>
      <c r="E2" s="18">
        <v>69.8</v>
      </c>
      <c r="F2" s="18">
        <v>70.3</v>
      </c>
      <c r="G2" s="18">
        <v>69.400000000000006</v>
      </c>
      <c r="H2" s="18">
        <v>69.8</v>
      </c>
      <c r="I2" s="18">
        <v>70.400000000000006</v>
      </c>
      <c r="J2" s="18">
        <v>69.900000000000006</v>
      </c>
      <c r="K2" s="18">
        <v>70.099999999999994</v>
      </c>
      <c r="L2" s="18">
        <v>69.8</v>
      </c>
      <c r="M2" s="18">
        <v>69.5</v>
      </c>
      <c r="N2" s="18">
        <v>69.5</v>
      </c>
      <c r="O2" s="18">
        <v>69.2</v>
      </c>
      <c r="P2" s="18">
        <v>69.5</v>
      </c>
      <c r="Q2" s="18">
        <v>69.3</v>
      </c>
      <c r="R2" s="18">
        <v>69.400000000000006</v>
      </c>
      <c r="S2" s="18">
        <v>69.2</v>
      </c>
      <c r="T2" s="18">
        <v>69.3</v>
      </c>
      <c r="U2" s="18">
        <v>69</v>
      </c>
      <c r="V2" s="18">
        <v>68.5</v>
      </c>
      <c r="W2" s="18">
        <v>68.7</v>
      </c>
      <c r="X2" s="18">
        <v>68.7</v>
      </c>
      <c r="Y2" s="18">
        <v>67.900000000000006</v>
      </c>
      <c r="Z2" s="18">
        <v>68.7</v>
      </c>
      <c r="AA2" s="18">
        <v>69.900000000000006</v>
      </c>
      <c r="AB2" s="18">
        <v>70.099999999999994</v>
      </c>
      <c r="AC2" s="18">
        <v>71</v>
      </c>
    </row>
    <row r="3" spans="1:221">
      <c r="A3" s="19" t="s">
        <v>32</v>
      </c>
      <c r="B3" s="17">
        <v>392</v>
      </c>
      <c r="C3" s="17">
        <v>760</v>
      </c>
      <c r="D3" s="17">
        <v>510</v>
      </c>
      <c r="E3" s="17">
        <v>270</v>
      </c>
      <c r="F3" s="17">
        <v>325</v>
      </c>
      <c r="G3" s="17">
        <v>194</v>
      </c>
      <c r="H3" s="17">
        <v>845</v>
      </c>
      <c r="I3" s="17">
        <v>537</v>
      </c>
      <c r="J3" s="17">
        <v>477</v>
      </c>
      <c r="K3" s="17">
        <v>283</v>
      </c>
      <c r="L3" s="17">
        <v>486</v>
      </c>
      <c r="M3" s="17">
        <v>299</v>
      </c>
      <c r="N3" s="17">
        <v>278</v>
      </c>
      <c r="O3" s="17">
        <v>433</v>
      </c>
      <c r="P3" s="17">
        <v>319</v>
      </c>
      <c r="Q3" s="17">
        <v>471</v>
      </c>
      <c r="R3" s="17">
        <v>488</v>
      </c>
      <c r="S3" s="17">
        <v>253</v>
      </c>
      <c r="T3" s="17">
        <v>258</v>
      </c>
      <c r="U3" s="17">
        <v>186</v>
      </c>
      <c r="V3" s="17">
        <v>15</v>
      </c>
      <c r="W3" s="17">
        <v>472</v>
      </c>
      <c r="X3" s="17">
        <v>395</v>
      </c>
      <c r="Y3" s="17">
        <v>209</v>
      </c>
      <c r="Z3" s="17">
        <v>250</v>
      </c>
      <c r="AA3" s="17">
        <v>303</v>
      </c>
      <c r="AB3" s="17">
        <v>542</v>
      </c>
      <c r="AC3" s="17">
        <v>439</v>
      </c>
    </row>
    <row r="4" spans="1:221">
      <c r="A4" s="19" t="s">
        <v>31</v>
      </c>
      <c r="B4" s="17">
        <v>1412</v>
      </c>
      <c r="C4" s="17">
        <v>1460</v>
      </c>
      <c r="D4" s="17">
        <v>1425</v>
      </c>
      <c r="E4" s="17">
        <v>1359</v>
      </c>
      <c r="F4" s="17">
        <v>1394</v>
      </c>
      <c r="G4" s="17">
        <v>1672</v>
      </c>
      <c r="H4" s="17">
        <v>1416</v>
      </c>
      <c r="I4" s="17">
        <v>995</v>
      </c>
      <c r="J4" s="17">
        <v>1380</v>
      </c>
      <c r="K4" s="17">
        <v>850</v>
      </c>
      <c r="L4" s="17">
        <v>1351</v>
      </c>
      <c r="M4" s="17">
        <v>1277</v>
      </c>
      <c r="N4" s="17">
        <v>1228</v>
      </c>
      <c r="O4" s="17">
        <v>1456</v>
      </c>
      <c r="P4" s="17">
        <v>1324</v>
      </c>
      <c r="Q4" s="17">
        <v>1364</v>
      </c>
      <c r="R4" s="17">
        <v>1189</v>
      </c>
      <c r="S4" s="17">
        <v>1220</v>
      </c>
      <c r="T4" s="17">
        <v>1398</v>
      </c>
      <c r="U4" s="17">
        <v>1296</v>
      </c>
      <c r="V4" s="17">
        <v>1407</v>
      </c>
      <c r="W4" s="17">
        <v>938</v>
      </c>
      <c r="X4" s="17">
        <v>1140</v>
      </c>
      <c r="Y4" s="17">
        <v>1684</v>
      </c>
      <c r="Z4" s="17">
        <v>2194</v>
      </c>
      <c r="AA4" s="17">
        <v>1988</v>
      </c>
      <c r="AB4" s="17">
        <v>1528</v>
      </c>
      <c r="AC4" s="17">
        <v>813</v>
      </c>
    </row>
    <row r="5" spans="1:221">
      <c r="A5" s="19" t="s">
        <v>33</v>
      </c>
      <c r="B5" s="17">
        <f>$B$11+B3-B4-$F$11</f>
        <v>180</v>
      </c>
      <c r="C5" s="17">
        <f t="shared" ref="C5:AC5" si="0">$B$11+C3-C4-$F$11</f>
        <v>500</v>
      </c>
      <c r="D5" s="17">
        <f t="shared" si="0"/>
        <v>285</v>
      </c>
      <c r="E5" s="17">
        <f t="shared" si="0"/>
        <v>111</v>
      </c>
      <c r="F5" s="17">
        <f t="shared" si="0"/>
        <v>131</v>
      </c>
      <c r="G5" s="17">
        <f t="shared" si="0"/>
        <v>-278</v>
      </c>
      <c r="H5" s="17">
        <f t="shared" si="0"/>
        <v>629</v>
      </c>
      <c r="I5" s="17">
        <f t="shared" si="0"/>
        <v>742</v>
      </c>
      <c r="J5" s="17">
        <f t="shared" si="0"/>
        <v>297</v>
      </c>
      <c r="K5" s="17">
        <f t="shared" si="0"/>
        <v>633</v>
      </c>
      <c r="L5" s="17">
        <f t="shared" si="0"/>
        <v>335</v>
      </c>
      <c r="M5" s="17">
        <f t="shared" si="0"/>
        <v>222</v>
      </c>
      <c r="N5" s="17">
        <f t="shared" si="0"/>
        <v>250</v>
      </c>
      <c r="O5" s="17">
        <f t="shared" si="0"/>
        <v>177</v>
      </c>
      <c r="P5" s="17">
        <f t="shared" si="0"/>
        <v>195</v>
      </c>
      <c r="Q5" s="17">
        <f t="shared" si="0"/>
        <v>307</v>
      </c>
      <c r="R5" s="17">
        <f t="shared" si="0"/>
        <v>499</v>
      </c>
      <c r="S5" s="17">
        <f t="shared" si="0"/>
        <v>233</v>
      </c>
      <c r="T5" s="17">
        <f t="shared" si="0"/>
        <v>60</v>
      </c>
      <c r="U5" s="17">
        <f t="shared" si="0"/>
        <v>90</v>
      </c>
      <c r="V5" s="17">
        <f t="shared" si="0"/>
        <v>-192</v>
      </c>
      <c r="W5" s="17">
        <f t="shared" si="0"/>
        <v>734</v>
      </c>
      <c r="X5" s="17">
        <f t="shared" si="0"/>
        <v>455</v>
      </c>
      <c r="Y5" s="17">
        <f t="shared" si="0"/>
        <v>-275</v>
      </c>
      <c r="Z5" s="17">
        <f t="shared" si="0"/>
        <v>-744</v>
      </c>
      <c r="AA5" s="17">
        <f t="shared" si="0"/>
        <v>-485</v>
      </c>
      <c r="AB5" s="17">
        <f t="shared" si="0"/>
        <v>214</v>
      </c>
      <c r="AC5" s="17">
        <f t="shared" si="0"/>
        <v>826</v>
      </c>
    </row>
    <row r="6" spans="1:221" hidden="1">
      <c r="A6" s="19" t="s">
        <v>36</v>
      </c>
      <c r="B6" s="20">
        <f>B5/7700</f>
        <v>2.3376623376623377E-2</v>
      </c>
      <c r="C6" s="20">
        <f t="shared" ref="C6:AC6" si="1">C5/7700</f>
        <v>6.4935064935064929E-2</v>
      </c>
      <c r="D6" s="20">
        <f t="shared" si="1"/>
        <v>3.7012987012987011E-2</v>
      </c>
      <c r="E6" s="20">
        <f t="shared" si="1"/>
        <v>1.4415584415584416E-2</v>
      </c>
      <c r="F6" s="20">
        <f t="shared" si="1"/>
        <v>1.7012987012987014E-2</v>
      </c>
      <c r="G6" s="20">
        <f t="shared" si="1"/>
        <v>-3.6103896103896103E-2</v>
      </c>
      <c r="H6" s="20">
        <f t="shared" si="1"/>
        <v>8.1688311688311685E-2</v>
      </c>
      <c r="I6" s="20">
        <f t="shared" si="1"/>
        <v>9.636363636363636E-2</v>
      </c>
      <c r="J6" s="20">
        <f t="shared" si="1"/>
        <v>3.8571428571428569E-2</v>
      </c>
      <c r="K6" s="20">
        <f t="shared" si="1"/>
        <v>8.2207792207792202E-2</v>
      </c>
      <c r="L6" s="20">
        <f t="shared" si="1"/>
        <v>4.3506493506493507E-2</v>
      </c>
      <c r="M6" s="20">
        <f t="shared" si="1"/>
        <v>2.8831168831168832E-2</v>
      </c>
      <c r="N6" s="20">
        <f t="shared" si="1"/>
        <v>3.2467532467532464E-2</v>
      </c>
      <c r="O6" s="20">
        <f t="shared" si="1"/>
        <v>2.2987012987012986E-2</v>
      </c>
      <c r="P6" s="20">
        <f t="shared" si="1"/>
        <v>2.5324675324675326E-2</v>
      </c>
      <c r="Q6" s="20">
        <f t="shared" si="1"/>
        <v>3.9870129870129868E-2</v>
      </c>
      <c r="R6" s="20">
        <f t="shared" si="1"/>
        <v>6.480519480519481E-2</v>
      </c>
      <c r="S6" s="20">
        <f t="shared" si="1"/>
        <v>3.0259740259740261E-2</v>
      </c>
      <c r="T6" s="20">
        <f t="shared" si="1"/>
        <v>7.7922077922077922E-3</v>
      </c>
      <c r="U6" s="20">
        <f t="shared" si="1"/>
        <v>1.1688311688311689E-2</v>
      </c>
      <c r="V6" s="20">
        <f t="shared" si="1"/>
        <v>-2.4935064935064935E-2</v>
      </c>
      <c r="W6" s="20">
        <f t="shared" si="1"/>
        <v>9.5324675324675326E-2</v>
      </c>
      <c r="X6" s="20">
        <f t="shared" si="1"/>
        <v>5.909090909090909E-2</v>
      </c>
      <c r="Y6" s="20">
        <f t="shared" si="1"/>
        <v>-3.5714285714285712E-2</v>
      </c>
      <c r="Z6" s="20">
        <f t="shared" si="1"/>
        <v>-9.6623376623376625E-2</v>
      </c>
      <c r="AA6" s="20">
        <f t="shared" si="1"/>
        <v>-6.298701298701298E-2</v>
      </c>
      <c r="AB6" s="20">
        <f t="shared" si="1"/>
        <v>2.7792207792207792E-2</v>
      </c>
      <c r="AC6" s="20">
        <f t="shared" si="1"/>
        <v>0.10727272727272727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N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=</v>
      </c>
      <c r="O8" s="22" t="str">
        <f t="shared" si="2"/>
        <v>Y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Y</v>
      </c>
      <c r="V8" s="22" t="str">
        <f t="shared" si="2"/>
        <v>Y</v>
      </c>
      <c r="W8" s="22" t="str">
        <f t="shared" si="2"/>
        <v>N</v>
      </c>
      <c r="X8" s="22" t="str">
        <f t="shared" si="2"/>
        <v>=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N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10.08639999999999</v>
      </c>
      <c r="C9" s="24">
        <f>IF(C2="","",C2-Base!$G$6)</f>
        <v>9.7863999999999933</v>
      </c>
      <c r="D9" s="24">
        <f>IF(D2="","",D2-Base!$G$6)</f>
        <v>9.9863999999999962</v>
      </c>
      <c r="E9" s="24">
        <f>IF(E2="","",E2-Base!$G$6)</f>
        <v>9.8863999999999876</v>
      </c>
      <c r="F9" s="24">
        <f>IF(F2="","",F2-Base!$G$6)</f>
        <v>10.386399999999988</v>
      </c>
      <c r="G9" s="24">
        <f>IF(G2="","",G2-Base!$G$6)</f>
        <v>9.4863999999999962</v>
      </c>
      <c r="H9" s="24">
        <f>IF(H2="","",H2-Base!$G$6)</f>
        <v>9.8863999999999876</v>
      </c>
      <c r="I9" s="24">
        <f>IF(I2="","",I2-Base!$G$6)</f>
        <v>10.486399999999996</v>
      </c>
      <c r="J9" s="24">
        <f>IF(J2="","",J2-Base!$G$6)</f>
        <v>9.9863999999999962</v>
      </c>
      <c r="K9" s="24">
        <f>IF(K2="","",K2-Base!$G$6)</f>
        <v>10.186399999999985</v>
      </c>
      <c r="L9" s="24">
        <f>IF(L2="","",L2-Base!$G$6)</f>
        <v>9.8863999999999876</v>
      </c>
      <c r="M9" s="24">
        <f>IF(M2="","",M2-Base!$G$6)</f>
        <v>9.5863999999999905</v>
      </c>
      <c r="N9" s="24">
        <f>IF(N2="","",N2-Base!$G$6)</f>
        <v>9.5863999999999905</v>
      </c>
      <c r="O9" s="24">
        <f>IF(O2="","",O2-Base!$G$6)</f>
        <v>9.2863999999999933</v>
      </c>
      <c r="P9" s="24">
        <f>IF(P2="","",P2-Base!$G$6)</f>
        <v>9.5863999999999905</v>
      </c>
      <c r="Q9" s="24">
        <f>IF(Q2="","",Q2-Base!$G$6)</f>
        <v>9.3863999999999876</v>
      </c>
      <c r="R9" s="24">
        <f>IF(R2="","",R2-Base!$G$6)</f>
        <v>9.4863999999999962</v>
      </c>
      <c r="S9" s="24">
        <f>IF(S2="","",S2-Base!$G$6)</f>
        <v>9.2863999999999933</v>
      </c>
      <c r="T9" s="24">
        <f>IF(T2="","",T2-Base!$G$6)</f>
        <v>9.3863999999999876</v>
      </c>
      <c r="U9" s="24">
        <f>IF(U2="","",U2-Base!$G$6)</f>
        <v>9.0863999999999905</v>
      </c>
      <c r="V9" s="24">
        <f>IF(V2="","",V2-Base!$G$6)</f>
        <v>8.5863999999999905</v>
      </c>
      <c r="W9" s="24">
        <f>IF(W2="","",W2-Base!$G$6)</f>
        <v>8.7863999999999933</v>
      </c>
      <c r="X9" s="24">
        <f>IF(X2="","",X2-Base!$G$6)</f>
        <v>8.7863999999999933</v>
      </c>
      <c r="Y9" s="24">
        <f>IF(Y2="","",Y2-Base!$G$6)</f>
        <v>7.9863999999999962</v>
      </c>
      <c r="Z9" s="24">
        <f>IF(Z2="","",Z2-Base!$G$6)</f>
        <v>8.7863999999999933</v>
      </c>
      <c r="AA9" s="24">
        <f>IF(AA2="","",AA2-Base!$G$6)</f>
        <v>9.9863999999999962</v>
      </c>
      <c r="AB9" s="24">
        <f>IF(AB2="","",AB2-Base!$G$6)</f>
        <v>10.186399999999985</v>
      </c>
      <c r="AC9" s="24">
        <f>IF(AC2="","",AC2-Base!$G$6)</f>
        <v>11.08639999999999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'05'!D15</f>
        <v>70.510000000000005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21">
      <c r="B13" s="32">
        <f>B$1</f>
        <v>43983</v>
      </c>
      <c r="C13" s="32">
        <f>H$1</f>
        <v>43989</v>
      </c>
      <c r="D13" s="33">
        <f>ROUNDDOWN(AVERAGE(B2:H2),2)</f>
        <v>69.84</v>
      </c>
      <c r="E13" s="17">
        <f>I11-D13</f>
        <v>0.67000000000000171</v>
      </c>
      <c r="F13" s="17">
        <f>SUM(B5:H5)</f>
        <v>1558</v>
      </c>
      <c r="G13" s="17">
        <f>F13/7700</f>
        <v>0.20233766233766234</v>
      </c>
      <c r="H13" s="17">
        <f>(G13-E13)*7700</f>
        <v>-3601.0000000000127</v>
      </c>
      <c r="I13" s="17">
        <f>SUM(B3:H3)</f>
        <v>3296</v>
      </c>
      <c r="J13" s="17">
        <f>SUM(B4:H4)</f>
        <v>10138</v>
      </c>
      <c r="K13" s="17">
        <f>J13/7</f>
        <v>1448.2857142857142</v>
      </c>
      <c r="M13" s="17">
        <f>SUM(B5:F5)</f>
        <v>1207</v>
      </c>
      <c r="N13" s="17">
        <f>G5+H5</f>
        <v>351</v>
      </c>
    </row>
    <row r="14" spans="1:221">
      <c r="B14" s="32">
        <f t="shared" ref="B14:C16" si="6">B13+7</f>
        <v>43990</v>
      </c>
      <c r="C14" s="32">
        <f t="shared" si="6"/>
        <v>43996</v>
      </c>
      <c r="D14" s="33">
        <f>ROUNDDOWN(AVERAGE(I2:O2),2)</f>
        <v>69.77</v>
      </c>
      <c r="E14" s="17">
        <f>D13-D14</f>
        <v>7.000000000000739E-2</v>
      </c>
      <c r="F14" s="17">
        <f>SUM($I$5:$O$5)</f>
        <v>2656</v>
      </c>
      <c r="G14" s="17">
        <f>F14/7700</f>
        <v>0.34493506493506493</v>
      </c>
      <c r="H14" s="17">
        <f>(G14-E14)*7700</f>
        <v>2116.9999999999432</v>
      </c>
      <c r="I14" s="17">
        <f>SUM($I$3:$O$3)</f>
        <v>2793</v>
      </c>
      <c r="J14" s="17">
        <f>SUM($I$4:$O$4)</f>
        <v>8537</v>
      </c>
      <c r="K14" s="17">
        <f>J14/7</f>
        <v>1219.5714285714287</v>
      </c>
      <c r="M14" s="17">
        <f>SUM(I5:M5)</f>
        <v>2229</v>
      </c>
      <c r="N14" s="17">
        <f>N5+O5</f>
        <v>427</v>
      </c>
    </row>
    <row r="15" spans="1:221">
      <c r="B15" s="32">
        <f t="shared" si="6"/>
        <v>43997</v>
      </c>
      <c r="C15" s="32">
        <f t="shared" si="6"/>
        <v>44003</v>
      </c>
      <c r="D15" s="33">
        <f>ROUNDDOWN(AVERAGE(P2:V2),2)</f>
        <v>69.17</v>
      </c>
      <c r="E15" s="17">
        <f>D14-D15</f>
        <v>0.59999999999999432</v>
      </c>
      <c r="F15" s="17">
        <f>SUM($P$5:$V$5)</f>
        <v>1192</v>
      </c>
      <c r="G15" s="17">
        <f>F15/7700</f>
        <v>0.15480519480519481</v>
      </c>
      <c r="H15" s="17">
        <f>(G15-E15)*7700</f>
        <v>-3427.9999999999559</v>
      </c>
      <c r="I15" s="17">
        <f>SUM($P$3:$V$3)</f>
        <v>1990</v>
      </c>
      <c r="J15" s="17">
        <f>SUM($P$4:$V$4)</f>
        <v>9198</v>
      </c>
      <c r="K15" s="17">
        <f>J15/7</f>
        <v>1314</v>
      </c>
      <c r="M15" s="17">
        <f>SUM(P5:T5)</f>
        <v>1294</v>
      </c>
      <c r="N15" s="17">
        <f>U5+V5</f>
        <v>-102</v>
      </c>
    </row>
    <row r="16" spans="1:221">
      <c r="B16" s="32">
        <f t="shared" si="6"/>
        <v>44004</v>
      </c>
      <c r="C16" s="32">
        <f t="shared" si="6"/>
        <v>44010</v>
      </c>
      <c r="D16" s="33">
        <f>ROUNDDOWN(AVERAGE(W2:AC2),2)</f>
        <v>69.28</v>
      </c>
      <c r="E16" s="17">
        <f>D15-D16</f>
        <v>-0.10999999999999943</v>
      </c>
      <c r="F16" s="17">
        <f>SUM($W$5:$AC$5)</f>
        <v>725</v>
      </c>
      <c r="G16" s="17">
        <f>F16/7700</f>
        <v>9.4155844155844159E-2</v>
      </c>
      <c r="H16" s="17">
        <f>(G16-E16)*7700</f>
        <v>1571.9999999999957</v>
      </c>
      <c r="I16" s="17">
        <f>SUM($W$3:$AC$3)</f>
        <v>2610</v>
      </c>
      <c r="J16" s="17">
        <f>SUM($W$4:$AC$4)</f>
        <v>10285</v>
      </c>
      <c r="K16" s="17">
        <f>J16/7</f>
        <v>1469.2857142857142</v>
      </c>
      <c r="M16" s="17">
        <f>SUM(W5:AA5)</f>
        <v>-315</v>
      </c>
      <c r="N16" s="17">
        <f>SUM(AB5:AC5)</f>
        <v>1040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7">SUM(E13:E18)</f>
        <v>1.230000000000004</v>
      </c>
      <c r="F19" s="17">
        <f t="shared" si="7"/>
        <v>6131</v>
      </c>
      <c r="G19" s="17">
        <f t="shared" si="7"/>
        <v>0.79623376623376618</v>
      </c>
      <c r="H19" s="17">
        <f t="shared" si="7"/>
        <v>-3340.00000000003</v>
      </c>
      <c r="I19" s="17">
        <f t="shared" si="7"/>
        <v>10689</v>
      </c>
      <c r="J19" s="17">
        <f t="shared" si="7"/>
        <v>38158</v>
      </c>
      <c r="M19" s="17">
        <f t="shared" ref="M19:N19" si="8">SUM(M13:M18)</f>
        <v>4415</v>
      </c>
      <c r="N19" s="17">
        <f t="shared" si="8"/>
        <v>1716</v>
      </c>
    </row>
    <row r="20" spans="1:14">
      <c r="A20" s="19" t="s">
        <v>46</v>
      </c>
      <c r="D20" s="17">
        <f>AVERAGE(D13:D16)</f>
        <v>69.515000000000015</v>
      </c>
      <c r="E20" s="17">
        <f>AVERAGE(E13:E16)</f>
        <v>0.30750000000000099</v>
      </c>
      <c r="F20" s="17">
        <f>AVERAGE(F13:F16)</f>
        <v>1532.75</v>
      </c>
      <c r="G20" s="17">
        <f>AVERAGE(G13:G16)</f>
        <v>0.19905844155844155</v>
      </c>
      <c r="H20" s="17">
        <f>AVERAGE(H13:H16)/7</f>
        <v>-119.28571428571536</v>
      </c>
      <c r="I20" s="17">
        <f>AVERAGE(I13:I16)/7</f>
        <v>381.75</v>
      </c>
      <c r="J20" s="17">
        <f>AVERAGE(J13:J16)/7</f>
        <v>1362.7857142857142</v>
      </c>
      <c r="L20" s="17">
        <f>J20-I20</f>
        <v>981.03571428571422</v>
      </c>
      <c r="M20" s="17">
        <f>AVERAGE(M13:M18)/5</f>
        <v>220.75</v>
      </c>
      <c r="N20" s="17">
        <f>AVERAGE(N13:N18)/2</f>
        <v>214.5</v>
      </c>
    </row>
    <row r="21" spans="1:14" ht="15">
      <c r="A21" s="30" t="s">
        <v>75</v>
      </c>
      <c r="D21" s="17">
        <f>MIN(B2:AC2)</f>
        <v>67.900000000000006</v>
      </c>
      <c r="F21" s="17">
        <f>F20/7</f>
        <v>218.96428571428572</v>
      </c>
    </row>
    <row r="22" spans="1:14" ht="15">
      <c r="A22" s="30" t="s">
        <v>76</v>
      </c>
      <c r="D22" s="17">
        <f>MAX(B2:AC2)</f>
        <v>71</v>
      </c>
    </row>
    <row r="23" spans="1:14">
      <c r="A23" s="19" t="s">
        <v>77</v>
      </c>
      <c r="D23" s="17">
        <f>AVERAGE(B2:AC2)</f>
        <v>69.517857142857153</v>
      </c>
    </row>
  </sheetData>
  <phoneticPr fontId="15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23"/>
  <sheetViews>
    <sheetView workbookViewId="0">
      <selection activeCell="I20" sqref="I20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v>44011</v>
      </c>
      <c r="C1" s="16">
        <v>44012</v>
      </c>
      <c r="D1" s="16">
        <v>44013</v>
      </c>
      <c r="E1" s="16">
        <v>44014</v>
      </c>
      <c r="F1" s="16">
        <v>44015</v>
      </c>
      <c r="G1" s="16">
        <v>44016</v>
      </c>
      <c r="H1" s="16">
        <v>44017</v>
      </c>
      <c r="I1" s="15">
        <v>44018</v>
      </c>
      <c r="J1" s="16">
        <v>44019</v>
      </c>
      <c r="K1" s="16">
        <v>44020</v>
      </c>
      <c r="L1" s="16">
        <v>44021</v>
      </c>
      <c r="M1" s="16">
        <v>44022</v>
      </c>
      <c r="N1" s="16">
        <v>44023</v>
      </c>
      <c r="O1" s="16">
        <v>44024</v>
      </c>
      <c r="P1" s="15">
        <v>44025</v>
      </c>
      <c r="Q1" s="16">
        <v>44026</v>
      </c>
      <c r="R1" s="16">
        <v>44027</v>
      </c>
      <c r="S1" s="16">
        <v>44028</v>
      </c>
      <c r="T1" s="16">
        <v>44029</v>
      </c>
      <c r="U1" s="16">
        <v>44030</v>
      </c>
      <c r="V1" s="16">
        <v>44031</v>
      </c>
      <c r="W1" s="15">
        <v>44032</v>
      </c>
      <c r="X1" s="16">
        <v>44033</v>
      </c>
      <c r="Y1" s="16">
        <v>44034</v>
      </c>
      <c r="Z1" s="16">
        <v>44035</v>
      </c>
      <c r="AA1" s="16">
        <v>44036</v>
      </c>
      <c r="AB1" s="16">
        <v>44037</v>
      </c>
      <c r="AC1" s="16">
        <v>44038</v>
      </c>
      <c r="AD1" s="15">
        <v>44039</v>
      </c>
      <c r="AE1" s="16">
        <v>44040</v>
      </c>
      <c r="AF1" s="16">
        <v>44041</v>
      </c>
      <c r="AG1" s="16">
        <v>44042</v>
      </c>
      <c r="AH1" s="16">
        <v>44043</v>
      </c>
      <c r="AI1" s="16">
        <v>44044</v>
      </c>
      <c r="AJ1" s="16">
        <v>44045</v>
      </c>
    </row>
    <row r="2" spans="1:221">
      <c r="A2" s="14" t="s">
        <v>27</v>
      </c>
      <c r="B2" s="18">
        <v>70.3</v>
      </c>
      <c r="C2" s="18">
        <v>70.2</v>
      </c>
      <c r="D2" s="18">
        <v>70.400000000000006</v>
      </c>
      <c r="E2" s="18">
        <v>70</v>
      </c>
      <c r="F2" s="18">
        <v>69.3</v>
      </c>
      <c r="G2" s="18">
        <v>69.099999999999994</v>
      </c>
      <c r="H2" s="18">
        <v>68.7</v>
      </c>
      <c r="I2" s="18">
        <v>68.900000000000006</v>
      </c>
      <c r="J2" s="18">
        <v>68.2</v>
      </c>
      <c r="K2" s="18">
        <v>68.099999999999994</v>
      </c>
      <c r="L2" s="18">
        <v>68.7</v>
      </c>
      <c r="M2" s="18">
        <v>68.599999999999994</v>
      </c>
      <c r="N2" s="18">
        <v>69</v>
      </c>
      <c r="O2" s="18">
        <v>71</v>
      </c>
      <c r="P2" s="18">
        <v>70.400000000000006</v>
      </c>
      <c r="Q2" s="18">
        <v>69.599999999999994</v>
      </c>
      <c r="R2" s="18">
        <v>69.7</v>
      </c>
      <c r="S2" s="18">
        <v>69.8</v>
      </c>
      <c r="T2" s="18">
        <v>69.2</v>
      </c>
      <c r="U2" s="18">
        <v>69.2</v>
      </c>
      <c r="V2" s="18">
        <v>69.2</v>
      </c>
      <c r="W2" s="18">
        <v>69.2</v>
      </c>
      <c r="X2" s="18">
        <v>68.8</v>
      </c>
      <c r="Y2" s="18">
        <v>68.900000000000006</v>
      </c>
      <c r="Z2" s="18">
        <v>69.400000000000006</v>
      </c>
      <c r="AA2" s="18">
        <v>69.400000000000006</v>
      </c>
      <c r="AB2" s="18">
        <v>68.900000000000006</v>
      </c>
      <c r="AC2" s="18">
        <v>70.099999999999994</v>
      </c>
      <c r="AD2" s="18">
        <v>69.900000000000006</v>
      </c>
      <c r="AE2" s="18">
        <v>69.5</v>
      </c>
      <c r="AF2" s="18">
        <v>69.099999999999994</v>
      </c>
      <c r="AG2" s="18">
        <v>68.400000000000006</v>
      </c>
      <c r="AH2" s="18">
        <v>68.3</v>
      </c>
      <c r="AI2" s="18">
        <v>68.3</v>
      </c>
      <c r="AJ2" s="18">
        <v>68.5</v>
      </c>
    </row>
    <row r="3" spans="1:221">
      <c r="A3" s="19" t="s">
        <v>32</v>
      </c>
      <c r="B3" s="17">
        <v>444</v>
      </c>
      <c r="C3" s="17">
        <v>445</v>
      </c>
      <c r="D3" s="17">
        <v>337</v>
      </c>
      <c r="E3" s="17">
        <v>332</v>
      </c>
      <c r="F3" s="17">
        <v>246</v>
      </c>
      <c r="G3" s="17">
        <v>477</v>
      </c>
      <c r="H3" s="17">
        <v>368</v>
      </c>
      <c r="I3" s="17">
        <v>327</v>
      </c>
      <c r="J3" s="17">
        <v>480</v>
      </c>
      <c r="K3" s="17">
        <v>257</v>
      </c>
      <c r="L3" s="17">
        <v>222</v>
      </c>
      <c r="M3" s="17">
        <v>321</v>
      </c>
      <c r="N3" s="17">
        <v>659</v>
      </c>
      <c r="O3" s="17">
        <v>175</v>
      </c>
      <c r="P3" s="17">
        <v>580</v>
      </c>
      <c r="Q3" s="17">
        <v>464</v>
      </c>
      <c r="R3" s="17">
        <v>464</v>
      </c>
      <c r="S3" s="17">
        <v>260</v>
      </c>
      <c r="T3" s="17">
        <v>289</v>
      </c>
      <c r="U3" s="17">
        <v>650</v>
      </c>
      <c r="V3" s="17">
        <v>674</v>
      </c>
      <c r="W3" s="17">
        <v>308</v>
      </c>
      <c r="X3" s="17">
        <v>436</v>
      </c>
      <c r="Y3" s="17">
        <v>265</v>
      </c>
      <c r="Z3" s="17">
        <v>528</v>
      </c>
      <c r="AA3" s="17">
        <v>283</v>
      </c>
      <c r="AB3" s="17">
        <v>703</v>
      </c>
      <c r="AC3" s="17">
        <v>310</v>
      </c>
      <c r="AD3" s="17">
        <v>432</v>
      </c>
      <c r="AE3" s="17">
        <v>554</v>
      </c>
      <c r="AF3" s="17">
        <v>404</v>
      </c>
      <c r="AG3" s="17">
        <v>436</v>
      </c>
      <c r="AH3" s="17">
        <v>325</v>
      </c>
      <c r="AI3" s="17">
        <v>433</v>
      </c>
      <c r="AJ3" s="17">
        <v>669</v>
      </c>
    </row>
    <row r="4" spans="1:221">
      <c r="A4" s="19" t="s">
        <v>31</v>
      </c>
      <c r="B4" s="17">
        <v>1466</v>
      </c>
      <c r="C4" s="17">
        <v>1365</v>
      </c>
      <c r="D4" s="17">
        <v>1022</v>
      </c>
      <c r="E4" s="17">
        <v>1155</v>
      </c>
      <c r="F4" s="17">
        <v>1237</v>
      </c>
      <c r="G4" s="17">
        <v>1503</v>
      </c>
      <c r="H4" s="17">
        <v>1406</v>
      </c>
      <c r="I4" s="17">
        <v>1239</v>
      </c>
      <c r="J4" s="17">
        <v>1376</v>
      </c>
      <c r="K4" s="17">
        <v>1558</v>
      </c>
      <c r="L4" s="17">
        <v>1526</v>
      </c>
      <c r="M4" s="17">
        <v>1150</v>
      </c>
      <c r="N4" s="17">
        <v>1460</v>
      </c>
      <c r="O4" s="17">
        <v>2254</v>
      </c>
      <c r="P4" s="17">
        <v>1081</v>
      </c>
      <c r="Q4" s="17">
        <v>1145</v>
      </c>
      <c r="R4" s="17">
        <v>1068</v>
      </c>
      <c r="S4" s="17">
        <v>1492</v>
      </c>
      <c r="T4" s="17">
        <v>1124</v>
      </c>
      <c r="U4" s="17">
        <v>1758</v>
      </c>
      <c r="V4" s="17">
        <v>1257</v>
      </c>
      <c r="W4" s="17">
        <v>818</v>
      </c>
      <c r="X4" s="17">
        <v>1038</v>
      </c>
      <c r="Y4" s="17">
        <v>1819</v>
      </c>
      <c r="Z4" s="17">
        <v>1443</v>
      </c>
      <c r="AA4" s="17">
        <v>1250</v>
      </c>
      <c r="AB4" s="17">
        <v>2669</v>
      </c>
      <c r="AC4" s="17">
        <v>1416</v>
      </c>
      <c r="AD4" s="17">
        <v>965</v>
      </c>
      <c r="AE4" s="17">
        <v>1403</v>
      </c>
      <c r="AF4" s="17">
        <v>1228</v>
      </c>
      <c r="AG4" s="17">
        <v>1248</v>
      </c>
      <c r="AH4" s="17">
        <v>1318</v>
      </c>
      <c r="AI4" s="17">
        <v>1490</v>
      </c>
      <c r="AJ4" s="17">
        <v>1630</v>
      </c>
    </row>
    <row r="5" spans="1:221">
      <c r="A5" s="19" t="s">
        <v>33</v>
      </c>
      <c r="B5" s="17">
        <f>$B$11+B3-B4-$F$11</f>
        <v>178</v>
      </c>
      <c r="C5" s="17">
        <f t="shared" ref="C5:AC5" si="0">$B$11+C3-C4-$F$11</f>
        <v>280</v>
      </c>
      <c r="D5" s="17">
        <f t="shared" si="0"/>
        <v>515</v>
      </c>
      <c r="E5" s="17">
        <f t="shared" si="0"/>
        <v>377</v>
      </c>
      <c r="F5" s="17">
        <f t="shared" si="0"/>
        <v>209</v>
      </c>
      <c r="G5" s="17">
        <f t="shared" si="0"/>
        <v>174</v>
      </c>
      <c r="H5" s="17">
        <f t="shared" si="0"/>
        <v>162</v>
      </c>
      <c r="I5" s="17">
        <f t="shared" si="0"/>
        <v>288</v>
      </c>
      <c r="J5" s="17">
        <f t="shared" si="0"/>
        <v>304</v>
      </c>
      <c r="K5" s="17">
        <f t="shared" si="0"/>
        <v>-101</v>
      </c>
      <c r="L5" s="17">
        <f t="shared" si="0"/>
        <v>-104</v>
      </c>
      <c r="M5" s="17">
        <f t="shared" si="0"/>
        <v>371</v>
      </c>
      <c r="N5" s="17">
        <f t="shared" si="0"/>
        <v>399</v>
      </c>
      <c r="O5" s="17">
        <f t="shared" si="0"/>
        <v>-879</v>
      </c>
      <c r="P5" s="17">
        <f t="shared" si="0"/>
        <v>699</v>
      </c>
      <c r="Q5" s="17">
        <f t="shared" si="0"/>
        <v>519</v>
      </c>
      <c r="R5" s="17">
        <f t="shared" si="0"/>
        <v>596</v>
      </c>
      <c r="S5" s="17">
        <f t="shared" si="0"/>
        <v>-32</v>
      </c>
      <c r="T5" s="17">
        <f t="shared" si="0"/>
        <v>365</v>
      </c>
      <c r="U5" s="17">
        <f t="shared" si="0"/>
        <v>92</v>
      </c>
      <c r="V5" s="17">
        <f t="shared" si="0"/>
        <v>617</v>
      </c>
      <c r="W5" s="17">
        <f t="shared" si="0"/>
        <v>690</v>
      </c>
      <c r="X5" s="17">
        <f t="shared" si="0"/>
        <v>598</v>
      </c>
      <c r="Y5" s="17">
        <f t="shared" si="0"/>
        <v>-354</v>
      </c>
      <c r="Z5" s="17">
        <f t="shared" si="0"/>
        <v>285</v>
      </c>
      <c r="AA5" s="17">
        <f t="shared" si="0"/>
        <v>233</v>
      </c>
      <c r="AB5" s="17">
        <f t="shared" si="0"/>
        <v>-766</v>
      </c>
      <c r="AC5" s="17">
        <f t="shared" si="0"/>
        <v>94</v>
      </c>
      <c r="AD5" s="17">
        <f t="shared" ref="AD5:AJ5" si="1">$B$11+AD3-AD4-$F$11</f>
        <v>667</v>
      </c>
      <c r="AE5" s="17">
        <f t="shared" si="1"/>
        <v>351</v>
      </c>
      <c r="AF5" s="17">
        <f t="shared" si="1"/>
        <v>376</v>
      </c>
      <c r="AG5" s="17">
        <f t="shared" si="1"/>
        <v>388</v>
      </c>
      <c r="AH5" s="17">
        <f t="shared" si="1"/>
        <v>207</v>
      </c>
      <c r="AI5" s="17">
        <f t="shared" si="1"/>
        <v>143</v>
      </c>
      <c r="AJ5" s="17">
        <f t="shared" si="1"/>
        <v>239</v>
      </c>
    </row>
    <row r="6" spans="1:221" hidden="1">
      <c r="A6" s="19" t="s">
        <v>36</v>
      </c>
      <c r="B6" s="20">
        <f>B5/7700</f>
        <v>2.3116883116883116E-2</v>
      </c>
      <c r="C6" s="20">
        <f t="shared" ref="C6:AC6" si="2">C5/7700</f>
        <v>3.6363636363636362E-2</v>
      </c>
      <c r="D6" s="20">
        <f t="shared" si="2"/>
        <v>6.6883116883116878E-2</v>
      </c>
      <c r="E6" s="20">
        <f t="shared" si="2"/>
        <v>4.8961038961038962E-2</v>
      </c>
      <c r="F6" s="20">
        <f t="shared" si="2"/>
        <v>2.7142857142857142E-2</v>
      </c>
      <c r="G6" s="20">
        <f t="shared" si="2"/>
        <v>2.2597402597402599E-2</v>
      </c>
      <c r="H6" s="20">
        <f t="shared" si="2"/>
        <v>2.1038961038961038E-2</v>
      </c>
      <c r="I6" s="20">
        <f t="shared" si="2"/>
        <v>3.7402597402597403E-2</v>
      </c>
      <c r="J6" s="20">
        <f t="shared" si="2"/>
        <v>3.9480519480519484E-2</v>
      </c>
      <c r="K6" s="20">
        <f t="shared" si="2"/>
        <v>-1.3116883116883117E-2</v>
      </c>
      <c r="L6" s="20">
        <f t="shared" si="2"/>
        <v>-1.3506493506493506E-2</v>
      </c>
      <c r="M6" s="20">
        <f t="shared" si="2"/>
        <v>4.818181818181818E-2</v>
      </c>
      <c r="N6" s="20">
        <f t="shared" si="2"/>
        <v>5.1818181818181819E-2</v>
      </c>
      <c r="O6" s="20">
        <f t="shared" si="2"/>
        <v>-0.11415584415584415</v>
      </c>
      <c r="P6" s="20">
        <f t="shared" si="2"/>
        <v>9.0779220779220779E-2</v>
      </c>
      <c r="Q6" s="20">
        <f t="shared" si="2"/>
        <v>6.7402597402597408E-2</v>
      </c>
      <c r="R6" s="20">
        <f t="shared" si="2"/>
        <v>7.7402597402597403E-2</v>
      </c>
      <c r="S6" s="20">
        <f t="shared" si="2"/>
        <v>-4.1558441558441558E-3</v>
      </c>
      <c r="T6" s="20">
        <f t="shared" si="2"/>
        <v>4.7402597402597405E-2</v>
      </c>
      <c r="U6" s="20">
        <f t="shared" si="2"/>
        <v>1.1948051948051949E-2</v>
      </c>
      <c r="V6" s="20">
        <f t="shared" si="2"/>
        <v>8.0129870129870134E-2</v>
      </c>
      <c r="W6" s="20">
        <f t="shared" si="2"/>
        <v>8.9610389610389612E-2</v>
      </c>
      <c r="X6" s="20">
        <f t="shared" si="2"/>
        <v>7.7662337662337669E-2</v>
      </c>
      <c r="Y6" s="20">
        <f t="shared" si="2"/>
        <v>-4.5974025974025973E-2</v>
      </c>
      <c r="Z6" s="20">
        <f t="shared" si="2"/>
        <v>3.7012987012987011E-2</v>
      </c>
      <c r="AA6" s="20">
        <f t="shared" si="2"/>
        <v>3.0259740259740261E-2</v>
      </c>
      <c r="AB6" s="20">
        <f t="shared" si="2"/>
        <v>-9.9480519480519475E-2</v>
      </c>
      <c r="AC6" s="20">
        <f t="shared" si="2"/>
        <v>1.2207792207792207E-2</v>
      </c>
      <c r="AD6" s="20">
        <f t="shared" ref="AD6:AJ6" si="3">AD5/7700</f>
        <v>8.662337662337663E-2</v>
      </c>
      <c r="AE6" s="20">
        <f t="shared" si="3"/>
        <v>4.5584415584415582E-2</v>
      </c>
      <c r="AF6" s="20">
        <f t="shared" si="3"/>
        <v>4.8831168831168829E-2</v>
      </c>
      <c r="AG6" s="20">
        <f t="shared" si="3"/>
        <v>5.0389610389610387E-2</v>
      </c>
      <c r="AH6" s="20">
        <f t="shared" si="3"/>
        <v>2.6883116883116884E-2</v>
      </c>
      <c r="AI6" s="20">
        <f t="shared" si="3"/>
        <v>1.8571428571428572E-2</v>
      </c>
      <c r="AJ6" s="20">
        <f t="shared" si="3"/>
        <v>3.103896103896104E-2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4">IF(D2=0,"",IF(D2-C2&gt;0,"N",IF(D2-C2=0,"=","Y")))</f>
        <v>N</v>
      </c>
      <c r="E8" s="22" t="str">
        <f t="shared" si="4"/>
        <v>Y</v>
      </c>
      <c r="F8" s="22" t="str">
        <f t="shared" si="4"/>
        <v>Y</v>
      </c>
      <c r="G8" s="22" t="str">
        <f t="shared" si="4"/>
        <v>Y</v>
      </c>
      <c r="H8" s="22" t="str">
        <f t="shared" si="4"/>
        <v>Y</v>
      </c>
      <c r="I8" s="22" t="str">
        <f t="shared" si="4"/>
        <v>N</v>
      </c>
      <c r="J8" s="22" t="str">
        <f t="shared" si="4"/>
        <v>Y</v>
      </c>
      <c r="K8" s="22" t="str">
        <f t="shared" si="4"/>
        <v>Y</v>
      </c>
      <c r="L8" s="22" t="str">
        <f t="shared" si="4"/>
        <v>N</v>
      </c>
      <c r="M8" s="22" t="str">
        <f t="shared" si="4"/>
        <v>Y</v>
      </c>
      <c r="N8" s="22" t="str">
        <f t="shared" si="4"/>
        <v>N</v>
      </c>
      <c r="O8" s="22" t="str">
        <f t="shared" si="4"/>
        <v>N</v>
      </c>
      <c r="P8" s="22" t="str">
        <f t="shared" si="4"/>
        <v>Y</v>
      </c>
      <c r="Q8" s="22" t="str">
        <f t="shared" si="4"/>
        <v>Y</v>
      </c>
      <c r="R8" s="22" t="str">
        <f>IF(R2=0,"",IF(R2-Q2&gt;0,"N",IF(R2-Q2=0,"=","Y")))</f>
        <v>N</v>
      </c>
      <c r="S8" s="22" t="str">
        <f>IF(S2=0,"",IF(S2-R2&gt;0,"N",IF(S2-R2=0,"=","Y")))</f>
        <v>N</v>
      </c>
      <c r="T8" s="22" t="str">
        <f t="shared" si="4"/>
        <v>Y</v>
      </c>
      <c r="U8" s="22" t="str">
        <f t="shared" si="4"/>
        <v>=</v>
      </c>
      <c r="V8" s="22" t="str">
        <f t="shared" si="4"/>
        <v>=</v>
      </c>
      <c r="W8" s="22" t="str">
        <f t="shared" si="4"/>
        <v>=</v>
      </c>
      <c r="X8" s="22" t="str">
        <f t="shared" si="4"/>
        <v>Y</v>
      </c>
      <c r="Y8" s="22" t="str">
        <f t="shared" si="4"/>
        <v>N</v>
      </c>
      <c r="Z8" s="22" t="str">
        <f t="shared" si="4"/>
        <v>N</v>
      </c>
      <c r="AA8" s="22" t="str">
        <f t="shared" si="4"/>
        <v>=</v>
      </c>
      <c r="AB8" s="22" t="str">
        <f t="shared" si="4"/>
        <v>Y</v>
      </c>
      <c r="AC8" s="22" t="str">
        <f t="shared" si="4"/>
        <v>N</v>
      </c>
      <c r="AD8" s="22" t="str">
        <f t="shared" ref="AD8" si="5">IF(AD2=0,"",IF(AD2-AC2&gt;0,"N",IF(AD2-AC2=0,"=","Y")))</f>
        <v>Y</v>
      </c>
      <c r="AE8" s="22" t="str">
        <f t="shared" ref="AE8" si="6">IF(AE2=0,"",IF(AE2-AD2&gt;0,"N",IF(AE2-AD2=0,"=","Y")))</f>
        <v>Y</v>
      </c>
      <c r="AF8" s="22" t="str">
        <f t="shared" ref="AF8" si="7">IF(AF2=0,"",IF(AF2-AE2&gt;0,"N",IF(AF2-AE2=0,"=","Y")))</f>
        <v>Y</v>
      </c>
      <c r="AG8" s="22" t="str">
        <f t="shared" ref="AG8" si="8">IF(AG2=0,"",IF(AG2-AF2&gt;0,"N",IF(AG2-AF2=0,"=","Y")))</f>
        <v>Y</v>
      </c>
      <c r="AH8" s="22" t="str">
        <f t="shared" ref="AH8" si="9">IF(AH2=0,"",IF(AH2-AG2&gt;0,"N",IF(AH2-AG2=0,"=","Y")))</f>
        <v>Y</v>
      </c>
      <c r="AI8" s="22" t="str">
        <f t="shared" ref="AI8" si="10">IF(AI2=0,"",IF(AI2-AH2&gt;0,"N",IF(AI2-AH2=0,"=","Y")))</f>
        <v>=</v>
      </c>
      <c r="AJ8" s="22" t="str">
        <f t="shared" ref="AJ8" si="11">IF(AJ2=0,"",IF(AJ2-AI2&gt;0,"N",IF(AJ2-AI2=0,"=","Y")))</f>
        <v>N</v>
      </c>
      <c r="AK8" s="23" t="str">
        <f t="shared" ref="AK8:CP8" si="12">IF(AK2=0,"",IF(AK2-AJ2&gt;0,"減肥失敗",IF(AK2-AJ2=0,"體重不變","減肥成功")))</f>
        <v/>
      </c>
      <c r="AL8" s="23" t="str">
        <f t="shared" si="12"/>
        <v/>
      </c>
      <c r="AM8" s="23" t="str">
        <f t="shared" si="12"/>
        <v/>
      </c>
      <c r="AN8" s="23" t="str">
        <f t="shared" si="12"/>
        <v/>
      </c>
      <c r="AO8" s="23" t="str">
        <f t="shared" si="12"/>
        <v/>
      </c>
      <c r="AP8" s="23" t="str">
        <f t="shared" si="12"/>
        <v/>
      </c>
      <c r="AQ8" s="23" t="str">
        <f t="shared" si="12"/>
        <v/>
      </c>
      <c r="AR8" s="23" t="str">
        <f t="shared" si="12"/>
        <v/>
      </c>
      <c r="AS8" s="23" t="str">
        <f t="shared" si="12"/>
        <v/>
      </c>
      <c r="AT8" s="23" t="str">
        <f t="shared" si="12"/>
        <v/>
      </c>
      <c r="AU8" s="23" t="str">
        <f t="shared" si="12"/>
        <v/>
      </c>
      <c r="AV8" s="23" t="str">
        <f t="shared" si="12"/>
        <v/>
      </c>
      <c r="AW8" s="23" t="str">
        <f t="shared" si="12"/>
        <v/>
      </c>
      <c r="AX8" s="23" t="str">
        <f t="shared" si="12"/>
        <v/>
      </c>
      <c r="AY8" s="23" t="str">
        <f t="shared" si="12"/>
        <v/>
      </c>
      <c r="AZ8" s="23" t="str">
        <f t="shared" si="12"/>
        <v/>
      </c>
      <c r="BA8" s="23" t="str">
        <f t="shared" si="12"/>
        <v/>
      </c>
      <c r="BB8" s="23" t="str">
        <f t="shared" si="12"/>
        <v/>
      </c>
      <c r="BC8" s="23" t="str">
        <f t="shared" si="12"/>
        <v/>
      </c>
      <c r="BD8" s="23" t="str">
        <f t="shared" si="12"/>
        <v/>
      </c>
      <c r="BE8" s="23" t="str">
        <f t="shared" si="12"/>
        <v/>
      </c>
      <c r="BF8" s="23" t="str">
        <f t="shared" si="12"/>
        <v/>
      </c>
      <c r="BG8" s="23" t="str">
        <f t="shared" si="12"/>
        <v/>
      </c>
      <c r="BH8" s="23" t="str">
        <f t="shared" si="12"/>
        <v/>
      </c>
      <c r="BI8" s="23" t="str">
        <f t="shared" si="12"/>
        <v/>
      </c>
      <c r="BJ8" s="23" t="str">
        <f t="shared" si="12"/>
        <v/>
      </c>
      <c r="BK8" s="23" t="str">
        <f t="shared" si="12"/>
        <v/>
      </c>
      <c r="BL8" s="23" t="str">
        <f t="shared" si="12"/>
        <v/>
      </c>
      <c r="BM8" s="23" t="str">
        <f t="shared" si="12"/>
        <v/>
      </c>
      <c r="BN8" s="23" t="str">
        <f t="shared" si="12"/>
        <v/>
      </c>
      <c r="BO8" s="23" t="str">
        <f t="shared" si="12"/>
        <v/>
      </c>
      <c r="BP8" s="23" t="str">
        <f t="shared" si="12"/>
        <v/>
      </c>
      <c r="BQ8" s="23" t="str">
        <f t="shared" si="12"/>
        <v/>
      </c>
      <c r="BR8" s="23" t="str">
        <f t="shared" si="12"/>
        <v/>
      </c>
      <c r="BS8" s="23" t="str">
        <f t="shared" si="12"/>
        <v/>
      </c>
      <c r="BT8" s="23" t="str">
        <f t="shared" si="12"/>
        <v/>
      </c>
      <c r="BU8" s="23" t="str">
        <f t="shared" si="12"/>
        <v/>
      </c>
      <c r="BV8" s="23" t="str">
        <f t="shared" si="12"/>
        <v/>
      </c>
      <c r="BW8" s="23" t="str">
        <f t="shared" si="12"/>
        <v/>
      </c>
      <c r="BX8" s="23" t="str">
        <f t="shared" si="12"/>
        <v/>
      </c>
      <c r="BY8" s="23" t="str">
        <f t="shared" si="12"/>
        <v/>
      </c>
      <c r="BZ8" s="23" t="str">
        <f t="shared" si="12"/>
        <v/>
      </c>
      <c r="CA8" s="23" t="str">
        <f t="shared" si="12"/>
        <v/>
      </c>
      <c r="CB8" s="23" t="str">
        <f t="shared" si="12"/>
        <v/>
      </c>
      <c r="CC8" s="23" t="str">
        <f t="shared" si="12"/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ref="CQ8:FB8" si="13">IF(CQ2=0,"",IF(CQ2-CP2&gt;0,"減肥失敗",IF(CQ2-CP2=0,"體重不變","減肥成功")))</f>
        <v/>
      </c>
      <c r="CR8" s="23" t="str">
        <f t="shared" si="13"/>
        <v/>
      </c>
      <c r="CS8" s="23" t="str">
        <f t="shared" si="13"/>
        <v/>
      </c>
      <c r="CT8" s="23" t="str">
        <f t="shared" si="13"/>
        <v/>
      </c>
      <c r="CU8" s="23" t="str">
        <f t="shared" si="13"/>
        <v/>
      </c>
      <c r="CV8" s="23" t="str">
        <f t="shared" si="13"/>
        <v/>
      </c>
      <c r="CW8" s="23" t="str">
        <f t="shared" si="13"/>
        <v/>
      </c>
      <c r="CX8" s="23" t="str">
        <f t="shared" si="13"/>
        <v/>
      </c>
      <c r="CY8" s="23" t="str">
        <f t="shared" si="13"/>
        <v/>
      </c>
      <c r="CZ8" s="23" t="str">
        <f t="shared" si="13"/>
        <v/>
      </c>
      <c r="DA8" s="23" t="str">
        <f t="shared" si="13"/>
        <v/>
      </c>
      <c r="DB8" s="23" t="str">
        <f t="shared" si="13"/>
        <v/>
      </c>
      <c r="DC8" s="23" t="str">
        <f t="shared" si="13"/>
        <v/>
      </c>
      <c r="DD8" s="23" t="str">
        <f t="shared" si="13"/>
        <v/>
      </c>
      <c r="DE8" s="23" t="str">
        <f t="shared" si="13"/>
        <v/>
      </c>
      <c r="DF8" s="23" t="str">
        <f t="shared" si="13"/>
        <v/>
      </c>
      <c r="DG8" s="23" t="str">
        <f t="shared" si="13"/>
        <v/>
      </c>
      <c r="DH8" s="23" t="str">
        <f t="shared" si="13"/>
        <v/>
      </c>
      <c r="DI8" s="23" t="str">
        <f t="shared" si="13"/>
        <v/>
      </c>
      <c r="DJ8" s="23" t="str">
        <f t="shared" si="13"/>
        <v/>
      </c>
      <c r="DK8" s="23" t="str">
        <f t="shared" si="13"/>
        <v/>
      </c>
      <c r="DL8" s="23" t="str">
        <f t="shared" si="13"/>
        <v/>
      </c>
      <c r="DM8" s="23" t="str">
        <f t="shared" si="13"/>
        <v/>
      </c>
      <c r="DN8" s="23" t="str">
        <f t="shared" si="13"/>
        <v/>
      </c>
      <c r="DO8" s="23" t="str">
        <f t="shared" si="13"/>
        <v/>
      </c>
      <c r="DP8" s="23" t="str">
        <f t="shared" si="13"/>
        <v/>
      </c>
      <c r="DQ8" s="23" t="str">
        <f t="shared" si="13"/>
        <v/>
      </c>
      <c r="DR8" s="23" t="str">
        <f t="shared" si="13"/>
        <v/>
      </c>
      <c r="DS8" s="23" t="str">
        <f t="shared" si="13"/>
        <v/>
      </c>
      <c r="DT8" s="23" t="str">
        <f t="shared" si="13"/>
        <v/>
      </c>
      <c r="DU8" s="23" t="str">
        <f t="shared" si="13"/>
        <v/>
      </c>
      <c r="DV8" s="23" t="str">
        <f t="shared" si="13"/>
        <v/>
      </c>
      <c r="DW8" s="23" t="str">
        <f t="shared" si="13"/>
        <v/>
      </c>
      <c r="DX8" s="23" t="str">
        <f t="shared" si="13"/>
        <v/>
      </c>
      <c r="DY8" s="23" t="str">
        <f t="shared" si="13"/>
        <v/>
      </c>
      <c r="DZ8" s="23" t="str">
        <f t="shared" si="13"/>
        <v/>
      </c>
      <c r="EA8" s="23" t="str">
        <f t="shared" si="13"/>
        <v/>
      </c>
      <c r="EB8" s="23" t="str">
        <f t="shared" si="13"/>
        <v/>
      </c>
      <c r="EC8" s="23" t="str">
        <f t="shared" si="13"/>
        <v/>
      </c>
      <c r="ED8" s="23" t="str">
        <f t="shared" si="13"/>
        <v/>
      </c>
      <c r="EE8" s="23" t="str">
        <f t="shared" si="13"/>
        <v/>
      </c>
      <c r="EF8" s="23" t="str">
        <f t="shared" si="13"/>
        <v/>
      </c>
      <c r="EG8" s="23" t="str">
        <f t="shared" si="13"/>
        <v/>
      </c>
      <c r="EH8" s="23" t="str">
        <f t="shared" si="13"/>
        <v/>
      </c>
      <c r="EI8" s="23" t="str">
        <f t="shared" si="13"/>
        <v/>
      </c>
      <c r="EJ8" s="23" t="str">
        <f t="shared" si="13"/>
        <v/>
      </c>
      <c r="EK8" s="23" t="str">
        <f t="shared" si="13"/>
        <v/>
      </c>
      <c r="EL8" s="23" t="str">
        <f t="shared" si="13"/>
        <v/>
      </c>
      <c r="EM8" s="23" t="str">
        <f t="shared" si="13"/>
        <v/>
      </c>
      <c r="EN8" s="23" t="str">
        <f t="shared" si="13"/>
        <v/>
      </c>
      <c r="EO8" s="23" t="str">
        <f t="shared" si="13"/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ref="FC8:HM8" si="14">IF(FC2=0,"",IF(FC2-FB2&gt;0,"減肥失敗",IF(FC2-FB2=0,"體重不變","減肥成功")))</f>
        <v/>
      </c>
      <c r="FD8" s="23" t="str">
        <f t="shared" si="14"/>
        <v/>
      </c>
      <c r="FE8" s="23" t="str">
        <f t="shared" si="14"/>
        <v/>
      </c>
      <c r="FF8" s="23" t="str">
        <f t="shared" si="14"/>
        <v/>
      </c>
      <c r="FG8" s="23" t="str">
        <f t="shared" si="14"/>
        <v/>
      </c>
      <c r="FH8" s="23" t="str">
        <f t="shared" si="14"/>
        <v/>
      </c>
      <c r="FI8" s="23" t="str">
        <f t="shared" si="14"/>
        <v/>
      </c>
      <c r="FJ8" s="23" t="str">
        <f t="shared" si="14"/>
        <v/>
      </c>
      <c r="FK8" s="23" t="str">
        <f t="shared" si="14"/>
        <v/>
      </c>
      <c r="FL8" s="23" t="str">
        <f t="shared" si="14"/>
        <v/>
      </c>
      <c r="FM8" s="23" t="str">
        <f t="shared" si="14"/>
        <v/>
      </c>
      <c r="FN8" s="23" t="str">
        <f t="shared" si="14"/>
        <v/>
      </c>
      <c r="FO8" s="23" t="str">
        <f t="shared" si="14"/>
        <v/>
      </c>
      <c r="FP8" s="23" t="str">
        <f t="shared" si="14"/>
        <v/>
      </c>
      <c r="FQ8" s="23" t="str">
        <f t="shared" si="14"/>
        <v/>
      </c>
      <c r="FR8" s="23" t="str">
        <f t="shared" si="14"/>
        <v/>
      </c>
      <c r="FS8" s="23" t="str">
        <f t="shared" si="14"/>
        <v/>
      </c>
      <c r="FT8" s="23" t="str">
        <f t="shared" si="14"/>
        <v/>
      </c>
      <c r="FU8" s="23" t="str">
        <f t="shared" si="14"/>
        <v/>
      </c>
      <c r="FV8" s="23" t="str">
        <f t="shared" si="14"/>
        <v/>
      </c>
      <c r="FW8" s="23" t="str">
        <f t="shared" si="14"/>
        <v/>
      </c>
      <c r="FX8" s="23" t="str">
        <f t="shared" si="14"/>
        <v/>
      </c>
      <c r="FY8" s="23" t="str">
        <f t="shared" si="14"/>
        <v/>
      </c>
      <c r="FZ8" s="23" t="str">
        <f t="shared" si="14"/>
        <v/>
      </c>
      <c r="GA8" s="23" t="str">
        <f t="shared" si="14"/>
        <v/>
      </c>
      <c r="GB8" s="23" t="str">
        <f t="shared" si="14"/>
        <v/>
      </c>
      <c r="GC8" s="23" t="str">
        <f t="shared" si="14"/>
        <v/>
      </c>
      <c r="GD8" s="23" t="str">
        <f t="shared" si="14"/>
        <v/>
      </c>
      <c r="GE8" s="23" t="str">
        <f t="shared" si="14"/>
        <v/>
      </c>
      <c r="GF8" s="23" t="str">
        <f t="shared" si="14"/>
        <v/>
      </c>
      <c r="GG8" s="23" t="str">
        <f t="shared" si="14"/>
        <v/>
      </c>
      <c r="GH8" s="23" t="str">
        <f t="shared" si="14"/>
        <v/>
      </c>
      <c r="GI8" s="23" t="str">
        <f t="shared" si="14"/>
        <v/>
      </c>
      <c r="GJ8" s="23" t="str">
        <f t="shared" si="14"/>
        <v/>
      </c>
      <c r="GK8" s="23" t="str">
        <f t="shared" si="14"/>
        <v/>
      </c>
      <c r="GL8" s="23" t="str">
        <f t="shared" si="14"/>
        <v/>
      </c>
      <c r="GM8" s="23" t="str">
        <f t="shared" si="14"/>
        <v/>
      </c>
      <c r="GN8" s="23" t="str">
        <f t="shared" si="14"/>
        <v/>
      </c>
      <c r="GO8" s="23" t="str">
        <f t="shared" si="14"/>
        <v/>
      </c>
      <c r="GP8" s="23" t="str">
        <f t="shared" si="14"/>
        <v/>
      </c>
      <c r="GQ8" s="23" t="str">
        <f t="shared" si="14"/>
        <v/>
      </c>
      <c r="GR8" s="23" t="str">
        <f t="shared" si="14"/>
        <v/>
      </c>
      <c r="GS8" s="23" t="str">
        <f t="shared" si="14"/>
        <v/>
      </c>
      <c r="GT8" s="23" t="str">
        <f t="shared" si="14"/>
        <v/>
      </c>
      <c r="GU8" s="23" t="str">
        <f t="shared" si="14"/>
        <v/>
      </c>
      <c r="GV8" s="23" t="str">
        <f t="shared" si="14"/>
        <v/>
      </c>
      <c r="GW8" s="23" t="str">
        <f t="shared" si="14"/>
        <v/>
      </c>
      <c r="GX8" s="23" t="str">
        <f t="shared" si="14"/>
        <v/>
      </c>
      <c r="GY8" s="23" t="str">
        <f t="shared" si="14"/>
        <v/>
      </c>
      <c r="GZ8" s="23" t="str">
        <f t="shared" si="14"/>
        <v/>
      </c>
      <c r="HA8" s="23" t="str">
        <f t="shared" si="14"/>
        <v/>
      </c>
      <c r="HB8" s="23" t="str">
        <f t="shared" si="14"/>
        <v/>
      </c>
      <c r="HC8" s="23" t="str">
        <f t="shared" si="14"/>
        <v/>
      </c>
      <c r="HD8" s="23" t="str">
        <f t="shared" si="14"/>
        <v/>
      </c>
      <c r="HE8" s="23" t="str">
        <f t="shared" si="14"/>
        <v/>
      </c>
      <c r="HF8" s="23" t="str">
        <f t="shared" si="14"/>
        <v/>
      </c>
      <c r="HG8" s="23" t="str">
        <f t="shared" si="14"/>
        <v/>
      </c>
      <c r="HH8" s="23" t="str">
        <f t="shared" si="14"/>
        <v/>
      </c>
      <c r="HI8" s="23" t="str">
        <f t="shared" si="14"/>
        <v/>
      </c>
      <c r="HJ8" s="23" t="str">
        <f t="shared" si="14"/>
        <v/>
      </c>
      <c r="HK8" s="23" t="str">
        <f t="shared" si="14"/>
        <v/>
      </c>
      <c r="HL8" s="23" t="str">
        <f t="shared" si="14"/>
        <v/>
      </c>
      <c r="HM8" s="23" t="str">
        <f t="shared" si="14"/>
        <v/>
      </c>
    </row>
    <row r="9" spans="1:221">
      <c r="A9" s="21" t="s">
        <v>29</v>
      </c>
      <c r="B9" s="24">
        <f>IF(B2="","",B2-Base!$G$6)</f>
        <v>10.386399999999988</v>
      </c>
      <c r="C9" s="24">
        <f>IF(C2="","",C2-Base!$G$6)</f>
        <v>10.286399999999993</v>
      </c>
      <c r="D9" s="24">
        <f>IF(D2="","",D2-Base!$G$6)</f>
        <v>10.486399999999996</v>
      </c>
      <c r="E9" s="24">
        <f>IF(E2="","",E2-Base!$G$6)</f>
        <v>10.08639999999999</v>
      </c>
      <c r="F9" s="24">
        <f>IF(F2="","",F2-Base!$G$6)</f>
        <v>9.3863999999999876</v>
      </c>
      <c r="G9" s="24">
        <f>IF(G2="","",G2-Base!$G$6)</f>
        <v>9.1863999999999848</v>
      </c>
      <c r="H9" s="24">
        <f>IF(H2="","",H2-Base!$G$6)</f>
        <v>8.7863999999999933</v>
      </c>
      <c r="I9" s="24">
        <f>IF(I2="","",I2-Base!$G$6)</f>
        <v>8.9863999999999962</v>
      </c>
      <c r="J9" s="24">
        <f>IF(J2="","",J2-Base!$G$6)</f>
        <v>8.2863999999999933</v>
      </c>
      <c r="K9" s="24">
        <f>IF(K2="","",K2-Base!$G$6)</f>
        <v>8.1863999999999848</v>
      </c>
      <c r="L9" s="24">
        <f>IF(L2="","",L2-Base!$G$6)</f>
        <v>8.7863999999999933</v>
      </c>
      <c r="M9" s="24">
        <f>IF(M2="","",M2-Base!$G$6)</f>
        <v>8.6863999999999848</v>
      </c>
      <c r="N9" s="24">
        <f>IF(N2="","",N2-Base!$G$6)</f>
        <v>9.0863999999999905</v>
      </c>
      <c r="O9" s="24">
        <f>IF(O2="","",O2-Base!$G$6)</f>
        <v>11.08639999999999</v>
      </c>
      <c r="P9" s="24">
        <f>IF(P2="","",P2-Base!$G$6)</f>
        <v>10.486399999999996</v>
      </c>
      <c r="Q9" s="24">
        <f>IF(Q2="","",Q2-Base!$G$6)</f>
        <v>9.6863999999999848</v>
      </c>
      <c r="R9" s="24">
        <f>IF(R2="","",R2-Base!$G$6)</f>
        <v>9.7863999999999933</v>
      </c>
      <c r="S9" s="24">
        <f>IF(S2="","",S2-Base!$G$6)</f>
        <v>9.8863999999999876</v>
      </c>
      <c r="T9" s="24">
        <f>IF(T2="","",T2-Base!$G$6)</f>
        <v>9.2863999999999933</v>
      </c>
      <c r="U9" s="24">
        <f>IF(U2="","",U2-Base!$G$6)</f>
        <v>9.2863999999999933</v>
      </c>
      <c r="V9" s="24">
        <f>IF(V2="","",V2-Base!$G$6)</f>
        <v>9.2863999999999933</v>
      </c>
      <c r="W9" s="24">
        <f>IF(W2="","",W2-Base!$G$6)</f>
        <v>9.2863999999999933</v>
      </c>
      <c r="X9" s="24">
        <f>IF(X2="","",X2-Base!$G$6)</f>
        <v>8.8863999999999876</v>
      </c>
      <c r="Y9" s="24">
        <f>IF(Y2="","",Y2-Base!$G$6)</f>
        <v>8.9863999999999962</v>
      </c>
      <c r="Z9" s="24">
        <f>IF(Z2="","",Z2-Base!$G$6)</f>
        <v>9.4863999999999962</v>
      </c>
      <c r="AA9" s="24">
        <f>IF(AA2="","",AA2-Base!$G$6)</f>
        <v>9.4863999999999962</v>
      </c>
      <c r="AB9" s="24">
        <f>IF(AB2="","",AB2-Base!$G$6)</f>
        <v>8.9863999999999962</v>
      </c>
      <c r="AC9" s="24">
        <f>IF(AC2="","",AC2-Base!$G$6)</f>
        <v>10.186399999999985</v>
      </c>
      <c r="AD9" s="24">
        <f>IF(AD2="","",AD2-Base!$G$6)</f>
        <v>9.9863999999999962</v>
      </c>
      <c r="AE9" s="24">
        <f>IF(AE2="","",AE2-Base!$G$6)</f>
        <v>9.5863999999999905</v>
      </c>
      <c r="AF9" s="24">
        <f>IF(AF2="","",AF2-Base!$G$6)</f>
        <v>9.1863999999999848</v>
      </c>
      <c r="AG9" s="24">
        <f>IF(AG2="","",AG2-Base!$G$6)</f>
        <v>8.4863999999999962</v>
      </c>
      <c r="AH9" s="24">
        <f>IF(AH2="","",AH2-Base!$G$6)</f>
        <v>8.3863999999999876</v>
      </c>
      <c r="AI9" s="24">
        <f>IF(AI2="","",AI2-Base!$G$6)</f>
        <v>8.3863999999999876</v>
      </c>
      <c r="AJ9" s="24">
        <f>IF(AJ2="","",AJ2-Base!$G$6)</f>
        <v>8.5863999999999905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'06'!D16</f>
        <v>69.28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21">
      <c r="B13" s="32">
        <f>B$1</f>
        <v>44011</v>
      </c>
      <c r="C13" s="32">
        <f>H$1</f>
        <v>44017</v>
      </c>
      <c r="D13" s="33">
        <f>ROUNDDOWN(AVERAGE(B2:H2),2)</f>
        <v>69.709999999999994</v>
      </c>
      <c r="E13" s="17">
        <f>I11-D13</f>
        <v>-0.42999999999999261</v>
      </c>
      <c r="F13" s="17">
        <f>SUM(B5:H5)</f>
        <v>1895</v>
      </c>
      <c r="G13" s="17">
        <f>F13/7700</f>
        <v>0.2461038961038961</v>
      </c>
      <c r="H13" s="17">
        <f>(G13-E13)*7700</f>
        <v>5205.9999999999436</v>
      </c>
      <c r="I13" s="17">
        <f>SUM(B3:H3)</f>
        <v>2649</v>
      </c>
      <c r="J13" s="17">
        <f>SUM(B4:H4)</f>
        <v>9154</v>
      </c>
      <c r="K13" s="17">
        <f>J13/7</f>
        <v>1307.7142857142858</v>
      </c>
      <c r="M13" s="17">
        <f>SUM(B5:F5)</f>
        <v>1559</v>
      </c>
      <c r="N13" s="17">
        <f>G5+H5</f>
        <v>336</v>
      </c>
    </row>
    <row r="14" spans="1:221">
      <c r="B14" s="32">
        <f t="shared" ref="B14:C17" si="15">B13+7</f>
        <v>44018</v>
      </c>
      <c r="C14" s="32">
        <f t="shared" si="15"/>
        <v>44024</v>
      </c>
      <c r="D14" s="33">
        <f>ROUNDDOWN(AVERAGE(I2:O2),2)</f>
        <v>68.92</v>
      </c>
      <c r="E14" s="17">
        <f>D13-D14</f>
        <v>0.78999999999999204</v>
      </c>
      <c r="F14" s="17">
        <f>SUM($I$5:$O$5)</f>
        <v>278</v>
      </c>
      <c r="G14" s="17">
        <f>F14/7700</f>
        <v>3.6103896103896103E-2</v>
      </c>
      <c r="H14" s="17">
        <f>(G14-E14)*7700</f>
        <v>-5804.9999999999391</v>
      </c>
      <c r="I14" s="17">
        <f>SUM($I$3:$O$3)</f>
        <v>2441</v>
      </c>
      <c r="J14" s="17">
        <f>SUM($I$4:$O$4)</f>
        <v>10563</v>
      </c>
      <c r="K14" s="17">
        <f>J14/7</f>
        <v>1509</v>
      </c>
      <c r="M14" s="17">
        <f>SUM(I5:M5)</f>
        <v>758</v>
      </c>
      <c r="N14" s="17">
        <f>N5+O5</f>
        <v>-480</v>
      </c>
    </row>
    <row r="15" spans="1:221">
      <c r="B15" s="32">
        <f t="shared" si="15"/>
        <v>44025</v>
      </c>
      <c r="C15" s="32">
        <f t="shared" si="15"/>
        <v>44031</v>
      </c>
      <c r="D15" s="33">
        <f>ROUNDDOWN(AVERAGE(P2:V2),2)</f>
        <v>69.58</v>
      </c>
      <c r="E15" s="17">
        <f>D14-D15</f>
        <v>-0.65999999999999659</v>
      </c>
      <c r="F15" s="17">
        <f>SUM($P$5:$V$5)</f>
        <v>2856</v>
      </c>
      <c r="G15" s="17">
        <f>F15/7700</f>
        <v>0.37090909090909091</v>
      </c>
      <c r="H15" s="17">
        <f>(G15-E15)*7700</f>
        <v>7937.9999999999736</v>
      </c>
      <c r="I15" s="17">
        <f>SUM($P$3:$V$3)</f>
        <v>3381</v>
      </c>
      <c r="J15" s="17">
        <f>SUM($P$4:$V$4)</f>
        <v>8925</v>
      </c>
      <c r="K15" s="17">
        <f>J15/7</f>
        <v>1275</v>
      </c>
      <c r="M15" s="17">
        <f>SUM(P5:T5)</f>
        <v>2147</v>
      </c>
      <c r="N15" s="17">
        <f>U5+V5</f>
        <v>709</v>
      </c>
    </row>
    <row r="16" spans="1:221">
      <c r="B16" s="32">
        <f t="shared" si="15"/>
        <v>44032</v>
      </c>
      <c r="C16" s="32">
        <f t="shared" si="15"/>
        <v>44038</v>
      </c>
      <c r="D16" s="33">
        <f>ROUNDDOWN(AVERAGE(W2:AC2),2)</f>
        <v>69.239999999999995</v>
      </c>
      <c r="E16" s="17">
        <f>D15-D16</f>
        <v>0.34000000000000341</v>
      </c>
      <c r="F16" s="17">
        <f>SUM($W$5:$AC$5)</f>
        <v>780</v>
      </c>
      <c r="G16" s="17">
        <f>F16/7700</f>
        <v>0.1012987012987013</v>
      </c>
      <c r="H16" s="17">
        <f>(G16-E16)*7700</f>
        <v>-1838.0000000000261</v>
      </c>
      <c r="I16" s="17">
        <f>SUM($W$3:$AC$3)</f>
        <v>2833</v>
      </c>
      <c r="J16" s="17">
        <f>SUM($W$4:$AC$4)</f>
        <v>10453</v>
      </c>
      <c r="K16" s="17">
        <f>J16/7</f>
        <v>1493.2857142857142</v>
      </c>
      <c r="M16" s="17">
        <f>SUM(W5:AA5)</f>
        <v>1452</v>
      </c>
      <c r="N16" s="17">
        <f>SUM(AB5:AC5)</f>
        <v>-672</v>
      </c>
    </row>
    <row r="17" spans="1:17">
      <c r="B17" s="32">
        <f>B16+7</f>
        <v>44039</v>
      </c>
      <c r="C17" s="32">
        <f t="shared" si="15"/>
        <v>44045</v>
      </c>
      <c r="D17" s="33">
        <f>ROUNDDOWN(AVERAGE(AD2:AJ2),2)</f>
        <v>68.849999999999994</v>
      </c>
      <c r="E17" s="17">
        <f>D16-D17</f>
        <v>0.39000000000000057</v>
      </c>
      <c r="F17" s="17">
        <f>SUM(AD5:AJ5)</f>
        <v>2371</v>
      </c>
      <c r="G17" s="17">
        <f>F17/7700</f>
        <v>0.30792207792207793</v>
      </c>
      <c r="H17" s="17">
        <f>(G17-E17)*7700</f>
        <v>-632.00000000000432</v>
      </c>
      <c r="I17" s="17">
        <f>SUM($W$3:$AC$3)</f>
        <v>2833</v>
      </c>
      <c r="J17" s="17">
        <f>SUM($AD$4:$AJ$4)</f>
        <v>9282</v>
      </c>
      <c r="K17" s="17">
        <f>J17/7</f>
        <v>1326</v>
      </c>
      <c r="M17" s="17">
        <f>SUM(AD5:AH5)</f>
        <v>1989</v>
      </c>
      <c r="N17" s="17">
        <f>SUM(AI5:AJ5)</f>
        <v>382</v>
      </c>
      <c r="Q17" s="17" t="s">
        <v>81</v>
      </c>
    </row>
    <row r="19" spans="1:17">
      <c r="A19" s="19" t="s">
        <v>26</v>
      </c>
      <c r="E19" s="17">
        <f t="shared" ref="E19:J19" si="16">SUM(E13:E18)</f>
        <v>0.43000000000000682</v>
      </c>
      <c r="F19" s="17">
        <f t="shared" si="16"/>
        <v>8180</v>
      </c>
      <c r="G19" s="17">
        <f t="shared" si="16"/>
        <v>1.0623376623376624</v>
      </c>
      <c r="H19" s="17">
        <f t="shared" si="16"/>
        <v>4868.9999999999472</v>
      </c>
      <c r="I19" s="17">
        <f t="shared" si="16"/>
        <v>14137</v>
      </c>
      <c r="J19" s="17">
        <f t="shared" si="16"/>
        <v>48377</v>
      </c>
      <c r="M19" s="17">
        <f t="shared" ref="M19:N19" si="17">SUM(M13:M18)</f>
        <v>7905</v>
      </c>
      <c r="N19" s="17">
        <f t="shared" si="17"/>
        <v>275</v>
      </c>
    </row>
    <row r="20" spans="1:17">
      <c r="A20" s="19" t="s">
        <v>46</v>
      </c>
      <c r="D20" s="17">
        <f>AVERAGE(D13:D17)</f>
        <v>69.259999999999991</v>
      </c>
      <c r="E20" s="17">
        <f>AVERAGE(E13:E17)</f>
        <v>8.6000000000001367E-2</v>
      </c>
      <c r="F20" s="17">
        <f>AVERAGE(F13:F17)</f>
        <v>1636</v>
      </c>
      <c r="G20" s="17">
        <f>AVERAGE(G13:G17)</f>
        <v>0.21246753246753247</v>
      </c>
      <c r="H20" s="17">
        <f>AVERAGE(H13:H17)/7</f>
        <v>139.11428571428422</v>
      </c>
      <c r="I20" s="17">
        <f>AVERAGE(I13:I17)/7</f>
        <v>403.91428571428571</v>
      </c>
      <c r="J20" s="17">
        <f>AVERAGE(J13:J17)/7</f>
        <v>1382.2</v>
      </c>
      <c r="L20" s="17">
        <f>J20-I20</f>
        <v>978.28571428571433</v>
      </c>
      <c r="M20" s="17">
        <f>AVERAGE(M13:M18)/5</f>
        <v>316.2</v>
      </c>
      <c r="N20" s="17">
        <f>AVERAGE(N13:N18)/2</f>
        <v>27.5</v>
      </c>
    </row>
    <row r="21" spans="1:17" ht="15">
      <c r="A21" s="30" t="s">
        <v>75</v>
      </c>
      <c r="D21" s="17">
        <f>MIN(B$2:AJ$2)</f>
        <v>68.099999999999994</v>
      </c>
      <c r="F21" s="17">
        <f>F20/7</f>
        <v>233.71428571428572</v>
      </c>
    </row>
    <row r="22" spans="1:17" ht="15">
      <c r="A22" s="30" t="s">
        <v>76</v>
      </c>
      <c r="D22" s="17">
        <f>MAX(B$2:AJ$2)</f>
        <v>71</v>
      </c>
    </row>
    <row r="23" spans="1:17">
      <c r="A23" s="19" t="s">
        <v>77</v>
      </c>
      <c r="D23" s="17">
        <f>AVERAGE(B$2:AJ$2)</f>
        <v>69.26571428571431</v>
      </c>
    </row>
  </sheetData>
  <phoneticPr fontId="15" type="noConversion"/>
  <conditionalFormatting sqref="B8:AC8 AK8:IV8">
    <cfRule type="cellIs" dxfId="5" priority="2" stopIfTrue="1" operator="equal">
      <formula>"N"</formula>
    </cfRule>
  </conditionalFormatting>
  <conditionalFormatting sqref="AD8:AJ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23"/>
  <sheetViews>
    <sheetView workbookViewId="0">
      <selection activeCell="I34" sqref="I3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7" style="17" customWidth="1"/>
    <col min="21" max="16384" width="7.125" style="17"/>
  </cols>
  <sheetData>
    <row r="1" spans="1:214">
      <c r="A1" s="14" t="s">
        <v>22</v>
      </c>
      <c r="B1" s="15">
        <v>44046</v>
      </c>
      <c r="C1" s="16">
        <v>44047</v>
      </c>
      <c r="D1" s="16">
        <v>44048</v>
      </c>
      <c r="E1" s="16">
        <v>44049</v>
      </c>
      <c r="F1" s="16">
        <v>44050</v>
      </c>
      <c r="G1" s="16">
        <v>44051</v>
      </c>
      <c r="H1" s="16">
        <v>44052</v>
      </c>
      <c r="I1" s="15">
        <v>44053</v>
      </c>
      <c r="J1" s="16">
        <v>44054</v>
      </c>
      <c r="K1" s="16">
        <v>44055</v>
      </c>
      <c r="L1" s="16">
        <v>44056</v>
      </c>
      <c r="M1" s="16">
        <v>44057</v>
      </c>
      <c r="N1" s="16">
        <v>44058</v>
      </c>
      <c r="O1" s="16">
        <v>44059</v>
      </c>
      <c r="P1" s="15">
        <v>44060</v>
      </c>
      <c r="Q1" s="16">
        <v>44061</v>
      </c>
      <c r="R1" s="16">
        <v>44062</v>
      </c>
      <c r="S1" s="16">
        <v>44063</v>
      </c>
      <c r="T1" s="16">
        <v>44064</v>
      </c>
      <c r="U1" s="16">
        <v>44065</v>
      </c>
      <c r="V1" s="16">
        <v>44066</v>
      </c>
      <c r="W1" s="15">
        <v>44067</v>
      </c>
      <c r="X1" s="16">
        <v>44068</v>
      </c>
      <c r="Y1" s="16">
        <v>44069</v>
      </c>
      <c r="Z1" s="16">
        <v>44070</v>
      </c>
      <c r="AA1" s="16">
        <v>44071</v>
      </c>
      <c r="AB1" s="16">
        <v>44072</v>
      </c>
      <c r="AC1" s="16">
        <v>44073</v>
      </c>
    </row>
    <row r="2" spans="1:214">
      <c r="A2" s="14" t="s">
        <v>27</v>
      </c>
      <c r="B2" s="18">
        <v>68.400000000000006</v>
      </c>
      <c r="C2" s="18">
        <v>68.400000000000006</v>
      </c>
      <c r="D2" s="18">
        <v>68.5</v>
      </c>
      <c r="E2" s="18">
        <v>68</v>
      </c>
      <c r="F2" s="18">
        <v>68</v>
      </c>
      <c r="G2" s="18">
        <v>67.900000000000006</v>
      </c>
      <c r="H2" s="18">
        <v>67.900000000000006</v>
      </c>
      <c r="I2" s="18">
        <v>68.900000000000006</v>
      </c>
      <c r="J2" s="18">
        <v>68.5</v>
      </c>
      <c r="K2" s="18">
        <v>68.3</v>
      </c>
      <c r="L2" s="18">
        <v>67.8</v>
      </c>
      <c r="M2" s="18">
        <v>67.5</v>
      </c>
      <c r="N2" s="18">
        <v>67</v>
      </c>
      <c r="O2" s="18">
        <v>67.400000000000006</v>
      </c>
      <c r="P2" s="18">
        <v>68.3</v>
      </c>
      <c r="Q2" s="18">
        <v>68.2</v>
      </c>
      <c r="R2" s="18">
        <v>67.5</v>
      </c>
      <c r="S2" s="18">
        <v>67.2</v>
      </c>
      <c r="T2" s="18">
        <v>67.400000000000006</v>
      </c>
      <c r="U2" s="18">
        <v>67.2</v>
      </c>
      <c r="V2" s="18">
        <v>67.400000000000006</v>
      </c>
      <c r="W2" s="18">
        <v>68.2</v>
      </c>
      <c r="X2" s="18">
        <v>68.3</v>
      </c>
      <c r="Y2" s="18">
        <v>67.599999999999994</v>
      </c>
      <c r="Z2" s="18">
        <v>67.900000000000006</v>
      </c>
      <c r="AA2" s="18">
        <v>68.099999999999994</v>
      </c>
      <c r="AB2" s="18">
        <v>67.400000000000006</v>
      </c>
      <c r="AC2" s="18">
        <v>66.900000000000006</v>
      </c>
    </row>
    <row r="3" spans="1:214">
      <c r="A3" s="19" t="s">
        <v>32</v>
      </c>
      <c r="B3" s="17">
        <v>360</v>
      </c>
      <c r="C3" s="17">
        <v>446</v>
      </c>
      <c r="D3" s="17">
        <v>278</v>
      </c>
      <c r="E3" s="17">
        <v>421</v>
      </c>
      <c r="F3" s="17">
        <v>308</v>
      </c>
      <c r="G3" s="17">
        <v>607</v>
      </c>
      <c r="H3" s="17">
        <v>459</v>
      </c>
      <c r="I3" s="17">
        <v>278</v>
      </c>
      <c r="J3" s="17">
        <v>433</v>
      </c>
      <c r="K3" s="17">
        <v>312</v>
      </c>
      <c r="L3" s="17">
        <v>467</v>
      </c>
      <c r="M3" s="17">
        <v>285</v>
      </c>
      <c r="N3" s="17">
        <v>666</v>
      </c>
      <c r="O3" s="17">
        <v>521</v>
      </c>
      <c r="P3" s="17">
        <v>295</v>
      </c>
      <c r="Q3" s="17">
        <v>292</v>
      </c>
      <c r="R3" s="17">
        <v>401</v>
      </c>
      <c r="S3" s="17">
        <v>303</v>
      </c>
      <c r="T3" s="17">
        <v>307</v>
      </c>
      <c r="U3" s="17">
        <v>602</v>
      </c>
      <c r="V3" s="17">
        <v>597</v>
      </c>
      <c r="W3" s="17">
        <v>294</v>
      </c>
      <c r="X3" s="17">
        <v>307</v>
      </c>
      <c r="Y3" s="17">
        <v>250</v>
      </c>
      <c r="Z3" s="17">
        <v>410</v>
      </c>
      <c r="AA3" s="17">
        <v>265</v>
      </c>
      <c r="AB3" s="17">
        <v>724</v>
      </c>
      <c r="AC3" s="17">
        <v>849</v>
      </c>
    </row>
    <row r="4" spans="1:214">
      <c r="A4" s="19" t="s">
        <v>31</v>
      </c>
      <c r="B4" s="17">
        <v>1140</v>
      </c>
      <c r="C4" s="17">
        <v>1446</v>
      </c>
      <c r="D4" s="17">
        <v>1244</v>
      </c>
      <c r="E4" s="17">
        <v>1280</v>
      </c>
      <c r="F4" s="17">
        <v>1284</v>
      </c>
      <c r="G4" s="17">
        <v>1717</v>
      </c>
      <c r="H4" s="17">
        <v>1963</v>
      </c>
      <c r="I4" s="17">
        <v>1185</v>
      </c>
      <c r="J4" s="17">
        <v>1244</v>
      </c>
      <c r="K4" s="17">
        <v>1044</v>
      </c>
      <c r="L4" s="17">
        <v>965</v>
      </c>
      <c r="M4" s="17">
        <v>1123</v>
      </c>
      <c r="N4" s="17">
        <v>2421</v>
      </c>
      <c r="O4" s="17">
        <v>1764</v>
      </c>
      <c r="P4" s="17">
        <v>1120</v>
      </c>
      <c r="Q4" s="17">
        <v>1250</v>
      </c>
      <c r="R4" s="17">
        <v>1387</v>
      </c>
      <c r="S4" s="17">
        <v>1262</v>
      </c>
      <c r="T4" s="17">
        <v>1106</v>
      </c>
      <c r="U4" s="17">
        <v>2224</v>
      </c>
      <c r="V4" s="17">
        <v>1725</v>
      </c>
      <c r="W4" s="17">
        <v>2036</v>
      </c>
      <c r="X4" s="17">
        <v>1056</v>
      </c>
      <c r="Y4" s="17">
        <v>1361</v>
      </c>
      <c r="Z4" s="17">
        <v>1639</v>
      </c>
      <c r="AA4" s="17">
        <v>1144</v>
      </c>
      <c r="AB4" s="17">
        <v>1353</v>
      </c>
      <c r="AC4" s="17">
        <v>1873</v>
      </c>
    </row>
    <row r="5" spans="1:214">
      <c r="A5" s="19" t="s">
        <v>33</v>
      </c>
      <c r="B5" s="17">
        <f>$B$11+B3-B4-$F$11</f>
        <v>420</v>
      </c>
      <c r="C5" s="17">
        <f t="shared" ref="C5:AC5" si="0">$B$11+C3-C4-$F$11</f>
        <v>200</v>
      </c>
      <c r="D5" s="17">
        <f t="shared" si="0"/>
        <v>234</v>
      </c>
      <c r="E5" s="17">
        <f t="shared" si="0"/>
        <v>341</v>
      </c>
      <c r="F5" s="17">
        <f t="shared" si="0"/>
        <v>224</v>
      </c>
      <c r="G5" s="17">
        <f t="shared" si="0"/>
        <v>90</v>
      </c>
      <c r="H5" s="17">
        <f t="shared" si="0"/>
        <v>-304</v>
      </c>
      <c r="I5" s="17">
        <f t="shared" si="0"/>
        <v>293</v>
      </c>
      <c r="J5" s="17">
        <f t="shared" si="0"/>
        <v>389</v>
      </c>
      <c r="K5" s="17">
        <f t="shared" si="0"/>
        <v>468</v>
      </c>
      <c r="L5" s="17">
        <f t="shared" si="0"/>
        <v>702</v>
      </c>
      <c r="M5" s="17">
        <f t="shared" si="0"/>
        <v>362</v>
      </c>
      <c r="N5" s="17">
        <f t="shared" si="0"/>
        <v>-555</v>
      </c>
      <c r="O5" s="17">
        <f t="shared" si="0"/>
        <v>-43</v>
      </c>
      <c r="P5" s="17">
        <f t="shared" si="0"/>
        <v>375</v>
      </c>
      <c r="Q5" s="17">
        <f t="shared" si="0"/>
        <v>242</v>
      </c>
      <c r="R5" s="17">
        <f t="shared" si="0"/>
        <v>214</v>
      </c>
      <c r="S5" s="17">
        <f t="shared" si="0"/>
        <v>241</v>
      </c>
      <c r="T5" s="17">
        <f t="shared" si="0"/>
        <v>401</v>
      </c>
      <c r="U5" s="17">
        <f t="shared" si="0"/>
        <v>-422</v>
      </c>
      <c r="V5" s="17">
        <f t="shared" si="0"/>
        <v>72</v>
      </c>
      <c r="W5" s="17">
        <f t="shared" si="0"/>
        <v>-542</v>
      </c>
      <c r="X5" s="17">
        <f t="shared" si="0"/>
        <v>451</v>
      </c>
      <c r="Y5" s="17">
        <f t="shared" si="0"/>
        <v>89</v>
      </c>
      <c r="Z5" s="17">
        <f t="shared" si="0"/>
        <v>-29</v>
      </c>
      <c r="AA5" s="17">
        <f t="shared" si="0"/>
        <v>321</v>
      </c>
      <c r="AB5" s="17">
        <f t="shared" si="0"/>
        <v>571</v>
      </c>
      <c r="AC5" s="17">
        <f t="shared" si="0"/>
        <v>176</v>
      </c>
    </row>
    <row r="6" spans="1:214" ht="8.4499999999999993" hidden="1" customHeight="1">
      <c r="A6" s="19" t="s">
        <v>36</v>
      </c>
      <c r="B6" s="20">
        <f>B5/7700</f>
        <v>5.4545454545454543E-2</v>
      </c>
      <c r="C6" s="20">
        <f t="shared" ref="C6:AC6" si="1">C5/7700</f>
        <v>2.5974025974025976E-2</v>
      </c>
      <c r="D6" s="20">
        <f t="shared" si="1"/>
        <v>3.038961038961039E-2</v>
      </c>
      <c r="E6" s="20">
        <f t="shared" si="1"/>
        <v>4.4285714285714282E-2</v>
      </c>
      <c r="F6" s="20">
        <f t="shared" si="1"/>
        <v>2.9090909090909091E-2</v>
      </c>
      <c r="G6" s="20">
        <f t="shared" si="1"/>
        <v>1.1688311688311689E-2</v>
      </c>
      <c r="H6" s="20">
        <f t="shared" si="1"/>
        <v>-3.9480519480519484E-2</v>
      </c>
      <c r="I6" s="20">
        <f t="shared" si="1"/>
        <v>3.8051948051948052E-2</v>
      </c>
      <c r="J6" s="20">
        <f t="shared" si="1"/>
        <v>5.051948051948052E-2</v>
      </c>
      <c r="K6" s="20">
        <f t="shared" si="1"/>
        <v>6.077922077922078E-2</v>
      </c>
      <c r="L6" s="20">
        <f t="shared" si="1"/>
        <v>9.1168831168831163E-2</v>
      </c>
      <c r="M6" s="20">
        <f t="shared" si="1"/>
        <v>4.7012987012987013E-2</v>
      </c>
      <c r="N6" s="20">
        <f t="shared" si="1"/>
        <v>-7.2077922077922074E-2</v>
      </c>
      <c r="O6" s="20">
        <f t="shared" si="1"/>
        <v>-5.5844155844155842E-3</v>
      </c>
      <c r="P6" s="20">
        <f t="shared" si="1"/>
        <v>4.8701298701298704E-2</v>
      </c>
      <c r="Q6" s="20">
        <f t="shared" si="1"/>
        <v>3.1428571428571431E-2</v>
      </c>
      <c r="R6" s="20">
        <f t="shared" si="1"/>
        <v>2.7792207792207792E-2</v>
      </c>
      <c r="S6" s="20">
        <f t="shared" si="1"/>
        <v>3.1298701298701298E-2</v>
      </c>
      <c r="T6" s="20">
        <f t="shared" si="1"/>
        <v>5.2077922077922077E-2</v>
      </c>
      <c r="U6" s="20">
        <f t="shared" si="1"/>
        <v>-5.4805194805194808E-2</v>
      </c>
      <c r="V6" s="20">
        <f t="shared" si="1"/>
        <v>9.3506493506493506E-3</v>
      </c>
      <c r="W6" s="20">
        <f t="shared" si="1"/>
        <v>-7.0389610389610391E-2</v>
      </c>
      <c r="X6" s="20">
        <f t="shared" si="1"/>
        <v>5.8571428571428573E-2</v>
      </c>
      <c r="Y6" s="20">
        <f t="shared" si="1"/>
        <v>1.1558441558441558E-2</v>
      </c>
      <c r="Z6" s="20">
        <f t="shared" si="1"/>
        <v>-3.7662337662337664E-3</v>
      </c>
      <c r="AA6" s="20">
        <f t="shared" si="1"/>
        <v>4.1688311688311691E-2</v>
      </c>
      <c r="AB6" s="20">
        <f t="shared" si="1"/>
        <v>7.4155844155844156E-2</v>
      </c>
      <c r="AC6" s="20">
        <f t="shared" si="1"/>
        <v>2.2857142857142857E-2</v>
      </c>
    </row>
    <row r="8" spans="1:214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=</v>
      </c>
      <c r="D8" s="22" t="str">
        <f t="shared" ref="D8:AB8" si="2">IF(D2=0,"",IF(D2-C2&gt;0,"N",IF(D2-C2=0,"=","Y")))</f>
        <v>N</v>
      </c>
      <c r="E8" s="22" t="str">
        <f t="shared" si="2"/>
        <v>Y</v>
      </c>
      <c r="F8" s="22" t="str">
        <f t="shared" si="2"/>
        <v>=</v>
      </c>
      <c r="G8" s="22" t="str">
        <f t="shared" si="2"/>
        <v>Y</v>
      </c>
      <c r="H8" s="22" t="str">
        <f t="shared" si="2"/>
        <v>=</v>
      </c>
      <c r="I8" s="22" t="str">
        <f t="shared" si="2"/>
        <v>N</v>
      </c>
      <c r="J8" s="22" t="str">
        <f t="shared" si="2"/>
        <v>Y</v>
      </c>
      <c r="K8" s="22" t="str">
        <f t="shared" si="2"/>
        <v>Y</v>
      </c>
      <c r="L8" s="22" t="str">
        <f t="shared" si="2"/>
        <v>Y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Y</v>
      </c>
      <c r="V8" s="22" t="str">
        <f t="shared" si="2"/>
        <v>N</v>
      </c>
      <c r="W8" s="22" t="str">
        <f t="shared" si="2"/>
        <v>N</v>
      </c>
      <c r="X8" s="22" t="str">
        <f t="shared" si="2"/>
        <v>N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Y</v>
      </c>
      <c r="AC8" s="22" t="str">
        <f t="shared" ref="AC8" si="3">IF(AC2=0,"",IF(AC2-AB2&gt;0,"N",IF(AC2-AB2=0,"=","Y")))</f>
        <v>Y</v>
      </c>
      <c r="AD8" s="23" t="str">
        <f>IF(AD2=0,"",IF(AD2-#REF!&gt;0,"減肥失敗",IF(AD2-#REF!=0,"體重不變","減肥成功")))</f>
        <v/>
      </c>
      <c r="AE8" s="23" t="str">
        <f t="shared" ref="AE8:CI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ref="CJ8:EU8" si="5">IF(CJ2=0,"",IF(CJ2-CI2&gt;0,"減肥失敗",IF(CJ2-CI2=0,"體重不變","減肥成功")))</f>
        <v/>
      </c>
      <c r="CK8" s="23" t="str">
        <f t="shared" si="5"/>
        <v/>
      </c>
      <c r="CL8" s="23" t="str">
        <f t="shared" si="5"/>
        <v/>
      </c>
      <c r="CM8" s="23" t="str">
        <f t="shared" si="5"/>
        <v/>
      </c>
      <c r="CN8" s="23" t="str">
        <f t="shared" si="5"/>
        <v/>
      </c>
      <c r="CO8" s="23" t="str">
        <f t="shared" si="5"/>
        <v/>
      </c>
      <c r="CP8" s="23" t="str">
        <f t="shared" si="5"/>
        <v/>
      </c>
      <c r="CQ8" s="23" t="str">
        <f t="shared" si="5"/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ref="EV8:HF8" si="6">IF(EV2=0,"",IF(EV2-EU2&gt;0,"減肥失敗",IF(EV2-EU2=0,"體重不變","減肥成功")))</f>
        <v/>
      </c>
      <c r="EW8" s="23" t="str">
        <f t="shared" si="6"/>
        <v/>
      </c>
      <c r="EX8" s="23" t="str">
        <f t="shared" si="6"/>
        <v/>
      </c>
      <c r="EY8" s="23" t="str">
        <f t="shared" si="6"/>
        <v/>
      </c>
      <c r="EZ8" s="23" t="str">
        <f t="shared" si="6"/>
        <v/>
      </c>
      <c r="FA8" s="23" t="str">
        <f t="shared" si="6"/>
        <v/>
      </c>
      <c r="FB8" s="23" t="str">
        <f t="shared" si="6"/>
        <v/>
      </c>
      <c r="FC8" s="23" t="str">
        <f t="shared" si="6"/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</row>
    <row r="9" spans="1:214">
      <c r="A9" s="21" t="s">
        <v>29</v>
      </c>
      <c r="B9" s="24">
        <f>IF(B2="","",B2-Base!$G$6)</f>
        <v>8.4863999999999962</v>
      </c>
      <c r="C9" s="24">
        <f>IF(C2="","",C2-Base!$G$6)</f>
        <v>8.4863999999999962</v>
      </c>
      <c r="D9" s="24">
        <f>IF(D2="","",D2-Base!$G$6)</f>
        <v>8.5863999999999905</v>
      </c>
      <c r="E9" s="24">
        <f>IF(E2="","",E2-Base!$G$6)</f>
        <v>8.0863999999999905</v>
      </c>
      <c r="F9" s="24">
        <f>IF(F2="","",F2-Base!$G$6)</f>
        <v>8.0863999999999905</v>
      </c>
      <c r="G9" s="24">
        <f>IF(G2="","",G2-Base!$G$6)</f>
        <v>7.9863999999999962</v>
      </c>
      <c r="H9" s="24">
        <f>IF(H2="","",H2-Base!$G$6)</f>
        <v>7.9863999999999962</v>
      </c>
      <c r="I9" s="24">
        <f>IF(I2="","",I2-Base!$G$6)</f>
        <v>8.9863999999999962</v>
      </c>
      <c r="J9" s="24">
        <f>IF(J2="","",J2-Base!$G$6)</f>
        <v>8.5863999999999905</v>
      </c>
      <c r="K9" s="24">
        <f>IF(K2="","",K2-Base!$G$6)</f>
        <v>8.3863999999999876</v>
      </c>
      <c r="L9" s="24">
        <f>IF(L2="","",L2-Base!$G$6)</f>
        <v>7.8863999999999876</v>
      </c>
      <c r="M9" s="24">
        <f>IF(M2="","",M2-Base!$G$6)</f>
        <v>7.5863999999999905</v>
      </c>
      <c r="N9" s="24">
        <f>IF(N2="","",N2-Base!$G$6)</f>
        <v>7.0863999999999905</v>
      </c>
      <c r="O9" s="24">
        <f>IF(O2="","",O2-Base!$G$6)</f>
        <v>7.4863999999999962</v>
      </c>
      <c r="P9" s="24">
        <f>IF(P2="","",P2-Base!$G$6)</f>
        <v>8.3863999999999876</v>
      </c>
      <c r="Q9" s="24">
        <f>IF(Q2="","",Q2-Base!$G$6)</f>
        <v>8.2863999999999933</v>
      </c>
      <c r="R9" s="24">
        <f>IF(R2="","",R2-Base!$G$6)</f>
        <v>7.5863999999999905</v>
      </c>
      <c r="S9" s="24">
        <f>IF(S2="","",S2-Base!$G$6)</f>
        <v>7.2863999999999933</v>
      </c>
      <c r="T9" s="24">
        <f>IF(T2="","",T2-Base!$G$6)</f>
        <v>7.4863999999999962</v>
      </c>
      <c r="U9" s="24">
        <f>IF(U2="","",U2-Base!$G$6)</f>
        <v>7.2863999999999933</v>
      </c>
      <c r="V9" s="24">
        <f>IF(V2="","",V2-Base!$G$6)</f>
        <v>7.4863999999999962</v>
      </c>
      <c r="W9" s="24">
        <f>IF(W2="","",W2-Base!$G$6)</f>
        <v>8.2863999999999933</v>
      </c>
      <c r="X9" s="24">
        <f>IF(X2="","",X2-Base!$G$6)</f>
        <v>8.3863999999999876</v>
      </c>
      <c r="Y9" s="24">
        <f>IF(Y2="","",Y2-Base!$G$6)</f>
        <v>7.6863999999999848</v>
      </c>
      <c r="Z9" s="24">
        <f>IF(Z2="","",Z2-Base!$G$6)</f>
        <v>7.9863999999999962</v>
      </c>
      <c r="AA9" s="24">
        <f>IF(AA2="","",AA2-Base!$G$6)</f>
        <v>8.1863999999999848</v>
      </c>
      <c r="AB9" s="24">
        <f>IF(AB2="","",AB2-Base!$G$6)</f>
        <v>7.4863999999999962</v>
      </c>
      <c r="AC9" s="24">
        <f>IF(AC2="","",AC2-Base!$G$6)</f>
        <v>6.9863999999999962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214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/>
    </row>
    <row r="11" spans="1:214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'07'!D17</f>
        <v>68.849999999999994</v>
      </c>
    </row>
    <row r="12" spans="1:214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14">
      <c r="B13" s="32">
        <f>B$1</f>
        <v>44046</v>
      </c>
      <c r="C13" s="32">
        <f>H$1</f>
        <v>44052</v>
      </c>
      <c r="D13" s="33">
        <f>ROUNDDOWN(AVERAGE(B2:H2),2)</f>
        <v>68.150000000000006</v>
      </c>
      <c r="E13" s="17">
        <f>I11-D13</f>
        <v>0.69999999999998863</v>
      </c>
      <c r="F13" s="17">
        <f>SUM(B5:H5)</f>
        <v>1205</v>
      </c>
      <c r="G13" s="17">
        <f>F13/7700</f>
        <v>0.15649350649350649</v>
      </c>
      <c r="H13" s="17">
        <f>(G13-E13)*7700</f>
        <v>-4184.9999999999127</v>
      </c>
      <c r="I13" s="17">
        <f>SUM(B3:H3)</f>
        <v>2879</v>
      </c>
      <c r="J13" s="17">
        <f>SUM(B4:H4)</f>
        <v>10074</v>
      </c>
      <c r="K13" s="17">
        <f>J13/7</f>
        <v>1439.1428571428571</v>
      </c>
      <c r="M13" s="17">
        <f>SUM(B5:F5)</f>
        <v>1419</v>
      </c>
      <c r="N13" s="17">
        <f>G5+H5</f>
        <v>-214</v>
      </c>
    </row>
    <row r="14" spans="1:214">
      <c r="B14" s="32">
        <f t="shared" ref="B14:C16" si="7">B13+7</f>
        <v>44053</v>
      </c>
      <c r="C14" s="32">
        <f t="shared" si="7"/>
        <v>44059</v>
      </c>
      <c r="D14" s="33">
        <f>ROUNDDOWN(AVERAGE(I2:O2),2)</f>
        <v>67.91</v>
      </c>
      <c r="E14" s="17">
        <f>D13-D14</f>
        <v>0.24000000000000909</v>
      </c>
      <c r="F14" s="17">
        <f>SUM($I$5:$O$5)</f>
        <v>1616</v>
      </c>
      <c r="G14" s="17">
        <f>F14/7700</f>
        <v>0.20987012987012987</v>
      </c>
      <c r="H14" s="17">
        <f>(G14-E14)*7700</f>
        <v>-232.00000000007</v>
      </c>
      <c r="I14" s="17">
        <f>SUM($I$3:$O$3)</f>
        <v>2962</v>
      </c>
      <c r="J14" s="17">
        <f>SUM($I$4:$O$4)</f>
        <v>9746</v>
      </c>
      <c r="K14" s="17">
        <f>J14/7</f>
        <v>1392.2857142857142</v>
      </c>
      <c r="M14" s="17">
        <f>SUM(I5:M5)</f>
        <v>2214</v>
      </c>
      <c r="N14" s="17">
        <f>N5+O5</f>
        <v>-598</v>
      </c>
    </row>
    <row r="15" spans="1:214">
      <c r="B15" s="32">
        <f t="shared" si="7"/>
        <v>44060</v>
      </c>
      <c r="C15" s="32">
        <f t="shared" si="7"/>
        <v>44066</v>
      </c>
      <c r="D15" s="33">
        <f>ROUNDDOWN(AVERAGE(P2:V2),2)</f>
        <v>67.599999999999994</v>
      </c>
      <c r="E15" s="17">
        <f>D14-D15</f>
        <v>0.31000000000000227</v>
      </c>
      <c r="F15" s="17">
        <f>SUM($P$5:$V$5)</f>
        <v>1123</v>
      </c>
      <c r="G15" s="17">
        <f>F15/7700</f>
        <v>0.14584415584415583</v>
      </c>
      <c r="H15" s="17">
        <f>(G15-E15)*7700</f>
        <v>-1264.0000000000175</v>
      </c>
      <c r="I15" s="17">
        <f>SUM($P$3:$V$3)</f>
        <v>2797</v>
      </c>
      <c r="J15" s="17">
        <f>SUM($P$4:$V$4)</f>
        <v>10074</v>
      </c>
      <c r="K15" s="17">
        <f>J15/7</f>
        <v>1439.1428571428571</v>
      </c>
      <c r="M15" s="17">
        <f>SUM(P5:T5)</f>
        <v>1473</v>
      </c>
      <c r="N15" s="17">
        <f>U5+V5</f>
        <v>-350</v>
      </c>
    </row>
    <row r="16" spans="1:214">
      <c r="B16" s="32">
        <f t="shared" si="7"/>
        <v>44067</v>
      </c>
      <c r="C16" s="32">
        <f t="shared" si="7"/>
        <v>44073</v>
      </c>
      <c r="D16" s="33">
        <f>ROUNDDOWN(AVERAGE(W2:AC2),2)</f>
        <v>67.77</v>
      </c>
      <c r="E16" s="17">
        <f>D15-D16</f>
        <v>-0.17000000000000171</v>
      </c>
      <c r="F16" s="17">
        <f>SUM($W$5:$AC$5)</f>
        <v>1037</v>
      </c>
      <c r="G16" s="17">
        <f>F16/7700</f>
        <v>0.13467532467532467</v>
      </c>
      <c r="H16" s="17">
        <f>(G16-E16)*7700</f>
        <v>2346.0000000000132</v>
      </c>
      <c r="I16" s="17">
        <f>SUM($W$3:$AC$3)</f>
        <v>3099</v>
      </c>
      <c r="J16" s="17">
        <f>SUM($W$4:$AC$4)</f>
        <v>10462</v>
      </c>
      <c r="K16" s="17">
        <f>J16/7</f>
        <v>1494.5714285714287</v>
      </c>
      <c r="M16" s="17">
        <f>SUM(W5:AA5)</f>
        <v>290</v>
      </c>
      <c r="N16" s="17">
        <f>SUM(AB5:AC5)</f>
        <v>747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8">SUM(E13:E18)</f>
        <v>1.0799999999999983</v>
      </c>
      <c r="F19" s="17">
        <f t="shared" si="8"/>
        <v>4981</v>
      </c>
      <c r="G19" s="17">
        <f t="shared" si="8"/>
        <v>0.64688311688311684</v>
      </c>
      <c r="H19" s="17">
        <f t="shared" si="8"/>
        <v>-3334.9999999999868</v>
      </c>
      <c r="I19" s="17">
        <f t="shared" si="8"/>
        <v>11737</v>
      </c>
      <c r="J19" s="17">
        <f t="shared" si="8"/>
        <v>40356</v>
      </c>
      <c r="M19" s="17">
        <f>SUM(M13:M18)</f>
        <v>5396</v>
      </c>
      <c r="N19" s="17">
        <f>SUM(N13:N18)</f>
        <v>-415</v>
      </c>
    </row>
    <row r="20" spans="1:14">
      <c r="A20" s="19" t="s">
        <v>46</v>
      </c>
      <c r="D20" s="17">
        <f>AVERAGE(D13:D16)</f>
        <v>67.857500000000002</v>
      </c>
      <c r="E20" s="17">
        <f t="shared" ref="E20:H20" si="9">AVERAGE(E13:E16)</f>
        <v>0.26999999999999957</v>
      </c>
      <c r="F20" s="17">
        <f t="shared" si="9"/>
        <v>1245.25</v>
      </c>
      <c r="G20" s="17">
        <f t="shared" si="9"/>
        <v>0.16172077922077921</v>
      </c>
      <c r="H20" s="17">
        <f t="shared" si="9"/>
        <v>-833.7499999999967</v>
      </c>
      <c r="I20" s="17">
        <f>AVERAGE(I13:I16)/7</f>
        <v>419.17857142857144</v>
      </c>
      <c r="J20" s="17">
        <f>AVERAGE(J13:J16)/7</f>
        <v>1441.2857142857142</v>
      </c>
      <c r="L20" s="17">
        <f>J20-I20</f>
        <v>1022.1071428571428</v>
      </c>
      <c r="M20" s="17">
        <f>AVERAGE(M13:M18)/5</f>
        <v>269.8</v>
      </c>
      <c r="N20" s="17">
        <f>AVERAGE(N13:N18)/2</f>
        <v>-51.875</v>
      </c>
    </row>
    <row r="21" spans="1:14" ht="15">
      <c r="A21" s="30" t="s">
        <v>75</v>
      </c>
      <c r="D21" s="17">
        <f>MIN(B$2:AJ$2)</f>
        <v>66.900000000000006</v>
      </c>
      <c r="F21" s="17">
        <f>F20/7</f>
        <v>177.89285714285714</v>
      </c>
    </row>
    <row r="22" spans="1:14" ht="15">
      <c r="A22" s="30" t="s">
        <v>76</v>
      </c>
      <c r="D22" s="17">
        <f>MAX(B$2:AJ$2)</f>
        <v>68.900000000000006</v>
      </c>
    </row>
    <row r="23" spans="1:14">
      <c r="A23" s="19" t="s">
        <v>77</v>
      </c>
      <c r="D23" s="17">
        <f>AVERAGE(B$2:AJ$2)</f>
        <v>67.860714285714295</v>
      </c>
    </row>
  </sheetData>
  <phoneticPr fontId="15" type="noConversion"/>
  <conditionalFormatting sqref="AC10 B8:IO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23"/>
  <sheetViews>
    <sheetView workbookViewId="0">
      <selection activeCell="I25" sqref="I25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8.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v>44074</v>
      </c>
      <c r="C1" s="16">
        <v>44075</v>
      </c>
      <c r="D1" s="16">
        <v>44076</v>
      </c>
      <c r="E1" s="16">
        <v>44077</v>
      </c>
      <c r="F1" s="16">
        <v>44078</v>
      </c>
      <c r="G1" s="16">
        <v>44079</v>
      </c>
      <c r="H1" s="16">
        <v>44080</v>
      </c>
      <c r="I1" s="15">
        <v>44081</v>
      </c>
      <c r="J1" s="16">
        <v>44082</v>
      </c>
      <c r="K1" s="16">
        <v>44083</v>
      </c>
      <c r="L1" s="16">
        <v>44084</v>
      </c>
      <c r="M1" s="16">
        <v>44085</v>
      </c>
      <c r="N1" s="16">
        <v>44086</v>
      </c>
      <c r="O1" s="16">
        <v>44087</v>
      </c>
      <c r="P1" s="15">
        <v>44088</v>
      </c>
      <c r="Q1" s="16">
        <v>44089</v>
      </c>
      <c r="R1" s="16">
        <v>44090</v>
      </c>
      <c r="S1" s="16">
        <v>44091</v>
      </c>
      <c r="T1" s="16">
        <v>44092</v>
      </c>
      <c r="U1" s="16">
        <v>44093</v>
      </c>
      <c r="V1" s="16">
        <v>44094</v>
      </c>
      <c r="W1" s="15">
        <v>44095</v>
      </c>
      <c r="X1" s="16">
        <v>44096</v>
      </c>
      <c r="Y1" s="16">
        <v>44097</v>
      </c>
      <c r="Z1" s="16">
        <v>44098</v>
      </c>
      <c r="AA1" s="16">
        <v>44099</v>
      </c>
      <c r="AB1" s="16">
        <v>44100</v>
      </c>
      <c r="AC1" s="16">
        <v>44101</v>
      </c>
    </row>
    <row r="2" spans="1:221">
      <c r="A2" s="14" t="s">
        <v>27</v>
      </c>
      <c r="B2" s="17">
        <v>67.900000000000006</v>
      </c>
      <c r="C2" s="17">
        <v>68.5</v>
      </c>
      <c r="D2" s="17">
        <v>68.400000000000006</v>
      </c>
      <c r="E2" s="17">
        <v>67.400000000000006</v>
      </c>
      <c r="F2" s="17">
        <v>67.099999999999994</v>
      </c>
      <c r="G2" s="17">
        <v>66.599999999999994</v>
      </c>
      <c r="H2" s="17">
        <v>66.400000000000006</v>
      </c>
      <c r="I2" s="17">
        <v>67.2</v>
      </c>
      <c r="J2" s="17">
        <v>66.599999999999994</v>
      </c>
      <c r="K2" s="17">
        <v>66.8</v>
      </c>
      <c r="L2" s="17">
        <v>67</v>
      </c>
      <c r="M2" s="17">
        <v>67.3</v>
      </c>
      <c r="N2" s="17">
        <v>66.2</v>
      </c>
      <c r="O2" s="17">
        <v>65.8</v>
      </c>
      <c r="P2" s="17">
        <v>66</v>
      </c>
      <c r="Q2" s="17">
        <v>66.400000000000006</v>
      </c>
      <c r="R2" s="17">
        <v>65.8</v>
      </c>
      <c r="S2" s="17">
        <v>66.5</v>
      </c>
      <c r="T2" s="17">
        <v>66.099999999999994</v>
      </c>
      <c r="U2" s="17">
        <v>65.400000000000006</v>
      </c>
      <c r="V2" s="17">
        <v>65.400000000000006</v>
      </c>
      <c r="W2" s="17">
        <v>66.3</v>
      </c>
      <c r="X2" s="17">
        <v>65.900000000000006</v>
      </c>
      <c r="Y2" s="17">
        <v>65.7</v>
      </c>
      <c r="Z2" s="17">
        <v>65.400000000000006</v>
      </c>
      <c r="AA2" s="17">
        <v>65.599999999999994</v>
      </c>
      <c r="AB2" s="17">
        <v>66.099999999999994</v>
      </c>
      <c r="AC2" s="17">
        <v>65.599999999999994</v>
      </c>
    </row>
    <row r="3" spans="1:221">
      <c r="A3" s="19" t="s">
        <v>32</v>
      </c>
      <c r="B3" s="17">
        <v>442</v>
      </c>
      <c r="C3" s="17">
        <v>348</v>
      </c>
      <c r="D3" s="17">
        <v>402</v>
      </c>
      <c r="E3" s="17">
        <v>450</v>
      </c>
      <c r="F3" s="17">
        <v>264</v>
      </c>
      <c r="G3" s="17">
        <v>279</v>
      </c>
      <c r="H3" s="17">
        <v>714</v>
      </c>
      <c r="I3" s="17">
        <v>288</v>
      </c>
      <c r="J3" s="17">
        <v>365</v>
      </c>
      <c r="K3" s="17">
        <v>471</v>
      </c>
      <c r="L3" s="17">
        <v>1012</v>
      </c>
      <c r="M3" s="17">
        <v>305</v>
      </c>
      <c r="N3" s="17">
        <v>689</v>
      </c>
      <c r="O3" s="17">
        <v>699</v>
      </c>
      <c r="P3" s="17">
        <v>517</v>
      </c>
      <c r="Q3" s="17">
        <v>276</v>
      </c>
      <c r="R3" s="17">
        <v>558</v>
      </c>
      <c r="S3" s="17">
        <v>648</v>
      </c>
      <c r="T3" s="17">
        <v>339</v>
      </c>
      <c r="U3" s="17">
        <v>972</v>
      </c>
      <c r="V3" s="17">
        <v>643</v>
      </c>
      <c r="W3" s="17">
        <v>427</v>
      </c>
      <c r="X3" s="17">
        <v>472</v>
      </c>
      <c r="Y3" s="17">
        <v>479</v>
      </c>
      <c r="Z3" s="17">
        <v>704</v>
      </c>
      <c r="AA3" s="17">
        <v>400</v>
      </c>
      <c r="AB3" s="17">
        <v>560</v>
      </c>
      <c r="AC3" s="17">
        <v>414</v>
      </c>
    </row>
    <row r="4" spans="1:221">
      <c r="A4" s="19" t="s">
        <v>31</v>
      </c>
      <c r="B4" s="17">
        <v>1580</v>
      </c>
      <c r="C4" s="17">
        <v>1406</v>
      </c>
      <c r="D4" s="17">
        <v>652</v>
      </c>
      <c r="E4" s="17">
        <v>1027</v>
      </c>
      <c r="F4" s="17">
        <v>1148</v>
      </c>
      <c r="G4" s="17">
        <v>1291</v>
      </c>
      <c r="H4" s="17">
        <v>2469</v>
      </c>
      <c r="I4" s="17">
        <v>1026</v>
      </c>
      <c r="J4" s="17">
        <v>1386</v>
      </c>
      <c r="K4" s="17">
        <v>1388</v>
      </c>
      <c r="L4" s="17">
        <v>1328</v>
      </c>
      <c r="M4" s="17">
        <v>1253</v>
      </c>
      <c r="N4" s="17">
        <v>1305</v>
      </c>
      <c r="O4" s="17">
        <v>1520</v>
      </c>
      <c r="P4" s="17">
        <v>1039</v>
      </c>
      <c r="Q4" s="17">
        <v>773</v>
      </c>
      <c r="R4" s="17">
        <v>1854</v>
      </c>
      <c r="S4" s="17">
        <v>686</v>
      </c>
      <c r="T4" s="17">
        <v>1122</v>
      </c>
      <c r="U4" s="17">
        <v>1374</v>
      </c>
      <c r="V4" s="17">
        <v>1512</v>
      </c>
      <c r="W4" s="17">
        <v>1051</v>
      </c>
      <c r="X4" s="17">
        <v>1029</v>
      </c>
      <c r="Y4" s="17">
        <v>1100</v>
      </c>
      <c r="Z4" s="17">
        <v>1149</v>
      </c>
      <c r="AA4" s="17">
        <v>1188</v>
      </c>
      <c r="AB4" s="17">
        <v>1188</v>
      </c>
      <c r="AC4" s="17">
        <v>1094</v>
      </c>
    </row>
    <row r="5" spans="1:221">
      <c r="A5" s="19" t="s">
        <v>33</v>
      </c>
      <c r="B5" s="17">
        <f>$B$11+B3-B4-$F$11</f>
        <v>62</v>
      </c>
      <c r="C5" s="17">
        <f>$B$11+C3-C4-$F$11</f>
        <v>142</v>
      </c>
      <c r="D5" s="17">
        <f t="shared" ref="D5:AC5" si="0">$B$11+D3-D4-$F$11</f>
        <v>950</v>
      </c>
      <c r="E5" s="17">
        <f t="shared" si="0"/>
        <v>623</v>
      </c>
      <c r="F5" s="17">
        <f t="shared" si="0"/>
        <v>316</v>
      </c>
      <c r="G5" s="17">
        <f t="shared" si="0"/>
        <v>188</v>
      </c>
      <c r="H5" s="17">
        <f t="shared" si="0"/>
        <v>-555</v>
      </c>
      <c r="I5" s="17">
        <f t="shared" si="0"/>
        <v>462</v>
      </c>
      <c r="J5" s="17">
        <f t="shared" si="0"/>
        <v>179</v>
      </c>
      <c r="K5" s="17">
        <f t="shared" si="0"/>
        <v>283</v>
      </c>
      <c r="L5" s="17">
        <f t="shared" si="0"/>
        <v>884</v>
      </c>
      <c r="M5" s="17">
        <f t="shared" si="0"/>
        <v>252</v>
      </c>
      <c r="N5" s="17">
        <f t="shared" si="0"/>
        <v>584</v>
      </c>
      <c r="O5" s="17">
        <f t="shared" si="0"/>
        <v>379</v>
      </c>
      <c r="P5" s="17">
        <f t="shared" si="0"/>
        <v>678</v>
      </c>
      <c r="Q5" s="17">
        <f t="shared" si="0"/>
        <v>703</v>
      </c>
      <c r="R5" s="17">
        <f t="shared" si="0"/>
        <v>-96</v>
      </c>
      <c r="S5" s="17">
        <f t="shared" si="0"/>
        <v>1162</v>
      </c>
      <c r="T5" s="17">
        <f t="shared" si="0"/>
        <v>417</v>
      </c>
      <c r="U5" s="17">
        <f t="shared" si="0"/>
        <v>798</v>
      </c>
      <c r="V5" s="17">
        <f t="shared" si="0"/>
        <v>331</v>
      </c>
      <c r="W5" s="17">
        <f t="shared" si="0"/>
        <v>576</v>
      </c>
      <c r="X5" s="17">
        <f t="shared" si="0"/>
        <v>643</v>
      </c>
      <c r="Y5" s="17">
        <f t="shared" si="0"/>
        <v>579</v>
      </c>
      <c r="Z5" s="17">
        <f t="shared" si="0"/>
        <v>755</v>
      </c>
      <c r="AA5" s="17">
        <f t="shared" si="0"/>
        <v>412</v>
      </c>
      <c r="AB5" s="17">
        <f t="shared" si="0"/>
        <v>572</v>
      </c>
      <c r="AC5" s="17">
        <f t="shared" si="0"/>
        <v>520</v>
      </c>
    </row>
    <row r="6" spans="1:221" hidden="1">
      <c r="A6" s="19" t="s">
        <v>36</v>
      </c>
      <c r="B6" s="20">
        <f>B5/7700</f>
        <v>8.0519480519480515E-3</v>
      </c>
      <c r="C6" s="20">
        <f t="shared" ref="C6:AC6" si="1">C5/7700</f>
        <v>1.8441558441558443E-2</v>
      </c>
      <c r="D6" s="20">
        <f t="shared" si="1"/>
        <v>0.12337662337662338</v>
      </c>
      <c r="E6" s="20">
        <f t="shared" si="1"/>
        <v>8.0909090909090903E-2</v>
      </c>
      <c r="F6" s="20">
        <f t="shared" si="1"/>
        <v>4.1038961038961042E-2</v>
      </c>
      <c r="G6" s="20">
        <f t="shared" si="1"/>
        <v>2.4415584415584415E-2</v>
      </c>
      <c r="H6" s="20">
        <f t="shared" si="1"/>
        <v>-7.2077922077922074E-2</v>
      </c>
      <c r="I6" s="20">
        <f t="shared" si="1"/>
        <v>0.06</v>
      </c>
      <c r="J6" s="20">
        <f t="shared" si="1"/>
        <v>2.3246753246753248E-2</v>
      </c>
      <c r="K6" s="20">
        <f t="shared" si="1"/>
        <v>3.6753246753246753E-2</v>
      </c>
      <c r="L6" s="20">
        <f t="shared" si="1"/>
        <v>0.1148051948051948</v>
      </c>
      <c r="M6" s="20">
        <f t="shared" si="1"/>
        <v>3.272727272727273E-2</v>
      </c>
      <c r="N6" s="20">
        <f t="shared" si="1"/>
        <v>7.5844155844155839E-2</v>
      </c>
      <c r="O6" s="20">
        <f t="shared" si="1"/>
        <v>4.9220779220779221E-2</v>
      </c>
      <c r="P6" s="20">
        <f t="shared" si="1"/>
        <v>8.8051948051948048E-2</v>
      </c>
      <c r="Q6" s="20">
        <f t="shared" si="1"/>
        <v>9.1298701298701296E-2</v>
      </c>
      <c r="R6" s="20">
        <f t="shared" si="1"/>
        <v>-1.2467532467532468E-2</v>
      </c>
      <c r="S6" s="20">
        <f t="shared" si="1"/>
        <v>0.15090909090909091</v>
      </c>
      <c r="T6" s="20">
        <f t="shared" si="1"/>
        <v>5.4155844155844159E-2</v>
      </c>
      <c r="U6" s="20">
        <f t="shared" si="1"/>
        <v>0.10363636363636364</v>
      </c>
      <c r="V6" s="20">
        <f t="shared" si="1"/>
        <v>4.298701298701299E-2</v>
      </c>
      <c r="W6" s="20">
        <f t="shared" si="1"/>
        <v>7.4805194805194805E-2</v>
      </c>
      <c r="X6" s="20">
        <f t="shared" si="1"/>
        <v>8.3506493506493501E-2</v>
      </c>
      <c r="Y6" s="20">
        <f t="shared" si="1"/>
        <v>7.5194805194805189E-2</v>
      </c>
      <c r="Z6" s="20">
        <f t="shared" si="1"/>
        <v>9.8051948051948057E-2</v>
      </c>
      <c r="AA6" s="20">
        <f t="shared" si="1"/>
        <v>5.3506493506493509E-2</v>
      </c>
      <c r="AB6" s="20">
        <f t="shared" si="1"/>
        <v>7.4285714285714288E-2</v>
      </c>
      <c r="AC6" s="20">
        <f t="shared" si="1"/>
        <v>6.7532467532467527E-2</v>
      </c>
    </row>
    <row r="8" spans="1:221" s="23" customFormat="1">
      <c r="A8" s="21" t="s">
        <v>28</v>
      </c>
      <c r="B8" s="22" t="str">
        <f>IF(C2=0,"",IF(C2-Base!B4&gt;0,"N",IF(C2=0,"O","Y")))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Y</v>
      </c>
      <c r="G8" s="22" t="str">
        <f t="shared" si="2"/>
        <v>Y</v>
      </c>
      <c r="H8" s="22" t="str">
        <f t="shared" si="2"/>
        <v>Y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N</v>
      </c>
      <c r="M8" s="22" t="str">
        <f t="shared" si="2"/>
        <v>N</v>
      </c>
      <c r="N8" s="22" t="str">
        <f t="shared" si="2"/>
        <v>Y</v>
      </c>
      <c r="O8" s="22" t="str">
        <f t="shared" si="2"/>
        <v>Y</v>
      </c>
      <c r="P8" s="22" t="str">
        <f t="shared" si="2"/>
        <v>N</v>
      </c>
      <c r="Q8" s="22" t="str">
        <f t="shared" si="2"/>
        <v>N</v>
      </c>
      <c r="R8" s="22" t="str">
        <f t="shared" si="2"/>
        <v>Y</v>
      </c>
      <c r="S8" s="22" t="str">
        <f t="shared" si="2"/>
        <v>N</v>
      </c>
      <c r="T8" s="22" t="str">
        <f t="shared" si="2"/>
        <v>Y</v>
      </c>
      <c r="U8" s="22" t="str">
        <f t="shared" si="2"/>
        <v>Y</v>
      </c>
      <c r="V8" s="22" t="str">
        <f t="shared" si="2"/>
        <v>=</v>
      </c>
      <c r="W8" s="22" t="str">
        <f t="shared" si="2"/>
        <v>N</v>
      </c>
      <c r="X8" s="22" t="str">
        <f t="shared" si="2"/>
        <v>Y</v>
      </c>
      <c r="Y8" s="22" t="str">
        <f t="shared" si="2"/>
        <v>Y</v>
      </c>
      <c r="Z8" s="22" t="str">
        <f t="shared" si="2"/>
        <v>Y</v>
      </c>
      <c r="AA8" s="22" t="str">
        <f t="shared" si="2"/>
        <v>N</v>
      </c>
      <c r="AB8" s="22" t="str">
        <f t="shared" si="2"/>
        <v>N</v>
      </c>
      <c r="AC8" s="22" t="str">
        <f t="shared" si="2"/>
        <v>Y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7.9863999999999962</v>
      </c>
      <c r="C9" s="24">
        <f>IF(C2="","",C2-Base!$G$6)</f>
        <v>8.5863999999999905</v>
      </c>
      <c r="D9" s="24">
        <f>IF(D2="","",D2-Base!$G$6)</f>
        <v>8.4863999999999962</v>
      </c>
      <c r="E9" s="24">
        <f>IF(E2="","",E2-Base!$G$6)</f>
        <v>7.4863999999999962</v>
      </c>
      <c r="F9" s="24">
        <f>IF(F2="","",F2-Base!$G$6)</f>
        <v>7.1863999999999848</v>
      </c>
      <c r="G9" s="24">
        <f>IF(G2="","",G2-Base!$G$6)</f>
        <v>6.6863999999999848</v>
      </c>
      <c r="H9" s="24">
        <f>IF(H2="","",H2-Base!$G$6)</f>
        <v>6.4863999999999962</v>
      </c>
      <c r="I9" s="24">
        <f>IF(I2="","",I2-Base!$G$6)</f>
        <v>7.2863999999999933</v>
      </c>
      <c r="J9" s="24">
        <f>IF(J2="","",J2-Base!$G$6)</f>
        <v>6.6863999999999848</v>
      </c>
      <c r="K9" s="24">
        <f>IF(K2="","",K2-Base!$G$6)</f>
        <v>6.8863999999999876</v>
      </c>
      <c r="L9" s="24">
        <f>IF(L2="","",L2-Base!$G$6)</f>
        <v>7.0863999999999905</v>
      </c>
      <c r="M9" s="24">
        <f>IF(M2="","",M2-Base!$G$6)</f>
        <v>7.3863999999999876</v>
      </c>
      <c r="N9" s="24">
        <f>IF(N2="","",N2-Base!$G$6)</f>
        <v>6.2863999999999933</v>
      </c>
      <c r="O9" s="24">
        <f>IF(O2="","",O2-Base!$G$6)</f>
        <v>5.8863999999999876</v>
      </c>
      <c r="P9" s="24">
        <f>IF(P2="","",P2-Base!$G$6)</f>
        <v>6.0863999999999905</v>
      </c>
      <c r="Q9" s="24">
        <f>IF(Q2="","",Q2-Base!$G$6)</f>
        <v>6.4863999999999962</v>
      </c>
      <c r="R9" s="24">
        <f>IF(R2="","",R2-Base!$G$6)</f>
        <v>5.8863999999999876</v>
      </c>
      <c r="S9" s="24">
        <f>IF(S2="","",S2-Base!$G$6)</f>
        <v>6.5863999999999905</v>
      </c>
      <c r="T9" s="24">
        <f>IF(T2="","",T2-Base!$G$6)</f>
        <v>6.1863999999999848</v>
      </c>
      <c r="U9" s="24">
        <f>IF(U2="","",U2-Base!$G$6)</f>
        <v>5.4863999999999962</v>
      </c>
      <c r="V9" s="24">
        <f>IF(V2="","",V2-Base!$G$6)</f>
        <v>5.4863999999999962</v>
      </c>
      <c r="W9" s="24">
        <f>IF(W2="","",W2-Base!$G$6)</f>
        <v>6.3863999999999876</v>
      </c>
      <c r="X9" s="24">
        <f>IF(X2="","",X2-Base!$G$6)</f>
        <v>5.9863999999999962</v>
      </c>
      <c r="Y9" s="24">
        <f>IF(Y2="","",Y2-Base!$G$6)</f>
        <v>5.7863999999999933</v>
      </c>
      <c r="Z9" s="24">
        <f>IF(Z2="","",Z2-Base!$G$6)</f>
        <v>5.4863999999999962</v>
      </c>
      <c r="AA9" s="24">
        <f>IF(AA2="","",AA2-Base!$G$6)</f>
        <v>5.6863999999999848</v>
      </c>
      <c r="AB9" s="24">
        <f>IF(AB2="","",AB2-Base!$G$6)</f>
        <v>6.1863999999999848</v>
      </c>
      <c r="AC9" s="24">
        <f>IF(AC2="","",AC2-Base!$G$6)</f>
        <v>5.6863999999999848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'08'!D16</f>
        <v>67.77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21">
      <c r="B13" s="32">
        <f>B$1</f>
        <v>44074</v>
      </c>
      <c r="C13" s="32">
        <f>H$1</f>
        <v>44080</v>
      </c>
      <c r="D13" s="33">
        <f>ROUNDDOWN(AVERAGE(C2:H2),2)</f>
        <v>67.400000000000006</v>
      </c>
      <c r="E13" s="17">
        <f>I11-D13</f>
        <v>0.36999999999999034</v>
      </c>
      <c r="F13" s="17">
        <f>SUM(B5:H5)</f>
        <v>1726</v>
      </c>
      <c r="G13" s="17">
        <f>F13/7700</f>
        <v>0.22415584415584416</v>
      </c>
      <c r="H13" s="17">
        <f>(G13-E13)*7700</f>
        <v>-1122.9999999999254</v>
      </c>
      <c r="I13" s="17">
        <f>SUM(B3:H3)</f>
        <v>2899</v>
      </c>
      <c r="J13" s="17">
        <f>SUM(B4:H4)</f>
        <v>9573</v>
      </c>
      <c r="K13" s="17">
        <f>J13/7</f>
        <v>1367.5714285714287</v>
      </c>
      <c r="M13" s="17">
        <f>SUM(B5:F5)</f>
        <v>2093</v>
      </c>
      <c r="N13" s="17">
        <f>G5+H5</f>
        <v>-367</v>
      </c>
      <c r="P13" s="17" t="s">
        <v>82</v>
      </c>
    </row>
    <row r="14" spans="1:221">
      <c r="B14" s="32">
        <f t="shared" ref="B14:C16" si="6">B13+7</f>
        <v>44081</v>
      </c>
      <c r="C14" s="32">
        <f t="shared" si="6"/>
        <v>44087</v>
      </c>
      <c r="D14" s="33">
        <f>ROUNDDOWN(AVERAGE(I2:O2),2)</f>
        <v>66.7</v>
      </c>
      <c r="E14" s="17">
        <f>D13-D14</f>
        <v>0.70000000000000284</v>
      </c>
      <c r="F14" s="17">
        <f>SUM($I$5:$O$5)</f>
        <v>3023</v>
      </c>
      <c r="G14" s="17">
        <f>F14/7700</f>
        <v>0.39259740259740261</v>
      </c>
      <c r="H14" s="17">
        <f>(G14-E14)*7700</f>
        <v>-2367.0000000000218</v>
      </c>
      <c r="I14" s="17">
        <f>SUM($I$3:$O$3)</f>
        <v>3829</v>
      </c>
      <c r="J14" s="17">
        <f>SUM($I$4:$O$4)</f>
        <v>9206</v>
      </c>
      <c r="K14" s="17">
        <f>J14/7</f>
        <v>1315.1428571428571</v>
      </c>
      <c r="M14" s="17">
        <f>SUM(I5:M5)</f>
        <v>2060</v>
      </c>
      <c r="N14" s="17">
        <f>N5+O5</f>
        <v>963</v>
      </c>
    </row>
    <row r="15" spans="1:221">
      <c r="B15" s="32">
        <f t="shared" si="6"/>
        <v>44088</v>
      </c>
      <c r="C15" s="32">
        <f t="shared" si="6"/>
        <v>44094</v>
      </c>
      <c r="D15" s="33">
        <f>ROUNDDOWN(AVERAGE(P2:V2),2)</f>
        <v>65.94</v>
      </c>
      <c r="E15" s="17">
        <f>D14-D15</f>
        <v>0.76000000000000512</v>
      </c>
      <c r="F15" s="17">
        <f>SUM($P$5:$V$5)</f>
        <v>3993</v>
      </c>
      <c r="G15" s="17">
        <f>F15/7700</f>
        <v>0.51857142857142857</v>
      </c>
      <c r="H15" s="17">
        <f>(G15-E15)*7700</f>
        <v>-1859.0000000000393</v>
      </c>
      <c r="I15" s="17">
        <f>SUM($P$3:$V$3)</f>
        <v>3953</v>
      </c>
      <c r="J15" s="17">
        <f>SUM($P$4:$V$4)</f>
        <v>8360</v>
      </c>
      <c r="K15" s="17">
        <f>J15/7</f>
        <v>1194.2857142857142</v>
      </c>
      <c r="M15" s="17">
        <f>SUM(P5:T5)</f>
        <v>2864</v>
      </c>
      <c r="N15" s="17">
        <f>U5+V5</f>
        <v>1129</v>
      </c>
    </row>
    <row r="16" spans="1:221">
      <c r="B16" s="32">
        <f t="shared" si="6"/>
        <v>44095</v>
      </c>
      <c r="C16" s="32">
        <f t="shared" si="6"/>
        <v>44101</v>
      </c>
      <c r="D16" s="33">
        <f>ROUNDDOWN(AVERAGE(W2:AC2),2)</f>
        <v>65.8</v>
      </c>
      <c r="E16" s="17">
        <f>D15-D16</f>
        <v>0.14000000000000057</v>
      </c>
      <c r="F16" s="17">
        <f>SUM($W$5:$AC$5)</f>
        <v>4057</v>
      </c>
      <c r="G16" s="17">
        <f>F16/7700</f>
        <v>0.52688311688311684</v>
      </c>
      <c r="H16" s="17">
        <f>(G16-E16)*7700</f>
        <v>2978.9999999999955</v>
      </c>
      <c r="I16" s="17">
        <f>SUM($W$3:$AC$3)</f>
        <v>3456</v>
      </c>
      <c r="J16" s="17">
        <f>SUM($W$4:$AC$4)</f>
        <v>7799</v>
      </c>
      <c r="K16" s="17">
        <f>J16/7</f>
        <v>1114.1428571428571</v>
      </c>
      <c r="M16" s="17">
        <f>SUM(W5:AA5)</f>
        <v>2965</v>
      </c>
      <c r="N16" s="17">
        <f>SUM(AB5:AC5)</f>
        <v>1092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7">SUM(E13:E18)</f>
        <v>1.9699999999999989</v>
      </c>
      <c r="F19" s="17">
        <f t="shared" si="7"/>
        <v>12799</v>
      </c>
      <c r="G19" s="17">
        <f t="shared" si="7"/>
        <v>1.6622077922077922</v>
      </c>
      <c r="H19" s="17">
        <f t="shared" si="7"/>
        <v>-2369.9999999999909</v>
      </c>
      <c r="I19" s="17">
        <f t="shared" si="7"/>
        <v>14137</v>
      </c>
      <c r="J19" s="17">
        <f t="shared" si="7"/>
        <v>34938</v>
      </c>
      <c r="M19" s="17">
        <f>SUM(M13:M18)</f>
        <v>9982</v>
      </c>
      <c r="N19" s="17">
        <f>SUM(N13:N18)</f>
        <v>2817</v>
      </c>
    </row>
    <row r="20" spans="1:14">
      <c r="A20" s="19" t="s">
        <v>46</v>
      </c>
      <c r="D20" s="17">
        <f>AVERAGE(D13:D16)</f>
        <v>66.460000000000008</v>
      </c>
      <c r="E20" s="17">
        <f>AVERAGE(E13:E16)</f>
        <v>0.49249999999999972</v>
      </c>
      <c r="F20" s="17">
        <f>AVERAGE(F13:F16)</f>
        <v>3199.75</v>
      </c>
      <c r="G20" s="17">
        <f>AVERAGE(G13:G16)</f>
        <v>0.41555194805194806</v>
      </c>
      <c r="H20" s="17">
        <f>AVERAGE(H13:H16)/7</f>
        <v>-84.642857142856812</v>
      </c>
      <c r="I20" s="17">
        <f>AVERAGE(I13:I16)/7</f>
        <v>504.89285714285717</v>
      </c>
      <c r="J20" s="17">
        <f>AVERAGE(J13:J16)/7</f>
        <v>1247.7857142857142</v>
      </c>
      <c r="L20" s="17">
        <f>J20-I20</f>
        <v>742.89285714285711</v>
      </c>
      <c r="M20" s="17">
        <f>AVERAGE(M13:M18)/5</f>
        <v>499.1</v>
      </c>
      <c r="N20" s="17">
        <f>AVERAGE(N13:N18)/2</f>
        <v>352.125</v>
      </c>
    </row>
    <row r="21" spans="1:14" ht="15">
      <c r="A21" s="30" t="s">
        <v>75</v>
      </c>
      <c r="D21" s="17">
        <f>MIN(B$2:AJ$2)</f>
        <v>65.400000000000006</v>
      </c>
      <c r="F21" s="17">
        <f>F20/7</f>
        <v>457.10714285714283</v>
      </c>
    </row>
    <row r="22" spans="1:14" ht="15">
      <c r="A22" s="30" t="s">
        <v>76</v>
      </c>
      <c r="D22" s="17">
        <f>MAX(B$2:AJ$2)</f>
        <v>68.5</v>
      </c>
    </row>
    <row r="23" spans="1:14">
      <c r="A23" s="19" t="s">
        <v>77</v>
      </c>
      <c r="D23" s="17">
        <f>AVERAGE(B$2:AJ$2)</f>
        <v>66.478571428571428</v>
      </c>
    </row>
  </sheetData>
  <phoneticPr fontId="15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3"/>
  <sheetViews>
    <sheetView workbookViewId="0">
      <selection activeCell="L20" sqref="L20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v>44102</v>
      </c>
      <c r="C1" s="16">
        <v>44103</v>
      </c>
      <c r="D1" s="16">
        <v>44104</v>
      </c>
      <c r="E1" s="16">
        <v>44105</v>
      </c>
      <c r="F1" s="16">
        <v>44106</v>
      </c>
      <c r="G1" s="16">
        <v>44107</v>
      </c>
      <c r="H1" s="16">
        <v>44108</v>
      </c>
      <c r="I1" s="15">
        <v>44109</v>
      </c>
      <c r="J1" s="16">
        <v>44110</v>
      </c>
      <c r="K1" s="16">
        <v>44111</v>
      </c>
      <c r="L1" s="16">
        <v>44112</v>
      </c>
      <c r="M1" s="16">
        <v>44113</v>
      </c>
      <c r="N1" s="16">
        <v>44114</v>
      </c>
      <c r="O1" s="16">
        <v>44115</v>
      </c>
      <c r="P1" s="15">
        <v>44116</v>
      </c>
      <c r="Q1" s="16">
        <v>44117</v>
      </c>
      <c r="R1" s="16">
        <v>44118</v>
      </c>
      <c r="S1" s="16">
        <v>44119</v>
      </c>
      <c r="T1" s="16">
        <v>44120</v>
      </c>
      <c r="U1" s="16">
        <v>44121</v>
      </c>
      <c r="V1" s="16">
        <v>44122</v>
      </c>
      <c r="W1" s="15">
        <v>44123</v>
      </c>
      <c r="X1" s="16">
        <v>44124</v>
      </c>
      <c r="Y1" s="16">
        <v>44125</v>
      </c>
      <c r="Z1" s="16">
        <v>44126</v>
      </c>
      <c r="AA1" s="16">
        <v>44127</v>
      </c>
      <c r="AB1" s="16">
        <v>44128</v>
      </c>
      <c r="AC1" s="16">
        <v>44129</v>
      </c>
      <c r="AD1" s="15">
        <v>44130</v>
      </c>
      <c r="AE1" s="16">
        <v>44131</v>
      </c>
      <c r="AF1" s="16">
        <v>44132</v>
      </c>
      <c r="AG1" s="16">
        <v>44133</v>
      </c>
      <c r="AH1" s="16">
        <v>44134</v>
      </c>
      <c r="AI1" s="16">
        <v>44135</v>
      </c>
      <c r="AJ1" s="16">
        <v>44136</v>
      </c>
    </row>
    <row r="2" spans="1:221">
      <c r="A2" s="14" t="s">
        <v>27</v>
      </c>
      <c r="B2" s="18">
        <v>65.8</v>
      </c>
      <c r="C2" s="18">
        <v>65.900000000000006</v>
      </c>
      <c r="D2" s="18">
        <v>66</v>
      </c>
      <c r="E2" s="18">
        <v>65.5</v>
      </c>
      <c r="F2" s="18">
        <v>66</v>
      </c>
      <c r="G2" s="18">
        <v>66.099999999999994</v>
      </c>
      <c r="H2" s="18">
        <v>66.099999999999994</v>
      </c>
      <c r="I2" s="18">
        <v>67.5</v>
      </c>
      <c r="J2" s="18">
        <v>67.5</v>
      </c>
      <c r="K2" s="18">
        <v>66.900000000000006</v>
      </c>
      <c r="L2" s="18">
        <v>66.900000000000006</v>
      </c>
      <c r="M2" s="18">
        <v>66.5</v>
      </c>
      <c r="N2" s="18">
        <v>66.8</v>
      </c>
      <c r="O2" s="18">
        <v>66.7</v>
      </c>
      <c r="P2" s="18">
        <v>66.3</v>
      </c>
      <c r="Q2" s="18">
        <v>66.8</v>
      </c>
      <c r="R2" s="18">
        <v>66.5</v>
      </c>
      <c r="S2" s="18">
        <v>66</v>
      </c>
      <c r="T2" s="18">
        <v>65.7</v>
      </c>
      <c r="U2" s="18">
        <v>65.3</v>
      </c>
      <c r="V2" s="18">
        <v>65.8</v>
      </c>
      <c r="W2" s="18">
        <v>67.599999999999994</v>
      </c>
      <c r="X2" s="18">
        <v>66.7</v>
      </c>
      <c r="Y2" s="18">
        <v>66</v>
      </c>
      <c r="Z2" s="18">
        <v>66.2</v>
      </c>
      <c r="AA2" s="18">
        <v>65.599999999999994</v>
      </c>
      <c r="AB2" s="18">
        <v>65.400000000000006</v>
      </c>
      <c r="AC2" s="18">
        <v>66</v>
      </c>
      <c r="AD2" s="18">
        <v>66.900000000000006</v>
      </c>
      <c r="AE2" s="18">
        <v>66.3</v>
      </c>
      <c r="AF2" s="18">
        <v>66.400000000000006</v>
      </c>
      <c r="AG2" s="18">
        <v>65.5</v>
      </c>
      <c r="AH2" s="18">
        <v>65.3</v>
      </c>
      <c r="AI2" s="18">
        <v>65</v>
      </c>
      <c r="AJ2" s="18">
        <v>65.900000000000006</v>
      </c>
    </row>
    <row r="3" spans="1:221">
      <c r="A3" s="19" t="s">
        <v>32</v>
      </c>
      <c r="B3" s="17">
        <v>420</v>
      </c>
      <c r="C3" s="17">
        <v>450</v>
      </c>
      <c r="D3" s="17">
        <v>406</v>
      </c>
      <c r="E3" s="17">
        <v>476</v>
      </c>
      <c r="F3" s="17">
        <v>251</v>
      </c>
      <c r="G3" s="17">
        <v>314</v>
      </c>
      <c r="H3" s="17">
        <v>118</v>
      </c>
      <c r="I3" s="17">
        <v>469</v>
      </c>
      <c r="J3" s="17">
        <v>429</v>
      </c>
      <c r="K3" s="17">
        <v>421</v>
      </c>
      <c r="L3" s="17">
        <v>538</v>
      </c>
      <c r="M3" s="17">
        <v>325</v>
      </c>
      <c r="N3" s="17">
        <v>365</v>
      </c>
      <c r="O3" s="17">
        <v>287</v>
      </c>
      <c r="P3" s="17">
        <v>487</v>
      </c>
      <c r="Q3" s="17">
        <v>485</v>
      </c>
      <c r="R3" s="17">
        <v>553</v>
      </c>
      <c r="S3" s="17">
        <v>539</v>
      </c>
      <c r="T3" s="17">
        <v>313</v>
      </c>
      <c r="U3" s="17">
        <v>692</v>
      </c>
      <c r="V3" s="17">
        <v>430</v>
      </c>
      <c r="W3" s="17">
        <v>727</v>
      </c>
      <c r="X3" s="17">
        <v>289</v>
      </c>
      <c r="Y3" s="17">
        <v>558</v>
      </c>
      <c r="Z3" s="17">
        <v>730</v>
      </c>
      <c r="AA3" s="17">
        <v>566</v>
      </c>
      <c r="AB3" s="17">
        <v>492</v>
      </c>
      <c r="AC3" s="17">
        <v>543</v>
      </c>
      <c r="AD3" s="17">
        <v>524</v>
      </c>
      <c r="AE3" s="17">
        <v>567</v>
      </c>
      <c r="AF3" s="17">
        <v>584</v>
      </c>
      <c r="AG3" s="17">
        <v>524</v>
      </c>
      <c r="AH3" s="17">
        <v>312</v>
      </c>
      <c r="AI3" s="17">
        <v>496</v>
      </c>
      <c r="AJ3" s="17">
        <v>512</v>
      </c>
    </row>
    <row r="4" spans="1:221">
      <c r="A4" s="19" t="s">
        <v>31</v>
      </c>
      <c r="B4" s="17">
        <v>1214</v>
      </c>
      <c r="C4" s="17">
        <v>1287</v>
      </c>
      <c r="D4" s="17">
        <v>1178</v>
      </c>
      <c r="E4" s="17">
        <v>2283</v>
      </c>
      <c r="F4" s="17">
        <v>1815</v>
      </c>
      <c r="G4" s="17">
        <v>1852</v>
      </c>
      <c r="H4" s="17">
        <v>2209</v>
      </c>
      <c r="I4" s="17">
        <v>1818</v>
      </c>
      <c r="J4" s="17">
        <v>1837</v>
      </c>
      <c r="K4" s="17">
        <v>1955</v>
      </c>
      <c r="L4" s="17">
        <v>1268</v>
      </c>
      <c r="M4" s="17">
        <v>1469</v>
      </c>
      <c r="N4" s="17">
        <v>1972</v>
      </c>
      <c r="O4" s="17">
        <v>1483</v>
      </c>
      <c r="P4" s="17">
        <v>1406</v>
      </c>
      <c r="Q4" s="17">
        <v>1410</v>
      </c>
      <c r="R4" s="17">
        <v>1066</v>
      </c>
      <c r="S4" s="17">
        <v>1269</v>
      </c>
      <c r="T4" s="17">
        <v>1274</v>
      </c>
      <c r="U4" s="17">
        <v>1902</v>
      </c>
      <c r="V4" s="17">
        <v>2393</v>
      </c>
      <c r="W4" s="17">
        <v>1087</v>
      </c>
      <c r="X4" s="17">
        <v>1121</v>
      </c>
      <c r="Y4" s="17">
        <v>1283</v>
      </c>
      <c r="Z4" s="17">
        <v>1133</v>
      </c>
      <c r="AA4" s="17">
        <v>1062</v>
      </c>
      <c r="AB4" s="17">
        <v>1864</v>
      </c>
      <c r="AC4" s="17">
        <v>2247</v>
      </c>
      <c r="AD4" s="17">
        <v>1053</v>
      </c>
      <c r="AE4" s="17">
        <v>1474</v>
      </c>
      <c r="AF4" s="17">
        <v>1111</v>
      </c>
      <c r="AG4" s="17">
        <v>1100</v>
      </c>
      <c r="AH4" s="17">
        <v>1222</v>
      </c>
      <c r="AI4" s="17">
        <v>2053</v>
      </c>
      <c r="AJ4" s="17">
        <v>2744</v>
      </c>
    </row>
    <row r="5" spans="1:221">
      <c r="A5" s="19" t="s">
        <v>33</v>
      </c>
      <c r="B5" s="17">
        <f>$B$11+B3-B4-$F$11</f>
        <v>406</v>
      </c>
      <c r="C5" s="17">
        <f t="shared" ref="C5:AJ5" si="0">$B$11+C3-C4-$F$11</f>
        <v>363</v>
      </c>
      <c r="D5" s="17">
        <f t="shared" si="0"/>
        <v>428</v>
      </c>
      <c r="E5" s="17">
        <f t="shared" si="0"/>
        <v>-607</v>
      </c>
      <c r="F5" s="17">
        <f t="shared" si="0"/>
        <v>-364</v>
      </c>
      <c r="G5" s="17">
        <f t="shared" si="0"/>
        <v>-338</v>
      </c>
      <c r="H5" s="17">
        <f t="shared" si="0"/>
        <v>-891</v>
      </c>
      <c r="I5" s="17">
        <f t="shared" si="0"/>
        <v>-149</v>
      </c>
      <c r="J5" s="17">
        <f t="shared" si="0"/>
        <v>-208</v>
      </c>
      <c r="K5" s="17">
        <f t="shared" si="0"/>
        <v>-334</v>
      </c>
      <c r="L5" s="17">
        <f t="shared" si="0"/>
        <v>470</v>
      </c>
      <c r="M5" s="17">
        <f t="shared" si="0"/>
        <v>56</v>
      </c>
      <c r="N5" s="17">
        <f t="shared" si="0"/>
        <v>-407</v>
      </c>
      <c r="O5" s="17">
        <f t="shared" si="0"/>
        <v>4</v>
      </c>
      <c r="P5" s="17">
        <f t="shared" si="0"/>
        <v>281</v>
      </c>
      <c r="Q5" s="17">
        <f t="shared" si="0"/>
        <v>275</v>
      </c>
      <c r="R5" s="17">
        <f t="shared" si="0"/>
        <v>687</v>
      </c>
      <c r="S5" s="17">
        <f t="shared" si="0"/>
        <v>470</v>
      </c>
      <c r="T5" s="17">
        <f t="shared" si="0"/>
        <v>239</v>
      </c>
      <c r="U5" s="17">
        <f t="shared" si="0"/>
        <v>-10</v>
      </c>
      <c r="V5" s="17">
        <f t="shared" si="0"/>
        <v>-763</v>
      </c>
      <c r="W5" s="17">
        <f t="shared" si="0"/>
        <v>840</v>
      </c>
      <c r="X5" s="17">
        <f t="shared" si="0"/>
        <v>368</v>
      </c>
      <c r="Y5" s="17">
        <f t="shared" si="0"/>
        <v>475</v>
      </c>
      <c r="Z5" s="17">
        <f t="shared" si="0"/>
        <v>797</v>
      </c>
      <c r="AA5" s="17">
        <f t="shared" si="0"/>
        <v>704</v>
      </c>
      <c r="AB5" s="17">
        <f t="shared" si="0"/>
        <v>-172</v>
      </c>
      <c r="AC5" s="17">
        <f t="shared" si="0"/>
        <v>-504</v>
      </c>
      <c r="AD5" s="17">
        <f t="shared" si="0"/>
        <v>671</v>
      </c>
      <c r="AE5" s="17">
        <f t="shared" si="0"/>
        <v>293</v>
      </c>
      <c r="AF5" s="17">
        <f t="shared" si="0"/>
        <v>673</v>
      </c>
      <c r="AG5" s="17">
        <f t="shared" si="0"/>
        <v>624</v>
      </c>
      <c r="AH5" s="17">
        <f t="shared" si="0"/>
        <v>290</v>
      </c>
      <c r="AI5" s="17">
        <f t="shared" si="0"/>
        <v>-357</v>
      </c>
      <c r="AJ5" s="17">
        <f t="shared" si="0"/>
        <v>-1032</v>
      </c>
    </row>
    <row r="6" spans="1:221" ht="8.4499999999999993" hidden="1" customHeight="1">
      <c r="A6" s="19" t="s">
        <v>36</v>
      </c>
      <c r="B6" s="20">
        <f>B5/7700</f>
        <v>5.2727272727272727E-2</v>
      </c>
      <c r="C6" s="20">
        <f t="shared" ref="C6:AJ6" si="1">C5/7700</f>
        <v>4.7142857142857146E-2</v>
      </c>
      <c r="D6" s="20">
        <f t="shared" si="1"/>
        <v>5.5584415584415584E-2</v>
      </c>
      <c r="E6" s="20">
        <f t="shared" si="1"/>
        <v>-7.8831168831168835E-2</v>
      </c>
      <c r="F6" s="20">
        <f t="shared" si="1"/>
        <v>-4.7272727272727272E-2</v>
      </c>
      <c r="G6" s="20">
        <f t="shared" si="1"/>
        <v>-4.3896103896103898E-2</v>
      </c>
      <c r="H6" s="20">
        <f t="shared" si="1"/>
        <v>-0.11571428571428571</v>
      </c>
      <c r="I6" s="20">
        <f t="shared" si="1"/>
        <v>-1.9350649350649351E-2</v>
      </c>
      <c r="J6" s="20">
        <f t="shared" si="1"/>
        <v>-2.7012987012987013E-2</v>
      </c>
      <c r="K6" s="20">
        <f t="shared" si="1"/>
        <v>-4.3376623376623374E-2</v>
      </c>
      <c r="L6" s="20">
        <f t="shared" si="1"/>
        <v>6.1038961038961038E-2</v>
      </c>
      <c r="M6" s="20">
        <f t="shared" si="1"/>
        <v>7.2727272727272727E-3</v>
      </c>
      <c r="N6" s="20">
        <f t="shared" si="1"/>
        <v>-5.2857142857142859E-2</v>
      </c>
      <c r="O6" s="20">
        <f t="shared" si="1"/>
        <v>5.1948051948051948E-4</v>
      </c>
      <c r="P6" s="20">
        <f t="shared" si="1"/>
        <v>3.6493506493506495E-2</v>
      </c>
      <c r="Q6" s="20">
        <f t="shared" si="1"/>
        <v>3.5714285714285712E-2</v>
      </c>
      <c r="R6" s="20">
        <f t="shared" si="1"/>
        <v>8.9220779220779214E-2</v>
      </c>
      <c r="S6" s="20">
        <f t="shared" si="1"/>
        <v>6.1038961038961038E-2</v>
      </c>
      <c r="T6" s="20">
        <f t="shared" si="1"/>
        <v>3.103896103896104E-2</v>
      </c>
      <c r="U6" s="20">
        <f t="shared" si="1"/>
        <v>-1.2987012987012987E-3</v>
      </c>
      <c r="V6" s="20">
        <f t="shared" si="1"/>
        <v>-9.9090909090909091E-2</v>
      </c>
      <c r="W6" s="20">
        <f t="shared" si="1"/>
        <v>0.10909090909090909</v>
      </c>
      <c r="X6" s="20">
        <f t="shared" si="1"/>
        <v>4.7792207792207796E-2</v>
      </c>
      <c r="Y6" s="20">
        <f t="shared" si="1"/>
        <v>6.1688311688311688E-2</v>
      </c>
      <c r="Z6" s="20">
        <f t="shared" si="1"/>
        <v>0.1035064935064935</v>
      </c>
      <c r="AA6" s="20">
        <f t="shared" si="1"/>
        <v>9.1428571428571428E-2</v>
      </c>
      <c r="AB6" s="20">
        <f t="shared" si="1"/>
        <v>-2.2337662337662337E-2</v>
      </c>
      <c r="AC6" s="20">
        <f t="shared" si="1"/>
        <v>-6.545454545454546E-2</v>
      </c>
      <c r="AD6" s="20">
        <f t="shared" si="1"/>
        <v>8.7142857142857147E-2</v>
      </c>
      <c r="AE6" s="20">
        <f t="shared" si="1"/>
        <v>3.8051948051948052E-2</v>
      </c>
      <c r="AF6" s="20">
        <f t="shared" si="1"/>
        <v>8.7402597402597398E-2</v>
      </c>
      <c r="AG6" s="20">
        <f t="shared" si="1"/>
        <v>8.1038961038961035E-2</v>
      </c>
      <c r="AH6" s="20">
        <f t="shared" si="1"/>
        <v>3.7662337662337661E-2</v>
      </c>
      <c r="AI6" s="20">
        <f t="shared" si="1"/>
        <v>-4.6363636363636364E-2</v>
      </c>
      <c r="AJ6" s="20">
        <f t="shared" si="1"/>
        <v>-0.13402597402597402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N</v>
      </c>
      <c r="G8" s="22" t="str">
        <f t="shared" si="2"/>
        <v>N</v>
      </c>
      <c r="H8" s="22" t="str">
        <f t="shared" si="2"/>
        <v>=</v>
      </c>
      <c r="I8" s="22" t="str">
        <f t="shared" si="2"/>
        <v>N</v>
      </c>
      <c r="J8" s="22" t="str">
        <f t="shared" si="2"/>
        <v>=</v>
      </c>
      <c r="K8" s="22" t="str">
        <f t="shared" si="2"/>
        <v>Y</v>
      </c>
      <c r="L8" s="22" t="str">
        <f t="shared" si="2"/>
        <v>=</v>
      </c>
      <c r="M8" s="22" t="str">
        <f t="shared" si="2"/>
        <v>Y</v>
      </c>
      <c r="N8" s="22" t="str">
        <f t="shared" si="2"/>
        <v>N</v>
      </c>
      <c r="O8" s="22" t="str">
        <f t="shared" si="2"/>
        <v>Y</v>
      </c>
      <c r="P8" s="22" t="str">
        <f t="shared" si="2"/>
        <v>Y</v>
      </c>
      <c r="Q8" s="22" t="str">
        <f t="shared" si="2"/>
        <v>N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 t="shared" si="2"/>
        <v>Y</v>
      </c>
      <c r="U8" s="22" t="str">
        <f t="shared" si="2"/>
        <v>Y</v>
      </c>
      <c r="V8" s="22" t="str">
        <f t="shared" si="2"/>
        <v>N</v>
      </c>
      <c r="W8" s="22" t="str">
        <f t="shared" si="2"/>
        <v>N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Y</v>
      </c>
      <c r="AB8" s="22" t="str">
        <f t="shared" si="2"/>
        <v>Y</v>
      </c>
      <c r="AC8" s="22" t="str">
        <f t="shared" si="2"/>
        <v>N</v>
      </c>
      <c r="AD8" s="22" t="str">
        <f t="shared" ref="AD8" si="3">IF(AD2=0,"",IF(AD2-AC2&gt;0,"N",IF(AD2-AC2=0,"=","Y")))</f>
        <v>N</v>
      </c>
      <c r="AE8" s="22" t="str">
        <f t="shared" ref="AE8" si="4">IF(AE2=0,"",IF(AE2-AD2&gt;0,"N",IF(AE2-AD2=0,"=","Y")))</f>
        <v>Y</v>
      </c>
      <c r="AF8" s="22" t="str">
        <f t="shared" ref="AF8" si="5">IF(AF2=0,"",IF(AF2-AE2&gt;0,"N",IF(AF2-AE2=0,"=","Y")))</f>
        <v>N</v>
      </c>
      <c r="AG8" s="22" t="str">
        <f t="shared" ref="AG8" si="6">IF(AG2=0,"",IF(AG2-AF2&gt;0,"N",IF(AG2-AF2=0,"=","Y")))</f>
        <v>Y</v>
      </c>
      <c r="AH8" s="22" t="str">
        <f t="shared" ref="AH8" si="7">IF(AH2=0,"",IF(AH2-AG2&gt;0,"N",IF(AH2-AG2=0,"=","Y")))</f>
        <v>Y</v>
      </c>
      <c r="AI8" s="22" t="str">
        <f t="shared" ref="AI8" si="8">IF(AI2=0,"",IF(AI2-AH2&gt;0,"N",IF(AI2-AH2=0,"=","Y")))</f>
        <v>Y</v>
      </c>
      <c r="AJ8" s="22" t="str">
        <f t="shared" ref="AJ8" si="9">IF(AJ2=0,"",IF(AJ2-AI2&gt;0,"N",IF(AJ2-AI2=0,"=","Y")))</f>
        <v>N</v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>
        <f>IF(B2="","",B2-Base!$G$6)</f>
        <v>5.8863999999999876</v>
      </c>
      <c r="C9" s="24">
        <f>IF(C2="","",C2-Base!$G$6)</f>
        <v>5.9863999999999962</v>
      </c>
      <c r="D9" s="24">
        <f>IF(D2="","",D2-Base!$G$6)</f>
        <v>6.0863999999999905</v>
      </c>
      <c r="E9" s="24">
        <f>IF(E2="","",E2-Base!$G$6)</f>
        <v>5.5863999999999905</v>
      </c>
      <c r="F9" s="24">
        <f>IF(F2="","",F2-Base!$G$6)</f>
        <v>6.0863999999999905</v>
      </c>
      <c r="G9" s="24">
        <f>IF(G2="","",G2-Base!$G$6)</f>
        <v>6.1863999999999848</v>
      </c>
      <c r="H9" s="24">
        <f>IF(H2="","",H2-Base!$G$6)</f>
        <v>6.1863999999999848</v>
      </c>
      <c r="I9" s="24">
        <f>IF(I2="","",I2-Base!$G$6)</f>
        <v>7.5863999999999905</v>
      </c>
      <c r="J9" s="24">
        <f>IF(J2="","",J2-Base!$G$6)</f>
        <v>7.5863999999999905</v>
      </c>
      <c r="K9" s="24">
        <f>IF(K2="","",K2-Base!$G$6)</f>
        <v>6.9863999999999962</v>
      </c>
      <c r="L9" s="24">
        <f>IF(L2="","",L2-Base!$G$6)</f>
        <v>6.9863999999999962</v>
      </c>
      <c r="M9" s="24">
        <f>IF(M2="","",M2-Base!$G$6)</f>
        <v>6.5863999999999905</v>
      </c>
      <c r="N9" s="24">
        <f>IF(N2="","",N2-Base!$G$6)</f>
        <v>6.8863999999999876</v>
      </c>
      <c r="O9" s="24">
        <f>IF(O2="","",O2-Base!$G$6)</f>
        <v>6.7863999999999933</v>
      </c>
      <c r="P9" s="24">
        <f>IF(P2="","",P2-Base!$G$6)</f>
        <v>6.3863999999999876</v>
      </c>
      <c r="Q9" s="24">
        <f>IF(Q2="","",Q2-Base!$G$6)</f>
        <v>6.8863999999999876</v>
      </c>
      <c r="R9" s="24">
        <f>IF(R2="","",R2-Base!$G$6)</f>
        <v>6.5863999999999905</v>
      </c>
      <c r="S9" s="24">
        <f>IF(S2="","",S2-Base!$G$6)</f>
        <v>6.0863999999999905</v>
      </c>
      <c r="T9" s="24">
        <f>IF(T2="","",T2-Base!$G$6)</f>
        <v>5.7863999999999933</v>
      </c>
      <c r="U9" s="24">
        <f>IF(U2="","",U2-Base!$G$6)</f>
        <v>5.3863999999999876</v>
      </c>
      <c r="V9" s="24">
        <f>IF(V2="","",V2-Base!$G$6)</f>
        <v>5.8863999999999876</v>
      </c>
      <c r="W9" s="24">
        <f>IF(W2="","",W2-Base!$G$6)</f>
        <v>7.6863999999999848</v>
      </c>
      <c r="X9" s="24">
        <f>IF(X2="","",X2-Base!$G$6)</f>
        <v>6.7863999999999933</v>
      </c>
      <c r="Y9" s="24">
        <f>IF(Y2="","",Y2-Base!$G$6)</f>
        <v>6.0863999999999905</v>
      </c>
      <c r="Z9" s="24">
        <f>IF(Z2="","",Z2-Base!$G$6)</f>
        <v>6.2863999999999933</v>
      </c>
      <c r="AA9" s="24">
        <f>IF(AA2="","",AA2-Base!$G$6)</f>
        <v>5.6863999999999848</v>
      </c>
      <c r="AB9" s="24">
        <f>IF(AB2="","",AB2-Base!$G$6)</f>
        <v>5.4863999999999962</v>
      </c>
      <c r="AC9" s="24">
        <f>IF(AC2="","",AC2-Base!$G$6)</f>
        <v>6.0863999999999905</v>
      </c>
      <c r="AD9" s="24">
        <f>IF(AD2="","",AD2-Base!$G$6)</f>
        <v>6.9863999999999962</v>
      </c>
      <c r="AE9" s="24">
        <f>IF(AE2="","",AE2-Base!$G$6)</f>
        <v>6.3863999999999876</v>
      </c>
      <c r="AF9" s="24">
        <f>IF(AF2="","",AF2-Base!$G$6)</f>
        <v>6.4863999999999962</v>
      </c>
      <c r="AG9" s="24">
        <f>IF(AG2="","",AG2-Base!$G$6)</f>
        <v>5.5863999999999905</v>
      </c>
      <c r="AH9" s="24">
        <f>IF(AH2="","",AH2-Base!$G$6)</f>
        <v>5.3863999999999876</v>
      </c>
      <c r="AI9" s="24">
        <f>IF(AI2="","",AI2-Base!$G$6)</f>
        <v>5.0863999999999905</v>
      </c>
      <c r="AJ9" s="24">
        <f>IF(AJ2="","",AJ2-Base!$G$6)</f>
        <v>5.9863999999999962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'09'!D16</f>
        <v>65.8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21">
      <c r="B13" s="32">
        <f>B$1</f>
        <v>44102</v>
      </c>
      <c r="C13" s="32">
        <f>H$1</f>
        <v>44108</v>
      </c>
      <c r="D13" s="33">
        <f>ROUNDDOWN(AVERAGE(B2:H2),2)</f>
        <v>65.91</v>
      </c>
      <c r="E13" s="17">
        <f>I11-D13</f>
        <v>-0.10999999999999943</v>
      </c>
      <c r="F13" s="17">
        <f>SUM(B5:H5)</f>
        <v>-1003</v>
      </c>
      <c r="G13" s="17">
        <f>F13/7700</f>
        <v>-0.13025974025974027</v>
      </c>
      <c r="H13" s="17">
        <f>(G13-E13)*7700</f>
        <v>-156.00000000000446</v>
      </c>
      <c r="I13" s="17">
        <f>SUM(B3:H3)</f>
        <v>2435</v>
      </c>
      <c r="J13" s="17">
        <f>SUM(B4:H4)</f>
        <v>11838</v>
      </c>
      <c r="K13" s="17">
        <f>J13/7</f>
        <v>1691.1428571428571</v>
      </c>
      <c r="M13" s="17">
        <f>SUM(B5:F5)</f>
        <v>226</v>
      </c>
      <c r="N13" s="17">
        <f>G5+H5</f>
        <v>-1229</v>
      </c>
    </row>
    <row r="14" spans="1:221">
      <c r="B14" s="32">
        <f t="shared" ref="B14:C17" si="13">B13+7</f>
        <v>44109</v>
      </c>
      <c r="C14" s="32">
        <f t="shared" si="13"/>
        <v>44115</v>
      </c>
      <c r="D14" s="33">
        <f>ROUNDDOWN(AVERAGE(I2:O2),2)</f>
        <v>66.97</v>
      </c>
      <c r="E14" s="17">
        <f>D13-D14</f>
        <v>-1.0600000000000023</v>
      </c>
      <c r="F14" s="17">
        <f>SUM($I$5:$O$5)</f>
        <v>-568</v>
      </c>
      <c r="G14" s="17">
        <f>F14/7700</f>
        <v>-7.3766233766233771E-2</v>
      </c>
      <c r="H14" s="17">
        <f>(G14-E14)*7700</f>
        <v>7594.0000000000173</v>
      </c>
      <c r="I14" s="17">
        <f>SUM($I$3:$O$3)</f>
        <v>2834</v>
      </c>
      <c r="J14" s="17">
        <f>SUM($I$4:$O$4)</f>
        <v>11802</v>
      </c>
      <c r="K14" s="17">
        <f>J14/7</f>
        <v>1686</v>
      </c>
      <c r="M14" s="17">
        <f>SUM(I5:M5)</f>
        <v>-165</v>
      </c>
      <c r="N14" s="17">
        <f>N5+O5</f>
        <v>-403</v>
      </c>
    </row>
    <row r="15" spans="1:221">
      <c r="B15" s="32">
        <f t="shared" si="13"/>
        <v>44116</v>
      </c>
      <c r="C15" s="32">
        <f t="shared" si="13"/>
        <v>44122</v>
      </c>
      <c r="D15" s="33">
        <f>ROUNDDOWN(AVERAGE(P2:V2),2)</f>
        <v>66.05</v>
      </c>
      <c r="E15" s="17">
        <f>D14-D15</f>
        <v>0.92000000000000171</v>
      </c>
      <c r="F15" s="17">
        <f>SUM($P$5:$V$5)</f>
        <v>1179</v>
      </c>
      <c r="G15" s="17">
        <f>F15/7700</f>
        <v>0.15311688311688312</v>
      </c>
      <c r="H15" s="17">
        <f>(G15-E15)*7700</f>
        <v>-5905.0000000000136</v>
      </c>
      <c r="I15" s="17">
        <f>SUM($P$3:$V$3)</f>
        <v>3499</v>
      </c>
      <c r="J15" s="17">
        <f>SUM($P$4:$V$4)</f>
        <v>10720</v>
      </c>
      <c r="K15" s="17">
        <f>J15/7</f>
        <v>1531.4285714285713</v>
      </c>
      <c r="M15" s="17">
        <f>SUM(P5:T5)</f>
        <v>1952</v>
      </c>
      <c r="N15" s="17">
        <f>U5+V5</f>
        <v>-773</v>
      </c>
    </row>
    <row r="16" spans="1:221">
      <c r="B16" s="32">
        <f t="shared" si="13"/>
        <v>44123</v>
      </c>
      <c r="C16" s="32">
        <f t="shared" si="13"/>
        <v>44129</v>
      </c>
      <c r="D16" s="33">
        <f>ROUNDDOWN(AVERAGE(W2:AC2),2)</f>
        <v>66.209999999999994</v>
      </c>
      <c r="E16" s="17">
        <f>D15-D16</f>
        <v>-0.15999999999999659</v>
      </c>
      <c r="F16" s="17">
        <f>SUM($W$5:$AC$5)</f>
        <v>2508</v>
      </c>
      <c r="G16" s="17">
        <f>F16/7700</f>
        <v>0.32571428571428573</v>
      </c>
      <c r="H16" s="17">
        <f>(G16-E16)*7700</f>
        <v>3739.9999999999741</v>
      </c>
      <c r="I16" s="17">
        <f>SUM($W$3:$AC$3)</f>
        <v>3905</v>
      </c>
      <c r="J16" s="17">
        <f>SUM($W$4:$AC$4)</f>
        <v>9797</v>
      </c>
      <c r="K16" s="17">
        <f>J16/7</f>
        <v>1399.5714285714287</v>
      </c>
      <c r="M16" s="17">
        <f>SUM(W5:AA5)</f>
        <v>3184</v>
      </c>
      <c r="N16" s="17">
        <f>SUM(AB5:AC5)</f>
        <v>-676</v>
      </c>
    </row>
    <row r="17" spans="1:14">
      <c r="B17" s="32">
        <f t="shared" si="13"/>
        <v>44130</v>
      </c>
      <c r="C17" s="32">
        <f t="shared" si="13"/>
        <v>44136</v>
      </c>
      <c r="D17" s="33">
        <f>ROUNDDOWN(AVERAGE(AD2:AJ2),2)</f>
        <v>65.900000000000006</v>
      </c>
      <c r="E17" s="17">
        <f>D16-D17</f>
        <v>0.30999999999998806</v>
      </c>
      <c r="F17" s="17">
        <f>SUM($AD$5:$AJ$5)</f>
        <v>1162</v>
      </c>
      <c r="G17" s="17">
        <f>F17/7700</f>
        <v>0.15090909090909091</v>
      </c>
      <c r="H17" s="17">
        <f>(G17-E17)*7700</f>
        <v>-1224.9999999999081</v>
      </c>
      <c r="I17" s="17">
        <f>SUM($AD$3:$AJ$3)</f>
        <v>3519</v>
      </c>
      <c r="J17" s="17">
        <f>SUM($AD$4:$AJ$4)</f>
        <v>10757</v>
      </c>
      <c r="K17" s="17">
        <f>J17/7</f>
        <v>1536.7142857142858</v>
      </c>
      <c r="M17" s="17">
        <f>SUM(AD5:AH5)</f>
        <v>2551</v>
      </c>
      <c r="N17" s="17">
        <f>SUM(AI5:AJ5)</f>
        <v>-1389</v>
      </c>
    </row>
    <row r="19" spans="1:14">
      <c r="A19" s="19" t="s">
        <v>26</v>
      </c>
      <c r="E19" s="17">
        <f t="shared" ref="E19:J19" si="14">SUM(E13:E18)</f>
        <v>-0.10000000000000853</v>
      </c>
      <c r="F19" s="17">
        <f t="shared" si="14"/>
        <v>3278</v>
      </c>
      <c r="G19" s="17">
        <f t="shared" si="14"/>
        <v>0.42571428571428571</v>
      </c>
      <c r="H19" s="17">
        <f t="shared" si="14"/>
        <v>4048.0000000000646</v>
      </c>
      <c r="I19" s="17">
        <f t="shared" si="14"/>
        <v>16192</v>
      </c>
      <c r="J19" s="17">
        <f t="shared" si="14"/>
        <v>54914</v>
      </c>
      <c r="M19" s="17">
        <f>SUM(M13:M18)</f>
        <v>7748</v>
      </c>
      <c r="N19" s="17">
        <f>SUM(N13:N18)</f>
        <v>-4470</v>
      </c>
    </row>
    <row r="20" spans="1:14">
      <c r="A20" s="19" t="s">
        <v>46</v>
      </c>
      <c r="D20" s="17">
        <f>AVERAGE(D13:D17)</f>
        <v>66.207999999999998</v>
      </c>
      <c r="E20" s="17">
        <f>AVERAGE(E13:E16)</f>
        <v>-0.10249999999999915</v>
      </c>
      <c r="F20" s="17">
        <f>AVERAGE(F13:F16)</f>
        <v>529</v>
      </c>
      <c r="G20" s="17">
        <f>AVERAGE(G13:G16)</f>
        <v>6.8701298701298708E-2</v>
      </c>
      <c r="H20" s="17">
        <f>AVERAGE(H13:H16)/7</f>
        <v>188.32142857142759</v>
      </c>
      <c r="I20" s="17">
        <f>AVERAGE(I13:I16)/7</f>
        <v>452.60714285714283</v>
      </c>
      <c r="J20" s="17">
        <f>AVERAGE(J13:J16)/7</f>
        <v>1577.0357142857142</v>
      </c>
      <c r="L20" s="17">
        <f>J20-I20</f>
        <v>1124.4285714285713</v>
      </c>
      <c r="M20" s="17">
        <f>AVERAGE(M13:M18)/5</f>
        <v>309.91999999999996</v>
      </c>
      <c r="N20" s="17">
        <f>AVERAGE(N13:N18)/2</f>
        <v>-447</v>
      </c>
    </row>
    <row r="21" spans="1:14" ht="15">
      <c r="A21" s="30" t="s">
        <v>75</v>
      </c>
      <c r="D21" s="17">
        <f>MIN(B$2:AJ$2)</f>
        <v>65</v>
      </c>
      <c r="F21" s="17">
        <f>F20/7</f>
        <v>75.571428571428569</v>
      </c>
    </row>
    <row r="22" spans="1:14" ht="15">
      <c r="A22" s="30" t="s">
        <v>76</v>
      </c>
      <c r="D22" s="17">
        <f>MAX(B$2:AJ$2)</f>
        <v>67.599999999999994</v>
      </c>
    </row>
    <row r="23" spans="1:14">
      <c r="A23" s="19" t="s">
        <v>77</v>
      </c>
      <c r="D23" s="17">
        <f>AVERAGE(B$2:AJ$2)</f>
        <v>66.21142857142857</v>
      </c>
    </row>
  </sheetData>
  <phoneticPr fontId="15" type="noConversion"/>
  <conditionalFormatting sqref="B8:IV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3"/>
  <sheetViews>
    <sheetView workbookViewId="0">
      <selection activeCell="J28" sqref="J28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44137</v>
      </c>
      <c r="C1" s="16">
        <v>44138</v>
      </c>
      <c r="D1" s="16">
        <v>44139</v>
      </c>
      <c r="E1" s="16">
        <v>44140</v>
      </c>
      <c r="F1" s="16">
        <v>44141</v>
      </c>
      <c r="G1" s="16">
        <v>44142</v>
      </c>
      <c r="H1" s="16">
        <v>44143</v>
      </c>
      <c r="I1" s="15">
        <v>44144</v>
      </c>
      <c r="J1" s="16">
        <v>44145</v>
      </c>
      <c r="K1" s="16">
        <v>44146</v>
      </c>
      <c r="L1" s="16">
        <v>44147</v>
      </c>
      <c r="M1" s="16">
        <v>44148</v>
      </c>
      <c r="N1" s="16">
        <v>44149</v>
      </c>
      <c r="O1" s="16">
        <v>44150</v>
      </c>
      <c r="P1" s="15">
        <v>44151</v>
      </c>
      <c r="Q1" s="16">
        <v>44152</v>
      </c>
      <c r="R1" s="16">
        <v>44153</v>
      </c>
      <c r="S1" s="16">
        <v>44154</v>
      </c>
      <c r="T1" s="16">
        <v>44155</v>
      </c>
      <c r="U1" s="16">
        <v>44156</v>
      </c>
      <c r="V1" s="16">
        <v>44157</v>
      </c>
      <c r="W1" s="15">
        <v>44158</v>
      </c>
      <c r="X1" s="16">
        <v>44159</v>
      </c>
      <c r="Y1" s="16">
        <v>44160</v>
      </c>
      <c r="Z1" s="16">
        <v>44161</v>
      </c>
      <c r="AA1" s="16">
        <v>44162</v>
      </c>
      <c r="AB1" s="16">
        <v>44163</v>
      </c>
      <c r="AC1" s="16">
        <v>44164</v>
      </c>
    </row>
    <row r="2" spans="1:221">
      <c r="A2" s="14" t="s">
        <v>27</v>
      </c>
      <c r="B2" s="18">
        <v>66.8</v>
      </c>
      <c r="C2" s="18">
        <v>65.900000000000006</v>
      </c>
      <c r="D2" s="18">
        <v>66.2</v>
      </c>
      <c r="E2" s="18">
        <v>65.8</v>
      </c>
      <c r="F2" s="18">
        <v>65.099999999999994</v>
      </c>
      <c r="G2" s="18">
        <v>65.099999999999994</v>
      </c>
      <c r="H2" s="18">
        <v>65</v>
      </c>
      <c r="I2" s="18">
        <v>66</v>
      </c>
      <c r="J2" s="18">
        <v>65.3</v>
      </c>
      <c r="K2" s="18">
        <v>64.8</v>
      </c>
      <c r="L2" s="18">
        <v>64.900000000000006</v>
      </c>
      <c r="M2" s="18">
        <v>64.900000000000006</v>
      </c>
      <c r="N2" s="18">
        <v>64.5</v>
      </c>
      <c r="O2" s="18">
        <v>64.900000000000006</v>
      </c>
      <c r="P2" s="18">
        <v>65.3</v>
      </c>
      <c r="Q2" s="18">
        <v>65.3</v>
      </c>
      <c r="R2" s="18">
        <v>64.900000000000006</v>
      </c>
      <c r="S2" s="18">
        <v>64.900000000000006</v>
      </c>
      <c r="T2" s="18">
        <v>65.400000000000006</v>
      </c>
      <c r="U2" s="18">
        <v>64.7</v>
      </c>
      <c r="V2" s="18">
        <v>65.2</v>
      </c>
      <c r="W2" s="18">
        <v>65.599999999999994</v>
      </c>
      <c r="X2" s="18">
        <v>64.8</v>
      </c>
      <c r="Y2" s="18">
        <v>64.7</v>
      </c>
      <c r="Z2" s="18">
        <v>64.900000000000006</v>
      </c>
      <c r="AA2" s="18">
        <v>64.8</v>
      </c>
      <c r="AB2" s="18">
        <v>64.5</v>
      </c>
      <c r="AC2" s="18">
        <v>64.900000000000006</v>
      </c>
    </row>
    <row r="3" spans="1:221">
      <c r="A3" s="19" t="s">
        <v>32</v>
      </c>
      <c r="B3" s="18">
        <v>574</v>
      </c>
      <c r="C3" s="18">
        <v>573</v>
      </c>
      <c r="D3" s="18">
        <v>650</v>
      </c>
      <c r="E3" s="18">
        <v>835</v>
      </c>
      <c r="F3" s="18">
        <v>294</v>
      </c>
      <c r="G3" s="18">
        <v>728</v>
      </c>
      <c r="H3" s="18">
        <v>853</v>
      </c>
      <c r="I3" s="18">
        <v>540</v>
      </c>
      <c r="J3" s="18">
        <v>553</v>
      </c>
      <c r="K3" s="18">
        <v>577</v>
      </c>
      <c r="L3" s="18">
        <v>471</v>
      </c>
      <c r="M3" s="18">
        <v>400</v>
      </c>
      <c r="N3" s="18">
        <v>406</v>
      </c>
      <c r="O3" s="18">
        <v>380</v>
      </c>
      <c r="P3" s="18">
        <v>544</v>
      </c>
      <c r="Q3" s="18">
        <v>460</v>
      </c>
      <c r="R3" s="18">
        <v>467</v>
      </c>
      <c r="S3" s="18">
        <v>563</v>
      </c>
      <c r="T3" s="18">
        <v>219</v>
      </c>
      <c r="U3" s="18">
        <v>200</v>
      </c>
      <c r="V3" s="18">
        <v>542</v>
      </c>
      <c r="W3" s="18">
        <v>567</v>
      </c>
      <c r="X3" s="18">
        <v>511</v>
      </c>
      <c r="Y3" s="18">
        <v>677</v>
      </c>
      <c r="Z3" s="18">
        <v>693</v>
      </c>
      <c r="AA3" s="18">
        <v>428</v>
      </c>
      <c r="AB3" s="18">
        <v>564</v>
      </c>
      <c r="AC3" s="18">
        <v>533</v>
      </c>
    </row>
    <row r="4" spans="1:221">
      <c r="A4" s="19" t="s">
        <v>31</v>
      </c>
      <c r="B4" s="17">
        <v>823</v>
      </c>
      <c r="C4" s="17">
        <v>1779</v>
      </c>
      <c r="D4" s="17">
        <v>1131</v>
      </c>
      <c r="E4" s="17">
        <v>1030</v>
      </c>
      <c r="F4" s="17">
        <v>1179</v>
      </c>
      <c r="G4" s="17">
        <v>2303</v>
      </c>
      <c r="H4" s="17">
        <v>2017</v>
      </c>
      <c r="I4" s="17">
        <v>1070</v>
      </c>
      <c r="J4" s="17">
        <v>1234</v>
      </c>
      <c r="K4" s="17">
        <v>1637</v>
      </c>
      <c r="L4" s="17">
        <v>1376</v>
      </c>
      <c r="M4" s="17">
        <v>1008</v>
      </c>
      <c r="N4" s="17">
        <v>1812</v>
      </c>
      <c r="O4" s="17">
        <v>1500</v>
      </c>
      <c r="P4" s="17">
        <v>1169</v>
      </c>
      <c r="Q4" s="17">
        <v>1629</v>
      </c>
      <c r="R4" s="17">
        <v>1208</v>
      </c>
      <c r="S4" s="17">
        <v>1647</v>
      </c>
      <c r="T4" s="17">
        <v>1306</v>
      </c>
      <c r="U4" s="17">
        <v>1830</v>
      </c>
      <c r="V4" s="17">
        <v>1892</v>
      </c>
      <c r="W4" s="17">
        <v>904</v>
      </c>
      <c r="X4" s="17">
        <v>1502</v>
      </c>
      <c r="Y4" s="17">
        <v>1198</v>
      </c>
      <c r="Z4" s="17">
        <v>1515</v>
      </c>
      <c r="AA4" s="17">
        <v>1276</v>
      </c>
      <c r="AB4" s="17">
        <v>2654</v>
      </c>
      <c r="AC4" s="17">
        <v>2707</v>
      </c>
    </row>
    <row r="5" spans="1:221">
      <c r="A5" s="19" t="s">
        <v>33</v>
      </c>
      <c r="B5" s="17">
        <f>$B$11+B3-B4-$F$11</f>
        <v>951</v>
      </c>
      <c r="C5" s="17">
        <f t="shared" ref="C5:AC5" si="0">$B$11+C3-C4-$F$11</f>
        <v>-6</v>
      </c>
      <c r="D5" s="17">
        <f t="shared" si="0"/>
        <v>719</v>
      </c>
      <c r="E5" s="17">
        <f t="shared" si="0"/>
        <v>1005</v>
      </c>
      <c r="F5" s="17">
        <f t="shared" si="0"/>
        <v>315</v>
      </c>
      <c r="G5" s="17">
        <f t="shared" si="0"/>
        <v>-375</v>
      </c>
      <c r="H5" s="17">
        <f t="shared" si="0"/>
        <v>36</v>
      </c>
      <c r="I5" s="17">
        <f t="shared" si="0"/>
        <v>670</v>
      </c>
      <c r="J5" s="17">
        <f t="shared" si="0"/>
        <v>519</v>
      </c>
      <c r="K5" s="17">
        <f t="shared" si="0"/>
        <v>140</v>
      </c>
      <c r="L5" s="17">
        <f t="shared" si="0"/>
        <v>295</v>
      </c>
      <c r="M5" s="17">
        <f t="shared" si="0"/>
        <v>592</v>
      </c>
      <c r="N5" s="17">
        <f t="shared" si="0"/>
        <v>-206</v>
      </c>
      <c r="O5" s="17">
        <f t="shared" si="0"/>
        <v>80</v>
      </c>
      <c r="P5" s="17">
        <f t="shared" si="0"/>
        <v>575</v>
      </c>
      <c r="Q5" s="17">
        <f t="shared" si="0"/>
        <v>31</v>
      </c>
      <c r="R5" s="17">
        <f t="shared" si="0"/>
        <v>459</v>
      </c>
      <c r="S5" s="17">
        <f t="shared" si="0"/>
        <v>116</v>
      </c>
      <c r="T5" s="17">
        <f t="shared" si="0"/>
        <v>113</v>
      </c>
      <c r="U5" s="17">
        <f t="shared" si="0"/>
        <v>-430</v>
      </c>
      <c r="V5" s="17">
        <f t="shared" si="0"/>
        <v>-150</v>
      </c>
      <c r="W5" s="17">
        <f t="shared" si="0"/>
        <v>863</v>
      </c>
      <c r="X5" s="17">
        <f t="shared" si="0"/>
        <v>209</v>
      </c>
      <c r="Y5" s="17">
        <f t="shared" si="0"/>
        <v>679</v>
      </c>
      <c r="Z5" s="17">
        <f t="shared" si="0"/>
        <v>378</v>
      </c>
      <c r="AA5" s="17">
        <f t="shared" si="0"/>
        <v>352</v>
      </c>
      <c r="AB5" s="17">
        <f t="shared" si="0"/>
        <v>-890</v>
      </c>
      <c r="AC5" s="17">
        <f t="shared" si="0"/>
        <v>-974</v>
      </c>
    </row>
    <row r="6" spans="1:221" hidden="1">
      <c r="A6" s="19" t="s">
        <v>36</v>
      </c>
      <c r="B6" s="20">
        <f>B5/7700</f>
        <v>0.12350649350649351</v>
      </c>
      <c r="C6" s="20">
        <f t="shared" ref="C6:AC6" si="1">C5/7700</f>
        <v>-7.7922077922077922E-4</v>
      </c>
      <c r="D6" s="20">
        <f t="shared" si="1"/>
        <v>9.3376623376623377E-2</v>
      </c>
      <c r="E6" s="20">
        <f t="shared" si="1"/>
        <v>0.13051948051948051</v>
      </c>
      <c r="F6" s="20">
        <f t="shared" si="1"/>
        <v>4.0909090909090909E-2</v>
      </c>
      <c r="G6" s="20">
        <f t="shared" si="1"/>
        <v>-4.8701298701298704E-2</v>
      </c>
      <c r="H6" s="20">
        <f t="shared" si="1"/>
        <v>4.6753246753246753E-3</v>
      </c>
      <c r="I6" s="20">
        <f t="shared" si="1"/>
        <v>8.7012987012987014E-2</v>
      </c>
      <c r="J6" s="20">
        <f t="shared" si="1"/>
        <v>6.7402597402597408E-2</v>
      </c>
      <c r="K6" s="20">
        <f t="shared" si="1"/>
        <v>1.8181818181818181E-2</v>
      </c>
      <c r="L6" s="20">
        <f t="shared" si="1"/>
        <v>3.8311688311688311E-2</v>
      </c>
      <c r="M6" s="20">
        <f t="shared" si="1"/>
        <v>7.6883116883116887E-2</v>
      </c>
      <c r="N6" s="20">
        <f t="shared" si="1"/>
        <v>-2.6753246753246755E-2</v>
      </c>
      <c r="O6" s="20">
        <f t="shared" si="1"/>
        <v>1.038961038961039E-2</v>
      </c>
      <c r="P6" s="20">
        <f t="shared" si="1"/>
        <v>7.4675324675324672E-2</v>
      </c>
      <c r="Q6" s="20">
        <f t="shared" si="1"/>
        <v>4.0259740259740258E-3</v>
      </c>
      <c r="R6" s="20">
        <f t="shared" si="1"/>
        <v>5.9610389610389614E-2</v>
      </c>
      <c r="S6" s="20">
        <f t="shared" si="1"/>
        <v>1.5064935064935066E-2</v>
      </c>
      <c r="T6" s="20">
        <f t="shared" si="1"/>
        <v>1.4675324675324675E-2</v>
      </c>
      <c r="U6" s="20">
        <f t="shared" si="1"/>
        <v>-5.5844155844155842E-2</v>
      </c>
      <c r="V6" s="20">
        <f t="shared" si="1"/>
        <v>-1.948051948051948E-2</v>
      </c>
      <c r="W6" s="20">
        <f t="shared" si="1"/>
        <v>0.11207792207792208</v>
      </c>
      <c r="X6" s="20">
        <f t="shared" si="1"/>
        <v>2.7142857142857142E-2</v>
      </c>
      <c r="Y6" s="20">
        <f t="shared" si="1"/>
        <v>8.8181818181818181E-2</v>
      </c>
      <c r="Z6" s="20">
        <f t="shared" si="1"/>
        <v>4.9090909090909088E-2</v>
      </c>
      <c r="AA6" s="20">
        <f t="shared" si="1"/>
        <v>4.5714285714285714E-2</v>
      </c>
      <c r="AB6" s="20">
        <f t="shared" si="1"/>
        <v>-0.11558441558441558</v>
      </c>
      <c r="AC6" s="20">
        <f t="shared" si="1"/>
        <v>-0.12649350649350649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Y</v>
      </c>
      <c r="G8" s="22" t="str">
        <f t="shared" si="2"/>
        <v>=</v>
      </c>
      <c r="H8" s="22" t="str">
        <f t="shared" si="2"/>
        <v>Y</v>
      </c>
      <c r="I8" s="22" t="str">
        <f t="shared" si="2"/>
        <v>N</v>
      </c>
      <c r="J8" s="22" t="str">
        <f t="shared" si="2"/>
        <v>Y</v>
      </c>
      <c r="K8" s="22" t="str">
        <f t="shared" si="2"/>
        <v>Y</v>
      </c>
      <c r="L8" s="22" t="str">
        <f t="shared" si="2"/>
        <v>N</v>
      </c>
      <c r="M8" s="22" t="str">
        <f t="shared" si="2"/>
        <v>=</v>
      </c>
      <c r="N8" s="22" t="str">
        <f t="shared" si="2"/>
        <v>Y</v>
      </c>
      <c r="O8" s="22" t="str">
        <f t="shared" si="2"/>
        <v>N</v>
      </c>
      <c r="P8" s="22" t="str">
        <f t="shared" si="2"/>
        <v>N</v>
      </c>
      <c r="Q8" s="22" t="str">
        <f t="shared" si="2"/>
        <v>=</v>
      </c>
      <c r="R8" s="22" t="str">
        <f>IF(R2=0,"",IF(R2-Q2&gt;0,"N",IF(R2-Q2=0,"=","Y")))</f>
        <v>Y</v>
      </c>
      <c r="S8" s="22" t="str">
        <f>IF(S2=0,"",IF(S2-R2&gt;0,"N",IF(S2-R2=0,"=","Y")))</f>
        <v>=</v>
      </c>
      <c r="T8" s="22" t="str">
        <f t="shared" si="2"/>
        <v>N</v>
      </c>
      <c r="U8" s="22" t="str">
        <f t="shared" si="2"/>
        <v>Y</v>
      </c>
      <c r="V8" s="22" t="str">
        <f t="shared" si="2"/>
        <v>N</v>
      </c>
      <c r="W8" s="22" t="str">
        <f t="shared" si="2"/>
        <v>N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Y</v>
      </c>
      <c r="AB8" s="22" t="str">
        <f t="shared" si="2"/>
        <v>Y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6.8863999999999876</v>
      </c>
      <c r="C9" s="24">
        <f>IF(C2="","",C2-Base!$G$6)</f>
        <v>5.9863999999999962</v>
      </c>
      <c r="D9" s="24">
        <f>IF(D2="","",D2-Base!$G$6)</f>
        <v>6.2863999999999933</v>
      </c>
      <c r="E9" s="24">
        <f>IF(E2="","",E2-Base!$G$6)</f>
        <v>5.8863999999999876</v>
      </c>
      <c r="F9" s="24">
        <f>IF(F2="","",F2-Base!$G$6)</f>
        <v>5.1863999999999848</v>
      </c>
      <c r="G9" s="24">
        <f>IF(G2="","",G2-Base!$G$6)</f>
        <v>5.1863999999999848</v>
      </c>
      <c r="H9" s="24">
        <f>IF(H2="","",H2-Base!$G$6)</f>
        <v>5.0863999999999905</v>
      </c>
      <c r="I9" s="24">
        <f>IF(I2="","",I2-Base!$G$6)</f>
        <v>6.0863999999999905</v>
      </c>
      <c r="J9" s="24">
        <f>IF(J2="","",J2-Base!$G$6)</f>
        <v>5.3863999999999876</v>
      </c>
      <c r="K9" s="24">
        <f>IF(K2="","",K2-Base!$G$6)</f>
        <v>4.8863999999999876</v>
      </c>
      <c r="L9" s="24">
        <f>IF(L2="","",L2-Base!$G$6)</f>
        <v>4.9863999999999962</v>
      </c>
      <c r="M9" s="24">
        <f>IF(M2="","",M2-Base!$G$6)</f>
        <v>4.9863999999999962</v>
      </c>
      <c r="N9" s="24">
        <f>IF(N2="","",N2-Base!$G$6)</f>
        <v>4.5863999999999905</v>
      </c>
      <c r="O9" s="24">
        <f>IF(O2="","",O2-Base!$G$6)</f>
        <v>4.9863999999999962</v>
      </c>
      <c r="P9" s="24">
        <f>IF(P2="","",P2-Base!$G$6)</f>
        <v>5.3863999999999876</v>
      </c>
      <c r="Q9" s="24">
        <f>IF(Q2="","",Q2-Base!$G$6)</f>
        <v>5.3863999999999876</v>
      </c>
      <c r="R9" s="24">
        <f>IF(R2="","",R2-Base!$G$6)</f>
        <v>4.9863999999999962</v>
      </c>
      <c r="S9" s="24">
        <f>IF(S2="","",S2-Base!$G$6)</f>
        <v>4.9863999999999962</v>
      </c>
      <c r="T9" s="24">
        <f>IF(T2="","",T2-Base!$G$6)</f>
        <v>5.4863999999999962</v>
      </c>
      <c r="U9" s="24">
        <f>IF(U2="","",U2-Base!$G$6)</f>
        <v>4.7863999999999933</v>
      </c>
      <c r="V9" s="24">
        <f>IF(V2="","",V2-Base!$G$6)</f>
        <v>5.2863999999999933</v>
      </c>
      <c r="W9" s="24">
        <f>IF(W2="","",W2-Base!$G$6)</f>
        <v>5.6863999999999848</v>
      </c>
      <c r="X9" s="24">
        <f>IF(X2="","",X2-Base!$G$6)</f>
        <v>4.8863999999999876</v>
      </c>
      <c r="Y9" s="24">
        <f>IF(Y2="","",Y2-Base!$G$6)</f>
        <v>4.7863999999999933</v>
      </c>
      <c r="Z9" s="24">
        <f>IF(Z2="","",Z2-Base!$G$6)</f>
        <v>4.9863999999999962</v>
      </c>
      <c r="AA9" s="24">
        <f>IF(AA2="","",AA2-Base!$G$6)</f>
        <v>4.8863999999999876</v>
      </c>
      <c r="AB9" s="24">
        <f>IF(AB2="","",AB2-Base!$G$6)</f>
        <v>4.5863999999999905</v>
      </c>
      <c r="AC9" s="24">
        <f>IF(AC2="","",AC2-Base!$G$6)</f>
        <v>4.9863999999999962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'10'!D17</f>
        <v>65.900000000000006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21">
      <c r="B13" s="32">
        <f>B$1</f>
        <v>44137</v>
      </c>
      <c r="C13" s="32">
        <f>H$1</f>
        <v>44143</v>
      </c>
      <c r="D13" s="33">
        <f>ROUNDDOWN(AVERAGE(B2:H2),2)</f>
        <v>65.7</v>
      </c>
      <c r="E13" s="17">
        <f>I11-D13</f>
        <v>0.20000000000000284</v>
      </c>
      <c r="F13" s="17">
        <f>SUM(B5:H5)</f>
        <v>2645</v>
      </c>
      <c r="G13" s="17">
        <f>F13/7700</f>
        <v>0.34350649350649348</v>
      </c>
      <c r="H13" s="17">
        <f>(G13-E13)*7700</f>
        <v>1104.9999999999779</v>
      </c>
      <c r="I13" s="17">
        <f>SUM(B3:H3)</f>
        <v>4507</v>
      </c>
      <c r="J13" s="17">
        <f>SUM(B4:H4)</f>
        <v>10262</v>
      </c>
      <c r="K13" s="17">
        <f>J13/7</f>
        <v>1466</v>
      </c>
      <c r="M13" s="17">
        <f>SUM(B5:F5)</f>
        <v>2984</v>
      </c>
      <c r="N13" s="17">
        <f>G5+H5</f>
        <v>-339</v>
      </c>
    </row>
    <row r="14" spans="1:221">
      <c r="B14" s="32">
        <f t="shared" ref="B14:C16" si="6">B13+7</f>
        <v>44144</v>
      </c>
      <c r="C14" s="32">
        <f t="shared" si="6"/>
        <v>44150</v>
      </c>
      <c r="D14" s="33">
        <f>ROUNDDOWN(AVERAGE(I2:O2),2)</f>
        <v>65.040000000000006</v>
      </c>
      <c r="E14" s="17">
        <f>D13-D14</f>
        <v>0.65999999999999659</v>
      </c>
      <c r="F14" s="17">
        <f>SUM($I$5:$O$5)</f>
        <v>2090</v>
      </c>
      <c r="G14" s="17">
        <f>F14/7700</f>
        <v>0.27142857142857141</v>
      </c>
      <c r="H14" s="17">
        <f>(G14-E14)*7700</f>
        <v>-2991.9999999999741</v>
      </c>
      <c r="I14" s="17">
        <f>SUM($I$3:$O$3)</f>
        <v>3327</v>
      </c>
      <c r="J14" s="17">
        <f>SUM($I$4:$O$4)</f>
        <v>9637</v>
      </c>
      <c r="K14" s="17">
        <f>J14/7</f>
        <v>1376.7142857142858</v>
      </c>
      <c r="M14" s="17">
        <f>SUM(I5:M5)</f>
        <v>2216</v>
      </c>
      <c r="N14" s="17">
        <f>N5+O5</f>
        <v>-126</v>
      </c>
    </row>
    <row r="15" spans="1:221">
      <c r="B15" s="32">
        <f t="shared" si="6"/>
        <v>44151</v>
      </c>
      <c r="C15" s="32">
        <f t="shared" si="6"/>
        <v>44157</v>
      </c>
      <c r="D15" s="33">
        <f>ROUNDDOWN(AVERAGE(P2:V2),2)</f>
        <v>65.099999999999994</v>
      </c>
      <c r="E15" s="17">
        <f>D14-D15</f>
        <v>-5.9999999999988063E-2</v>
      </c>
      <c r="F15" s="17">
        <f>SUM($P$5:$V$5)</f>
        <v>714</v>
      </c>
      <c r="G15" s="17">
        <f>F15/7700</f>
        <v>9.2727272727272728E-2</v>
      </c>
      <c r="H15" s="17">
        <f>(G15-E15)*7700</f>
        <v>1175.9999999999079</v>
      </c>
      <c r="I15" s="17">
        <f>SUM($P$3:$V$3)</f>
        <v>2995</v>
      </c>
      <c r="J15" s="17">
        <f>SUM($P$4:$V$4)</f>
        <v>10681</v>
      </c>
      <c r="K15" s="17">
        <f>J15/7</f>
        <v>1525.8571428571429</v>
      </c>
      <c r="M15" s="17">
        <f>SUM(P5:T5)</f>
        <v>1294</v>
      </c>
      <c r="N15" s="17">
        <f>U5+V5</f>
        <v>-580</v>
      </c>
      <c r="P15" s="17" t="s">
        <v>86</v>
      </c>
    </row>
    <row r="16" spans="1:221">
      <c r="B16" s="32">
        <f t="shared" si="6"/>
        <v>44158</v>
      </c>
      <c r="C16" s="32">
        <f t="shared" si="6"/>
        <v>44164</v>
      </c>
      <c r="D16" s="33">
        <f>ROUNDDOWN(AVERAGE(W2:AC2),2)</f>
        <v>64.88</v>
      </c>
      <c r="E16" s="17">
        <f>D15-D16</f>
        <v>0.21999999999999886</v>
      </c>
      <c r="F16" s="17">
        <f>SUM($W$5:$AC$5)</f>
        <v>617</v>
      </c>
      <c r="G16" s="17">
        <f>F16/7700</f>
        <v>8.0129870129870134E-2</v>
      </c>
      <c r="H16" s="17">
        <f>(G16-E16)*7700</f>
        <v>-1076.9999999999911</v>
      </c>
      <c r="I16" s="17">
        <f>SUM($W$3:$AC$3)</f>
        <v>3973</v>
      </c>
      <c r="J16" s="17">
        <f>SUM($W$4:$AC$4)</f>
        <v>11756</v>
      </c>
      <c r="K16" s="17">
        <f>J16/7</f>
        <v>1679.4285714285713</v>
      </c>
      <c r="M16" s="17">
        <f>SUM(W5:AA5)</f>
        <v>2481</v>
      </c>
      <c r="N16" s="17">
        <f>SUM(AB5:AC5)</f>
        <v>-1864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7">SUM(E13:E18)</f>
        <v>1.0200000000000102</v>
      </c>
      <c r="F19" s="17">
        <f t="shared" si="7"/>
        <v>6066</v>
      </c>
      <c r="G19" s="17">
        <f t="shared" si="7"/>
        <v>0.78779220779220782</v>
      </c>
      <c r="H19" s="17">
        <f t="shared" si="7"/>
        <v>-1788.0000000000794</v>
      </c>
      <c r="I19" s="17">
        <f t="shared" si="7"/>
        <v>14802</v>
      </c>
      <c r="J19" s="17">
        <f t="shared" si="7"/>
        <v>42336</v>
      </c>
      <c r="M19" s="17">
        <f>SUM(M13:M18)</f>
        <v>8975</v>
      </c>
      <c r="N19" s="17">
        <f>SUM(N13:N18)</f>
        <v>-2909</v>
      </c>
    </row>
    <row r="20" spans="1:14">
      <c r="A20" s="19" t="s">
        <v>46</v>
      </c>
      <c r="D20" s="17">
        <f>AVERAGE(D13:D16)</f>
        <v>65.180000000000007</v>
      </c>
      <c r="E20" s="17">
        <f>AVERAGE(E13:E16)</f>
        <v>0.25500000000000256</v>
      </c>
      <c r="F20" s="17">
        <f>AVERAGE(F13:F16)</f>
        <v>1516.5</v>
      </c>
      <c r="G20" s="17">
        <f>AVERAGE(G13:G16)</f>
        <v>0.19694805194805196</v>
      </c>
      <c r="H20" s="17">
        <f>AVERAGE(H13:H16)/7</f>
        <v>-63.857142857145689</v>
      </c>
      <c r="I20" s="17">
        <f>AVERAGE(I13:I16)/7</f>
        <v>528.64285714285711</v>
      </c>
      <c r="J20" s="17">
        <f>AVERAGE(J13:J16)/7</f>
        <v>1512</v>
      </c>
      <c r="K20" s="17">
        <f>AVERAGE(K13:K16)</f>
        <v>1512</v>
      </c>
      <c r="L20" s="17">
        <f>J20-I20</f>
        <v>983.35714285714289</v>
      </c>
      <c r="M20" s="17">
        <f>AVERAGE(M13:M18)/5</f>
        <v>448.75</v>
      </c>
      <c r="N20" s="17">
        <f>AVERAGE(N13:N18)/2</f>
        <v>-363.625</v>
      </c>
    </row>
    <row r="21" spans="1:14" ht="15">
      <c r="A21" s="30" t="s">
        <v>75</v>
      </c>
      <c r="D21" s="17">
        <f>MIN(B$2:AJ$2)</f>
        <v>64.5</v>
      </c>
      <c r="F21" s="17">
        <f>F20/7</f>
        <v>216.64285714285714</v>
      </c>
    </row>
    <row r="22" spans="1:14" ht="15">
      <c r="A22" s="30" t="s">
        <v>76</v>
      </c>
      <c r="D22" s="17">
        <f>MAX(B$2:AJ$2)</f>
        <v>66.8</v>
      </c>
    </row>
    <row r="23" spans="1:14">
      <c r="A23" s="19" t="s">
        <v>77</v>
      </c>
      <c r="D23" s="17">
        <f>AVERAGE(B$2:AJ$2)</f>
        <v>65.182142857142864</v>
      </c>
    </row>
  </sheetData>
  <phoneticPr fontId="15" type="noConversion"/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3"/>
  <sheetViews>
    <sheetView workbookViewId="0">
      <selection activeCell="I20" sqref="I20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44165</v>
      </c>
      <c r="C1" s="16">
        <v>44166</v>
      </c>
      <c r="D1" s="16">
        <v>44167</v>
      </c>
      <c r="E1" s="16">
        <v>44168</v>
      </c>
      <c r="F1" s="16">
        <v>44169</v>
      </c>
      <c r="G1" s="16">
        <v>44170</v>
      </c>
      <c r="H1" s="16">
        <v>44171</v>
      </c>
      <c r="I1" s="15">
        <v>44172</v>
      </c>
      <c r="J1" s="16">
        <v>44173</v>
      </c>
      <c r="K1" s="16">
        <v>44174</v>
      </c>
      <c r="L1" s="16">
        <v>44175</v>
      </c>
      <c r="M1" s="16">
        <v>44176</v>
      </c>
      <c r="N1" s="16">
        <v>44177</v>
      </c>
      <c r="O1" s="16">
        <v>44178</v>
      </c>
      <c r="P1" s="15">
        <v>44179</v>
      </c>
      <c r="Q1" s="16">
        <v>44180</v>
      </c>
      <c r="R1" s="16">
        <v>44181</v>
      </c>
      <c r="S1" s="16">
        <v>44182</v>
      </c>
      <c r="T1" s="16">
        <v>44183</v>
      </c>
      <c r="U1" s="16">
        <v>44184</v>
      </c>
      <c r="V1" s="16">
        <v>44185</v>
      </c>
      <c r="W1" s="15">
        <v>44186</v>
      </c>
      <c r="X1" s="16">
        <v>44187</v>
      </c>
      <c r="Y1" s="16">
        <v>44188</v>
      </c>
      <c r="Z1" s="16">
        <v>44189</v>
      </c>
      <c r="AA1" s="16">
        <v>44190</v>
      </c>
      <c r="AB1" s="16">
        <v>44191</v>
      </c>
      <c r="AC1" s="16">
        <v>44192</v>
      </c>
      <c r="AD1" s="15">
        <v>44193</v>
      </c>
      <c r="AE1" s="16">
        <v>44194</v>
      </c>
      <c r="AF1" s="16">
        <v>44195</v>
      </c>
      <c r="AG1" s="16">
        <v>44196</v>
      </c>
      <c r="AH1" s="16">
        <v>44197</v>
      </c>
      <c r="AI1" s="16">
        <v>44198</v>
      </c>
      <c r="AJ1" s="16">
        <v>44199</v>
      </c>
    </row>
    <row r="2" spans="1:221">
      <c r="A2" s="14" t="s">
        <v>27</v>
      </c>
      <c r="B2" s="18">
        <v>65.400000000000006</v>
      </c>
      <c r="C2" s="18">
        <v>64.5</v>
      </c>
      <c r="D2" s="18">
        <v>64.7</v>
      </c>
      <c r="E2" s="18">
        <v>64.400000000000006</v>
      </c>
      <c r="F2" s="18">
        <v>64.3</v>
      </c>
      <c r="G2" s="18">
        <v>64.2</v>
      </c>
      <c r="H2" s="18">
        <v>64.5</v>
      </c>
      <c r="I2" s="18">
        <v>65.5</v>
      </c>
      <c r="J2" s="18">
        <v>64.900000000000006</v>
      </c>
      <c r="K2" s="18">
        <v>64.5</v>
      </c>
      <c r="L2" s="18">
        <v>64.3</v>
      </c>
      <c r="M2" s="18">
        <v>64.099999999999994</v>
      </c>
      <c r="N2" s="18">
        <v>63.9</v>
      </c>
      <c r="O2" s="18">
        <v>63.8</v>
      </c>
      <c r="P2" s="18">
        <v>64.900000000000006</v>
      </c>
      <c r="Q2" s="18">
        <v>64.3</v>
      </c>
      <c r="R2" s="18">
        <v>63.9</v>
      </c>
      <c r="S2" s="18">
        <v>64</v>
      </c>
      <c r="T2" s="18">
        <v>63.9</v>
      </c>
      <c r="U2" s="18">
        <v>63.8</v>
      </c>
      <c r="V2" s="18">
        <v>63.6</v>
      </c>
      <c r="W2" s="18">
        <v>64</v>
      </c>
      <c r="X2" s="18">
        <v>64.099999999999994</v>
      </c>
      <c r="Y2" s="18">
        <v>63.3</v>
      </c>
      <c r="Z2" s="18">
        <v>63.3</v>
      </c>
      <c r="AA2" s="18">
        <v>63.2</v>
      </c>
      <c r="AB2" s="18">
        <v>63.2</v>
      </c>
      <c r="AC2" s="18">
        <v>64.099999999999994</v>
      </c>
      <c r="AD2" s="18">
        <v>63.6</v>
      </c>
      <c r="AE2" s="18">
        <v>63.3</v>
      </c>
      <c r="AF2" s="18">
        <v>62.9</v>
      </c>
      <c r="AG2" s="18">
        <v>62.6</v>
      </c>
      <c r="AH2" s="18">
        <v>62.7</v>
      </c>
      <c r="AI2" s="18">
        <v>62.7</v>
      </c>
      <c r="AJ2" s="18">
        <v>63.5</v>
      </c>
    </row>
    <row r="3" spans="1:221">
      <c r="A3" s="19" t="s">
        <v>32</v>
      </c>
      <c r="B3" s="18">
        <v>887</v>
      </c>
      <c r="C3" s="18">
        <v>696</v>
      </c>
      <c r="D3" s="18">
        <v>571</v>
      </c>
      <c r="E3" s="18">
        <v>919</v>
      </c>
      <c r="F3" s="18">
        <v>325</v>
      </c>
      <c r="G3" s="18">
        <v>531</v>
      </c>
      <c r="H3" s="18">
        <v>448</v>
      </c>
      <c r="I3" s="18">
        <v>464</v>
      </c>
      <c r="J3" s="18">
        <v>578</v>
      </c>
      <c r="K3" s="18">
        <v>456</v>
      </c>
      <c r="L3" s="18">
        <v>713</v>
      </c>
      <c r="M3" s="18">
        <v>301</v>
      </c>
      <c r="N3" s="18">
        <v>261</v>
      </c>
      <c r="O3" s="18">
        <v>403</v>
      </c>
      <c r="P3" s="18">
        <v>634</v>
      </c>
      <c r="Q3" s="18">
        <v>481</v>
      </c>
      <c r="R3" s="18">
        <v>605</v>
      </c>
      <c r="S3" s="18">
        <v>476</v>
      </c>
      <c r="T3" s="18">
        <v>376</v>
      </c>
      <c r="U3" s="18">
        <v>427</v>
      </c>
      <c r="V3" s="18">
        <v>482</v>
      </c>
      <c r="W3" s="18">
        <v>620</v>
      </c>
      <c r="X3" s="18">
        <v>490</v>
      </c>
      <c r="Y3" s="18">
        <v>479</v>
      </c>
      <c r="Z3" s="18">
        <v>615</v>
      </c>
      <c r="AA3" s="18">
        <v>470</v>
      </c>
      <c r="AB3" s="18">
        <v>483</v>
      </c>
      <c r="AC3" s="18">
        <v>479</v>
      </c>
      <c r="AD3" s="17">
        <v>601</v>
      </c>
      <c r="AE3" s="18">
        <v>291</v>
      </c>
      <c r="AF3" s="18">
        <v>423</v>
      </c>
      <c r="AG3" s="18">
        <v>451</v>
      </c>
      <c r="AH3" s="18">
        <v>153</v>
      </c>
      <c r="AI3" s="18">
        <v>239</v>
      </c>
      <c r="AJ3" s="18">
        <v>392</v>
      </c>
    </row>
    <row r="4" spans="1:221">
      <c r="A4" s="19" t="s">
        <v>31</v>
      </c>
      <c r="B4" s="17">
        <v>1183</v>
      </c>
      <c r="C4" s="17">
        <v>1494</v>
      </c>
      <c r="D4" s="17">
        <v>1029</v>
      </c>
      <c r="E4" s="17">
        <v>1327</v>
      </c>
      <c r="F4" s="17">
        <v>1312</v>
      </c>
      <c r="G4" s="17">
        <v>1717</v>
      </c>
      <c r="H4" s="17">
        <v>1721</v>
      </c>
      <c r="I4" s="17">
        <v>1334</v>
      </c>
      <c r="J4" s="17">
        <v>1380</v>
      </c>
      <c r="K4" s="17">
        <v>1522</v>
      </c>
      <c r="L4" s="17">
        <v>883</v>
      </c>
      <c r="M4" s="17">
        <v>1273</v>
      </c>
      <c r="N4" s="17">
        <v>1397</v>
      </c>
      <c r="O4" s="17">
        <v>1796</v>
      </c>
      <c r="P4" s="17">
        <v>1233</v>
      </c>
      <c r="Q4" s="17">
        <v>1360</v>
      </c>
      <c r="R4" s="17">
        <v>1240</v>
      </c>
      <c r="S4" s="17">
        <v>1150</v>
      </c>
      <c r="T4" s="17">
        <v>1388</v>
      </c>
      <c r="U4" s="17">
        <v>1441</v>
      </c>
      <c r="V4" s="17">
        <v>1699</v>
      </c>
      <c r="W4" s="17">
        <v>1368</v>
      </c>
      <c r="X4" s="17">
        <v>1195</v>
      </c>
      <c r="Y4" s="17">
        <v>1119</v>
      </c>
      <c r="Z4" s="17">
        <v>1105</v>
      </c>
      <c r="AA4" s="17">
        <v>1409</v>
      </c>
      <c r="AB4" s="17">
        <v>2786</v>
      </c>
      <c r="AC4" s="17">
        <v>1095</v>
      </c>
      <c r="AD4" s="17">
        <v>974</v>
      </c>
      <c r="AE4" s="17">
        <v>1156</v>
      </c>
      <c r="AF4" s="17">
        <v>585</v>
      </c>
      <c r="AG4" s="17">
        <v>1038</v>
      </c>
      <c r="AH4" s="17">
        <v>1411</v>
      </c>
      <c r="AI4" s="17">
        <v>3204</v>
      </c>
      <c r="AJ4" s="17">
        <v>1856</v>
      </c>
    </row>
    <row r="5" spans="1:221">
      <c r="A5" s="19" t="s">
        <v>33</v>
      </c>
      <c r="B5" s="17">
        <f>$B$11+B3-B4-$F$11</f>
        <v>904</v>
      </c>
      <c r="C5" s="17">
        <f t="shared" ref="C5:AD5" si="0">$B$11+C3-C4-$F$11</f>
        <v>402</v>
      </c>
      <c r="D5" s="17">
        <f t="shared" si="0"/>
        <v>742</v>
      </c>
      <c r="E5" s="17">
        <f t="shared" si="0"/>
        <v>792</v>
      </c>
      <c r="F5" s="17">
        <f t="shared" si="0"/>
        <v>213</v>
      </c>
      <c r="G5" s="17">
        <f t="shared" si="0"/>
        <v>14</v>
      </c>
      <c r="H5" s="17">
        <f t="shared" si="0"/>
        <v>-73</v>
      </c>
      <c r="I5" s="17">
        <f t="shared" si="0"/>
        <v>330</v>
      </c>
      <c r="J5" s="17">
        <f t="shared" si="0"/>
        <v>398</v>
      </c>
      <c r="K5" s="17">
        <f t="shared" si="0"/>
        <v>134</v>
      </c>
      <c r="L5" s="17">
        <f t="shared" si="0"/>
        <v>1030</v>
      </c>
      <c r="M5" s="17">
        <f t="shared" si="0"/>
        <v>228</v>
      </c>
      <c r="N5" s="17">
        <f t="shared" si="0"/>
        <v>64</v>
      </c>
      <c r="O5" s="17">
        <f t="shared" si="0"/>
        <v>-193</v>
      </c>
      <c r="P5" s="17">
        <f t="shared" si="0"/>
        <v>601</v>
      </c>
      <c r="Q5" s="17">
        <f t="shared" si="0"/>
        <v>321</v>
      </c>
      <c r="R5" s="17">
        <f t="shared" si="0"/>
        <v>565</v>
      </c>
      <c r="S5" s="17">
        <f t="shared" si="0"/>
        <v>526</v>
      </c>
      <c r="T5" s="17">
        <f t="shared" si="0"/>
        <v>188</v>
      </c>
      <c r="U5" s="17">
        <f t="shared" si="0"/>
        <v>186</v>
      </c>
      <c r="V5" s="17">
        <f t="shared" si="0"/>
        <v>-17</v>
      </c>
      <c r="W5" s="17">
        <f t="shared" si="0"/>
        <v>452</v>
      </c>
      <c r="X5" s="17">
        <f t="shared" si="0"/>
        <v>495</v>
      </c>
      <c r="Y5" s="17">
        <f t="shared" si="0"/>
        <v>560</v>
      </c>
      <c r="Z5" s="17">
        <f t="shared" si="0"/>
        <v>710</v>
      </c>
      <c r="AA5" s="17">
        <f t="shared" si="0"/>
        <v>261</v>
      </c>
      <c r="AB5" s="17">
        <f t="shared" si="0"/>
        <v>-1103</v>
      </c>
      <c r="AC5" s="17">
        <f t="shared" si="0"/>
        <v>584</v>
      </c>
      <c r="AD5" s="17">
        <f t="shared" si="0"/>
        <v>827</v>
      </c>
      <c r="AE5" s="17">
        <f t="shared" ref="AE5:AJ5" si="1">$B$11+AE3-AE4-$F$11</f>
        <v>335</v>
      </c>
      <c r="AF5" s="17">
        <f t="shared" si="1"/>
        <v>1038</v>
      </c>
      <c r="AG5" s="17">
        <f t="shared" si="1"/>
        <v>613</v>
      </c>
      <c r="AH5" s="17">
        <f t="shared" si="1"/>
        <v>-58</v>
      </c>
      <c r="AI5" s="17">
        <f t="shared" si="1"/>
        <v>-1765</v>
      </c>
      <c r="AJ5" s="17">
        <f t="shared" si="1"/>
        <v>-264</v>
      </c>
    </row>
    <row r="6" spans="1:221" ht="8.4499999999999993" hidden="1" customHeight="1">
      <c r="A6" s="19" t="s">
        <v>36</v>
      </c>
      <c r="B6" s="20">
        <f>B5/7700</f>
        <v>0.1174025974025974</v>
      </c>
      <c r="C6" s="20">
        <f t="shared" ref="C6:AD6" si="2">C5/7700</f>
        <v>5.220779220779221E-2</v>
      </c>
      <c r="D6" s="20">
        <f t="shared" si="2"/>
        <v>9.636363636363636E-2</v>
      </c>
      <c r="E6" s="20">
        <f t="shared" si="2"/>
        <v>0.10285714285714286</v>
      </c>
      <c r="F6" s="20">
        <f t="shared" si="2"/>
        <v>2.7662337662337663E-2</v>
      </c>
      <c r="G6" s="20">
        <f t="shared" si="2"/>
        <v>1.8181818181818182E-3</v>
      </c>
      <c r="H6" s="20">
        <f t="shared" si="2"/>
        <v>-9.4805194805194799E-3</v>
      </c>
      <c r="I6" s="20">
        <f t="shared" si="2"/>
        <v>4.2857142857142858E-2</v>
      </c>
      <c r="J6" s="20">
        <f t="shared" si="2"/>
        <v>5.1688311688311686E-2</v>
      </c>
      <c r="K6" s="20">
        <f t="shared" si="2"/>
        <v>1.7402597402597402E-2</v>
      </c>
      <c r="L6" s="20">
        <f t="shared" si="2"/>
        <v>0.13376623376623376</v>
      </c>
      <c r="M6" s="20">
        <f t="shared" si="2"/>
        <v>2.9610389610389611E-2</v>
      </c>
      <c r="N6" s="20">
        <f t="shared" si="2"/>
        <v>8.3116883116883117E-3</v>
      </c>
      <c r="O6" s="20">
        <f t="shared" si="2"/>
        <v>-2.5064935064935064E-2</v>
      </c>
      <c r="P6" s="20">
        <f t="shared" si="2"/>
        <v>7.8051948051948053E-2</v>
      </c>
      <c r="Q6" s="20">
        <f t="shared" si="2"/>
        <v>4.1688311688311691E-2</v>
      </c>
      <c r="R6" s="20">
        <f t="shared" si="2"/>
        <v>7.3376623376623373E-2</v>
      </c>
      <c r="S6" s="20">
        <f t="shared" si="2"/>
        <v>6.8311688311688309E-2</v>
      </c>
      <c r="T6" s="20">
        <f t="shared" si="2"/>
        <v>2.4415584415584415E-2</v>
      </c>
      <c r="U6" s="20">
        <f t="shared" si="2"/>
        <v>2.4155844155844156E-2</v>
      </c>
      <c r="V6" s="20">
        <f t="shared" si="2"/>
        <v>-2.207792207792208E-3</v>
      </c>
      <c r="W6" s="20">
        <f t="shared" si="2"/>
        <v>5.8701298701298699E-2</v>
      </c>
      <c r="X6" s="20">
        <f t="shared" si="2"/>
        <v>6.4285714285714279E-2</v>
      </c>
      <c r="Y6" s="20">
        <f t="shared" si="2"/>
        <v>7.2727272727272724E-2</v>
      </c>
      <c r="Z6" s="20">
        <f t="shared" si="2"/>
        <v>9.2207792207792211E-2</v>
      </c>
      <c r="AA6" s="20">
        <f t="shared" si="2"/>
        <v>3.3896103896103896E-2</v>
      </c>
      <c r="AB6" s="20">
        <f t="shared" si="2"/>
        <v>-0.14324675324675323</v>
      </c>
      <c r="AC6" s="20">
        <f t="shared" si="2"/>
        <v>7.5844155844155839E-2</v>
      </c>
      <c r="AD6" s="20">
        <f t="shared" si="2"/>
        <v>0.1074025974025974</v>
      </c>
      <c r="AE6" s="20">
        <f t="shared" ref="AE6:AJ6" si="3">AE5/7700</f>
        <v>4.3506493506493507E-2</v>
      </c>
      <c r="AF6" s="20">
        <f t="shared" si="3"/>
        <v>0.13480519480519482</v>
      </c>
      <c r="AG6" s="20">
        <f t="shared" si="3"/>
        <v>7.9610389610389604E-2</v>
      </c>
      <c r="AH6" s="20">
        <f t="shared" si="3"/>
        <v>-7.5324675324675329E-3</v>
      </c>
      <c r="AI6" s="20">
        <f t="shared" si="3"/>
        <v>-0.22922077922077921</v>
      </c>
      <c r="AJ6" s="20">
        <f t="shared" si="3"/>
        <v>-3.4285714285714287E-2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D8" si="4">IF(D2=0,"",IF(D2-C2&gt;0,"N",IF(D2-C2=0,"=","Y")))</f>
        <v>N</v>
      </c>
      <c r="E8" s="22" t="str">
        <f t="shared" si="4"/>
        <v>Y</v>
      </c>
      <c r="F8" s="22" t="str">
        <f t="shared" si="4"/>
        <v>Y</v>
      </c>
      <c r="G8" s="22" t="str">
        <f t="shared" si="4"/>
        <v>Y</v>
      </c>
      <c r="H8" s="22" t="str">
        <f t="shared" si="4"/>
        <v>N</v>
      </c>
      <c r="I8" s="22" t="str">
        <f t="shared" si="4"/>
        <v>N</v>
      </c>
      <c r="J8" s="22" t="str">
        <f t="shared" si="4"/>
        <v>Y</v>
      </c>
      <c r="K8" s="22" t="str">
        <f t="shared" si="4"/>
        <v>Y</v>
      </c>
      <c r="L8" s="22" t="str">
        <f t="shared" si="4"/>
        <v>Y</v>
      </c>
      <c r="M8" s="22" t="str">
        <f t="shared" si="4"/>
        <v>Y</v>
      </c>
      <c r="N8" s="22" t="str">
        <f t="shared" si="4"/>
        <v>Y</v>
      </c>
      <c r="O8" s="22" t="str">
        <f t="shared" si="4"/>
        <v>Y</v>
      </c>
      <c r="P8" s="22" t="str">
        <f t="shared" si="4"/>
        <v>N</v>
      </c>
      <c r="Q8" s="22" t="str">
        <f t="shared" si="4"/>
        <v>Y</v>
      </c>
      <c r="R8" s="22" t="str">
        <f>IF(R2=0,"",IF(R2-Q2&gt;0,"N",IF(R2-Q2=0,"=","Y")))</f>
        <v>Y</v>
      </c>
      <c r="S8" s="22" t="str">
        <f>IF(S2=0,"",IF(S2-R2&gt;0,"N",IF(S2-R2=0,"=","Y")))</f>
        <v>N</v>
      </c>
      <c r="T8" s="22" t="str">
        <f t="shared" si="4"/>
        <v>Y</v>
      </c>
      <c r="U8" s="22" t="str">
        <f t="shared" si="4"/>
        <v>Y</v>
      </c>
      <c r="V8" s="22" t="str">
        <f t="shared" si="4"/>
        <v>Y</v>
      </c>
      <c r="W8" s="22" t="str">
        <f t="shared" si="4"/>
        <v>N</v>
      </c>
      <c r="X8" s="22" t="str">
        <f t="shared" si="4"/>
        <v>N</v>
      </c>
      <c r="Y8" s="22" t="str">
        <f t="shared" si="4"/>
        <v>Y</v>
      </c>
      <c r="Z8" s="22" t="str">
        <f t="shared" si="4"/>
        <v>=</v>
      </c>
      <c r="AA8" s="22" t="str">
        <f t="shared" si="4"/>
        <v>Y</v>
      </c>
      <c r="AB8" s="22" t="str">
        <f t="shared" si="4"/>
        <v>=</v>
      </c>
      <c r="AC8" s="22" t="str">
        <f t="shared" si="4"/>
        <v>N</v>
      </c>
      <c r="AD8" s="22" t="str">
        <f t="shared" si="4"/>
        <v>Y</v>
      </c>
      <c r="AE8" s="22" t="str">
        <f t="shared" ref="AE8" si="5">IF(AE2=0,"",IF(AE2-AD2&gt;0,"N",IF(AE2-AD2=0,"=","Y")))</f>
        <v>Y</v>
      </c>
      <c r="AF8" s="22" t="str">
        <f t="shared" ref="AF8" si="6">IF(AF2=0,"",IF(AF2-AE2&gt;0,"N",IF(AF2-AE2=0,"=","Y")))</f>
        <v>Y</v>
      </c>
      <c r="AG8" s="22" t="str">
        <f t="shared" ref="AG8" si="7">IF(AG2=0,"",IF(AG2-AF2&gt;0,"N",IF(AG2-AF2=0,"=","Y")))</f>
        <v>Y</v>
      </c>
      <c r="AH8" s="22" t="str">
        <f t="shared" ref="AH8" si="8">IF(AH2=0,"",IF(AH2-AG2&gt;0,"N",IF(AH2-AG2=0,"=","Y")))</f>
        <v>N</v>
      </c>
      <c r="AI8" s="22" t="str">
        <f t="shared" ref="AI8" si="9">IF(AI2=0,"",IF(AI2-AH2&gt;0,"N",IF(AI2-AH2=0,"=","Y")))</f>
        <v>=</v>
      </c>
      <c r="AJ8" s="22" t="str">
        <f t="shared" ref="AJ8" si="10">IF(AJ2=0,"",IF(AJ2-AI2&gt;0,"N",IF(AJ2-AI2=0,"=","Y")))</f>
        <v>N</v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>
        <f>IF(B2="","",B2-Base!$G$6)</f>
        <v>5.4863999999999962</v>
      </c>
      <c r="C9" s="24">
        <f>IF(C2="","",C2-Base!$G$6)</f>
        <v>4.5863999999999905</v>
      </c>
      <c r="D9" s="24">
        <f>IF(D2="","",D2-Base!$G$6)</f>
        <v>4.7863999999999933</v>
      </c>
      <c r="E9" s="24">
        <f>IF(E2="","",E2-Base!$G$6)</f>
        <v>4.4863999999999962</v>
      </c>
      <c r="F9" s="24">
        <f>IF(F2="","",F2-Base!$G$6)</f>
        <v>4.3863999999999876</v>
      </c>
      <c r="G9" s="24">
        <f>IF(G2="","",G2-Base!$G$6)</f>
        <v>4.2863999999999933</v>
      </c>
      <c r="H9" s="24">
        <f>IF(H2="","",H2-Base!$G$6)</f>
        <v>4.5863999999999905</v>
      </c>
      <c r="I9" s="24">
        <f>IF(I2="","",I2-Base!$G$6)</f>
        <v>5.5863999999999905</v>
      </c>
      <c r="J9" s="24">
        <f>IF(J2="","",J2-Base!$G$6)</f>
        <v>4.9863999999999962</v>
      </c>
      <c r="K9" s="24">
        <f>IF(K2="","",K2-Base!$G$6)</f>
        <v>4.5863999999999905</v>
      </c>
      <c r="L9" s="24">
        <f>IF(L2="","",L2-Base!$G$6)</f>
        <v>4.3863999999999876</v>
      </c>
      <c r="M9" s="24">
        <f>IF(M2="","",M2-Base!$G$6)</f>
        <v>4.1863999999999848</v>
      </c>
      <c r="N9" s="24">
        <f>IF(N2="","",N2-Base!$G$6)</f>
        <v>3.9863999999999891</v>
      </c>
      <c r="O9" s="24">
        <f>IF(O2="","",O2-Base!$G$6)</f>
        <v>3.8863999999999876</v>
      </c>
      <c r="P9" s="24">
        <f>IF(P2="","",P2-Base!$G$6)</f>
        <v>4.9863999999999962</v>
      </c>
      <c r="Q9" s="24">
        <f>IF(Q2="","",Q2-Base!$G$6)</f>
        <v>4.3863999999999876</v>
      </c>
      <c r="R9" s="24">
        <f>IF(R2="","",R2-Base!$G$6)</f>
        <v>3.9863999999999891</v>
      </c>
      <c r="S9" s="24">
        <f>IF(S2="","",S2-Base!$G$6)</f>
        <v>4.0863999999999905</v>
      </c>
      <c r="T9" s="24">
        <f>IF(T2="","",T2-Base!$G$6)</f>
        <v>3.9863999999999891</v>
      </c>
      <c r="U9" s="24">
        <f>IF(U2="","",U2-Base!$G$6)</f>
        <v>3.8863999999999876</v>
      </c>
      <c r="V9" s="24">
        <f>IF(V2="","",V2-Base!$G$6)</f>
        <v>3.6863999999999919</v>
      </c>
      <c r="W9" s="24">
        <f>IF(W2="","",W2-Base!$G$6)</f>
        <v>4.0863999999999905</v>
      </c>
      <c r="X9" s="24">
        <f>IF(X2="","",X2-Base!$G$6)</f>
        <v>4.1863999999999848</v>
      </c>
      <c r="Y9" s="24">
        <f>IF(Y2="","",Y2-Base!$G$6)</f>
        <v>3.3863999999999876</v>
      </c>
      <c r="Z9" s="24">
        <f>IF(Z2="","",Z2-Base!$G$6)</f>
        <v>3.3863999999999876</v>
      </c>
      <c r="AA9" s="24">
        <f>IF(AA2="","",AA2-Base!$G$6)</f>
        <v>3.2863999999999933</v>
      </c>
      <c r="AB9" s="24">
        <f>IF(AB2="","",AB2-Base!$G$6)</f>
        <v>3.2863999999999933</v>
      </c>
      <c r="AC9" s="24">
        <f>IF(AC2="","",AC2-Base!$G$6)</f>
        <v>4.1863999999999848</v>
      </c>
      <c r="AD9" s="24">
        <f>IF(AD2="","",AD2-Base!$G$6)</f>
        <v>3.6863999999999919</v>
      </c>
      <c r="AE9" s="24">
        <f>IF(AE2="","",AE2-Base!$G$6)</f>
        <v>3.3863999999999876</v>
      </c>
      <c r="AF9" s="24">
        <f>IF(AF2="","",AF2-Base!$G$6)</f>
        <v>2.9863999999999891</v>
      </c>
      <c r="AG9" s="24">
        <f>IF(AG2="","",AG2-Base!$G$6)</f>
        <v>2.6863999999999919</v>
      </c>
      <c r="AH9" s="24">
        <f>IF(AH2="","",AH2-Base!$G$6)</f>
        <v>2.7863999999999933</v>
      </c>
      <c r="AI9" s="24">
        <f>IF(AI2="","",AI2-Base!$G$6)</f>
        <v>2.7863999999999933</v>
      </c>
      <c r="AJ9" s="24">
        <f>IF(AJ2="","",AJ2-Base!$G$6)</f>
        <v>3.5863999999999905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1400</v>
      </c>
      <c r="D11" s="17" t="s">
        <v>67</v>
      </c>
      <c r="F11" s="17">
        <v>200</v>
      </c>
      <c r="H11" s="17" t="s">
        <v>68</v>
      </c>
      <c r="I11" s="17">
        <f>'11'!D16</f>
        <v>64.88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84</v>
      </c>
      <c r="N12" s="30" t="s">
        <v>85</v>
      </c>
      <c r="O12" s="30"/>
      <c r="P12" s="30"/>
      <c r="Q12" s="30"/>
      <c r="R12" s="30"/>
      <c r="S12" s="30"/>
    </row>
    <row r="13" spans="1:221">
      <c r="B13" s="32">
        <f>B$1</f>
        <v>44165</v>
      </c>
      <c r="C13" s="32">
        <f>H$1</f>
        <v>44171</v>
      </c>
      <c r="D13" s="33">
        <f>ROUNDDOWN(AVERAGE(B2:H2),2)</f>
        <v>64.569999999999993</v>
      </c>
      <c r="E13" s="17">
        <f>I11-D13</f>
        <v>0.31000000000000227</v>
      </c>
      <c r="F13" s="17">
        <f>SUM(B5:H5)</f>
        <v>2994</v>
      </c>
      <c r="G13" s="17">
        <f>F13/7700</f>
        <v>0.38883116883116881</v>
      </c>
      <c r="H13" s="17">
        <f>(G13-E13)*7700</f>
        <v>606.99999999998226</v>
      </c>
      <c r="I13" s="17">
        <f>SUM(B3:H3)</f>
        <v>4377</v>
      </c>
      <c r="J13" s="17">
        <f>SUM(B4:H4)</f>
        <v>9783</v>
      </c>
      <c r="K13" s="17">
        <f>J13/7</f>
        <v>1397.5714285714287</v>
      </c>
      <c r="M13" s="17">
        <f>SUM(B5:F5)</f>
        <v>3053</v>
      </c>
      <c r="N13" s="17">
        <f>G5+H5</f>
        <v>-59</v>
      </c>
    </row>
    <row r="14" spans="1:221">
      <c r="B14" s="32">
        <f t="shared" ref="B14:C17" si="14">B13+7</f>
        <v>44172</v>
      </c>
      <c r="C14" s="32">
        <f t="shared" si="14"/>
        <v>44178</v>
      </c>
      <c r="D14" s="33">
        <f>ROUNDDOWN(AVERAGE(I2:O2),2)</f>
        <v>64.42</v>
      </c>
      <c r="E14" s="17">
        <f>D13-D14</f>
        <v>0.14999999999999147</v>
      </c>
      <c r="F14" s="17">
        <f>SUM($I$5:$O$5)</f>
        <v>1991</v>
      </c>
      <c r="G14" s="17">
        <f>F14/7700</f>
        <v>0.25857142857142856</v>
      </c>
      <c r="H14" s="17">
        <f>(G14-E14)*7700</f>
        <v>836.0000000000656</v>
      </c>
      <c r="I14" s="17">
        <f>SUM($I$3:$O$3)</f>
        <v>3176</v>
      </c>
      <c r="J14" s="17">
        <f>SUM($I$4:$O$4)</f>
        <v>9585</v>
      </c>
      <c r="K14" s="17">
        <f>J14/7</f>
        <v>1369.2857142857142</v>
      </c>
      <c r="M14" s="17">
        <f>SUM(I5:M5)</f>
        <v>2120</v>
      </c>
      <c r="N14" s="17">
        <f>N5+O5</f>
        <v>-129</v>
      </c>
    </row>
    <row r="15" spans="1:221">
      <c r="B15" s="32">
        <f t="shared" si="14"/>
        <v>44179</v>
      </c>
      <c r="C15" s="32">
        <f t="shared" si="14"/>
        <v>44185</v>
      </c>
      <c r="D15" s="33">
        <f>ROUNDDOWN(AVERAGE(P2:V2),2)</f>
        <v>64.05</v>
      </c>
      <c r="E15" s="17">
        <f>D14-D15</f>
        <v>0.37000000000000455</v>
      </c>
      <c r="F15" s="17">
        <f>SUM($P$5:$V$5)</f>
        <v>2370</v>
      </c>
      <c r="G15" s="17">
        <f>F15/7700</f>
        <v>0.30779220779220778</v>
      </c>
      <c r="H15" s="17">
        <f>(G15-E15)*7700</f>
        <v>-479.00000000003507</v>
      </c>
      <c r="I15" s="17">
        <f>SUM($P$3:$V$3)</f>
        <v>3481</v>
      </c>
      <c r="J15" s="17">
        <f>SUM($P$4:$V$4)</f>
        <v>9511</v>
      </c>
      <c r="K15" s="17">
        <f>J15/7</f>
        <v>1358.7142857142858</v>
      </c>
      <c r="M15" s="17">
        <f>SUM(P5:T5)</f>
        <v>2201</v>
      </c>
      <c r="N15" s="17">
        <f>U5+V5</f>
        <v>169</v>
      </c>
    </row>
    <row r="16" spans="1:221">
      <c r="B16" s="32">
        <f t="shared" si="14"/>
        <v>44186</v>
      </c>
      <c r="C16" s="32">
        <f t="shared" si="14"/>
        <v>44192</v>
      </c>
      <c r="D16" s="33">
        <f>ROUNDDOWN(AVERAGE(W2:AC2),2)</f>
        <v>63.6</v>
      </c>
      <c r="E16" s="17">
        <f>D15-D16</f>
        <v>0.44999999999999574</v>
      </c>
      <c r="F16" s="17">
        <f>SUM($W$5:$AC$5)</f>
        <v>1959</v>
      </c>
      <c r="G16" s="17">
        <f>F16/7700</f>
        <v>0.25441558441558443</v>
      </c>
      <c r="H16" s="17">
        <f>(G16-E16)*7700</f>
        <v>-1505.999999999967</v>
      </c>
      <c r="I16" s="17">
        <f>SUM($W$3:$AC$3)</f>
        <v>3636</v>
      </c>
      <c r="J16" s="17">
        <f>SUM($W$4:$AC$4)</f>
        <v>10077</v>
      </c>
      <c r="K16" s="17">
        <f>J16/7</f>
        <v>1439.5714285714287</v>
      </c>
      <c r="M16" s="17">
        <f>SUM(W5:AA5)</f>
        <v>2478</v>
      </c>
      <c r="N16" s="17">
        <f>SUM(AB5:AC5)</f>
        <v>-519</v>
      </c>
    </row>
    <row r="17" spans="1:14">
      <c r="B17" s="32">
        <f t="shared" si="14"/>
        <v>44193</v>
      </c>
      <c r="C17" s="32">
        <f t="shared" si="14"/>
        <v>44199</v>
      </c>
      <c r="D17" s="33">
        <f>ROUNDDOWN(AVERAGE(AD2:AJ2),2)</f>
        <v>63.04</v>
      </c>
      <c r="E17" s="17">
        <f>D16-D17</f>
        <v>0.56000000000000227</v>
      </c>
      <c r="F17" s="17">
        <f>SUM($AD$5:$AJ$5)</f>
        <v>726</v>
      </c>
      <c r="G17" s="17">
        <f>F17/7700</f>
        <v>9.4285714285714292E-2</v>
      </c>
      <c r="H17" s="17">
        <f>(G17-E17)*7700</f>
        <v>-3586.0000000000173</v>
      </c>
      <c r="I17" s="17">
        <f>SUM($AD$3:$AJ$3)</f>
        <v>2550</v>
      </c>
      <c r="J17" s="17">
        <f>SUM($AD$4:$AJ$4)</f>
        <v>10224</v>
      </c>
      <c r="K17" s="17">
        <f>J17/7</f>
        <v>1460.5714285714287</v>
      </c>
      <c r="M17" s="17">
        <f>SUM(AD5:AH5)</f>
        <v>2755</v>
      </c>
      <c r="N17" s="17">
        <f>SUM(AI5:AJ5)</f>
        <v>-2029</v>
      </c>
    </row>
    <row r="19" spans="1:14">
      <c r="A19" s="19" t="s">
        <v>26</v>
      </c>
      <c r="E19" s="17">
        <f t="shared" ref="E19:J19" si="15">SUM(E13:E18)</f>
        <v>1.8399999999999963</v>
      </c>
      <c r="F19" s="17">
        <f t="shared" si="15"/>
        <v>10040</v>
      </c>
      <c r="G19" s="17">
        <f t="shared" si="15"/>
        <v>1.3038961038961039</v>
      </c>
      <c r="H19" s="17">
        <f t="shared" si="15"/>
        <v>-4127.9999999999718</v>
      </c>
      <c r="I19" s="17">
        <f t="shared" si="15"/>
        <v>17220</v>
      </c>
      <c r="J19" s="17">
        <f t="shared" si="15"/>
        <v>49180</v>
      </c>
      <c r="M19" s="17">
        <f>SUM(M13:M18)</f>
        <v>12607</v>
      </c>
      <c r="N19" s="17">
        <f>SUM(N13:N18)</f>
        <v>-2567</v>
      </c>
    </row>
    <row r="20" spans="1:14">
      <c r="A20" s="19" t="s">
        <v>46</v>
      </c>
      <c r="D20" s="17">
        <f>AVERAGE(D13:D17)</f>
        <v>63.936000000000014</v>
      </c>
      <c r="E20" s="17">
        <f>AVERAGE(E13:E16)</f>
        <v>0.31999999999999851</v>
      </c>
      <c r="F20" s="17">
        <f>AVERAGE(F13:F18)</f>
        <v>2008</v>
      </c>
      <c r="G20" s="17">
        <f>AVERAGE(G13:G18)</f>
        <v>0.26077922077922078</v>
      </c>
      <c r="H20" s="17">
        <f>AVERAGE(H13:H18)/7</f>
        <v>-117.94285714285634</v>
      </c>
      <c r="I20" s="17">
        <f>AVERAGE(I13:I18)/7</f>
        <v>492</v>
      </c>
      <c r="J20" s="17">
        <f>AVERAGE(J13:J18)/7</f>
        <v>1405.1428571428571</v>
      </c>
      <c r="L20" s="17">
        <f>J20-I20</f>
        <v>913.14285714285711</v>
      </c>
      <c r="M20" s="17">
        <f>AVERAGE(M13:M18)/5</f>
        <v>504.28000000000003</v>
      </c>
      <c r="N20" s="17">
        <f>AVERAGE(N13:N18)/2</f>
        <v>-256.7</v>
      </c>
    </row>
    <row r="21" spans="1:14" ht="15">
      <c r="A21" s="30" t="s">
        <v>75</v>
      </c>
      <c r="D21" s="17">
        <f>MIN(B$2:AJ$2)</f>
        <v>62.6</v>
      </c>
      <c r="F21" s="17">
        <f>F20/7</f>
        <v>286.85714285714283</v>
      </c>
    </row>
    <row r="22" spans="1:14" ht="15">
      <c r="A22" s="30" t="s">
        <v>76</v>
      </c>
      <c r="D22" s="17">
        <f>MAX(B$2:AJ$2)</f>
        <v>65.5</v>
      </c>
    </row>
    <row r="23" spans="1:14">
      <c r="A23" s="19" t="s">
        <v>77</v>
      </c>
      <c r="D23" s="17">
        <f>AVERAGE(B$2:AJ$2)</f>
        <v>63.939999999999976</v>
      </c>
    </row>
  </sheetData>
  <phoneticPr fontId="15" type="noConversion"/>
  <conditionalFormatting sqref="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Base</vt:lpstr>
      <vt:lpstr>05</vt:lpstr>
      <vt:lpstr>06</vt:lpstr>
      <vt:lpstr>07</vt:lpstr>
      <vt:lpstr>08</vt:lpstr>
      <vt:lpstr>09</vt:lpstr>
      <vt:lpstr>10</vt:lpstr>
      <vt:lpstr>11</vt:lpstr>
      <vt:lpstr>12</vt:lpstr>
      <vt:lpstr>统计-Current</vt:lpstr>
      <vt:lpstr>预测202011</vt:lpstr>
      <vt:lpstr>预测202005</vt:lpstr>
      <vt:lpstr>统计</vt:lpstr>
      <vt:lpstr>年统计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2021-01-04T02:27:35Z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