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_DeSiO\DeSiO-Structure\Pre_Postprocessing_files\"/>
    </mc:Choice>
  </mc:AlternateContent>
  <bookViews>
    <workbookView xWindow="0" yWindow="0" windowWidth="25200" windowHeight="11985"/>
  </bookViews>
  <sheets>
    <sheet name="Kreisquerschnitt" sheetId="6" r:id="rId1"/>
    <sheet name="Rohrquerschnitt" sheetId="4" r:id="rId2"/>
    <sheet name="Rechteckquerschnitt" sheetId="8" r:id="rId3"/>
    <sheet name="DeSiO-beam" sheetId="10" r:id="rId4"/>
    <sheet name="spatial_inertia_euler_intertia" sheetId="11" r:id="rId5"/>
  </sheets>
  <definedNames>
    <definedName name="A">'DeSiO-beam'!#REF!</definedName>
    <definedName name="b">'DeSiO-beam'!#REF!</definedName>
    <definedName name="ch">'DeSiO-beam'!#REF!</definedName>
    <definedName name="co">'DeSiO-beam'!#REF!</definedName>
    <definedName name="h">'DeSiO-beam'!#REF!</definedName>
    <definedName name="Ia">'DeSiO-beam'!#REF!</definedName>
    <definedName name="K">'DeSiO-beam'!#REF!</definedName>
    <definedName name="L">'DeSiO-beam'!#REF!</definedName>
    <definedName name="m">'DeSiO-beam'!#REF!</definedName>
    <definedName name="ra">'DeSiO-beam'!#REF!</definedName>
    <definedName name="rho">'DeSiO-beam'!#REF!</definedName>
    <definedName name="rhoA">'DeSiO-beam'!#REF!</definedName>
    <definedName name="rhoIa">'DeSiO-beam'!#REF!</definedName>
    <definedName name="wa">'DeSiO-beam'!#REF!</definedName>
    <definedName name="wh">'DeSiO-beam'!#REF!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1" l="1"/>
  <c r="F36" i="11" s="1"/>
  <c r="D35" i="11"/>
  <c r="G33" i="11"/>
  <c r="D36" i="11" s="1"/>
  <c r="F33" i="11"/>
  <c r="E33" i="11"/>
  <c r="D34" i="11" s="1"/>
  <c r="D33" i="11"/>
  <c r="D38" i="11" s="1"/>
  <c r="G31" i="11"/>
  <c r="E31" i="11"/>
  <c r="D31" i="11"/>
  <c r="G30" i="11"/>
  <c r="F31" i="11" s="1"/>
  <c r="F30" i="11"/>
  <c r="E30" i="11"/>
  <c r="D30" i="11"/>
  <c r="G29" i="11"/>
  <c r="F29" i="11"/>
  <c r="E29" i="11"/>
  <c r="D29" i="11"/>
  <c r="D28" i="11"/>
  <c r="F25" i="11"/>
  <c r="G24" i="11"/>
  <c r="F24" i="11"/>
  <c r="G25" i="11" s="1"/>
  <c r="D22" i="11"/>
  <c r="D21" i="11"/>
  <c r="G34" i="11" s="1"/>
  <c r="E36" i="11" s="1"/>
  <c r="D20" i="11"/>
  <c r="F34" i="11" s="1"/>
  <c r="E35" i="11" s="1"/>
  <c r="D19" i="11"/>
  <c r="G36" i="11" s="1"/>
  <c r="D18" i="11"/>
  <c r="F35" i="11" s="1"/>
  <c r="D17" i="11"/>
  <c r="E34" i="11" s="1"/>
  <c r="D62" i="10"/>
  <c r="D63" i="10" s="1"/>
  <c r="Q52" i="10"/>
  <c r="P52" i="10"/>
  <c r="O52" i="10"/>
  <c r="N52" i="10"/>
  <c r="M52" i="10"/>
  <c r="L52" i="10"/>
  <c r="D50" i="10"/>
  <c r="H52" i="10" s="1"/>
  <c r="D49" i="10"/>
  <c r="D34" i="10"/>
  <c r="Q25" i="10" s="1"/>
  <c r="D33" i="10"/>
  <c r="D32" i="10"/>
  <c r="O25" i="10" s="1"/>
  <c r="D31" i="10"/>
  <c r="D30" i="10"/>
  <c r="M25" i="10" s="1"/>
  <c r="D29" i="10"/>
  <c r="P25" i="10"/>
  <c r="N25" i="10"/>
  <c r="L25" i="10"/>
  <c r="D24" i="10"/>
  <c r="D25" i="10" s="1"/>
  <c r="D17" i="10"/>
  <c r="M14" i="10"/>
  <c r="L14" i="10"/>
  <c r="K14" i="10"/>
  <c r="J14" i="10"/>
  <c r="D12" i="10"/>
  <c r="D11" i="10"/>
  <c r="I14" i="10" s="1"/>
  <c r="D9" i="10"/>
  <c r="D10" i="10" s="1"/>
  <c r="D8" i="10"/>
  <c r="H14" i="10" s="1"/>
  <c r="D5" i="10"/>
  <c r="P13" i="10" s="1"/>
  <c r="D4" i="10"/>
  <c r="N13" i="10" s="1"/>
  <c r="D37" i="10" l="1"/>
  <c r="D27" i="10"/>
  <c r="J25" i="10" s="1"/>
  <c r="D26" i="10"/>
  <c r="I25" i="10" s="1"/>
  <c r="D38" i="10"/>
  <c r="D39" i="10" s="1"/>
  <c r="D40" i="10" s="1"/>
  <c r="D28" i="10"/>
  <c r="K25" i="10" s="1"/>
  <c r="H25" i="10"/>
  <c r="D39" i="11" a="1"/>
  <c r="E39" i="11" a="1"/>
  <c r="D53" i="10"/>
  <c r="K52" i="10" s="1"/>
  <c r="D13" i="10"/>
  <c r="K13" i="10"/>
  <c r="O13" i="10"/>
  <c r="D64" i="10"/>
  <c r="I13" i="10"/>
  <c r="J13" i="10" s="1"/>
  <c r="M13" i="10"/>
  <c r="Q13" i="10"/>
  <c r="H13" i="10"/>
  <c r="L13" i="10"/>
  <c r="D65" i="10"/>
  <c r="D52" i="10" s="1"/>
  <c r="J52" i="10" s="1"/>
  <c r="G41" i="11" l="1"/>
  <c r="F40" i="11"/>
  <c r="E39" i="11"/>
  <c r="F41" i="11"/>
  <c r="E40" i="11"/>
  <c r="E41" i="11"/>
  <c r="G39" i="11"/>
  <c r="G40" i="11"/>
  <c r="F39" i="11"/>
  <c r="D39" i="11"/>
  <c r="D41" i="11"/>
  <c r="D40" i="11"/>
  <c r="D51" i="10"/>
  <c r="I52" i="10" s="1"/>
  <c r="E38" i="11" l="1" a="1"/>
  <c r="E38" i="11" l="1"/>
  <c r="G38" i="11"/>
  <c r="F38" i="11"/>
  <c r="D13" i="8" l="1"/>
  <c r="M13" i="6"/>
  <c r="D11" i="6"/>
  <c r="D13" i="6"/>
  <c r="P13" i="4"/>
  <c r="O13" i="4"/>
  <c r="N13" i="4"/>
  <c r="L14" i="4" l="1"/>
  <c r="K14" i="4"/>
  <c r="J14" i="4"/>
  <c r="I14" i="4"/>
  <c r="Q13" i="4"/>
  <c r="M13" i="4"/>
  <c r="J13" i="4"/>
  <c r="L13" i="4"/>
  <c r="K13" i="4"/>
  <c r="I13" i="4"/>
  <c r="H14" i="4"/>
  <c r="H13" i="4"/>
  <c r="D13" i="4"/>
  <c r="D12" i="4" l="1"/>
  <c r="D11" i="4"/>
  <c r="D5" i="8" l="1"/>
  <c r="D5" i="4"/>
  <c r="D5" i="6"/>
  <c r="D4" i="6"/>
  <c r="M14" i="4" l="1"/>
  <c r="D8" i="4"/>
  <c r="D8" i="6"/>
  <c r="R13" i="8"/>
  <c r="Q13" i="8"/>
  <c r="M14" i="8"/>
  <c r="M14" i="6"/>
  <c r="R13" i="6"/>
  <c r="R13" i="4"/>
  <c r="L14" i="6"/>
  <c r="L14" i="8"/>
  <c r="K14" i="8"/>
  <c r="D12" i="8"/>
  <c r="J14" i="8" s="1"/>
  <c r="D11" i="8"/>
  <c r="I14" i="8" s="1"/>
  <c r="D4" i="8" l="1"/>
  <c r="D8" i="8"/>
  <c r="H13" i="6"/>
  <c r="D12" i="6"/>
  <c r="D9" i="6"/>
  <c r="D10" i="6" s="1"/>
  <c r="K14" i="6"/>
  <c r="H14" i="6"/>
  <c r="P13" i="6"/>
  <c r="O13" i="6"/>
  <c r="H14" i="8" l="1"/>
  <c r="D9" i="8"/>
  <c r="D10" i="8" s="1"/>
  <c r="K13" i="8"/>
  <c r="O13" i="8"/>
  <c r="H13" i="8"/>
  <c r="L13" i="8"/>
  <c r="N13" i="8"/>
  <c r="I14" i="6"/>
  <c r="K13" i="6"/>
  <c r="J13" i="6"/>
  <c r="J14" i="6"/>
  <c r="L13" i="6"/>
  <c r="I13" i="6"/>
  <c r="Q13" i="6"/>
  <c r="N13" i="6"/>
  <c r="P13" i="8" l="1"/>
  <c r="M13" i="8"/>
  <c r="J13" i="8"/>
  <c r="I13" i="8"/>
  <c r="D9" i="4" l="1"/>
  <c r="D4" i="4"/>
  <c r="D10" i="4" l="1"/>
</calcChain>
</file>

<file path=xl/sharedStrings.xml><?xml version="1.0" encoding="utf-8"?>
<sst xmlns="http://schemas.openxmlformats.org/spreadsheetml/2006/main" count="326" uniqueCount="120">
  <si>
    <t>E =</t>
  </si>
  <si>
    <t>A =</t>
  </si>
  <si>
    <t>G =</t>
  </si>
  <si>
    <t>Ip =</t>
  </si>
  <si>
    <t xml:space="preserve">rh0 = </t>
  </si>
  <si>
    <t>m</t>
  </si>
  <si>
    <t>RI=</t>
  </si>
  <si>
    <t>RO=</t>
  </si>
  <si>
    <t>Rohrquerschnitt</t>
  </si>
  <si>
    <t>w=</t>
  </si>
  <si>
    <t>h=</t>
  </si>
  <si>
    <t>N/m²</t>
  </si>
  <si>
    <t>kg/m³</t>
  </si>
  <si>
    <t>m²</t>
  </si>
  <si>
    <t>m4</t>
  </si>
  <si>
    <t>m3</t>
  </si>
  <si>
    <t>EA</t>
  </si>
  <si>
    <t xml:space="preserve"> GA1</t>
  </si>
  <si>
    <t xml:space="preserve"> GA2</t>
  </si>
  <si>
    <t xml:space="preserve"> EI1</t>
  </si>
  <si>
    <t xml:space="preserve"> EI2</t>
  </si>
  <si>
    <t xml:space="preserve"> ES1</t>
  </si>
  <si>
    <t xml:space="preserve"> ES2</t>
  </si>
  <si>
    <t xml:space="preserve"> GS1</t>
  </si>
  <si>
    <t xml:space="preserve"> GS2</t>
  </si>
  <si>
    <t xml:space="preserve"> ES12</t>
  </si>
  <si>
    <t>A1 =</t>
  </si>
  <si>
    <t>A2 =</t>
  </si>
  <si>
    <t>I1 =</t>
  </si>
  <si>
    <t>I2 =</t>
  </si>
  <si>
    <t>S1 =</t>
  </si>
  <si>
    <t>S2 =</t>
  </si>
  <si>
    <t>I12 =</t>
  </si>
  <si>
    <t>rhoA</t>
  </si>
  <si>
    <t xml:space="preserve"> rhoI1</t>
  </si>
  <si>
    <t xml:space="preserve"> rhoI2</t>
  </si>
  <si>
    <t xml:space="preserve"> rhoS1</t>
  </si>
  <si>
    <t xml:space="preserve"> rhoS2</t>
  </si>
  <si>
    <t xml:space="preserve"> rhoI12</t>
  </si>
  <si>
    <t>R=</t>
  </si>
  <si>
    <t>Kreisquerschnitt</t>
  </si>
  <si>
    <t>Rechteckquerschnitt</t>
  </si>
  <si>
    <t>h =</t>
  </si>
  <si>
    <t>w =</t>
  </si>
  <si>
    <t xml:space="preserve">rh0(A) = </t>
  </si>
  <si>
    <t xml:space="preserve"> GI3</t>
  </si>
  <si>
    <t>IT =</t>
  </si>
  <si>
    <t>0.0d0</t>
  </si>
  <si>
    <t xml:space="preserve">I12 = </t>
  </si>
  <si>
    <t>HUB</t>
  </si>
  <si>
    <t>mass interia of solid sphere</t>
  </si>
  <si>
    <t>rho =</t>
  </si>
  <si>
    <t>r =</t>
  </si>
  <si>
    <t>V =</t>
  </si>
  <si>
    <t>m³</t>
  </si>
  <si>
    <t>mass</t>
  </si>
  <si>
    <t>J11</t>
  </si>
  <si>
    <t>J22</t>
  </si>
  <si>
    <t>J33</t>
  </si>
  <si>
    <t>J23</t>
  </si>
  <si>
    <t>J13</t>
  </si>
  <si>
    <t>rhox3</t>
  </si>
  <si>
    <t>rhox2</t>
  </si>
  <si>
    <t>rhox1</t>
  </si>
  <si>
    <t>J12</t>
  </si>
  <si>
    <t xml:space="preserve">m = </t>
  </si>
  <si>
    <t>kg</t>
  </si>
  <si>
    <t>material</t>
  </si>
  <si>
    <t xml:space="preserve">J11 = </t>
  </si>
  <si>
    <t>kgm^2</t>
  </si>
  <si>
    <t>J22 =</t>
  </si>
  <si>
    <t>J33 =</t>
  </si>
  <si>
    <t>J23 =</t>
  </si>
  <si>
    <t>J13 =</t>
  </si>
  <si>
    <t>rho*xhi3 =</t>
  </si>
  <si>
    <t>kgm</t>
  </si>
  <si>
    <t>rho*xhi2 =</t>
  </si>
  <si>
    <t>rho*xhi1 =</t>
  </si>
  <si>
    <t>J12 =</t>
  </si>
  <si>
    <t>spatial</t>
  </si>
  <si>
    <t>M =</t>
  </si>
  <si>
    <t>I11 =</t>
  </si>
  <si>
    <t>I22 =</t>
  </si>
  <si>
    <t>I33 =</t>
  </si>
  <si>
    <t>I23 =</t>
  </si>
  <si>
    <t>I13 =</t>
  </si>
  <si>
    <t>NACELLE</t>
  </si>
  <si>
    <t>mass interia of solid ellipsoid</t>
  </si>
  <si>
    <t>a =</t>
  </si>
  <si>
    <t>b =</t>
  </si>
  <si>
    <t>c =</t>
  </si>
  <si>
    <t>Formulas to transform general inertia tensor to intertia tensor according to director-based kinemtacis:</t>
  </si>
  <si>
    <t>mass:</t>
  </si>
  <si>
    <t>point location from CoM:</t>
  </si>
  <si>
    <t>r1 =</t>
  </si>
  <si>
    <t>r2 =</t>
  </si>
  <si>
    <t>r3 =</t>
  </si>
  <si>
    <t>Inertia tensor:</t>
  </si>
  <si>
    <t xml:space="preserve">I11,CM = </t>
  </si>
  <si>
    <t xml:space="preserve">I22,CM = </t>
  </si>
  <si>
    <t xml:space="preserve">I33,CM = </t>
  </si>
  <si>
    <t xml:space="preserve">I12,CM = </t>
  </si>
  <si>
    <t xml:space="preserve">I13,CM = </t>
  </si>
  <si>
    <t>I23,CM =</t>
  </si>
  <si>
    <t>J11,CM =</t>
  </si>
  <si>
    <t>J22,CM =</t>
  </si>
  <si>
    <t>J33,CM =</t>
  </si>
  <si>
    <t>J12,CM =</t>
  </si>
  <si>
    <t>J13,CM =</t>
  </si>
  <si>
    <t>J23,CM =</t>
  </si>
  <si>
    <t>rotation angle:</t>
  </si>
  <si>
    <t>alpha =</t>
  </si>
  <si>
    <t xml:space="preserve">R = </t>
  </si>
  <si>
    <t xml:space="preserve">MI,r= </t>
  </si>
  <si>
    <t>Mass matrix at point r with intertia terms according to general definition of intertia tensor</t>
  </si>
  <si>
    <t xml:space="preserve">MJ,r= </t>
  </si>
  <si>
    <t>Mass matrix at point r transformed to DeSiO - director-based kinematics in initial coordinate system (green)</t>
  </si>
  <si>
    <t xml:space="preserve">MJ,r_rot = </t>
  </si>
  <si>
    <t>Mass matrix at point r transformed to DeSiO - director-based kinematics in rotated coordinate system (blue)</t>
  </si>
  <si>
    <t xml:space="preserve">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</si>
</sst>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00E+00"/>
    <numFmt numFmtId="165" formatCode="0.0000E+00"/>
    <numFmt numFmtId="166" formatCode="0.00000000E+00"/>
    <numFmt numFmtId="167" formatCode="0.000000E+00"/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164" fontId="0" fillId="2" borderId="0" xfId="0" applyNumberFormat="1" applyFill="1" applyBorder="1"/>
    <xf numFmtId="11" fontId="0" fillId="0" borderId="0" xfId="0" applyNumberFormat="1" applyBorder="1"/>
    <xf numFmtId="164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7" xfId="0" applyBorder="1" applyAlignment="1">
      <alignment horizontal="right"/>
    </xf>
    <xf numFmtId="16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4" borderId="0" xfId="0" applyNumberFormat="1" applyFill="1" applyBorder="1"/>
    <xf numFmtId="0" fontId="0" fillId="4" borderId="0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4" borderId="16" xfId="0" applyNumberFormat="1" applyFill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/>
    <xf numFmtId="0" fontId="0" fillId="0" borderId="0" xfId="0" applyAlignment="1">
      <alignment horizontal="center"/>
    </xf>
    <xf numFmtId="2" fontId="0" fillId="2" borderId="0" xfId="0" applyNumberFormat="1" applyFill="1" applyBorder="1" applyAlignment="1">
      <alignment horizontal="center"/>
    </xf>
    <xf numFmtId="165" fontId="0" fillId="0" borderId="0" xfId="0" applyNumberFormat="1" applyBorder="1"/>
    <xf numFmtId="43" fontId="0" fillId="0" borderId="0" xfId="1" applyFont="1" applyBorder="1"/>
    <xf numFmtId="0" fontId="0" fillId="0" borderId="0" xfId="0" applyFill="1" applyBorder="1" applyAlignment="1">
      <alignment horizontal="right"/>
    </xf>
    <xf numFmtId="165" fontId="0" fillId="3" borderId="1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7" xfId="0" applyNumberFormat="1" applyFill="1" applyBorder="1"/>
    <xf numFmtId="165" fontId="0" fillId="3" borderId="8" xfId="0" applyNumberFormat="1" applyFill="1" applyBorder="1"/>
    <xf numFmtId="166" fontId="0" fillId="0" borderId="0" xfId="0" applyNumberFormat="1" applyBorder="1"/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164" fontId="0" fillId="5" borderId="18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0" fontId="1" fillId="0" borderId="4" xfId="0" applyFont="1" applyBorder="1" applyAlignment="1">
      <alignment horizontal="right" vertical="center" textRotation="90"/>
    </xf>
    <xf numFmtId="0" fontId="1" fillId="0" borderId="0" xfId="0" applyFon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6" borderId="0" xfId="0" applyNumberFormat="1" applyFill="1"/>
    <xf numFmtId="0" fontId="0" fillId="6" borderId="0" xfId="0" applyFill="1"/>
    <xf numFmtId="168" fontId="0" fillId="4" borderId="0" xfId="0" applyNumberFormat="1" applyFill="1" applyAlignment="1">
      <alignment horizontal="center"/>
    </xf>
    <xf numFmtId="0" fontId="0" fillId="4" borderId="0" xfId="0" applyFill="1"/>
    <xf numFmtId="165" fontId="0" fillId="6" borderId="0" xfId="0" applyNumberFormat="1" applyFill="1" applyAlignment="1">
      <alignment horizontal="center"/>
    </xf>
    <xf numFmtId="168" fontId="0" fillId="6" borderId="0" xfId="0" applyNumberFormat="1" applyFill="1" applyAlignment="1">
      <alignment horizontal="center"/>
    </xf>
    <xf numFmtId="168" fontId="0" fillId="0" borderId="0" xfId="0" applyNumberFormat="1"/>
    <xf numFmtId="168" fontId="0" fillId="7" borderId="0" xfId="0" applyNumberFormat="1" applyFill="1" applyAlignment="1">
      <alignment horizontal="right" indent="1"/>
    </xf>
    <xf numFmtId="168" fontId="0" fillId="0" borderId="0" xfId="0" applyNumberFormat="1" applyAlignment="1">
      <alignment horizontal="right"/>
    </xf>
    <xf numFmtId="168" fontId="0" fillId="4" borderId="0" xfId="0" applyNumberFormat="1" applyFill="1" applyAlignment="1">
      <alignment horizontal="right" inden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19</xdr:row>
      <xdr:rowOff>161925</xdr:rowOff>
    </xdr:from>
    <xdr:to>
      <xdr:col>11</xdr:col>
      <xdr:colOff>266013</xdr:colOff>
      <xdr:row>46</xdr:row>
      <xdr:rowOff>161282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3800475"/>
          <a:ext cx="5495238" cy="5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19</xdr:row>
      <xdr:rowOff>161925</xdr:rowOff>
    </xdr:from>
    <xdr:to>
      <xdr:col>16</xdr:col>
      <xdr:colOff>361650</xdr:colOff>
      <xdr:row>54</xdr:row>
      <xdr:rowOff>103949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3800475"/>
          <a:ext cx="2400000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20</xdr:row>
      <xdr:rowOff>19050</xdr:rowOff>
    </xdr:from>
    <xdr:to>
      <xdr:col>12</xdr:col>
      <xdr:colOff>256488</xdr:colOff>
      <xdr:row>47</xdr:row>
      <xdr:rowOff>18407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3867150"/>
          <a:ext cx="5495238" cy="5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219075</xdr:colOff>
      <xdr:row>20</xdr:row>
      <xdr:rowOff>19050</xdr:rowOff>
    </xdr:from>
    <xdr:to>
      <xdr:col>17</xdr:col>
      <xdr:colOff>66375</xdr:colOff>
      <xdr:row>54</xdr:row>
      <xdr:rowOff>151574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3867150"/>
          <a:ext cx="2400000" cy="6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20</xdr:row>
      <xdr:rowOff>19050</xdr:rowOff>
    </xdr:from>
    <xdr:to>
      <xdr:col>12</xdr:col>
      <xdr:colOff>256488</xdr:colOff>
      <xdr:row>47</xdr:row>
      <xdr:rowOff>18407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3867150"/>
          <a:ext cx="5495238" cy="5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219075</xdr:colOff>
      <xdr:row>20</xdr:row>
      <xdr:rowOff>19050</xdr:rowOff>
    </xdr:from>
    <xdr:to>
      <xdr:col>17</xdr:col>
      <xdr:colOff>66375</xdr:colOff>
      <xdr:row>54</xdr:row>
      <xdr:rowOff>151574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3867150"/>
          <a:ext cx="2400000" cy="66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0</xdr:rowOff>
    </xdr:from>
    <xdr:ext cx="65" cy="172227"/>
    <xdr:sp macro="" textlink="">
      <xdr:nvSpPr>
        <xdr:cNvPr id="2" name="Textfeld 1"/>
        <xdr:cNvSpPr txBox="1"/>
      </xdr:nvSpPr>
      <xdr:spPr>
        <a:xfrm>
          <a:off x="4352925" y="384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419580</xdr:colOff>
      <xdr:row>5</xdr:row>
      <xdr:rowOff>45463</xdr:rowOff>
    </xdr:from>
    <xdr:to>
      <xdr:col>6</xdr:col>
      <xdr:colOff>795464</xdr:colOff>
      <xdr:row>18</xdr:row>
      <xdr:rowOff>175867</xdr:rowOff>
    </xdr:to>
    <xdr:grpSp>
      <xdr:nvGrpSpPr>
        <xdr:cNvPr id="3" name="Gruppieren 2"/>
        <xdr:cNvGrpSpPr/>
      </xdr:nvGrpSpPr>
      <xdr:grpSpPr>
        <a:xfrm>
          <a:off x="3458055" y="1007488"/>
          <a:ext cx="1680809" cy="2625954"/>
          <a:chOff x="7941609" y="3743884"/>
          <a:chExt cx="1684891" cy="2634118"/>
        </a:xfrm>
      </xdr:grpSpPr>
      <xdr:sp macro="" textlink="">
        <xdr:nvSpPr>
          <xdr:cNvPr id="4" name="Rechteck 3"/>
          <xdr:cNvSpPr/>
        </xdr:nvSpPr>
        <xdr:spPr>
          <a:xfrm>
            <a:off x="8179172" y="4049802"/>
            <a:ext cx="515472" cy="20955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5" name="Gerade Verbindung mit Pfeil 4"/>
          <xdr:cNvCxnSpPr/>
        </xdr:nvCxnSpPr>
        <xdr:spPr>
          <a:xfrm>
            <a:off x="8414498" y="5058335"/>
            <a:ext cx="948017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Gerade Verbindung mit Pfeil 5"/>
          <xdr:cNvCxnSpPr/>
        </xdr:nvCxnSpPr>
        <xdr:spPr>
          <a:xfrm flipV="1">
            <a:off x="8414498" y="3814482"/>
            <a:ext cx="0" cy="124385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Textfeld 6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>
          <xdr:sp macro="" textlink="">
            <xdr:nvSpPr>
              <xdr:cNvPr id="7" name="Textfeld 6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1" i="0">
                    <a:latin typeface="Cambria Math" panose="02040503050406030204" pitchFamily="18" charset="0"/>
                  </a:rPr>
                  <a:t>𝝃_𝟏</a:t>
                </a:r>
                <a:endParaRPr lang="de-DE" sz="1100" b="1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feld 7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>
          <xdr:sp macro="" textlink="">
            <xdr:nvSpPr>
              <xdr:cNvPr id="8" name="Textfeld 7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1" i="0">
                    <a:latin typeface="Cambria Math" panose="02040503050406030204" pitchFamily="18" charset="0"/>
                  </a:rPr>
                  <a:t>𝝃_𝟐</a:t>
                </a:r>
                <a:endParaRPr lang="de-DE" sz="1100" b="1"/>
              </a:p>
            </xdr:txBody>
          </xdr:sp>
        </mc:Fallback>
      </mc:AlternateContent>
      <xdr:sp macro="" textlink="">
        <xdr:nvSpPr>
          <xdr:cNvPr id="9" name="Textfeld 8"/>
          <xdr:cNvSpPr txBox="1"/>
        </xdr:nvSpPr>
        <xdr:spPr>
          <a:xfrm>
            <a:off x="7941609" y="4912659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h</a:t>
            </a:r>
          </a:p>
        </xdr:txBody>
      </xdr:sp>
      <xdr:sp macro="" textlink="">
        <xdr:nvSpPr>
          <xdr:cNvPr id="10" name="Textfeld 9"/>
          <xdr:cNvSpPr txBox="1"/>
        </xdr:nvSpPr>
        <xdr:spPr>
          <a:xfrm>
            <a:off x="8322609" y="6190130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w</a:t>
            </a:r>
          </a:p>
        </xdr:txBody>
      </xdr:sp>
    </xdr:grpSp>
    <xdr:clientData/>
  </xdr:twoCellAnchor>
  <xdr:twoCellAnchor editAs="oneCell">
    <xdr:from>
      <xdr:col>7</xdr:col>
      <xdr:colOff>647701</xdr:colOff>
      <xdr:row>56</xdr:row>
      <xdr:rowOff>109591</xdr:rowOff>
    </xdr:from>
    <xdr:to>
      <xdr:col>11</xdr:col>
      <xdr:colOff>161925</xdr:colOff>
      <xdr:row>62</xdr:row>
      <xdr:rowOff>152401</xdr:rowOff>
    </xdr:to>
    <xdr:pic>
      <xdr:nvPicPr>
        <xdr:cNvPr id="11" name="Grafik 10" descr="Solid ellipsoid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1" y="10863316"/>
          <a:ext cx="2333624" cy="1185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27</xdr:row>
      <xdr:rowOff>76200</xdr:rowOff>
    </xdr:from>
    <xdr:to>
      <xdr:col>13</xdr:col>
      <xdr:colOff>209550</xdr:colOff>
      <xdr:row>35</xdr:row>
      <xdr:rowOff>133350</xdr:rowOff>
    </xdr:to>
    <xdr:pic>
      <xdr:nvPicPr>
        <xdr:cNvPr id="12" name="Grafik 11" descr="Moment of inertia solid sphere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276850"/>
          <a:ext cx="17145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8</xdr:row>
      <xdr:rowOff>185737</xdr:rowOff>
    </xdr:from>
    <xdr:to>
      <xdr:col>9</xdr:col>
      <xdr:colOff>466724</xdr:colOff>
      <xdr:row>14</xdr:row>
      <xdr:rowOff>19127</xdr:rowOff>
    </xdr:to>
    <xdr:grpSp>
      <xdr:nvGrpSpPr>
        <xdr:cNvPr id="2" name="Gruppieren 1"/>
        <xdr:cNvGrpSpPr/>
      </xdr:nvGrpSpPr>
      <xdr:grpSpPr>
        <a:xfrm>
          <a:off x="4465543" y="1709737"/>
          <a:ext cx="4797799" cy="976390"/>
          <a:chOff x="4410074" y="1709737"/>
          <a:chExt cx="4695825" cy="97639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feld 2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CM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de-DE" sz="1100" b="0" i="1">
                        <a:latin typeface="Cambria Math" panose="02040503050406030204" pitchFamily="18" charset="0"/>
                      </a:rPr>
                      <m:t>𝑑𝑣</m:t>
                    </m:r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3" name="Textfeld 2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I_(11.CM)=∫16_𝑣▒〖𝑥_2^2+𝑥_3^2 〗 𝑑𝑣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feld 3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4" name="Textfeld 3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I_(22,CM)=∫16_𝑣▒〖𝑥_1^2+𝑥_3^2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feld 4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5" name="Textfeld 4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I_(33,CM)=∫16_𝑣▒〖𝑥_1^2+𝑥_2^2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Textfeld 5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6" name="Textfeld 5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I_(12,CM)=−∫16_𝑣▒〖𝑥_1⋅𝑥_2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Textfeld 6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7" name="Textfeld 6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I_(13,CM)=−∫16_𝑣▒〖𝑥_1⋅𝑥_3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feld 7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8" name="Textfeld 7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I_(23,CM)=−∫16_𝑣▒〖𝑥_2⋅𝑥_3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4</xdr:col>
      <xdr:colOff>476250</xdr:colOff>
      <xdr:row>16</xdr:row>
      <xdr:rowOff>90487</xdr:rowOff>
    </xdr:from>
    <xdr:to>
      <xdr:col>9</xdr:col>
      <xdr:colOff>269763</xdr:colOff>
      <xdr:row>21</xdr:row>
      <xdr:rowOff>57227</xdr:rowOff>
    </xdr:to>
    <xdr:grpSp>
      <xdr:nvGrpSpPr>
        <xdr:cNvPr id="9" name="Gruppieren 8"/>
        <xdr:cNvGrpSpPr/>
      </xdr:nvGrpSpPr>
      <xdr:grpSpPr>
        <a:xfrm>
          <a:off x="4465544" y="3138487"/>
          <a:ext cx="4600837" cy="919240"/>
          <a:chOff x="3781425" y="271462"/>
          <a:chExt cx="4351509" cy="91924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11,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J_(11,CM)=∫16_𝑣▒𝑥_1^2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J_(22,CM)=∫16_𝑣▒𝑥_2^2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𝐽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𝐶𝑀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𝐽_(33,𝐶𝑀)=∫16_𝑣▒𝑥_3^2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J_(12,CM)=∫16_𝑣▒〖𝑥_1⋅𝑥_2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J_(13,CM)=∫16_𝑣▒〖𝑥_1⋅𝑥_3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J_(23,CM)=∫16_𝑣▒〖𝑥_2⋅𝑥_3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481013</xdr:colOff>
      <xdr:row>26</xdr:row>
      <xdr:rowOff>139303</xdr:rowOff>
    </xdr:from>
    <xdr:to>
      <xdr:col>8</xdr:col>
      <xdr:colOff>498872</xdr:colOff>
      <xdr:row>31</xdr:row>
      <xdr:rowOff>135732</xdr:rowOff>
    </xdr:to>
    <xdr:grpSp>
      <xdr:nvGrpSpPr>
        <xdr:cNvPr id="16" name="Gruppieren 15"/>
        <xdr:cNvGrpSpPr/>
      </xdr:nvGrpSpPr>
      <xdr:grpSpPr>
        <a:xfrm>
          <a:off x="7350219" y="5092303"/>
          <a:ext cx="959153" cy="948929"/>
          <a:chOff x="589360" y="4174331"/>
          <a:chExt cx="958453" cy="948929"/>
        </a:xfrm>
      </xdr:grpSpPr>
      <xdr:cxnSp macro="">
        <xdr:nvCxnSpPr>
          <xdr:cNvPr id="17" name="Gerade Verbindung mit Pfeil 16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" name="Textfeld 19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0" name="Textfeld 19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1" name="Textfeld 20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1" name="Textfeld 20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2" name="Textfeld 21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2" name="Textfeld 21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835819</xdr:colOff>
      <xdr:row>37</xdr:row>
      <xdr:rowOff>78581</xdr:rowOff>
    </xdr:from>
    <xdr:to>
      <xdr:col>8</xdr:col>
      <xdr:colOff>595313</xdr:colOff>
      <xdr:row>41</xdr:row>
      <xdr:rowOff>113109</xdr:rowOff>
    </xdr:to>
    <xdr:grpSp>
      <xdr:nvGrpSpPr>
        <xdr:cNvPr id="23" name="Gruppieren 22"/>
        <xdr:cNvGrpSpPr/>
      </xdr:nvGrpSpPr>
      <xdr:grpSpPr>
        <a:xfrm>
          <a:off x="7705025" y="7127081"/>
          <a:ext cx="700788" cy="796528"/>
          <a:chOff x="1228725" y="4174331"/>
          <a:chExt cx="700088" cy="796528"/>
        </a:xfrm>
      </xdr:grpSpPr>
      <xdr:cxnSp macro="">
        <xdr:nvCxnSpPr>
          <xdr:cNvPr id="24" name="Gerade Verbindung mit Pfeil 23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Gerade Verbindung mit Pfeil 24"/>
          <xdr:cNvCxnSpPr/>
        </xdr:nvCxnSpPr>
        <xdr:spPr>
          <a:xfrm>
            <a:off x="1232297" y="4791075"/>
            <a:ext cx="4643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Gerade Verbindung mit Pfeil 25"/>
          <xdr:cNvCxnSpPr/>
        </xdr:nvCxnSpPr>
        <xdr:spPr>
          <a:xfrm flipV="1">
            <a:off x="1228726" y="4446984"/>
            <a:ext cx="353615" cy="3536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7" name="Textfeld 2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7" name="Textfeld 2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8" name="Textfeld 2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8" name="Textfeld 2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9" name="Textfeld 2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29" name="Textfeld 2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490538</xdr:colOff>
      <xdr:row>31</xdr:row>
      <xdr:rowOff>91678</xdr:rowOff>
    </xdr:from>
    <xdr:to>
      <xdr:col>8</xdr:col>
      <xdr:colOff>508397</xdr:colOff>
      <xdr:row>36</xdr:row>
      <xdr:rowOff>173832</xdr:rowOff>
    </xdr:to>
    <xdr:grpSp>
      <xdr:nvGrpSpPr>
        <xdr:cNvPr id="30" name="Gruppieren 29"/>
        <xdr:cNvGrpSpPr/>
      </xdr:nvGrpSpPr>
      <xdr:grpSpPr>
        <a:xfrm>
          <a:off x="7359744" y="5997178"/>
          <a:ext cx="959153" cy="1034654"/>
          <a:chOff x="589360" y="4174331"/>
          <a:chExt cx="958453" cy="1034654"/>
        </a:xfrm>
      </xdr:grpSpPr>
      <xdr:cxnSp macro="">
        <xdr:nvCxnSpPr>
          <xdr:cNvPr id="31" name="Gerade Verbindung mit Pfeil 30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Gerade Verbindung mit Pfeil 31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Gerade Verbindung mit Pfeil 32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4" name="Textfeld 33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34" name="Textfeld 33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5" name="Textfeld 3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35" name="Textfeld 3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6" name="Textfeld 3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>
          <xdr:sp macro="" textlink="">
            <xdr:nvSpPr>
              <xdr:cNvPr id="36" name="Textfeld 3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16</xdr:col>
      <xdr:colOff>219075</xdr:colOff>
      <xdr:row>15</xdr:row>
      <xdr:rowOff>95250</xdr:rowOff>
    </xdr:from>
    <xdr:to>
      <xdr:col>19</xdr:col>
      <xdr:colOff>466725</xdr:colOff>
      <xdr:row>21</xdr:row>
      <xdr:rowOff>9525</xdr:rowOff>
    </xdr:to>
    <xdr:grpSp>
      <xdr:nvGrpSpPr>
        <xdr:cNvPr id="37" name="Gruppieren 36"/>
        <xdr:cNvGrpSpPr/>
      </xdr:nvGrpSpPr>
      <xdr:grpSpPr>
        <a:xfrm>
          <a:off x="14988428" y="2952750"/>
          <a:ext cx="2533650" cy="1057275"/>
          <a:chOff x="9572625" y="3105150"/>
          <a:chExt cx="2533650" cy="1057275"/>
        </a:xfrm>
      </xdr:grpSpPr>
      <xdr:sp macro="" textlink="">
        <xdr:nvSpPr>
          <xdr:cNvPr id="38" name="Rechteck 37"/>
          <xdr:cNvSpPr/>
        </xdr:nvSpPr>
        <xdr:spPr>
          <a:xfrm>
            <a:off x="9572625" y="3105150"/>
            <a:ext cx="2533650" cy="10572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39" name="Gruppieren 38"/>
          <xdr:cNvGrpSpPr/>
        </xdr:nvGrpSpPr>
        <xdr:grpSpPr>
          <a:xfrm>
            <a:off x="9677400" y="3148012"/>
            <a:ext cx="2409825" cy="934227"/>
            <a:chOff x="9858375" y="1766887"/>
            <a:chExt cx="2409825" cy="93422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0" name="Textfeld 39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J</m:t>
                            </m:r>
                            <m:r>
                              <a:rPr lang="de-DE" sz="1100" b="0" i="0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>
            <xdr:sp macro="" textlink="">
              <xdr:nvSpPr>
                <xdr:cNvPr id="40" name="Textfeld 39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de-DE" sz="1100" b="0" i="0">
                      <a:latin typeface="Cambria Math" panose="02040503050406030204" pitchFamily="18" charset="0"/>
                    </a:rPr>
                    <a:t>M_(J,r)=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41" name="Gruppieren 40"/>
            <xdr:cNvGrpSpPr/>
          </xdr:nvGrpSpPr>
          <xdr:grpSpPr>
            <a:xfrm>
              <a:off x="10220325" y="1766887"/>
              <a:ext cx="2047875" cy="934227"/>
              <a:chOff x="10020300" y="1281112"/>
              <a:chExt cx="1135493" cy="934227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2" name="Textfeld 4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2" name="Textfeld 4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𝐽_(11,𝐶𝑀)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3" name="Textfeld 4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3" name="Textfeld 4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𝐽_(12,𝐶𝑀)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4" name="Textfeld 4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4" name="Textfeld 4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𝐽_(13,𝐶𝑀)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5" name="Textfeld 4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5" name="Textfeld 4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𝐽_(22,𝐶𝑀)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6" name="Textfeld 4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6" name="Textfeld 4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𝐽_(23,𝐶𝑀)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7" name="Textfeld 4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7" name="Textfeld 4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𝐽_(33,𝐶𝑀)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8" name="Textfeld 47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8" name="Textfeld 47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9" name="Textfeld 48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49" name="Textfeld 48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𝑟_1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0" name="Textfeld 49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50" name="Textfeld 49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𝑟_2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1" name="Textfeld 50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51" name="Textfeld 50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𝑟_3 𝑚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16</xdr:col>
      <xdr:colOff>76200</xdr:colOff>
      <xdr:row>8</xdr:row>
      <xdr:rowOff>152400</xdr:rowOff>
    </xdr:from>
    <xdr:to>
      <xdr:col>19</xdr:col>
      <xdr:colOff>481852</xdr:colOff>
      <xdr:row>14</xdr:row>
      <xdr:rowOff>66675</xdr:rowOff>
    </xdr:to>
    <xdr:grpSp>
      <xdr:nvGrpSpPr>
        <xdr:cNvPr id="52" name="Gruppieren 51"/>
        <xdr:cNvGrpSpPr/>
      </xdr:nvGrpSpPr>
      <xdr:grpSpPr>
        <a:xfrm>
          <a:off x="14845553" y="1676400"/>
          <a:ext cx="2691652" cy="1057275"/>
          <a:chOff x="14782800" y="1695450"/>
          <a:chExt cx="2691652" cy="1057275"/>
        </a:xfrm>
      </xdr:grpSpPr>
      <xdr:sp macro="" textlink="">
        <xdr:nvSpPr>
          <xdr:cNvPr id="53" name="Rechteck 52"/>
          <xdr:cNvSpPr/>
        </xdr:nvSpPr>
        <xdr:spPr>
          <a:xfrm>
            <a:off x="14935199" y="1695450"/>
            <a:ext cx="2539253" cy="10572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54" name="Gruppieren 53"/>
          <xdr:cNvGrpSpPr/>
        </xdr:nvGrpSpPr>
        <xdr:grpSpPr>
          <a:xfrm>
            <a:off x="14782800" y="1776412"/>
            <a:ext cx="2588055" cy="934227"/>
            <a:chOff x="9667875" y="3252787"/>
            <a:chExt cx="2588055" cy="934227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5" name="Textfeld 54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>
            <xdr:sp macro="" textlink="">
              <xdr:nvSpPr>
                <xdr:cNvPr id="55" name="Textfeld 54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de-DE" sz="1100" b="0" i="0">
                      <a:latin typeface="Cambria Math" panose="02040503050406030204" pitchFamily="18" charset="0"/>
                    </a:rPr>
                    <a:t>𝑀_(𝐼,𝑟)=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56" name="Gruppieren 55"/>
            <xdr:cNvGrpSpPr/>
          </xdr:nvGrpSpPr>
          <xdr:grpSpPr>
            <a:xfrm>
              <a:off x="10180073" y="3252787"/>
              <a:ext cx="2075857" cy="934227"/>
              <a:chOff x="10149576" y="1281112"/>
              <a:chExt cx="1006217" cy="934227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𝐼_(11,𝑟)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8" name="Textfeld 57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58" name="Textfeld 57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𝐼_(12,𝑟)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59" name="Textfeld 58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59" name="Textfeld 58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𝐼_(13,𝑟)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0" name="Textfeld 59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0" name="Textfeld 59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𝐼_(22,𝑟)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1" name="Textfeld 60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1" name="Textfeld 60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𝐼_(23,𝑟)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2" name="Textfeld 61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2" name="Textfeld 61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𝐼_(33,𝑟)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3" name="Textfeld 62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3" name="Textfeld 62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4" name="Textfeld 63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4" name="Textfeld 63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5" name="Textfeld 6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5" name="Textfeld 6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66" name="Textfeld 6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>
              <xdr:sp macro="" textlink="">
                <xdr:nvSpPr>
                  <xdr:cNvPr id="66" name="Textfeld 6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10</xdr:col>
      <xdr:colOff>47624</xdr:colOff>
      <xdr:row>9</xdr:row>
      <xdr:rowOff>71437</xdr:rowOff>
    </xdr:from>
    <xdr:to>
      <xdr:col>15</xdr:col>
      <xdr:colOff>885825</xdr:colOff>
      <xdr:row>13</xdr:row>
      <xdr:rowOff>87519</xdr:rowOff>
    </xdr:to>
    <xdr:grpSp>
      <xdr:nvGrpSpPr>
        <xdr:cNvPr id="67" name="Gruppieren 66"/>
        <xdr:cNvGrpSpPr/>
      </xdr:nvGrpSpPr>
      <xdr:grpSpPr>
        <a:xfrm>
          <a:off x="9606242" y="1785937"/>
          <a:ext cx="5141259" cy="778082"/>
          <a:chOff x="9448799" y="1785937"/>
          <a:chExt cx="5143501" cy="778082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8" name="Textfeld 67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68" name="Textfeld 67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I_(11.r)=𝐼_(11,𝐶𝑀)+𝑚(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𝑟_2^2+𝑟_3^2 )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9" name="Textfeld 68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69" name="Textfeld 68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I_(22.r)=𝐼_(22,𝐶𝑀)+𝑚(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𝑟_1^2+𝑟_3^2 )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0" name="Textfeld 69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70" name="Textfeld 69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𝐼_(33,𝑟)=𝐼_(33,𝐶𝑀)+𝑚(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𝑟_1^2+𝑟_2^2 )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" name="Textfeld 70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71" name="Textfeld 70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I_(12.r)=𝐼_(12,𝐶𝑀)−𝑚𝑟_1 𝑟_2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2" name="Textfeld 71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72" name="Textfeld 71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I_(23.r)=𝐼_(23,𝐶𝑀)−𝑚𝑟_2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3" name="Textfeld 72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>
          <xdr:sp macro="" textlink="">
            <xdr:nvSpPr>
              <xdr:cNvPr id="73" name="Textfeld 72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I_(13.r)=𝐼_(13,𝐶𝑀)−𝑚𝑟_1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</xdr:grpSp>
    <xdr:clientData/>
  </xdr:twoCellAnchor>
  <xdr:twoCellAnchor>
    <xdr:from>
      <xdr:col>4</xdr:col>
      <xdr:colOff>525502</xdr:colOff>
      <xdr:row>2</xdr:row>
      <xdr:rowOff>64802</xdr:rowOff>
    </xdr:from>
    <xdr:to>
      <xdr:col>6</xdr:col>
      <xdr:colOff>937394</xdr:colOff>
      <xdr:row>7</xdr:row>
      <xdr:rowOff>53596</xdr:rowOff>
    </xdr:to>
    <xdr:grpSp>
      <xdr:nvGrpSpPr>
        <xdr:cNvPr id="74" name="Gruppieren 73"/>
        <xdr:cNvGrpSpPr/>
      </xdr:nvGrpSpPr>
      <xdr:grpSpPr>
        <a:xfrm>
          <a:off x="4514796" y="445802"/>
          <a:ext cx="2305686" cy="941294"/>
          <a:chOff x="7234416" y="396104"/>
          <a:chExt cx="2308610" cy="941294"/>
        </a:xfrm>
      </xdr:grpSpPr>
      <xdr:grpSp>
        <xdr:nvGrpSpPr>
          <xdr:cNvPr id="75" name="Gruppieren 74"/>
          <xdr:cNvGrpSpPr/>
        </xdr:nvGrpSpPr>
        <xdr:grpSpPr>
          <a:xfrm>
            <a:off x="7234416" y="396104"/>
            <a:ext cx="2308610" cy="941294"/>
            <a:chOff x="4964982" y="313278"/>
            <a:chExt cx="2308610" cy="941294"/>
          </a:xfrm>
        </xdr:grpSpPr>
        <xdr:sp macro="" textlink="">
          <xdr:nvSpPr>
            <xdr:cNvPr id="77" name="Freihandform 76"/>
            <xdr:cNvSpPr/>
          </xdr:nvSpPr>
          <xdr:spPr>
            <a:xfrm>
              <a:off x="4964982" y="313278"/>
              <a:ext cx="2308610" cy="941294"/>
            </a:xfrm>
            <a:custGeom>
              <a:avLst/>
              <a:gdLst>
                <a:gd name="connsiteX0" fmla="*/ 174133 w 2292045"/>
                <a:gd name="connsiteY0" fmla="*/ 885265 h 941294"/>
                <a:gd name="connsiteX1" fmla="*/ 140515 w 2292045"/>
                <a:gd name="connsiteY1" fmla="*/ 784412 h 941294"/>
                <a:gd name="connsiteX2" fmla="*/ 95692 w 2292045"/>
                <a:gd name="connsiteY2" fmla="*/ 638735 h 941294"/>
                <a:gd name="connsiteX3" fmla="*/ 28457 w 2292045"/>
                <a:gd name="connsiteY3" fmla="*/ 549088 h 941294"/>
                <a:gd name="connsiteX4" fmla="*/ 17251 w 2292045"/>
                <a:gd name="connsiteY4" fmla="*/ 358588 h 941294"/>
                <a:gd name="connsiteX5" fmla="*/ 151721 w 2292045"/>
                <a:gd name="connsiteY5" fmla="*/ 224118 h 941294"/>
                <a:gd name="connsiteX6" fmla="*/ 196545 w 2292045"/>
                <a:gd name="connsiteY6" fmla="*/ 190500 h 941294"/>
                <a:gd name="connsiteX7" fmla="*/ 252574 w 2292045"/>
                <a:gd name="connsiteY7" fmla="*/ 179294 h 941294"/>
                <a:gd name="connsiteX8" fmla="*/ 364633 w 2292045"/>
                <a:gd name="connsiteY8" fmla="*/ 134471 h 941294"/>
                <a:gd name="connsiteX9" fmla="*/ 521515 w 2292045"/>
                <a:gd name="connsiteY9" fmla="*/ 112059 h 941294"/>
                <a:gd name="connsiteX10" fmla="*/ 599957 w 2292045"/>
                <a:gd name="connsiteY10" fmla="*/ 89647 h 941294"/>
                <a:gd name="connsiteX11" fmla="*/ 1081809 w 2292045"/>
                <a:gd name="connsiteY11" fmla="*/ 44824 h 941294"/>
                <a:gd name="connsiteX12" fmla="*/ 1339545 w 2292045"/>
                <a:gd name="connsiteY12" fmla="*/ 22412 h 941294"/>
                <a:gd name="connsiteX13" fmla="*/ 1563662 w 2292045"/>
                <a:gd name="connsiteY13" fmla="*/ 0 h 941294"/>
                <a:gd name="connsiteX14" fmla="*/ 1787780 w 2292045"/>
                <a:gd name="connsiteY14" fmla="*/ 22412 h 941294"/>
                <a:gd name="connsiteX15" fmla="*/ 1899839 w 2292045"/>
                <a:gd name="connsiteY15" fmla="*/ 44824 h 941294"/>
                <a:gd name="connsiteX16" fmla="*/ 1955868 w 2292045"/>
                <a:gd name="connsiteY16" fmla="*/ 78441 h 941294"/>
                <a:gd name="connsiteX17" fmla="*/ 2056721 w 2292045"/>
                <a:gd name="connsiteY17" fmla="*/ 112059 h 941294"/>
                <a:gd name="connsiteX18" fmla="*/ 2123957 w 2292045"/>
                <a:gd name="connsiteY18" fmla="*/ 134471 h 941294"/>
                <a:gd name="connsiteX19" fmla="*/ 2191192 w 2292045"/>
                <a:gd name="connsiteY19" fmla="*/ 179294 h 941294"/>
                <a:gd name="connsiteX20" fmla="*/ 2224809 w 2292045"/>
                <a:gd name="connsiteY20" fmla="*/ 212912 h 941294"/>
                <a:gd name="connsiteX21" fmla="*/ 2258427 w 2292045"/>
                <a:gd name="connsiteY21" fmla="*/ 403412 h 941294"/>
                <a:gd name="connsiteX22" fmla="*/ 2269633 w 2292045"/>
                <a:gd name="connsiteY22" fmla="*/ 515471 h 941294"/>
                <a:gd name="connsiteX23" fmla="*/ 2292045 w 2292045"/>
                <a:gd name="connsiteY23" fmla="*/ 649941 h 941294"/>
                <a:gd name="connsiteX24" fmla="*/ 2280839 w 2292045"/>
                <a:gd name="connsiteY24" fmla="*/ 728383 h 941294"/>
                <a:gd name="connsiteX25" fmla="*/ 2258427 w 2292045"/>
                <a:gd name="connsiteY25" fmla="*/ 773206 h 941294"/>
                <a:gd name="connsiteX26" fmla="*/ 2224809 w 2292045"/>
                <a:gd name="connsiteY26" fmla="*/ 784412 h 941294"/>
                <a:gd name="connsiteX27" fmla="*/ 2067927 w 2292045"/>
                <a:gd name="connsiteY27" fmla="*/ 806824 h 941294"/>
                <a:gd name="connsiteX28" fmla="*/ 2011898 w 2292045"/>
                <a:gd name="connsiteY28" fmla="*/ 818030 h 941294"/>
                <a:gd name="connsiteX29" fmla="*/ 1944662 w 2292045"/>
                <a:gd name="connsiteY29" fmla="*/ 829235 h 941294"/>
                <a:gd name="connsiteX30" fmla="*/ 1888633 w 2292045"/>
                <a:gd name="connsiteY30" fmla="*/ 851647 h 941294"/>
                <a:gd name="connsiteX31" fmla="*/ 1810192 w 2292045"/>
                <a:gd name="connsiteY31" fmla="*/ 874059 h 941294"/>
                <a:gd name="connsiteX32" fmla="*/ 1765368 w 2292045"/>
                <a:gd name="connsiteY32" fmla="*/ 896471 h 941294"/>
                <a:gd name="connsiteX33" fmla="*/ 1709339 w 2292045"/>
                <a:gd name="connsiteY33" fmla="*/ 907677 h 941294"/>
                <a:gd name="connsiteX34" fmla="*/ 1653309 w 2292045"/>
                <a:gd name="connsiteY34" fmla="*/ 930088 h 941294"/>
                <a:gd name="connsiteX35" fmla="*/ 1530045 w 2292045"/>
                <a:gd name="connsiteY35" fmla="*/ 941294 h 941294"/>
                <a:gd name="connsiteX36" fmla="*/ 1059398 w 2292045"/>
                <a:gd name="connsiteY36" fmla="*/ 918883 h 941294"/>
                <a:gd name="connsiteX37" fmla="*/ 992162 w 2292045"/>
                <a:gd name="connsiteY37" fmla="*/ 896471 h 941294"/>
                <a:gd name="connsiteX38" fmla="*/ 812868 w 2292045"/>
                <a:gd name="connsiteY38" fmla="*/ 885265 h 941294"/>
                <a:gd name="connsiteX39" fmla="*/ 700809 w 2292045"/>
                <a:gd name="connsiteY39" fmla="*/ 874059 h 941294"/>
                <a:gd name="connsiteX40" fmla="*/ 308604 w 2292045"/>
                <a:gd name="connsiteY40" fmla="*/ 885265 h 941294"/>
                <a:gd name="connsiteX41" fmla="*/ 274986 w 2292045"/>
                <a:gd name="connsiteY41" fmla="*/ 918883 h 941294"/>
                <a:gd name="connsiteX42" fmla="*/ 241368 w 2292045"/>
                <a:gd name="connsiteY42" fmla="*/ 930088 h 941294"/>
                <a:gd name="connsiteX43" fmla="*/ 174133 w 2292045"/>
                <a:gd name="connsiteY43" fmla="*/ 885265 h 9412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</a:cxnLst>
              <a:rect l="l" t="t" r="r" b="b"/>
              <a:pathLst>
                <a:path w="2292045" h="941294">
                  <a:moveTo>
                    <a:pt x="174133" y="885265"/>
                  </a:moveTo>
                  <a:cubicBezTo>
                    <a:pt x="157324" y="860986"/>
                    <a:pt x="151721" y="818030"/>
                    <a:pt x="140515" y="784412"/>
                  </a:cubicBezTo>
                  <a:cubicBezTo>
                    <a:pt x="127472" y="725715"/>
                    <a:pt x="127203" y="686002"/>
                    <a:pt x="95692" y="638735"/>
                  </a:cubicBezTo>
                  <a:cubicBezTo>
                    <a:pt x="74972" y="607656"/>
                    <a:pt x="28457" y="549088"/>
                    <a:pt x="28457" y="549088"/>
                  </a:cubicBezTo>
                  <a:cubicBezTo>
                    <a:pt x="4078" y="475951"/>
                    <a:pt x="-15444" y="447331"/>
                    <a:pt x="17251" y="358588"/>
                  </a:cubicBezTo>
                  <a:cubicBezTo>
                    <a:pt x="45729" y="281290"/>
                    <a:pt x="93008" y="265217"/>
                    <a:pt x="151721" y="224118"/>
                  </a:cubicBezTo>
                  <a:cubicBezTo>
                    <a:pt x="167022" y="213408"/>
                    <a:pt x="179478" y="198085"/>
                    <a:pt x="196545" y="190500"/>
                  </a:cubicBezTo>
                  <a:cubicBezTo>
                    <a:pt x="213950" y="182765"/>
                    <a:pt x="233898" y="183029"/>
                    <a:pt x="252574" y="179294"/>
                  </a:cubicBezTo>
                  <a:cubicBezTo>
                    <a:pt x="294047" y="158558"/>
                    <a:pt x="316172" y="144856"/>
                    <a:pt x="364633" y="134471"/>
                  </a:cubicBezTo>
                  <a:cubicBezTo>
                    <a:pt x="584884" y="87274"/>
                    <a:pt x="343048" y="153244"/>
                    <a:pt x="521515" y="112059"/>
                  </a:cubicBezTo>
                  <a:cubicBezTo>
                    <a:pt x="548012" y="105944"/>
                    <a:pt x="573133" y="94118"/>
                    <a:pt x="599957" y="89647"/>
                  </a:cubicBezTo>
                  <a:cubicBezTo>
                    <a:pt x="828782" y="51510"/>
                    <a:pt x="860154" y="55907"/>
                    <a:pt x="1081809" y="44824"/>
                  </a:cubicBezTo>
                  <a:cubicBezTo>
                    <a:pt x="1209073" y="19371"/>
                    <a:pt x="1100428" y="38353"/>
                    <a:pt x="1339545" y="22412"/>
                  </a:cubicBezTo>
                  <a:cubicBezTo>
                    <a:pt x="1457031" y="14580"/>
                    <a:pt x="1460849" y="12852"/>
                    <a:pt x="1563662" y="0"/>
                  </a:cubicBezTo>
                  <a:cubicBezTo>
                    <a:pt x="1852489" y="18052"/>
                    <a:pt x="1660646" y="-4831"/>
                    <a:pt x="1787780" y="22412"/>
                  </a:cubicBezTo>
                  <a:cubicBezTo>
                    <a:pt x="1825027" y="30394"/>
                    <a:pt x="1899839" y="44824"/>
                    <a:pt x="1899839" y="44824"/>
                  </a:cubicBezTo>
                  <a:cubicBezTo>
                    <a:pt x="1918515" y="56030"/>
                    <a:pt x="1936387" y="68701"/>
                    <a:pt x="1955868" y="78441"/>
                  </a:cubicBezTo>
                  <a:cubicBezTo>
                    <a:pt x="2012041" y="106527"/>
                    <a:pt x="2003222" y="96009"/>
                    <a:pt x="2056721" y="112059"/>
                  </a:cubicBezTo>
                  <a:cubicBezTo>
                    <a:pt x="2079349" y="118847"/>
                    <a:pt x="2101545" y="127000"/>
                    <a:pt x="2123957" y="134471"/>
                  </a:cubicBezTo>
                  <a:cubicBezTo>
                    <a:pt x="2231202" y="241716"/>
                    <a:pt x="2093885" y="114422"/>
                    <a:pt x="2191192" y="179294"/>
                  </a:cubicBezTo>
                  <a:cubicBezTo>
                    <a:pt x="2204378" y="188085"/>
                    <a:pt x="2213603" y="201706"/>
                    <a:pt x="2224809" y="212912"/>
                  </a:cubicBezTo>
                  <a:cubicBezTo>
                    <a:pt x="2236362" y="270678"/>
                    <a:pt x="2253318" y="352324"/>
                    <a:pt x="2258427" y="403412"/>
                  </a:cubicBezTo>
                  <a:cubicBezTo>
                    <a:pt x="2262162" y="440765"/>
                    <a:pt x="2264561" y="478276"/>
                    <a:pt x="2269633" y="515471"/>
                  </a:cubicBezTo>
                  <a:cubicBezTo>
                    <a:pt x="2275773" y="560496"/>
                    <a:pt x="2292045" y="649941"/>
                    <a:pt x="2292045" y="649941"/>
                  </a:cubicBezTo>
                  <a:cubicBezTo>
                    <a:pt x="2288310" y="676088"/>
                    <a:pt x="2287789" y="702901"/>
                    <a:pt x="2280839" y="728383"/>
                  </a:cubicBezTo>
                  <a:cubicBezTo>
                    <a:pt x="2276444" y="744499"/>
                    <a:pt x="2270239" y="761394"/>
                    <a:pt x="2258427" y="773206"/>
                  </a:cubicBezTo>
                  <a:cubicBezTo>
                    <a:pt x="2250074" y="781558"/>
                    <a:pt x="2236167" y="781167"/>
                    <a:pt x="2224809" y="784412"/>
                  </a:cubicBezTo>
                  <a:cubicBezTo>
                    <a:pt x="2159190" y="803161"/>
                    <a:pt x="2157231" y="797893"/>
                    <a:pt x="2067927" y="806824"/>
                  </a:cubicBezTo>
                  <a:lnTo>
                    <a:pt x="2011898" y="818030"/>
                  </a:lnTo>
                  <a:cubicBezTo>
                    <a:pt x="1989543" y="822094"/>
                    <a:pt x="1966583" y="823257"/>
                    <a:pt x="1944662" y="829235"/>
                  </a:cubicBezTo>
                  <a:cubicBezTo>
                    <a:pt x="1925256" y="834528"/>
                    <a:pt x="1907716" y="845286"/>
                    <a:pt x="1888633" y="851647"/>
                  </a:cubicBezTo>
                  <a:cubicBezTo>
                    <a:pt x="1862835" y="860246"/>
                    <a:pt x="1835748" y="864766"/>
                    <a:pt x="1810192" y="874059"/>
                  </a:cubicBezTo>
                  <a:cubicBezTo>
                    <a:pt x="1794493" y="879768"/>
                    <a:pt x="1781216" y="891188"/>
                    <a:pt x="1765368" y="896471"/>
                  </a:cubicBezTo>
                  <a:cubicBezTo>
                    <a:pt x="1747299" y="902494"/>
                    <a:pt x="1727582" y="902204"/>
                    <a:pt x="1709339" y="907677"/>
                  </a:cubicBezTo>
                  <a:cubicBezTo>
                    <a:pt x="1690072" y="913457"/>
                    <a:pt x="1673080" y="926381"/>
                    <a:pt x="1653309" y="930088"/>
                  </a:cubicBezTo>
                  <a:cubicBezTo>
                    <a:pt x="1612758" y="937691"/>
                    <a:pt x="1571133" y="937559"/>
                    <a:pt x="1530045" y="941294"/>
                  </a:cubicBezTo>
                  <a:cubicBezTo>
                    <a:pt x="1526939" y="941187"/>
                    <a:pt x="1146649" y="932659"/>
                    <a:pt x="1059398" y="918883"/>
                  </a:cubicBezTo>
                  <a:cubicBezTo>
                    <a:pt x="1036063" y="915199"/>
                    <a:pt x="1015570" y="899663"/>
                    <a:pt x="992162" y="896471"/>
                  </a:cubicBezTo>
                  <a:cubicBezTo>
                    <a:pt x="932830" y="888380"/>
                    <a:pt x="872573" y="889858"/>
                    <a:pt x="812868" y="885265"/>
                  </a:cubicBezTo>
                  <a:cubicBezTo>
                    <a:pt x="775439" y="882386"/>
                    <a:pt x="738162" y="877794"/>
                    <a:pt x="700809" y="874059"/>
                  </a:cubicBezTo>
                  <a:cubicBezTo>
                    <a:pt x="570074" y="877794"/>
                    <a:pt x="438674" y="871573"/>
                    <a:pt x="308604" y="885265"/>
                  </a:cubicBezTo>
                  <a:cubicBezTo>
                    <a:pt x="292843" y="886924"/>
                    <a:pt x="288172" y="910092"/>
                    <a:pt x="274986" y="918883"/>
                  </a:cubicBezTo>
                  <a:cubicBezTo>
                    <a:pt x="265158" y="925435"/>
                    <a:pt x="252574" y="926353"/>
                    <a:pt x="241368" y="930088"/>
                  </a:cubicBezTo>
                  <a:cubicBezTo>
                    <a:pt x="200664" y="916521"/>
                    <a:pt x="190942" y="909544"/>
                    <a:pt x="174133" y="885265"/>
                  </a:cubicBezTo>
                  <a:close/>
                </a:path>
              </a:pathLst>
            </a:custGeom>
            <a:solidFill>
              <a:schemeClr val="bg1">
                <a:lumMod val="8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78" name="Ellipse 77"/>
            <xdr:cNvSpPr/>
          </xdr:nvSpPr>
          <xdr:spPr>
            <a:xfrm>
              <a:off x="5557631" y="670892"/>
              <a:ext cx="115956" cy="11595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79" name="Textfeld 78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𝐶𝑀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>
            <xdr:sp macro="" textlink="">
              <xdr:nvSpPr>
                <xdr:cNvPr id="79" name="Textfeld 78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𝐶𝑀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  <xdr:cxnSp macro="">
          <xdr:nvCxnSpPr>
            <xdr:cNvPr id="80" name="Gerade Verbindung mit Pfeil 79"/>
            <xdr:cNvCxnSpPr/>
          </xdr:nvCxnSpPr>
          <xdr:spPr>
            <a:xfrm flipV="1">
              <a:off x="6435587" y="687457"/>
              <a:ext cx="0" cy="298173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Gerade Verbindung mit Pfeil 80"/>
            <xdr:cNvCxnSpPr/>
          </xdr:nvCxnSpPr>
          <xdr:spPr>
            <a:xfrm>
              <a:off x="6443870" y="993913"/>
              <a:ext cx="281608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Gerade Verbindung mit Pfeil 81"/>
            <xdr:cNvCxnSpPr/>
          </xdr:nvCxnSpPr>
          <xdr:spPr>
            <a:xfrm flipV="1">
              <a:off x="6435586" y="728869"/>
              <a:ext cx="182218" cy="265044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83" name="Textfeld 82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1" i="1">
                          <a:latin typeface="Cambria Math" panose="02040503050406030204" pitchFamily="18" charset="0"/>
                        </a:rPr>
                        <m:t>𝒓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>
            <xdr:sp macro="" textlink="">
              <xdr:nvSpPr>
                <xdr:cNvPr id="83" name="Textfeld 82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1" i="0">
                      <a:latin typeface="Cambria Math" panose="02040503050406030204" pitchFamily="18" charset="0"/>
                    </a:rPr>
                    <a:t>𝒓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</xdr:grpSp>
      <xdr:cxnSp macro="">
        <xdr:nvCxnSpPr>
          <xdr:cNvPr id="76" name="Gerade Verbindung mit Pfeil 75"/>
          <xdr:cNvCxnSpPr>
            <a:endCxn id="78" idx="5"/>
          </xdr:cNvCxnSpPr>
        </xdr:nvCxnSpPr>
        <xdr:spPr>
          <a:xfrm flipH="1" flipV="1">
            <a:off x="7926040" y="852693"/>
            <a:ext cx="778981" cy="22404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showGridLines="0" tabSelected="1" workbookViewId="0">
      <selection activeCell="L17" sqref="L17"/>
    </sheetView>
  </sheetViews>
  <sheetFormatPr baseColWidth="10" defaultRowHeight="15" x14ac:dyDescent="0.25"/>
  <cols>
    <col min="1" max="1" width="2.7109375" customWidth="1"/>
    <col min="3" max="3" width="13.42578125" bestFit="1" customWidth="1"/>
    <col min="4" max="4" width="10.5703125" bestFit="1" customWidth="1"/>
    <col min="5" max="6" width="5" bestFit="1" customWidth="1"/>
    <col min="7" max="7" width="9.28515625" bestFit="1" customWidth="1"/>
    <col min="8" max="18" width="9.5703125" bestFit="1" customWidth="1"/>
  </cols>
  <sheetData>
    <row r="1" spans="2:19" ht="15.75" thickBot="1" x14ac:dyDescent="0.3"/>
    <row r="2" spans="2:19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19" x14ac:dyDescent="0.25">
      <c r="B3" s="10"/>
      <c r="C3" s="2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1"/>
    </row>
    <row r="4" spans="2:19" x14ac:dyDescent="0.25">
      <c r="B4" s="10"/>
      <c r="C4" s="3" t="s">
        <v>0</v>
      </c>
      <c r="D4" s="4">
        <f>2.1*10^11</f>
        <v>210000000000</v>
      </c>
      <c r="E4" s="1" t="s">
        <v>11</v>
      </c>
      <c r="F4" s="3" t="s">
        <v>39</v>
      </c>
      <c r="G4" s="15">
        <v>0.1</v>
      </c>
      <c r="H4" s="1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1"/>
    </row>
    <row r="5" spans="2:19" x14ac:dyDescent="0.25">
      <c r="B5" s="10"/>
      <c r="C5" s="3" t="s">
        <v>2</v>
      </c>
      <c r="D5" s="4">
        <f>D4/(2*(1+0.3))</f>
        <v>80769230769.230774</v>
      </c>
      <c r="E5" s="1" t="s">
        <v>11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1"/>
    </row>
    <row r="6" spans="2:19" x14ac:dyDescent="0.25">
      <c r="B6" s="10"/>
      <c r="C6" s="3" t="s">
        <v>4</v>
      </c>
      <c r="D6" s="4">
        <v>7850</v>
      </c>
      <c r="E6" s="17" t="s">
        <v>12</v>
      </c>
      <c r="F6" s="1"/>
      <c r="G6" s="1"/>
      <c r="H6" s="1"/>
      <c r="I6" s="1"/>
      <c r="J6" s="19"/>
      <c r="K6" s="1"/>
      <c r="L6" s="1"/>
      <c r="M6" s="1"/>
      <c r="N6" s="1"/>
      <c r="O6" s="1"/>
      <c r="P6" s="1"/>
      <c r="Q6" s="1"/>
      <c r="R6" s="1"/>
      <c r="S6" s="11"/>
    </row>
    <row r="7" spans="2:19" x14ac:dyDescent="0.25">
      <c r="B7" s="10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19" x14ac:dyDescent="0.25">
      <c r="B8" s="10"/>
      <c r="C8" s="3" t="s">
        <v>1</v>
      </c>
      <c r="D8" s="6">
        <f>PI()*G4^2</f>
        <v>3.1415926535897934E-2</v>
      </c>
      <c r="E8" s="17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19" x14ac:dyDescent="0.25">
      <c r="B9" s="10"/>
      <c r="C9" s="3" t="s">
        <v>26</v>
      </c>
      <c r="D9" s="6">
        <f>+D8</f>
        <v>3.1415926535897934E-2</v>
      </c>
      <c r="E9" s="17" t="s">
        <v>13</v>
      </c>
      <c r="F9" s="1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19" x14ac:dyDescent="0.25">
      <c r="B10" s="10"/>
      <c r="C10" s="3" t="s">
        <v>27</v>
      </c>
      <c r="D10" s="6">
        <f>+D9</f>
        <v>3.1415926535897934E-2</v>
      </c>
      <c r="E10" s="17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19" x14ac:dyDescent="0.25">
      <c r="B11" s="10"/>
      <c r="C11" s="3" t="s">
        <v>28</v>
      </c>
      <c r="D11" s="6">
        <f>(PI()/64)*G4^4</f>
        <v>4.9087385212340542E-6</v>
      </c>
      <c r="E11" s="17" t="s">
        <v>14</v>
      </c>
      <c r="F11" s="1"/>
      <c r="G11" s="1"/>
      <c r="H11" s="20" t="s">
        <v>16</v>
      </c>
      <c r="I11" s="20" t="s">
        <v>17</v>
      </c>
      <c r="J11" s="20" t="s">
        <v>18</v>
      </c>
      <c r="K11" s="20" t="s">
        <v>19</v>
      </c>
      <c r="L11" s="20" t="s">
        <v>20</v>
      </c>
      <c r="M11" s="20" t="s">
        <v>119</v>
      </c>
      <c r="N11" s="20" t="s">
        <v>21</v>
      </c>
      <c r="O11" s="20" t="s">
        <v>22</v>
      </c>
      <c r="P11" s="20" t="s">
        <v>23</v>
      </c>
      <c r="Q11" s="20" t="s">
        <v>24</v>
      </c>
      <c r="R11" s="20" t="s">
        <v>25</v>
      </c>
      <c r="S11" s="11"/>
    </row>
    <row r="12" spans="2:19" x14ac:dyDescent="0.25">
      <c r="B12" s="10"/>
      <c r="C12" s="3" t="s">
        <v>29</v>
      </c>
      <c r="D12" s="6">
        <f>+D11</f>
        <v>4.9087385212340542E-6</v>
      </c>
      <c r="E12" s="17" t="s">
        <v>14</v>
      </c>
      <c r="F12" s="1"/>
      <c r="G12" s="1"/>
      <c r="H12" s="20" t="s">
        <v>33</v>
      </c>
      <c r="I12" s="20" t="s">
        <v>34</v>
      </c>
      <c r="J12" s="20" t="s">
        <v>35</v>
      </c>
      <c r="K12" s="20" t="s">
        <v>36</v>
      </c>
      <c r="L12" s="20" t="s">
        <v>37</v>
      </c>
      <c r="M12" s="20" t="s">
        <v>38</v>
      </c>
      <c r="N12" s="1"/>
      <c r="O12" s="1"/>
      <c r="P12" s="1"/>
      <c r="Q12" s="1"/>
      <c r="R12" s="1"/>
      <c r="S12" s="11"/>
    </row>
    <row r="13" spans="2:19" x14ac:dyDescent="0.25">
      <c r="B13" s="10"/>
      <c r="C13" s="3" t="s">
        <v>46</v>
      </c>
      <c r="D13" s="6">
        <f>+D11+D12</f>
        <v>9.8174770424681085E-6</v>
      </c>
      <c r="E13" s="17" t="s">
        <v>14</v>
      </c>
      <c r="F13" s="1"/>
      <c r="G13" s="1"/>
      <c r="H13" s="24">
        <f>+D8*D4</f>
        <v>6597344572.5385666</v>
      </c>
      <c r="I13" s="24">
        <f>+D5*D9</f>
        <v>2537440220.2071409</v>
      </c>
      <c r="J13" s="24">
        <f>+D10*D5</f>
        <v>2537440220.2071409</v>
      </c>
      <c r="K13" s="24">
        <f>+D4*D11</f>
        <v>1030835.0894591514</v>
      </c>
      <c r="L13" s="24">
        <f>+D4*D12</f>
        <v>1030835.0894591514</v>
      </c>
      <c r="M13" s="24">
        <f>+D5*D13</f>
        <v>792950.0688147319</v>
      </c>
      <c r="N13" s="24">
        <f>+D4*D14</f>
        <v>0</v>
      </c>
      <c r="O13" s="24">
        <f>+D4*D15</f>
        <v>0</v>
      </c>
      <c r="P13" s="24">
        <f>+D5*D14</f>
        <v>0</v>
      </c>
      <c r="Q13" s="24">
        <f>+D5*D15</f>
        <v>0</v>
      </c>
      <c r="R13" s="24">
        <f>+D4*D16</f>
        <v>0</v>
      </c>
      <c r="S13" s="11"/>
    </row>
    <row r="14" spans="2:19" x14ac:dyDescent="0.25">
      <c r="B14" s="10"/>
      <c r="C14" s="3" t="s">
        <v>30</v>
      </c>
      <c r="D14" s="6">
        <v>0</v>
      </c>
      <c r="E14" s="17" t="s">
        <v>15</v>
      </c>
      <c r="F14" s="1"/>
      <c r="G14" s="1"/>
      <c r="H14" s="24">
        <f>+D6*D8</f>
        <v>246.61502330679878</v>
      </c>
      <c r="I14" s="24">
        <f>+D6*D11</f>
        <v>3.8533597391687324E-2</v>
      </c>
      <c r="J14" s="24">
        <f>+D6*D12</f>
        <v>3.8533597391687324E-2</v>
      </c>
      <c r="K14" s="24">
        <f>+D6*D14</f>
        <v>0</v>
      </c>
      <c r="L14" s="24">
        <f>+D6*D15</f>
        <v>0</v>
      </c>
      <c r="M14" s="24">
        <f>+D6*D16</f>
        <v>0</v>
      </c>
      <c r="N14" s="25"/>
      <c r="O14" s="25"/>
      <c r="P14" s="25"/>
      <c r="Q14" s="25"/>
      <c r="R14" s="25"/>
      <c r="S14" s="11"/>
    </row>
    <row r="15" spans="2:19" x14ac:dyDescent="0.25">
      <c r="B15" s="10"/>
      <c r="C15" s="3" t="s">
        <v>31</v>
      </c>
      <c r="D15" s="6">
        <v>0</v>
      </c>
      <c r="E15" s="17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1"/>
    </row>
    <row r="16" spans="2:19" x14ac:dyDescent="0.25">
      <c r="B16" s="10"/>
      <c r="C16" s="3" t="s">
        <v>32</v>
      </c>
      <c r="D16" s="6">
        <v>0</v>
      </c>
      <c r="E16" s="35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1"/>
    </row>
    <row r="17" spans="2:19" x14ac:dyDescent="0.25">
      <c r="B17" s="10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2:19" x14ac:dyDescent="0.25">
      <c r="B18" s="10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2:19" ht="15.75" thickBot="1" x14ac:dyDescent="0.3">
      <c r="B19" s="12"/>
      <c r="C19" s="18"/>
      <c r="D19" s="18"/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2:19" x14ac:dyDescent="0.25">
      <c r="B20" s="1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/>
      <c r="C29" s="1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1"/>
      <c r="C30" s="1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33"/>
  <sheetViews>
    <sheetView showGridLines="0" topLeftCell="C1" workbookViewId="0">
      <selection activeCell="M12" sqref="M12"/>
    </sheetView>
  </sheetViews>
  <sheetFormatPr baseColWidth="10" defaultRowHeight="15" x14ac:dyDescent="0.25"/>
  <cols>
    <col min="1" max="1" width="2.7109375" customWidth="1"/>
    <col min="3" max="3" width="13.42578125" bestFit="1" customWidth="1"/>
    <col min="4" max="4" width="10.5703125" bestFit="1" customWidth="1"/>
    <col min="5" max="7" width="5" bestFit="1" customWidth="1"/>
    <col min="8" max="18" width="9.5703125" bestFit="1" customWidth="1"/>
  </cols>
  <sheetData>
    <row r="1" spans="2:19" ht="15.75" thickBot="1" x14ac:dyDescent="0.3"/>
    <row r="2" spans="2:19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19" x14ac:dyDescent="0.25">
      <c r="B3" s="10"/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1"/>
    </row>
    <row r="4" spans="2:19" x14ac:dyDescent="0.25">
      <c r="B4" s="10"/>
      <c r="C4" s="3" t="s">
        <v>0</v>
      </c>
      <c r="D4" s="4">
        <f>2.1*10^11</f>
        <v>210000000000</v>
      </c>
      <c r="E4" s="1" t="s">
        <v>11</v>
      </c>
      <c r="F4" s="3" t="s">
        <v>7</v>
      </c>
      <c r="G4" s="15">
        <v>0.1</v>
      </c>
      <c r="H4" s="1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1"/>
    </row>
    <row r="5" spans="2:19" x14ac:dyDescent="0.25">
      <c r="B5" s="10"/>
      <c r="C5" s="3" t="s">
        <v>2</v>
      </c>
      <c r="D5" s="4">
        <f>D4/(2*(1+0.3))</f>
        <v>80769230769.230774</v>
      </c>
      <c r="E5" s="1" t="s">
        <v>11</v>
      </c>
      <c r="F5" s="3" t="s">
        <v>6</v>
      </c>
      <c r="G5" s="16">
        <v>0.08</v>
      </c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1"/>
    </row>
    <row r="6" spans="2:19" x14ac:dyDescent="0.25">
      <c r="B6" s="10"/>
      <c r="C6" s="3" t="s">
        <v>4</v>
      </c>
      <c r="D6" s="4">
        <v>7850</v>
      </c>
      <c r="E6" s="17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19" x14ac:dyDescent="0.25">
      <c r="B7" s="10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19" x14ac:dyDescent="0.25">
      <c r="B8" s="10"/>
      <c r="C8" s="3" t="s">
        <v>1</v>
      </c>
      <c r="D8" s="6">
        <f>PI()*(G4^2-G5^2)</f>
        <v>1.130973355292326E-2</v>
      </c>
      <c r="E8" s="17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19" x14ac:dyDescent="0.25">
      <c r="B9" s="10"/>
      <c r="C9" s="3" t="s">
        <v>26</v>
      </c>
      <c r="D9" s="6">
        <f>+D8</f>
        <v>1.130973355292326E-2</v>
      </c>
      <c r="E9" s="17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19" x14ac:dyDescent="0.25">
      <c r="B10" s="10"/>
      <c r="C10" s="3" t="s">
        <v>27</v>
      </c>
      <c r="D10" s="6">
        <f>+D9</f>
        <v>1.130973355292326E-2</v>
      </c>
      <c r="E10" s="17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19" x14ac:dyDescent="0.25">
      <c r="B11" s="10"/>
      <c r="C11" s="3" t="s">
        <v>28</v>
      </c>
      <c r="D11" s="6">
        <f>(PI()/4)*((G4^4)-(G5^4))</f>
        <v>4.636990756698538E-5</v>
      </c>
      <c r="E11" s="17" t="s">
        <v>14</v>
      </c>
      <c r="F11" s="1"/>
      <c r="G11" s="1"/>
      <c r="H11" s="21" t="s">
        <v>16</v>
      </c>
      <c r="I11" s="22" t="s">
        <v>17</v>
      </c>
      <c r="J11" s="22" t="s">
        <v>18</v>
      </c>
      <c r="K11" s="22" t="s">
        <v>19</v>
      </c>
      <c r="L11" s="22" t="s">
        <v>20</v>
      </c>
      <c r="M11" s="22" t="s">
        <v>119</v>
      </c>
      <c r="N11" s="22" t="s">
        <v>21</v>
      </c>
      <c r="O11" s="22" t="s">
        <v>22</v>
      </c>
      <c r="P11" s="22" t="s">
        <v>23</v>
      </c>
      <c r="Q11" s="22" t="s">
        <v>24</v>
      </c>
      <c r="R11" s="23" t="s">
        <v>25</v>
      </c>
      <c r="S11" s="11"/>
    </row>
    <row r="12" spans="2:19" ht="15.75" thickBot="1" x14ac:dyDescent="0.3">
      <c r="B12" s="10"/>
      <c r="C12" s="3" t="s">
        <v>29</v>
      </c>
      <c r="D12" s="6">
        <f>(PI()/4)*((G4^4)-(G5^4))</f>
        <v>4.636990756698538E-5</v>
      </c>
      <c r="E12" s="17" t="s">
        <v>14</v>
      </c>
      <c r="F12" s="1"/>
      <c r="G12" s="1"/>
      <c r="H12" s="26" t="s">
        <v>33</v>
      </c>
      <c r="I12" s="27" t="s">
        <v>34</v>
      </c>
      <c r="J12" s="27" t="s">
        <v>35</v>
      </c>
      <c r="K12" s="27" t="s">
        <v>36</v>
      </c>
      <c r="L12" s="27" t="s">
        <v>37</v>
      </c>
      <c r="M12" s="27" t="s">
        <v>38</v>
      </c>
      <c r="N12" s="1"/>
      <c r="O12" s="1"/>
      <c r="P12" s="1"/>
      <c r="Q12" s="1"/>
      <c r="R12" s="1"/>
      <c r="S12" s="11"/>
    </row>
    <row r="13" spans="2:19" x14ac:dyDescent="0.25">
      <c r="B13" s="10"/>
      <c r="C13" s="3" t="s">
        <v>46</v>
      </c>
      <c r="D13" s="6">
        <f>(PI()/32)*((2*G4)^4-(2*G5)^4)</f>
        <v>9.273981513397076E-5</v>
      </c>
      <c r="E13" s="17" t="s">
        <v>14</v>
      </c>
      <c r="F13" s="1"/>
      <c r="G13" s="1"/>
      <c r="H13" s="28">
        <f>+D8*D4</f>
        <v>2375044046.1138844</v>
      </c>
      <c r="I13" s="29">
        <f>+D5*D9</f>
        <v>913478479.27457106</v>
      </c>
      <c r="J13" s="29">
        <f>+D10*D5</f>
        <v>913478479.27457106</v>
      </c>
      <c r="K13" s="29">
        <f>+D4*D11</f>
        <v>9737680.5890669301</v>
      </c>
      <c r="L13" s="29">
        <f>+D4*D12</f>
        <v>9737680.5890669301</v>
      </c>
      <c r="M13" s="29">
        <f>+D5*D13</f>
        <v>7490523.5300514847</v>
      </c>
      <c r="N13" s="29">
        <f>+D4*D14</f>
        <v>0</v>
      </c>
      <c r="O13" s="29">
        <f>+D4*D15</f>
        <v>0</v>
      </c>
      <c r="P13" s="29">
        <f>+D5*D14</f>
        <v>0</v>
      </c>
      <c r="Q13" s="29">
        <f>+D5*D15</f>
        <v>0</v>
      </c>
      <c r="R13" s="30">
        <f>+D4*D16</f>
        <v>0</v>
      </c>
      <c r="S13" s="11"/>
    </row>
    <row r="14" spans="2:19" ht="15.75" thickBot="1" x14ac:dyDescent="0.3">
      <c r="B14" s="10"/>
      <c r="C14" s="3" t="s">
        <v>30</v>
      </c>
      <c r="D14" s="6">
        <v>0</v>
      </c>
      <c r="E14" s="17" t="s">
        <v>15</v>
      </c>
      <c r="F14" s="1"/>
      <c r="G14" s="1"/>
      <c r="H14" s="31">
        <f>+D6*D8</f>
        <v>88.781408390447595</v>
      </c>
      <c r="I14" s="32">
        <f>+D6*D11</f>
        <v>0.36400377440083526</v>
      </c>
      <c r="J14" s="32">
        <f>+D6*D12</f>
        <v>0.36400377440083526</v>
      </c>
      <c r="K14" s="32">
        <f>+D6*D14</f>
        <v>0</v>
      </c>
      <c r="L14" s="32">
        <f>+D6*D15</f>
        <v>0</v>
      </c>
      <c r="M14" s="32">
        <f>+D6*D16</f>
        <v>0</v>
      </c>
      <c r="N14" s="33"/>
      <c r="O14" s="33"/>
      <c r="P14" s="33"/>
      <c r="Q14" s="33"/>
      <c r="R14" s="34"/>
      <c r="S14" s="11"/>
    </row>
    <row r="15" spans="2:19" x14ac:dyDescent="0.25">
      <c r="B15" s="10"/>
      <c r="C15" s="3" t="s">
        <v>31</v>
      </c>
      <c r="D15" s="6">
        <v>0</v>
      </c>
      <c r="E15" s="17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1"/>
    </row>
    <row r="16" spans="2:19" x14ac:dyDescent="0.25">
      <c r="B16" s="10"/>
      <c r="C16" s="3" t="s">
        <v>32</v>
      </c>
      <c r="D16" s="6">
        <v>0</v>
      </c>
      <c r="E16" s="35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8"/>
      <c r="D19" s="18"/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20" x14ac:dyDescent="0.25">
      <c r="A20" s="1"/>
      <c r="B20" s="1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workbookViewId="0">
      <selection activeCell="M12" sqref="M12"/>
    </sheetView>
  </sheetViews>
  <sheetFormatPr baseColWidth="10" defaultRowHeight="15" x14ac:dyDescent="0.25"/>
  <cols>
    <col min="1" max="1" width="2.7109375" customWidth="1"/>
    <col min="3" max="3" width="13.42578125" bestFit="1" customWidth="1"/>
    <col min="4" max="4" width="10.5703125" bestFit="1" customWidth="1"/>
    <col min="5" max="7" width="5" bestFit="1" customWidth="1"/>
    <col min="8" max="18" width="9.5703125" bestFit="1" customWidth="1"/>
  </cols>
  <sheetData>
    <row r="1" spans="2:19" ht="15.75" thickBot="1" x14ac:dyDescent="0.3"/>
    <row r="2" spans="2:19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19" x14ac:dyDescent="0.25">
      <c r="B3" s="10"/>
      <c r="C3" s="2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1"/>
    </row>
    <row r="4" spans="2:19" x14ac:dyDescent="0.25">
      <c r="B4" s="10"/>
      <c r="C4" s="3" t="s">
        <v>0</v>
      </c>
      <c r="D4" s="4">
        <f>21*10^11</f>
        <v>2100000000000</v>
      </c>
      <c r="E4" s="1" t="s">
        <v>11</v>
      </c>
      <c r="F4" s="3" t="s">
        <v>10</v>
      </c>
      <c r="G4" s="15">
        <v>3</v>
      </c>
      <c r="H4" s="1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1"/>
    </row>
    <row r="5" spans="2:19" x14ac:dyDescent="0.25">
      <c r="B5" s="10"/>
      <c r="C5" s="3" t="s">
        <v>2</v>
      </c>
      <c r="D5" s="4">
        <f>D4/(2*(1+0.3))</f>
        <v>807692307692.30762</v>
      </c>
      <c r="E5" s="1" t="s">
        <v>11</v>
      </c>
      <c r="F5" s="3" t="s">
        <v>9</v>
      </c>
      <c r="G5" s="15">
        <v>2</v>
      </c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1"/>
    </row>
    <row r="6" spans="2:19" x14ac:dyDescent="0.25">
      <c r="B6" s="10"/>
      <c r="C6" s="3" t="s">
        <v>4</v>
      </c>
      <c r="D6" s="4">
        <v>7850</v>
      </c>
      <c r="E6" s="17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19" x14ac:dyDescent="0.25">
      <c r="B7" s="10"/>
      <c r="C7" s="1"/>
      <c r="D7" s="5"/>
      <c r="E7" s="1"/>
      <c r="F7" s="1"/>
      <c r="G7" s="1"/>
      <c r="H7" s="1"/>
      <c r="I7" s="19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19" x14ac:dyDescent="0.25">
      <c r="B8" s="10"/>
      <c r="C8" s="3" t="s">
        <v>1</v>
      </c>
      <c r="D8" s="6">
        <f>G4*G5</f>
        <v>6</v>
      </c>
      <c r="E8" s="17" t="s">
        <v>13</v>
      </c>
      <c r="F8" s="1"/>
      <c r="G8" s="1"/>
      <c r="H8" s="1"/>
      <c r="I8" s="19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19" x14ac:dyDescent="0.25">
      <c r="B9" s="10"/>
      <c r="C9" s="3" t="s">
        <v>26</v>
      </c>
      <c r="D9" s="6">
        <f>+D8</f>
        <v>6</v>
      </c>
      <c r="E9" s="17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19" x14ac:dyDescent="0.25">
      <c r="B10" s="10"/>
      <c r="C10" s="3" t="s">
        <v>27</v>
      </c>
      <c r="D10" s="6">
        <f>+D9</f>
        <v>6</v>
      </c>
      <c r="E10" s="17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19" x14ac:dyDescent="0.25">
      <c r="B11" s="10"/>
      <c r="C11" s="3" t="s">
        <v>28</v>
      </c>
      <c r="D11" s="6">
        <f>(G5*(G4^3))/12</f>
        <v>4.5</v>
      </c>
      <c r="E11" s="17" t="s">
        <v>14</v>
      </c>
      <c r="F11" s="1"/>
      <c r="G11" s="1"/>
      <c r="H11" s="21" t="s">
        <v>16</v>
      </c>
      <c r="I11" s="22" t="s">
        <v>17</v>
      </c>
      <c r="J11" s="22" t="s">
        <v>18</v>
      </c>
      <c r="K11" s="22" t="s">
        <v>19</v>
      </c>
      <c r="L11" s="22" t="s">
        <v>20</v>
      </c>
      <c r="M11" s="22" t="s">
        <v>119</v>
      </c>
      <c r="N11" s="22" t="s">
        <v>21</v>
      </c>
      <c r="O11" s="22" t="s">
        <v>22</v>
      </c>
      <c r="P11" s="22" t="s">
        <v>23</v>
      </c>
      <c r="Q11" s="22" t="s">
        <v>24</v>
      </c>
      <c r="R11" s="23" t="s">
        <v>25</v>
      </c>
      <c r="S11" s="11"/>
    </row>
    <row r="12" spans="2:19" ht="15.75" thickBot="1" x14ac:dyDescent="0.3">
      <c r="B12" s="10"/>
      <c r="C12" s="3" t="s">
        <v>29</v>
      </c>
      <c r="D12" s="6">
        <f>(G4*(G5^3))/12</f>
        <v>2</v>
      </c>
      <c r="E12" s="17" t="s">
        <v>14</v>
      </c>
      <c r="F12" s="1"/>
      <c r="G12" s="1"/>
      <c r="H12" s="26" t="s">
        <v>33</v>
      </c>
      <c r="I12" s="27" t="s">
        <v>34</v>
      </c>
      <c r="J12" s="27" t="s">
        <v>35</v>
      </c>
      <c r="K12" s="27" t="s">
        <v>36</v>
      </c>
      <c r="L12" s="27" t="s">
        <v>37</v>
      </c>
      <c r="M12" s="27" t="s">
        <v>38</v>
      </c>
      <c r="N12" s="1"/>
      <c r="O12" s="1"/>
      <c r="P12" s="1"/>
      <c r="Q12" s="1"/>
      <c r="R12" s="1"/>
      <c r="S12" s="11"/>
    </row>
    <row r="13" spans="2:19" x14ac:dyDescent="0.25">
      <c r="B13" s="10"/>
      <c r="C13" s="3" t="s">
        <v>3</v>
      </c>
      <c r="D13" s="6">
        <f>(G5*G4*((G5^2)+(G4^2)))/12</f>
        <v>6.5</v>
      </c>
      <c r="E13" s="17" t="s">
        <v>14</v>
      </c>
      <c r="F13" s="1"/>
      <c r="G13" s="1"/>
      <c r="H13" s="28">
        <f>+D8*D4</f>
        <v>12600000000000</v>
      </c>
      <c r="I13" s="29">
        <f>+D5*D9</f>
        <v>4846153846153.8457</v>
      </c>
      <c r="J13" s="29">
        <f>+D10*D5</f>
        <v>4846153846153.8457</v>
      </c>
      <c r="K13" s="29">
        <f>+D4*D11</f>
        <v>9450000000000</v>
      </c>
      <c r="L13" s="29">
        <f>+D4*D12</f>
        <v>4200000000000</v>
      </c>
      <c r="M13" s="29">
        <f>+D5*D13</f>
        <v>5250000000000</v>
      </c>
      <c r="N13" s="29">
        <f>+D4*D14</f>
        <v>0</v>
      </c>
      <c r="O13" s="29">
        <f>+D4*D15</f>
        <v>0</v>
      </c>
      <c r="P13" s="29">
        <f>+D5*D14</f>
        <v>0</v>
      </c>
      <c r="Q13" s="29">
        <f>+D5*D15</f>
        <v>0</v>
      </c>
      <c r="R13" s="30">
        <f>+D4*D16</f>
        <v>0</v>
      </c>
      <c r="S13" s="11"/>
    </row>
    <row r="14" spans="2:19" ht="15.75" thickBot="1" x14ac:dyDescent="0.3">
      <c r="B14" s="10"/>
      <c r="C14" s="3" t="s">
        <v>30</v>
      </c>
      <c r="D14" s="6">
        <v>0</v>
      </c>
      <c r="E14" s="17" t="s">
        <v>15</v>
      </c>
      <c r="F14" s="1"/>
      <c r="G14" s="1"/>
      <c r="H14" s="31">
        <f>+D6*D8</f>
        <v>47100</v>
      </c>
      <c r="I14" s="32">
        <f>+D6*D11</f>
        <v>35325</v>
      </c>
      <c r="J14" s="32">
        <f>+D6*D12</f>
        <v>15700</v>
      </c>
      <c r="K14" s="32">
        <f>+D6*D14</f>
        <v>0</v>
      </c>
      <c r="L14" s="32">
        <f>+D6*D15</f>
        <v>0</v>
      </c>
      <c r="M14" s="32">
        <f>+D6*D16</f>
        <v>0</v>
      </c>
      <c r="N14" s="33"/>
      <c r="O14" s="33"/>
      <c r="P14" s="33"/>
      <c r="Q14" s="33"/>
      <c r="R14" s="34"/>
      <c r="S14" s="11"/>
    </row>
    <row r="15" spans="2:19" x14ac:dyDescent="0.25">
      <c r="B15" s="10"/>
      <c r="C15" s="3" t="s">
        <v>31</v>
      </c>
      <c r="D15" s="6">
        <v>0</v>
      </c>
      <c r="E15" s="17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1"/>
    </row>
    <row r="16" spans="2:19" x14ac:dyDescent="0.25">
      <c r="B16" s="10"/>
      <c r="C16" s="3" t="s">
        <v>32</v>
      </c>
      <c r="D16" s="6">
        <v>0</v>
      </c>
      <c r="E16" s="35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8"/>
      <c r="D19" s="18"/>
      <c r="E19" s="18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1:20" x14ac:dyDescent="0.25">
      <c r="A20" s="1"/>
      <c r="B20" s="1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38"/>
  <sheetViews>
    <sheetView showGridLines="0" topLeftCell="A22" zoomScaleNormal="100" workbookViewId="0">
      <selection activeCell="G6" sqref="G6"/>
    </sheetView>
  </sheetViews>
  <sheetFormatPr baseColWidth="10" defaultRowHeight="15" x14ac:dyDescent="0.25"/>
  <cols>
    <col min="1" max="1" width="2.7109375" customWidth="1"/>
    <col min="2" max="2" width="16.140625" customWidth="1"/>
    <col min="3" max="3" width="13.85546875" customWidth="1"/>
    <col min="4" max="4" width="12.85546875" customWidth="1"/>
    <col min="5" max="5" width="7" customWidth="1"/>
    <col min="6" max="6" width="12.5703125" bestFit="1" customWidth="1"/>
    <col min="7" max="7" width="12.28515625" bestFit="1" customWidth="1"/>
    <col min="8" max="18" width="10.5703125" bestFit="1" customWidth="1"/>
    <col min="21" max="21" width="12" bestFit="1" customWidth="1"/>
    <col min="24" max="24" width="12" bestFit="1" customWidth="1"/>
  </cols>
  <sheetData>
    <row r="1" spans="2:24" ht="15.75" thickBot="1" x14ac:dyDescent="0.3"/>
    <row r="2" spans="2:2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24" x14ac:dyDescent="0.25">
      <c r="B3" s="10"/>
      <c r="C3" s="2" t="s">
        <v>41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S3" s="37"/>
      <c r="U3" s="1"/>
      <c r="V3" s="1"/>
      <c r="X3" s="38"/>
    </row>
    <row r="4" spans="2:24" x14ac:dyDescent="0.25">
      <c r="B4" s="10"/>
      <c r="C4" s="3" t="s">
        <v>0</v>
      </c>
      <c r="D4" s="4">
        <f>2.1*10^13</f>
        <v>21000000000000</v>
      </c>
      <c r="E4" s="1" t="s">
        <v>11</v>
      </c>
      <c r="F4" s="3" t="s">
        <v>42</v>
      </c>
      <c r="G4" s="39">
        <v>3</v>
      </c>
      <c r="H4" s="1" t="s">
        <v>5</v>
      </c>
      <c r="I4" s="40"/>
      <c r="J4" s="1"/>
      <c r="K4" s="5"/>
      <c r="L4" s="1"/>
      <c r="N4" s="1"/>
      <c r="O4" s="1"/>
      <c r="P4" s="1"/>
      <c r="Q4" s="1"/>
      <c r="R4" s="1"/>
      <c r="S4" s="11"/>
    </row>
    <row r="5" spans="2:24" x14ac:dyDescent="0.25">
      <c r="B5" s="10"/>
      <c r="C5" s="3" t="s">
        <v>2</v>
      </c>
      <c r="D5" s="4">
        <f>+D4/(2*1.3)</f>
        <v>8076923076923.0762</v>
      </c>
      <c r="E5" s="1" t="s">
        <v>11</v>
      </c>
      <c r="F5" s="3" t="s">
        <v>43</v>
      </c>
      <c r="G5" s="39">
        <v>2</v>
      </c>
      <c r="H5" s="1" t="s">
        <v>5</v>
      </c>
      <c r="I5" s="40"/>
      <c r="J5" s="19"/>
      <c r="K5" s="5"/>
      <c r="L5" s="1"/>
      <c r="N5" s="1"/>
      <c r="O5" s="1"/>
      <c r="P5" s="1"/>
      <c r="Q5" s="1"/>
      <c r="R5" s="1"/>
      <c r="S5" s="11"/>
    </row>
    <row r="6" spans="2:24" x14ac:dyDescent="0.25">
      <c r="B6" s="10"/>
      <c r="C6" s="3" t="s">
        <v>44</v>
      </c>
      <c r="D6" s="4">
        <v>500</v>
      </c>
      <c r="E6" s="17" t="s">
        <v>12</v>
      </c>
      <c r="F6" s="1"/>
      <c r="G6" s="1"/>
      <c r="H6" s="1"/>
      <c r="I6" s="41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24" x14ac:dyDescent="0.25">
      <c r="B7" s="10"/>
      <c r="C7" s="42"/>
      <c r="D7" s="5"/>
      <c r="E7" s="1"/>
      <c r="F7" s="1"/>
      <c r="G7" s="1"/>
      <c r="H7" s="1"/>
      <c r="I7" s="19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24" x14ac:dyDescent="0.25">
      <c r="B8" s="10"/>
      <c r="C8" s="3" t="s">
        <v>1</v>
      </c>
      <c r="D8" s="6">
        <f>G4*G5</f>
        <v>6</v>
      </c>
      <c r="E8" s="17" t="s">
        <v>13</v>
      </c>
      <c r="F8" s="1"/>
      <c r="G8" s="1"/>
      <c r="H8" s="1"/>
      <c r="I8" s="19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24" x14ac:dyDescent="0.25">
      <c r="B9" s="10"/>
      <c r="C9" s="3" t="s">
        <v>26</v>
      </c>
      <c r="D9" s="6">
        <f>+D8</f>
        <v>6</v>
      </c>
      <c r="E9" s="17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24" x14ac:dyDescent="0.25">
      <c r="B10" s="10"/>
      <c r="C10" s="3" t="s">
        <v>27</v>
      </c>
      <c r="D10" s="6">
        <f>+D9</f>
        <v>6</v>
      </c>
      <c r="E10" s="17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24" x14ac:dyDescent="0.25">
      <c r="B11" s="10"/>
      <c r="C11" s="3" t="s">
        <v>28</v>
      </c>
      <c r="D11" s="6">
        <f>(G5*G4^3)/12</f>
        <v>4.5</v>
      </c>
      <c r="E11" s="17" t="s">
        <v>14</v>
      </c>
      <c r="F11" s="1"/>
      <c r="G11" s="1"/>
      <c r="H11" s="21" t="s">
        <v>16</v>
      </c>
      <c r="I11" s="22" t="s">
        <v>17</v>
      </c>
      <c r="J11" s="22" t="s">
        <v>18</v>
      </c>
      <c r="K11" s="22" t="s">
        <v>19</v>
      </c>
      <c r="L11" s="22" t="s">
        <v>20</v>
      </c>
      <c r="M11" s="22" t="s">
        <v>45</v>
      </c>
      <c r="N11" s="22" t="s">
        <v>21</v>
      </c>
      <c r="O11" s="22" t="s">
        <v>22</v>
      </c>
      <c r="P11" s="22" t="s">
        <v>23</v>
      </c>
      <c r="Q11" s="22" t="s">
        <v>24</v>
      </c>
      <c r="R11" s="23" t="s">
        <v>25</v>
      </c>
      <c r="S11" s="11"/>
    </row>
    <row r="12" spans="2:24" ht="15.75" thickBot="1" x14ac:dyDescent="0.3">
      <c r="B12" s="10"/>
      <c r="C12" s="3" t="s">
        <v>29</v>
      </c>
      <c r="D12" s="6">
        <f>(G4*(G5^3))/12</f>
        <v>2</v>
      </c>
      <c r="E12" s="17" t="s">
        <v>14</v>
      </c>
      <c r="F12" s="1"/>
      <c r="G12" s="1"/>
      <c r="H12" s="26" t="s">
        <v>33</v>
      </c>
      <c r="I12" s="27" t="s">
        <v>34</v>
      </c>
      <c r="J12" s="27" t="s">
        <v>35</v>
      </c>
      <c r="K12" s="27" t="s">
        <v>36</v>
      </c>
      <c r="L12" s="27" t="s">
        <v>37</v>
      </c>
      <c r="M12" s="27" t="s">
        <v>38</v>
      </c>
      <c r="N12" s="1"/>
      <c r="O12" s="1"/>
      <c r="P12" s="1"/>
      <c r="Q12" s="1"/>
      <c r="R12" s="1"/>
      <c r="S12" s="11"/>
    </row>
    <row r="13" spans="2:24" x14ac:dyDescent="0.25">
      <c r="B13" s="10"/>
      <c r="C13" s="3" t="s">
        <v>46</v>
      </c>
      <c r="D13" s="6">
        <f>+D11+D12</f>
        <v>6.5</v>
      </c>
      <c r="E13" s="17" t="s">
        <v>14</v>
      </c>
      <c r="F13" s="1"/>
      <c r="G13" s="1"/>
      <c r="H13" s="43">
        <f>+D8*D4</f>
        <v>126000000000000</v>
      </c>
      <c r="I13" s="44">
        <f>+D9*D5</f>
        <v>48461538461538.453</v>
      </c>
      <c r="J13" s="44">
        <f>+I13</f>
        <v>48461538461538.453</v>
      </c>
      <c r="K13" s="44">
        <f>+D4*D11</f>
        <v>94500000000000</v>
      </c>
      <c r="L13" s="44">
        <f>+D4*D12</f>
        <v>42000000000000</v>
      </c>
      <c r="M13" s="44">
        <f>+D5*D13</f>
        <v>52499999999999.992</v>
      </c>
      <c r="N13" s="44">
        <f>+D4*D14</f>
        <v>0</v>
      </c>
      <c r="O13" s="44">
        <f>+D4*D15</f>
        <v>0</v>
      </c>
      <c r="P13" s="44">
        <f>+D5*D14</f>
        <v>0</v>
      </c>
      <c r="Q13" s="44">
        <f>+D5*D15</f>
        <v>0</v>
      </c>
      <c r="R13" s="45">
        <v>0</v>
      </c>
      <c r="S13" s="11"/>
    </row>
    <row r="14" spans="2:24" x14ac:dyDescent="0.25">
      <c r="B14" s="10"/>
      <c r="C14" s="3" t="s">
        <v>30</v>
      </c>
      <c r="D14" s="6">
        <v>0</v>
      </c>
      <c r="E14" s="17" t="s">
        <v>15</v>
      </c>
      <c r="F14" s="1"/>
      <c r="G14" s="1"/>
      <c r="H14" s="46">
        <f>+D6*D8</f>
        <v>3000</v>
      </c>
      <c r="I14" s="47">
        <f>D6*D11</f>
        <v>2250</v>
      </c>
      <c r="J14" s="47">
        <f>D6*D12</f>
        <v>1000</v>
      </c>
      <c r="K14" s="47">
        <f>+D6*D14</f>
        <v>0</v>
      </c>
      <c r="L14" s="47">
        <f>+D6*D15</f>
        <v>0</v>
      </c>
      <c r="M14" s="47">
        <f>D6*D16</f>
        <v>0</v>
      </c>
      <c r="N14" s="47"/>
      <c r="O14" s="47"/>
      <c r="P14" s="47"/>
      <c r="Q14" s="47"/>
      <c r="R14" s="48"/>
      <c r="S14" s="11"/>
    </row>
    <row r="15" spans="2:24" ht="15.75" thickBot="1" x14ac:dyDescent="0.3">
      <c r="B15" s="10"/>
      <c r="C15" s="3" t="s">
        <v>31</v>
      </c>
      <c r="D15" s="6">
        <v>0</v>
      </c>
      <c r="E15" s="17" t="s">
        <v>15</v>
      </c>
      <c r="F15" s="1"/>
      <c r="G15" s="1"/>
      <c r="H15" s="49" t="s">
        <v>47</v>
      </c>
      <c r="I15" s="50" t="s">
        <v>47</v>
      </c>
      <c r="J15" s="51"/>
      <c r="K15" s="51"/>
      <c r="L15" s="51"/>
      <c r="M15" s="51"/>
      <c r="N15" s="51"/>
      <c r="O15" s="51"/>
      <c r="P15" s="51"/>
      <c r="Q15" s="51"/>
      <c r="R15" s="52"/>
      <c r="S15" s="11"/>
    </row>
    <row r="16" spans="2:24" x14ac:dyDescent="0.25">
      <c r="B16" s="10"/>
      <c r="C16" s="42" t="s">
        <v>48</v>
      </c>
      <c r="D16" s="6">
        <v>0</v>
      </c>
      <c r="E16" s="35" t="s">
        <v>14</v>
      </c>
      <c r="F16" s="1"/>
      <c r="G16" s="1"/>
      <c r="H16" s="1"/>
      <c r="I16" s="1"/>
      <c r="J16" s="1"/>
      <c r="K16" s="53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 t="s">
        <v>3</v>
      </c>
      <c r="D17" s="6">
        <f>(G5*G4*((G5^2)+(G4^2)))/12</f>
        <v>6.5</v>
      </c>
      <c r="E17" s="35" t="s">
        <v>14</v>
      </c>
      <c r="F17" s="3"/>
      <c r="G17" s="1"/>
      <c r="H17" s="1"/>
      <c r="I17" s="53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36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4"/>
    </row>
    <row r="20" spans="1:20" x14ac:dyDescent="0.25">
      <c r="A20" s="1"/>
      <c r="B20" s="7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9"/>
      <c r="T20" s="1"/>
    </row>
    <row r="21" spans="1:20" x14ac:dyDescent="0.25">
      <c r="B21" s="55" t="s">
        <v>49</v>
      </c>
      <c r="C21" s="2" t="s">
        <v>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1"/>
    </row>
    <row r="22" spans="1:20" x14ac:dyDescent="0.25">
      <c r="B22" s="10"/>
      <c r="C22" s="3" t="s">
        <v>51</v>
      </c>
      <c r="D22" s="4">
        <v>7850</v>
      </c>
      <c r="E22" s="17" t="s">
        <v>12</v>
      </c>
      <c r="F22" s="3" t="s">
        <v>52</v>
      </c>
      <c r="G22" s="39">
        <v>1</v>
      </c>
      <c r="H22" s="1" t="s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1"/>
    </row>
    <row r="23" spans="1:20" x14ac:dyDescent="0.25"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1"/>
    </row>
    <row r="24" spans="1:20" ht="15.75" thickBot="1" x14ac:dyDescent="0.3">
      <c r="B24" s="10"/>
      <c r="C24" s="3" t="s">
        <v>53</v>
      </c>
      <c r="D24" s="19">
        <f>4/3*PI()*G22^3</f>
        <v>4.1887902047863905</v>
      </c>
      <c r="E24" s="17" t="s">
        <v>54</v>
      </c>
      <c r="F24" s="1"/>
      <c r="G24" s="1"/>
      <c r="H24" s="20" t="s">
        <v>55</v>
      </c>
      <c r="I24" s="20" t="s">
        <v>56</v>
      </c>
      <c r="J24" s="20" t="s">
        <v>57</v>
      </c>
      <c r="K24" s="20" t="s">
        <v>58</v>
      </c>
      <c r="L24" s="20" t="s">
        <v>59</v>
      </c>
      <c r="M24" s="20" t="s">
        <v>60</v>
      </c>
      <c r="N24" s="20" t="s">
        <v>61</v>
      </c>
      <c r="O24" s="20" t="s">
        <v>62</v>
      </c>
      <c r="P24" s="20" t="s">
        <v>63</v>
      </c>
      <c r="Q24" s="20" t="s">
        <v>64</v>
      </c>
      <c r="R24" s="1"/>
      <c r="S24" s="11"/>
    </row>
    <row r="25" spans="1:20" ht="15.75" thickBot="1" x14ac:dyDescent="0.3">
      <c r="B25" s="10"/>
      <c r="C25" s="3" t="s">
        <v>65</v>
      </c>
      <c r="D25" s="19">
        <f>+D24*D22</f>
        <v>32882.003107573168</v>
      </c>
      <c r="E25" s="1" t="s">
        <v>66</v>
      </c>
      <c r="F25" s="1"/>
      <c r="G25" s="1"/>
      <c r="H25" s="56">
        <f>+D25</f>
        <v>32882.003107573168</v>
      </c>
      <c r="I25" s="57">
        <f>+D26</f>
        <v>6576.4006215146337</v>
      </c>
      <c r="J25" s="57">
        <f>+D27</f>
        <v>6576.4006215146337</v>
      </c>
      <c r="K25" s="57">
        <f>+D28</f>
        <v>6576.4006215146337</v>
      </c>
      <c r="L25" s="57">
        <f>+D29</f>
        <v>0</v>
      </c>
      <c r="M25" s="57">
        <f>+D30</f>
        <v>0</v>
      </c>
      <c r="N25" s="57">
        <f>+D31</f>
        <v>0</v>
      </c>
      <c r="O25" s="57">
        <f>+D32</f>
        <v>0</v>
      </c>
      <c r="P25" s="57">
        <f>+D33</f>
        <v>0</v>
      </c>
      <c r="Q25" s="58">
        <f>+D34</f>
        <v>0</v>
      </c>
      <c r="R25" s="1"/>
      <c r="S25" s="11"/>
    </row>
    <row r="26" spans="1:20" x14ac:dyDescent="0.25">
      <c r="B26" s="59" t="s">
        <v>67</v>
      </c>
      <c r="C26" s="3" t="s">
        <v>68</v>
      </c>
      <c r="D26" s="19">
        <f>$D$25*1/5*$G$22^2</f>
        <v>6576.4006215146337</v>
      </c>
      <c r="E26" s="1" t="s">
        <v>69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1"/>
    </row>
    <row r="27" spans="1:20" x14ac:dyDescent="0.25">
      <c r="B27" s="59"/>
      <c r="C27" s="3" t="s">
        <v>70</v>
      </c>
      <c r="D27" s="19">
        <f>$D$25*1/5*$G$22^2</f>
        <v>6576.4006215146337</v>
      </c>
      <c r="E27" s="1" t="s">
        <v>69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1"/>
    </row>
    <row r="28" spans="1:20" x14ac:dyDescent="0.25">
      <c r="B28" s="59"/>
      <c r="C28" s="3" t="s">
        <v>71</v>
      </c>
      <c r="D28" s="19">
        <f>$D$25*1/5*$G$22^2</f>
        <v>6576.4006215146337</v>
      </c>
      <c r="E28" s="1" t="s">
        <v>69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1"/>
    </row>
    <row r="29" spans="1:20" x14ac:dyDescent="0.25">
      <c r="B29" s="59"/>
      <c r="C29" s="3" t="s">
        <v>72</v>
      </c>
      <c r="D29" s="19">
        <f>+D41</f>
        <v>0</v>
      </c>
      <c r="E29" s="1" t="s">
        <v>69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/>
    </row>
    <row r="30" spans="1:20" x14ac:dyDescent="0.25">
      <c r="B30" s="59"/>
      <c r="C30" s="3" t="s">
        <v>73</v>
      </c>
      <c r="D30" s="19">
        <f>+D42</f>
        <v>0</v>
      </c>
      <c r="E30" s="1" t="s">
        <v>69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1"/>
    </row>
    <row r="31" spans="1:20" x14ac:dyDescent="0.25">
      <c r="B31" s="59"/>
      <c r="C31" s="3" t="s">
        <v>74</v>
      </c>
      <c r="D31" s="19">
        <f>+D43</f>
        <v>0</v>
      </c>
      <c r="E31" s="1" t="s">
        <v>75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1"/>
    </row>
    <row r="32" spans="1:20" x14ac:dyDescent="0.25">
      <c r="B32" s="59"/>
      <c r="C32" s="3" t="s">
        <v>76</v>
      </c>
      <c r="D32" s="19">
        <f>+D31</f>
        <v>0</v>
      </c>
      <c r="E32" s="1" t="s">
        <v>75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1"/>
    </row>
    <row r="33" spans="2:19" x14ac:dyDescent="0.25">
      <c r="B33" s="59"/>
      <c r="C33" s="3" t="s">
        <v>77</v>
      </c>
      <c r="D33" s="19">
        <f>+D31</f>
        <v>0</v>
      </c>
      <c r="E33" s="1" t="s">
        <v>75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"/>
    </row>
    <row r="34" spans="2:19" x14ac:dyDescent="0.25">
      <c r="B34" s="10"/>
      <c r="C34" s="3" t="s">
        <v>78</v>
      </c>
      <c r="D34" s="19">
        <f>+D33</f>
        <v>0</v>
      </c>
      <c r="E34" s="1" t="s">
        <v>69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1"/>
    </row>
    <row r="35" spans="2:19" x14ac:dyDescent="0.2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"/>
    </row>
    <row r="36" spans="2:19" x14ac:dyDescent="0.25">
      <c r="B36" s="10"/>
      <c r="C36" s="60" t="s">
        <v>79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"/>
    </row>
    <row r="37" spans="2:19" x14ac:dyDescent="0.25">
      <c r="B37" s="10"/>
      <c r="C37" s="3" t="s">
        <v>80</v>
      </c>
      <c r="D37" s="19">
        <f>+D25</f>
        <v>32882.003107573168</v>
      </c>
      <c r="E37" s="1" t="s">
        <v>66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</row>
    <row r="38" spans="2:19" x14ac:dyDescent="0.25">
      <c r="B38" s="10"/>
      <c r="C38" s="3" t="s">
        <v>81</v>
      </c>
      <c r="D38" s="19">
        <f>2/5*D25*G22^2</f>
        <v>13152.801243029267</v>
      </c>
      <c r="E38" s="1" t="s">
        <v>69</v>
      </c>
      <c r="F38" s="1"/>
      <c r="G38" s="1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1"/>
    </row>
    <row r="39" spans="2:19" x14ac:dyDescent="0.25">
      <c r="B39" s="10"/>
      <c r="C39" s="3" t="s">
        <v>82</v>
      </c>
      <c r="D39" s="19">
        <f>+D38</f>
        <v>13152.801243029267</v>
      </c>
      <c r="E39" s="1" t="s">
        <v>69</v>
      </c>
      <c r="F39" s="1"/>
      <c r="G39" s="1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1"/>
    </row>
    <row r="40" spans="2:19" x14ac:dyDescent="0.25">
      <c r="B40" s="10"/>
      <c r="C40" s="3" t="s">
        <v>83</v>
      </c>
      <c r="D40" s="19">
        <f>+D39</f>
        <v>13152.801243029267</v>
      </c>
      <c r="E40" s="1" t="s">
        <v>69</v>
      </c>
      <c r="F40" s="1"/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1"/>
    </row>
    <row r="41" spans="2:19" x14ac:dyDescent="0.25">
      <c r="B41" s="10"/>
      <c r="C41" s="3" t="s">
        <v>84</v>
      </c>
      <c r="D41" s="19">
        <v>0</v>
      </c>
      <c r="E41" s="1" t="s">
        <v>69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1"/>
    </row>
    <row r="42" spans="2:19" x14ac:dyDescent="0.25">
      <c r="B42" s="10"/>
      <c r="C42" s="3" t="s">
        <v>85</v>
      </c>
      <c r="D42" s="19">
        <v>0</v>
      </c>
      <c r="E42" s="1" t="s">
        <v>69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1"/>
    </row>
    <row r="43" spans="2:19" x14ac:dyDescent="0.25">
      <c r="B43" s="10"/>
      <c r="C43" s="3" t="s">
        <v>32</v>
      </c>
      <c r="D43" s="19">
        <v>0</v>
      </c>
      <c r="E43" s="1" t="s">
        <v>69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1"/>
    </row>
    <row r="44" spans="2:19" ht="15.75" thickBot="1" x14ac:dyDescent="0.3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4"/>
    </row>
    <row r="45" spans="2:19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</row>
    <row r="46" spans="2:19" x14ac:dyDescent="0.25">
      <c r="B46" s="55" t="s">
        <v>86</v>
      </c>
      <c r="C46" s="2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1"/>
    </row>
    <row r="47" spans="2:19" x14ac:dyDescent="0.25">
      <c r="B47" s="10"/>
      <c r="C47" s="3" t="s">
        <v>51</v>
      </c>
      <c r="D47" s="4">
        <v>7850</v>
      </c>
      <c r="E47" s="17" t="s">
        <v>12</v>
      </c>
      <c r="F47" s="61" t="s">
        <v>88</v>
      </c>
      <c r="G47" s="39">
        <v>6</v>
      </c>
      <c r="H47" s="1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1"/>
    </row>
    <row r="48" spans="2:19" x14ac:dyDescent="0.25">
      <c r="B48" s="10"/>
      <c r="C48" s="1"/>
      <c r="D48" s="1"/>
      <c r="E48" s="1"/>
      <c r="F48" s="61" t="s">
        <v>89</v>
      </c>
      <c r="G48" s="39">
        <v>3</v>
      </c>
      <c r="H48" s="1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1"/>
    </row>
    <row r="49" spans="2:19" x14ac:dyDescent="0.25">
      <c r="B49" s="10"/>
      <c r="C49" s="3" t="s">
        <v>53</v>
      </c>
      <c r="D49" s="19">
        <f>4/3*PI()*G47*G48*G49</f>
        <v>188.49555921538757</v>
      </c>
      <c r="E49" s="17" t="s">
        <v>54</v>
      </c>
      <c r="F49" s="61" t="s">
        <v>90</v>
      </c>
      <c r="G49" s="39">
        <v>2.5</v>
      </c>
      <c r="H49" s="1" t="s">
        <v>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1"/>
    </row>
    <row r="50" spans="2:19" x14ac:dyDescent="0.25">
      <c r="B50" s="10"/>
      <c r="C50" s="3" t="s">
        <v>65</v>
      </c>
      <c r="D50" s="19">
        <f>+D49*D47</f>
        <v>1479690.1398407924</v>
      </c>
      <c r="E50" s="1" t="s">
        <v>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"/>
    </row>
    <row r="51" spans="2:19" ht="15.75" thickBot="1" x14ac:dyDescent="0.3">
      <c r="B51" s="10"/>
      <c r="C51" s="3" t="s">
        <v>68</v>
      </c>
      <c r="D51" s="19">
        <f>0.5*(D64+D65-D63)</f>
        <v>10653769.006853705</v>
      </c>
      <c r="E51" s="1" t="s">
        <v>69</v>
      </c>
      <c r="F51" s="1"/>
      <c r="G51" s="1"/>
      <c r="H51" s="20" t="s">
        <v>55</v>
      </c>
      <c r="I51" s="20" t="s">
        <v>56</v>
      </c>
      <c r="J51" s="20" t="s">
        <v>57</v>
      </c>
      <c r="K51" s="20" t="s">
        <v>58</v>
      </c>
      <c r="L51" s="20" t="s">
        <v>59</v>
      </c>
      <c r="M51" s="20" t="s">
        <v>60</v>
      </c>
      <c r="N51" s="20" t="s">
        <v>61</v>
      </c>
      <c r="O51" s="20" t="s">
        <v>62</v>
      </c>
      <c r="P51" s="20" t="s">
        <v>63</v>
      </c>
      <c r="Q51" s="20" t="s">
        <v>64</v>
      </c>
      <c r="R51" s="1"/>
      <c r="S51" s="11"/>
    </row>
    <row r="52" spans="2:19" ht="15.75" thickBot="1" x14ac:dyDescent="0.3">
      <c r="B52" s="10"/>
      <c r="C52" s="3" t="s">
        <v>70</v>
      </c>
      <c r="D52" s="19">
        <f>0.5*(D63+D65-D64)</f>
        <v>2663442.2517134268</v>
      </c>
      <c r="E52" s="1" t="s">
        <v>69</v>
      </c>
      <c r="F52" s="1"/>
      <c r="G52" s="1"/>
      <c r="H52" s="56">
        <f>+D50</f>
        <v>1479690.1398407924</v>
      </c>
      <c r="I52" s="57">
        <f>+D51</f>
        <v>10653769.006853705</v>
      </c>
      <c r="J52" s="57">
        <f>+D52</f>
        <v>2663442.2517134268</v>
      </c>
      <c r="K52" s="57">
        <f>+D53</f>
        <v>1849612.6748009901</v>
      </c>
      <c r="L52" s="57">
        <f>+D54</f>
        <v>0</v>
      </c>
      <c r="M52" s="57">
        <f>+D55</f>
        <v>0</v>
      </c>
      <c r="N52" s="57">
        <f>+D56</f>
        <v>0</v>
      </c>
      <c r="O52" s="57">
        <f>+D57</f>
        <v>0</v>
      </c>
      <c r="P52" s="57">
        <f>+D58</f>
        <v>0</v>
      </c>
      <c r="Q52" s="58">
        <f>+D59</f>
        <v>0</v>
      </c>
      <c r="R52" s="1"/>
      <c r="S52" s="11"/>
    </row>
    <row r="53" spans="2:19" x14ac:dyDescent="0.25">
      <c r="B53" s="10"/>
      <c r="C53" s="3" t="s">
        <v>71</v>
      </c>
      <c r="D53" s="19">
        <f>0.5*(D63+D64-D65)</f>
        <v>1849612.6748009901</v>
      </c>
      <c r="E53" s="1" t="s">
        <v>69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1"/>
    </row>
    <row r="54" spans="2:19" x14ac:dyDescent="0.25">
      <c r="B54" s="10"/>
      <c r="C54" s="3" t="s">
        <v>72</v>
      </c>
      <c r="D54" s="19">
        <v>0</v>
      </c>
      <c r="E54" s="1" t="s">
        <v>69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1"/>
    </row>
    <row r="55" spans="2:19" x14ac:dyDescent="0.25">
      <c r="B55" s="10"/>
      <c r="C55" s="3" t="s">
        <v>73</v>
      </c>
      <c r="D55" s="19">
        <v>0</v>
      </c>
      <c r="E55" s="1" t="s">
        <v>69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1"/>
    </row>
    <row r="56" spans="2:19" x14ac:dyDescent="0.25">
      <c r="B56" s="10"/>
      <c r="C56" s="3" t="s">
        <v>74</v>
      </c>
      <c r="D56" s="19">
        <v>0</v>
      </c>
      <c r="E56" s="1" t="s">
        <v>75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1"/>
    </row>
    <row r="57" spans="2:19" x14ac:dyDescent="0.25">
      <c r="B57" s="10"/>
      <c r="C57" s="3" t="s">
        <v>76</v>
      </c>
      <c r="D57" s="19">
        <v>0</v>
      </c>
      <c r="E57" s="1" t="s">
        <v>75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1"/>
    </row>
    <row r="58" spans="2:19" x14ac:dyDescent="0.25">
      <c r="B58" s="10"/>
      <c r="C58" s="3" t="s">
        <v>77</v>
      </c>
      <c r="D58" s="19">
        <v>0</v>
      </c>
      <c r="E58" s="1" t="s">
        <v>75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1"/>
    </row>
    <row r="59" spans="2:19" x14ac:dyDescent="0.25">
      <c r="B59" s="10"/>
      <c r="C59" s="3" t="s">
        <v>78</v>
      </c>
      <c r="D59" s="19">
        <v>0</v>
      </c>
      <c r="E59" s="1" t="s">
        <v>69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1"/>
    </row>
    <row r="60" spans="2:19" x14ac:dyDescent="0.25">
      <c r="B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1"/>
    </row>
    <row r="61" spans="2:19" x14ac:dyDescent="0.25">
      <c r="B61" s="10"/>
      <c r="C61" s="60" t="s">
        <v>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1"/>
    </row>
    <row r="62" spans="2:19" x14ac:dyDescent="0.25">
      <c r="B62" s="10"/>
      <c r="C62" s="3" t="s">
        <v>80</v>
      </c>
      <c r="D62" s="19">
        <f>+D50</f>
        <v>1479690.1398407924</v>
      </c>
      <c r="E62" s="1" t="s">
        <v>66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1"/>
    </row>
    <row r="63" spans="2:19" x14ac:dyDescent="0.25">
      <c r="B63" s="10"/>
      <c r="C63" s="3" t="s">
        <v>81</v>
      </c>
      <c r="D63" s="19">
        <f>1/5*D62*(G48^2+G49^2)</f>
        <v>4513054.9265144169</v>
      </c>
      <c r="E63" s="1" t="s">
        <v>69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"/>
    </row>
    <row r="64" spans="2:19" x14ac:dyDescent="0.25">
      <c r="B64" s="10"/>
      <c r="C64" s="3" t="s">
        <v>82</v>
      </c>
      <c r="D64" s="19">
        <f>1/5*D62*(G47^2+G49^2)</f>
        <v>12503381.681654695</v>
      </c>
      <c r="E64" s="1" t="s">
        <v>69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"/>
    </row>
    <row r="65" spans="2:19" x14ac:dyDescent="0.25">
      <c r="B65" s="10"/>
      <c r="C65" s="3" t="s">
        <v>83</v>
      </c>
      <c r="D65" s="19">
        <f>1/5*D62*(G47^2+G48^2)</f>
        <v>13317211.258567132</v>
      </c>
      <c r="E65" s="1" t="s">
        <v>69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"/>
    </row>
    <row r="66" spans="2:19" x14ac:dyDescent="0.25">
      <c r="B66" s="10"/>
      <c r="C66" s="3" t="s">
        <v>84</v>
      </c>
      <c r="D66" s="19">
        <v>0</v>
      </c>
      <c r="E66" s="1" t="s">
        <v>69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"/>
    </row>
    <row r="67" spans="2:19" x14ac:dyDescent="0.25">
      <c r="B67" s="10"/>
      <c r="C67" s="3" t="s">
        <v>85</v>
      </c>
      <c r="D67" s="19">
        <v>0</v>
      </c>
      <c r="E67" s="1" t="s">
        <v>69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"/>
    </row>
    <row r="68" spans="2:19" x14ac:dyDescent="0.25">
      <c r="B68" s="10"/>
      <c r="C68" s="3" t="s">
        <v>32</v>
      </c>
      <c r="D68" s="19">
        <v>0</v>
      </c>
      <c r="E68" s="1" t="s">
        <v>69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"/>
    </row>
    <row r="69" spans="2:19" ht="15.75" thickBot="1" x14ac:dyDescent="0.3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4"/>
    </row>
    <row r="1048538" spans="16:16" x14ac:dyDescent="0.25">
      <c r="P1048538" s="1"/>
    </row>
  </sheetData>
  <mergeCells count="1">
    <mergeCell ref="B26:B3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showGridLines="0" zoomScale="85" zoomScaleNormal="85" workbookViewId="0">
      <selection activeCell="G6" sqref="G6"/>
    </sheetView>
  </sheetViews>
  <sheetFormatPr baseColWidth="10" defaultRowHeight="15" x14ac:dyDescent="0.25"/>
  <cols>
    <col min="2" max="2" width="23.42578125" bestFit="1" customWidth="1"/>
    <col min="4" max="4" width="13.5703125" bestFit="1" customWidth="1"/>
    <col min="5" max="5" width="14.5703125" bestFit="1" customWidth="1"/>
    <col min="6" max="6" width="13.85546875" bestFit="1" customWidth="1"/>
    <col min="7" max="7" width="14.85546875" bestFit="1" customWidth="1"/>
    <col min="8" max="8" width="14.140625" bestFit="1" customWidth="1"/>
    <col min="9" max="9" width="14.85546875" bestFit="1" customWidth="1"/>
    <col min="12" max="12" width="13" customWidth="1"/>
    <col min="13" max="13" width="13.5703125" bestFit="1" customWidth="1"/>
    <col min="14" max="14" width="13" customWidth="1"/>
    <col min="15" max="16" width="13.5703125" bestFit="1" customWidth="1"/>
  </cols>
  <sheetData>
    <row r="2" spans="2:4" x14ac:dyDescent="0.25">
      <c r="B2" s="62" t="s">
        <v>91</v>
      </c>
    </row>
    <row r="4" spans="2:4" x14ac:dyDescent="0.25">
      <c r="B4" s="63" t="s">
        <v>92</v>
      </c>
      <c r="C4" s="64" t="s">
        <v>65</v>
      </c>
      <c r="D4" s="65">
        <v>646895</v>
      </c>
    </row>
    <row r="5" spans="2:4" x14ac:dyDescent="0.25">
      <c r="B5" s="63" t="s">
        <v>93</v>
      </c>
      <c r="C5" s="64" t="s">
        <v>94</v>
      </c>
      <c r="D5" s="65">
        <v>0</v>
      </c>
    </row>
    <row r="6" spans="2:4" x14ac:dyDescent="0.25">
      <c r="B6" s="64"/>
      <c r="C6" s="64" t="s">
        <v>95</v>
      </c>
      <c r="D6" s="65">
        <v>0</v>
      </c>
    </row>
    <row r="7" spans="2:4" x14ac:dyDescent="0.25">
      <c r="B7" s="64"/>
      <c r="C7" s="64" t="s">
        <v>96</v>
      </c>
      <c r="D7" s="65">
        <v>0</v>
      </c>
    </row>
    <row r="8" spans="2:4" x14ac:dyDescent="0.25">
      <c r="B8" s="64"/>
    </row>
    <row r="9" spans="2:4" x14ac:dyDescent="0.25">
      <c r="B9" s="63" t="s">
        <v>97</v>
      </c>
    </row>
    <row r="10" spans="2:4" x14ac:dyDescent="0.25">
      <c r="C10" s="64" t="s">
        <v>98</v>
      </c>
      <c r="D10" s="66">
        <v>9437478.0082388092</v>
      </c>
    </row>
    <row r="11" spans="2:4" x14ac:dyDescent="0.25">
      <c r="C11" s="64" t="s">
        <v>99</v>
      </c>
      <c r="D11" s="66">
        <v>9808155.9876425676</v>
      </c>
    </row>
    <row r="12" spans="2:4" x14ac:dyDescent="0.25">
      <c r="C12" s="64" t="s">
        <v>100</v>
      </c>
      <c r="D12" s="66">
        <v>9780449.1838345043</v>
      </c>
    </row>
    <row r="13" spans="2:4" x14ac:dyDescent="0.25">
      <c r="C13" s="64" t="s">
        <v>101</v>
      </c>
      <c r="D13" s="66">
        <v>446585.45945450838</v>
      </c>
    </row>
    <row r="14" spans="2:4" x14ac:dyDescent="0.25">
      <c r="C14" s="64" t="s">
        <v>102</v>
      </c>
      <c r="D14" s="66">
        <v>1960561.6197482159</v>
      </c>
    </row>
    <row r="15" spans="2:4" x14ac:dyDescent="0.25">
      <c r="C15" s="64" t="s">
        <v>103</v>
      </c>
      <c r="D15" s="66">
        <v>-232499.0084123702</v>
      </c>
    </row>
    <row r="17" spans="2:10" x14ac:dyDescent="0.25">
      <c r="C17" s="64" t="s">
        <v>104</v>
      </c>
      <c r="D17" s="67">
        <f>0.5*(D11+D12-D10)</f>
        <v>5075563.5816191314</v>
      </c>
    </row>
    <row r="18" spans="2:10" x14ac:dyDescent="0.25">
      <c r="C18" s="64" t="s">
        <v>105</v>
      </c>
      <c r="D18" s="67">
        <f>0.5*(D10+D12-D11)</f>
        <v>4704885.6022153739</v>
      </c>
    </row>
    <row r="19" spans="2:10" x14ac:dyDescent="0.25">
      <c r="C19" s="64" t="s">
        <v>106</v>
      </c>
      <c r="D19" s="67">
        <f>0.5*(D10+D11-D12)</f>
        <v>4732592.4060234372</v>
      </c>
    </row>
    <row r="20" spans="2:10" x14ac:dyDescent="0.25">
      <c r="C20" s="64" t="s">
        <v>107</v>
      </c>
      <c r="D20" s="68">
        <f>+D13*-1</f>
        <v>-446585.45945450838</v>
      </c>
    </row>
    <row r="21" spans="2:10" x14ac:dyDescent="0.25">
      <c r="C21" s="64" t="s">
        <v>108</v>
      </c>
      <c r="D21" s="68">
        <f>+D14*-1</f>
        <v>-1960561.6197482159</v>
      </c>
    </row>
    <row r="22" spans="2:10" x14ac:dyDescent="0.25">
      <c r="C22" s="64" t="s">
        <v>109</v>
      </c>
      <c r="D22" s="68">
        <f>+D15*-1</f>
        <v>232499.0084123702</v>
      </c>
    </row>
    <row r="24" spans="2:10" x14ac:dyDescent="0.25">
      <c r="C24" s="64"/>
      <c r="F24" s="69">
        <f>COS(D25*PI()/180)</f>
        <v>-1</v>
      </c>
      <c r="G24" s="69">
        <f>-SIN(D25*PI()/180)</f>
        <v>-1.22514845490862E-16</v>
      </c>
      <c r="H24" s="69">
        <v>0</v>
      </c>
    </row>
    <row r="25" spans="2:10" x14ac:dyDescent="0.25">
      <c r="B25" s="63" t="s">
        <v>110</v>
      </c>
      <c r="C25" s="64" t="s">
        <v>111</v>
      </c>
      <c r="D25" s="70">
        <v>180</v>
      </c>
      <c r="E25" s="64" t="s">
        <v>112</v>
      </c>
      <c r="F25" s="69">
        <f>SIN(D25*PI()/180)</f>
        <v>1.22514845490862E-16</v>
      </c>
      <c r="G25" s="69">
        <f>+F24</f>
        <v>-1</v>
      </c>
      <c r="H25" s="69">
        <v>0</v>
      </c>
    </row>
    <row r="26" spans="2:10" x14ac:dyDescent="0.25">
      <c r="F26" s="69">
        <v>0</v>
      </c>
      <c r="G26" s="69">
        <v>0</v>
      </c>
      <c r="H26" s="69">
        <v>1</v>
      </c>
    </row>
    <row r="28" spans="2:10" x14ac:dyDescent="0.25">
      <c r="C28" s="71"/>
      <c r="D28" s="72">
        <f>+D4</f>
        <v>646895</v>
      </c>
      <c r="E28" s="72">
        <v>0</v>
      </c>
      <c r="F28" s="72">
        <v>0</v>
      </c>
      <c r="G28" s="72">
        <v>0</v>
      </c>
    </row>
    <row r="29" spans="2:10" x14ac:dyDescent="0.25">
      <c r="C29" s="73" t="s">
        <v>113</v>
      </c>
      <c r="D29" s="72">
        <f>+E28</f>
        <v>0</v>
      </c>
      <c r="E29" s="72">
        <f>+D10+D4*(D6^2+D7^2)</f>
        <v>9437478.0082388092</v>
      </c>
      <c r="F29" s="72">
        <f>+D13-D4*D5*D6</f>
        <v>446585.45945450838</v>
      </c>
      <c r="G29" s="72">
        <f>+D14-D4*D5*D7</f>
        <v>1960561.6197482159</v>
      </c>
      <c r="J29" t="s">
        <v>114</v>
      </c>
    </row>
    <row r="30" spans="2:10" x14ac:dyDescent="0.25">
      <c r="D30" s="72">
        <f>+E28</f>
        <v>0</v>
      </c>
      <c r="E30" s="72">
        <f>+F29</f>
        <v>446585.45945450838</v>
      </c>
      <c r="F30" s="72">
        <f>+D11+D4*(D5^2+D7^2)</f>
        <v>9808155.9876425676</v>
      </c>
      <c r="G30" s="72">
        <f>+D15-D4*D6*D7</f>
        <v>-232499.0084123702</v>
      </c>
    </row>
    <row r="31" spans="2:10" x14ac:dyDescent="0.25">
      <c r="D31" s="72">
        <f>+E28</f>
        <v>0</v>
      </c>
      <c r="E31" s="72">
        <f>+G29</f>
        <v>1960561.6197482159</v>
      </c>
      <c r="F31" s="72">
        <f>+G30</f>
        <v>-232499.0084123702</v>
      </c>
      <c r="G31" s="72">
        <f>+D12+D4*(D5^2+D6^2)</f>
        <v>9780449.1838345043</v>
      </c>
    </row>
    <row r="33" spans="3:10" x14ac:dyDescent="0.25">
      <c r="C33" s="71"/>
      <c r="D33" s="74">
        <f>+D4</f>
        <v>646895</v>
      </c>
      <c r="E33" s="74">
        <f>+D4*D5</f>
        <v>0</v>
      </c>
      <c r="F33" s="74">
        <f>+D4*D6</f>
        <v>0</v>
      </c>
      <c r="G33" s="74">
        <f>+D4*D7</f>
        <v>0</v>
      </c>
    </row>
    <row r="34" spans="3:10" x14ac:dyDescent="0.25">
      <c r="C34" s="73" t="s">
        <v>115</v>
      </c>
      <c r="D34" s="74">
        <f>+E33</f>
        <v>0</v>
      </c>
      <c r="E34" s="74">
        <f>+D17</f>
        <v>5075563.5816191314</v>
      </c>
      <c r="F34" s="74">
        <f>+D20</f>
        <v>-446585.45945450838</v>
      </c>
      <c r="G34" s="74">
        <f>+D21</f>
        <v>-1960561.6197482159</v>
      </c>
      <c r="J34" t="s">
        <v>116</v>
      </c>
    </row>
    <row r="35" spans="3:10" x14ac:dyDescent="0.25">
      <c r="D35" s="74">
        <f>+F33</f>
        <v>0</v>
      </c>
      <c r="E35" s="74">
        <f>+F34</f>
        <v>-446585.45945450838</v>
      </c>
      <c r="F35" s="74">
        <f>+D18</f>
        <v>4704885.6022153739</v>
      </c>
      <c r="G35" s="74">
        <f>+D22</f>
        <v>232499.0084123702</v>
      </c>
    </row>
    <row r="36" spans="3:10" x14ac:dyDescent="0.25">
      <c r="D36" s="74">
        <f>+G33</f>
        <v>0</v>
      </c>
      <c r="E36" s="74">
        <f>+G34</f>
        <v>-1960561.6197482159</v>
      </c>
      <c r="F36" s="74">
        <f>+G35</f>
        <v>232499.0084123702</v>
      </c>
      <c r="G36" s="74">
        <f>+D19</f>
        <v>4732592.4060234372</v>
      </c>
      <c r="H36" s="71"/>
      <c r="I36" s="71"/>
    </row>
    <row r="38" spans="3:10" x14ac:dyDescent="0.25">
      <c r="C38" s="71"/>
      <c r="D38" s="74">
        <f>+D33</f>
        <v>646895</v>
      </c>
      <c r="E38" s="74">
        <f t="array" ref="E38:G38">TRANSPOSE(D39:D41)</f>
        <v>0</v>
      </c>
      <c r="F38" s="74">
        <v>0</v>
      </c>
      <c r="G38" s="74">
        <v>0</v>
      </c>
    </row>
    <row r="39" spans="3:10" x14ac:dyDescent="0.25">
      <c r="C39" s="73" t="s">
        <v>117</v>
      </c>
      <c r="D39" s="74">
        <f t="array" ref="D39:D41">MMULT(F24:H26,D5:D7)*D4</f>
        <v>0</v>
      </c>
      <c r="E39" s="74">
        <f t="array" ref="E39:G41">MMULT(MMULT(TRANSPOSE(F24:H26),E34:G36),F24:H26)</f>
        <v>5075563.5816191314</v>
      </c>
      <c r="F39" s="74">
        <v>-446585.45945450832</v>
      </c>
      <c r="G39" s="74">
        <v>1960561.6197482159</v>
      </c>
      <c r="J39" t="s">
        <v>118</v>
      </c>
    </row>
    <row r="40" spans="3:10" x14ac:dyDescent="0.25">
      <c r="D40" s="74">
        <v>0</v>
      </c>
      <c r="E40" s="74">
        <v>-446585.45945450832</v>
      </c>
      <c r="F40" s="74">
        <v>4704885.6022153739</v>
      </c>
      <c r="G40" s="74">
        <v>-232499.00841236996</v>
      </c>
    </row>
    <row r="41" spans="3:10" x14ac:dyDescent="0.25">
      <c r="D41" s="74">
        <v>0</v>
      </c>
      <c r="E41" s="74">
        <v>1960561.6197482159</v>
      </c>
      <c r="F41" s="74">
        <v>-232499.00841236996</v>
      </c>
      <c r="G41" s="74">
        <v>4732592.4060234372</v>
      </c>
      <c r="H41" s="71"/>
      <c r="I41" s="71"/>
    </row>
    <row r="42" spans="3:10" x14ac:dyDescent="0.25">
      <c r="F42" s="71"/>
    </row>
    <row r="43" spans="3:10" x14ac:dyDescent="0.25">
      <c r="F43" s="71"/>
    </row>
    <row r="44" spans="3:10" x14ac:dyDescent="0.25">
      <c r="F44" s="7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Kreisquerschnitt</vt:lpstr>
      <vt:lpstr>Rohrquerschnitt</vt:lpstr>
      <vt:lpstr>Rechteckquerschnitt</vt:lpstr>
      <vt:lpstr>DeSiO-beam</vt:lpstr>
      <vt:lpstr>spatial_inertia_euler_intertia</vt:lpstr>
    </vt:vector>
  </TitlesOfParts>
  <Company>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Hente</dc:creator>
  <cp:lastModifiedBy>Christian Hente</cp:lastModifiedBy>
  <dcterms:created xsi:type="dcterms:W3CDTF">2017-07-24T12:07:07Z</dcterms:created>
  <dcterms:modified xsi:type="dcterms:W3CDTF">2022-06-30T10:34:29Z</dcterms:modified>
</cp:coreProperties>
</file>