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99102A94-C3CA-4B7B-824F-66A53BD8A16A}" xr6:coauthVersionLast="47" xr6:coauthVersionMax="47" xr10:uidLastSave="{00000000-0000-0000-0000-000000000000}"/>
  <bookViews>
    <workbookView xWindow="-110" yWindow="-110" windowWidth="19420" windowHeight="11620" tabRatio="601" activeTab="5" xr2:uid="{883A2D82-BC89-4C73-8F2D-52BCDA082F90}"/>
  </bookViews>
  <sheets>
    <sheet name="Summary" sheetId="8" r:id="rId1"/>
    <sheet name="Yield_increments" sheetId="9" r:id="rId2"/>
    <sheet name="SA" sheetId="7" r:id="rId3"/>
    <sheet name="SH" sheetId="6" r:id="rId4"/>
    <sheet name="THH" sheetId="5" r:id="rId5"/>
    <sheet name="THSH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Q4" i="9" l="1"/>
  <c r="E3" i="9"/>
  <c r="P4" i="9"/>
  <c r="O4" i="9"/>
  <c r="P3" i="9"/>
  <c r="O3" i="9"/>
  <c r="L4" i="9"/>
  <c r="L3" i="9"/>
  <c r="K4" i="9"/>
  <c r="M4" i="9" s="1"/>
  <c r="K3" i="9"/>
  <c r="H3" i="9"/>
  <c r="H4" i="9"/>
  <c r="G4" i="9"/>
  <c r="I4" i="9" s="1"/>
  <c r="G3" i="9"/>
  <c r="D4" i="9"/>
  <c r="C4" i="9"/>
  <c r="C3" i="9"/>
  <c r="M3" i="9"/>
  <c r="I3" i="9"/>
  <c r="Q3" i="9"/>
  <c r="B16" i="9"/>
  <c r="B15" i="9"/>
  <c r="B14" i="9"/>
  <c r="B13" i="9"/>
  <c r="E4" i="9" l="1"/>
  <c r="X14" i="7" l="1"/>
  <c r="X14" i="6"/>
  <c r="W14" i="7"/>
  <c r="W14" i="6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U14" i="6"/>
  <c r="V11" i="6"/>
  <c r="U13" i="6"/>
  <c r="T14" i="6"/>
  <c r="T13" i="6"/>
  <c r="S10" i="6"/>
  <c r="U16" i="6"/>
  <c r="U11" i="6" s="1"/>
  <c r="U10" i="6" l="1"/>
  <c r="E3" i="8" l="1"/>
  <c r="T13" i="7"/>
  <c r="D14" i="1"/>
  <c r="D14" i="5"/>
  <c r="C11" i="5"/>
  <c r="C11" i="1"/>
  <c r="C12" i="1"/>
  <c r="Q4" i="1"/>
  <c r="Q4" i="5"/>
  <c r="Q4" i="6"/>
  <c r="Q4" i="7"/>
  <c r="F13" i="7" s="1"/>
  <c r="B3" i="8"/>
  <c r="V12" i="6"/>
  <c r="V15" i="6"/>
  <c r="V14" i="6"/>
  <c r="V15" i="7"/>
  <c r="V14" i="7"/>
  <c r="T14" i="7"/>
  <c r="S10" i="7"/>
  <c r="F12" i="6"/>
  <c r="D11" i="6"/>
  <c r="C11" i="6"/>
  <c r="D11" i="5"/>
  <c r="D11" i="1"/>
  <c r="C4" i="7"/>
  <c r="C3" i="7"/>
  <c r="X15" i="7"/>
  <c r="W15" i="7"/>
  <c r="U15" i="7"/>
  <c r="T15" i="7"/>
  <c r="U14" i="7"/>
  <c r="X13" i="7"/>
  <c r="W13" i="7"/>
  <c r="V13" i="7"/>
  <c r="U13" i="7"/>
  <c r="X15" i="6"/>
  <c r="W15" i="6"/>
  <c r="U15" i="6"/>
  <c r="T15" i="6"/>
  <c r="X13" i="6"/>
  <c r="W13" i="6"/>
  <c r="V13" i="6"/>
  <c r="C13" i="8"/>
  <c r="C14" i="8"/>
  <c r="C10" i="8"/>
  <c r="C11" i="8"/>
  <c r="C4" i="8"/>
  <c r="C5" i="8"/>
  <c r="B4" i="8"/>
  <c r="B7" i="8" s="1"/>
  <c r="B10" i="8" s="1"/>
  <c r="B13" i="8" s="1"/>
  <c r="B5" i="8"/>
  <c r="B8" i="8" s="1"/>
  <c r="B11" i="8" s="1"/>
  <c r="B14" i="8" s="1"/>
  <c r="B6" i="8"/>
  <c r="B9" i="8" s="1"/>
  <c r="B12" i="8" s="1"/>
  <c r="F12" i="7" l="1"/>
  <c r="D11" i="7"/>
  <c r="G11" i="7"/>
  <c r="C11" i="7"/>
  <c r="H11" i="7"/>
  <c r="W16" i="1"/>
  <c r="V16" i="1"/>
  <c r="U16" i="1"/>
  <c r="W16" i="5"/>
  <c r="V16" i="5"/>
  <c r="U16" i="5"/>
  <c r="T16" i="5"/>
  <c r="W16" i="6"/>
  <c r="W11" i="6" s="1"/>
  <c r="V16" i="6"/>
  <c r="D16" i="1"/>
  <c r="D15" i="1"/>
  <c r="D16" i="5"/>
  <c r="D15" i="5"/>
  <c r="D15" i="7"/>
  <c r="D16" i="7"/>
  <c r="D13" i="1"/>
  <c r="C13" i="1"/>
  <c r="D12" i="1"/>
  <c r="C12" i="8"/>
  <c r="D13" i="5"/>
  <c r="C13" i="5"/>
  <c r="D12" i="5"/>
  <c r="C12" i="5"/>
  <c r="C9" i="8"/>
  <c r="G10" i="7"/>
  <c r="X16" i="5"/>
  <c r="X11" i="5" s="1"/>
  <c r="T16" i="7"/>
  <c r="U16" i="7"/>
  <c r="U11" i="7" s="1"/>
  <c r="V16" i="7"/>
  <c r="V12" i="7" s="1"/>
  <c r="W16" i="7"/>
  <c r="X16" i="7"/>
  <c r="J10" i="1"/>
  <c r="V12" i="1" l="1"/>
  <c r="V11" i="1"/>
  <c r="X12" i="5"/>
  <c r="M13" i="5" s="1"/>
  <c r="V12" i="5"/>
  <c r="V11" i="5"/>
  <c r="T10" i="5"/>
  <c r="T11" i="5"/>
  <c r="E12" i="5" s="1"/>
  <c r="G11" i="6"/>
  <c r="H11" i="6"/>
  <c r="T10" i="7"/>
  <c r="E11" i="7" s="1"/>
  <c r="T11" i="7"/>
  <c r="E11" i="5"/>
  <c r="F11" i="5"/>
  <c r="V10" i="7"/>
  <c r="J11" i="7" s="1"/>
  <c r="V11" i="7"/>
  <c r="I11" i="7"/>
  <c r="X10" i="5"/>
  <c r="W12" i="1"/>
  <c r="W11" i="1"/>
  <c r="V10" i="1"/>
  <c r="U10" i="1"/>
  <c r="U12" i="1"/>
  <c r="F13" i="1" s="1"/>
  <c r="U11" i="1"/>
  <c r="F12" i="1" s="1"/>
  <c r="W10" i="1"/>
  <c r="X16" i="1"/>
  <c r="T16" i="1"/>
  <c r="T11" i="1" s="1"/>
  <c r="U10" i="5"/>
  <c r="U11" i="5"/>
  <c r="F12" i="5" s="1"/>
  <c r="U12" i="5"/>
  <c r="F13" i="5" s="1"/>
  <c r="M12" i="5"/>
  <c r="N12" i="5"/>
  <c r="W10" i="5"/>
  <c r="W11" i="5"/>
  <c r="T12" i="5"/>
  <c r="E13" i="5" s="1"/>
  <c r="V10" i="5"/>
  <c r="N13" i="5"/>
  <c r="N16" i="5" s="1"/>
  <c r="H11" i="8" s="1"/>
  <c r="W10" i="6"/>
  <c r="W12" i="6"/>
  <c r="V10" i="6"/>
  <c r="T16" i="6"/>
  <c r="X16" i="6"/>
  <c r="X12" i="6" s="1"/>
  <c r="U12" i="7"/>
  <c r="U10" i="7"/>
  <c r="T12" i="7"/>
  <c r="E13" i="7" s="1"/>
  <c r="W12" i="5"/>
  <c r="U12" i="6"/>
  <c r="F13" i="6" s="1"/>
  <c r="F11" i="7" l="1"/>
  <c r="H11" i="1"/>
  <c r="G11" i="1"/>
  <c r="L11" i="1"/>
  <c r="K11" i="1"/>
  <c r="L11" i="5"/>
  <c r="K11" i="5"/>
  <c r="H11" i="5"/>
  <c r="G11" i="5"/>
  <c r="N11" i="5"/>
  <c r="M11" i="5"/>
  <c r="N14" i="5" s="1"/>
  <c r="H9" i="8" s="1"/>
  <c r="L11" i="6"/>
  <c r="K11" i="6"/>
  <c r="T11" i="6"/>
  <c r="T10" i="6"/>
  <c r="H14" i="6"/>
  <c r="E6" i="8" s="1"/>
  <c r="J11" i="1"/>
  <c r="I11" i="1"/>
  <c r="T12" i="1"/>
  <c r="E13" i="1" s="1"/>
  <c r="T10" i="1"/>
  <c r="E11" i="1" s="1"/>
  <c r="I11" i="5"/>
  <c r="J11" i="5"/>
  <c r="J11" i="6"/>
  <c r="I11" i="6"/>
  <c r="T12" i="6"/>
  <c r="E13" i="6" s="1"/>
  <c r="F16" i="6" s="1"/>
  <c r="D8" i="8" s="1"/>
  <c r="E12" i="7"/>
  <c r="F15" i="7" s="1"/>
  <c r="D4" i="8" s="1"/>
  <c r="N15" i="5"/>
  <c r="H10" i="8" s="1"/>
  <c r="F14" i="5"/>
  <c r="D9" i="8" s="1"/>
  <c r="F16" i="7"/>
  <c r="D5" i="8" s="1"/>
  <c r="G12" i="1"/>
  <c r="H12" i="1"/>
  <c r="L12" i="1"/>
  <c r="K12" i="1"/>
  <c r="X11" i="1"/>
  <c r="X12" i="1"/>
  <c r="F16" i="1"/>
  <c r="D14" i="8" s="1"/>
  <c r="H13" i="1"/>
  <c r="G13" i="1"/>
  <c r="H16" i="1" s="1"/>
  <c r="E14" i="8" s="1"/>
  <c r="J12" i="1"/>
  <c r="I12" i="1"/>
  <c r="X10" i="1"/>
  <c r="J13" i="1"/>
  <c r="I13" i="1"/>
  <c r="J16" i="1" s="1"/>
  <c r="F14" i="8" s="1"/>
  <c r="L13" i="1"/>
  <c r="K13" i="1"/>
  <c r="L16" i="1" s="1"/>
  <c r="G14" i="8" s="1"/>
  <c r="I13" i="5"/>
  <c r="J13" i="5"/>
  <c r="J12" i="5"/>
  <c r="I12" i="5"/>
  <c r="H13" i="5"/>
  <c r="G13" i="5"/>
  <c r="F16" i="5"/>
  <c r="D11" i="8" s="1"/>
  <c r="H12" i="5"/>
  <c r="F15" i="5"/>
  <c r="D10" i="8" s="1"/>
  <c r="G12" i="5"/>
  <c r="K12" i="5"/>
  <c r="L12" i="5"/>
  <c r="K13" i="5"/>
  <c r="L13" i="5"/>
  <c r="E12" i="6"/>
  <c r="H13" i="6"/>
  <c r="G13" i="6"/>
  <c r="I13" i="6"/>
  <c r="J13" i="6"/>
  <c r="X11" i="6"/>
  <c r="X10" i="6"/>
  <c r="I12" i="6"/>
  <c r="J12" i="6"/>
  <c r="K12" i="6"/>
  <c r="L12" i="6"/>
  <c r="L13" i="6"/>
  <c r="K13" i="6"/>
  <c r="M13" i="6"/>
  <c r="N13" i="6"/>
  <c r="H12" i="6"/>
  <c r="G12" i="6"/>
  <c r="F14" i="7"/>
  <c r="D3" i="8" s="1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J15" i="5" l="1"/>
  <c r="F10" i="8" s="1"/>
  <c r="L15" i="1"/>
  <c r="G13" i="8" s="1"/>
  <c r="M11" i="1"/>
  <c r="N11" i="1"/>
  <c r="L15" i="5"/>
  <c r="G10" i="8" s="1"/>
  <c r="N11" i="6"/>
  <c r="M11" i="6"/>
  <c r="H15" i="6"/>
  <c r="E7" i="8" s="1"/>
  <c r="H16" i="6"/>
  <c r="E8" i="8" s="1"/>
  <c r="F11" i="1"/>
  <c r="E12" i="1"/>
  <c r="F15" i="1" s="1"/>
  <c r="D13" i="8" s="1"/>
  <c r="E11" i="6"/>
  <c r="F11" i="6"/>
  <c r="J14" i="6"/>
  <c r="F6" i="8" s="1"/>
  <c r="L14" i="1"/>
  <c r="G12" i="8" s="1"/>
  <c r="L14" i="5"/>
  <c r="G9" i="8" s="1"/>
  <c r="H14" i="5"/>
  <c r="E9" i="8" s="1"/>
  <c r="H16" i="5"/>
  <c r="E11" i="8" s="1"/>
  <c r="J15" i="1"/>
  <c r="F13" i="8" s="1"/>
  <c r="J14" i="5"/>
  <c r="F9" i="8" s="1"/>
  <c r="L15" i="6"/>
  <c r="G7" i="8" s="1"/>
  <c r="L16" i="6"/>
  <c r="G8" i="8" s="1"/>
  <c r="J14" i="1"/>
  <c r="F12" i="8" s="1"/>
  <c r="N13" i="1"/>
  <c r="M13" i="1"/>
  <c r="N16" i="1" s="1"/>
  <c r="H14" i="8" s="1"/>
  <c r="H14" i="1"/>
  <c r="E12" i="8" s="1"/>
  <c r="N12" i="1"/>
  <c r="M12" i="1"/>
  <c r="H15" i="1"/>
  <c r="E13" i="8" s="1"/>
  <c r="H15" i="5"/>
  <c r="E10" i="8" s="1"/>
  <c r="J16" i="5"/>
  <c r="F11" i="8" s="1"/>
  <c r="L16" i="5"/>
  <c r="G11" i="8" s="1"/>
  <c r="N12" i="6"/>
  <c r="M12" i="6"/>
  <c r="N15" i="6" s="1"/>
  <c r="H7" i="8" s="1"/>
  <c r="L14" i="6"/>
  <c r="G6" i="8" s="1"/>
  <c r="J16" i="6"/>
  <c r="F8" i="8" s="1"/>
  <c r="J15" i="6"/>
  <c r="F7" i="8" s="1"/>
  <c r="N16" i="6"/>
  <c r="H8" i="8" s="1"/>
  <c r="F15" i="6"/>
  <c r="D7" i="8" s="1"/>
  <c r="S10" i="1"/>
  <c r="S12" i="1"/>
  <c r="S10" i="5"/>
  <c r="X10" i="7"/>
  <c r="X11" i="7"/>
  <c r="W10" i="7"/>
  <c r="S11" i="7"/>
  <c r="W12" i="7"/>
  <c r="S12" i="6"/>
  <c r="S11" i="5"/>
  <c r="M11" i="7" l="1"/>
  <c r="N11" i="7"/>
  <c r="L11" i="7"/>
  <c r="K11" i="7"/>
  <c r="F14" i="1"/>
  <c r="D12" i="8" s="1"/>
  <c r="N15" i="1"/>
  <c r="H13" i="8" s="1"/>
  <c r="N14" i="6"/>
  <c r="H6" i="8" s="1"/>
  <c r="N14" i="1"/>
  <c r="H12" i="8" s="1"/>
  <c r="F14" i="6"/>
  <c r="D6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3" i="7" l="1"/>
  <c r="I12" i="7"/>
  <c r="J13" i="7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6" i="7" l="1"/>
  <c r="F5" i="8" s="1"/>
  <c r="J15" i="7"/>
  <c r="F4" i="8" s="1"/>
  <c r="J14" i="7"/>
  <c r="F3" i="8" s="1"/>
  <c r="C13" i="6"/>
  <c r="C12" i="6"/>
  <c r="D13" i="6"/>
  <c r="D12" i="6"/>
  <c r="I9" i="1"/>
  <c r="I10" i="1" s="1"/>
  <c r="K10" i="1"/>
  <c r="H10" i="1"/>
  <c r="F9" i="1"/>
  <c r="F10" i="1" s="1"/>
  <c r="C13" i="7"/>
  <c r="C12" i="7"/>
  <c r="D13" i="7"/>
  <c r="D12" i="7"/>
  <c r="E9" i="1"/>
  <c r="E10" i="1" s="1"/>
  <c r="H14" i="7"/>
  <c r="H12" i="7"/>
  <c r="H13" i="7"/>
  <c r="K13" i="7"/>
  <c r="K12" i="7"/>
  <c r="N12" i="7"/>
  <c r="N13" i="7"/>
  <c r="G12" i="7"/>
  <c r="G13" i="7"/>
  <c r="M12" i="7"/>
  <c r="N15" i="7" s="1"/>
  <c r="H4" i="8" s="1"/>
  <c r="M13" i="7"/>
  <c r="N16" i="7" s="1"/>
  <c r="H5" i="8" s="1"/>
  <c r="L13" i="7"/>
  <c r="L12" i="7"/>
  <c r="L16" i="7" l="1"/>
  <c r="G5" i="8" s="1"/>
  <c r="N14" i="7"/>
  <c r="H3" i="8" s="1"/>
  <c r="D14" i="7"/>
  <c r="C3" i="8" s="1"/>
  <c r="L14" i="7"/>
  <c r="G3" i="8" s="1"/>
  <c r="D15" i="6"/>
  <c r="C7" i="8" s="1"/>
  <c r="D14" i="6"/>
  <c r="C6" i="8" s="1"/>
  <c r="D16" i="6"/>
  <c r="C8" i="8" s="1"/>
  <c r="L15" i="7"/>
  <c r="G4" i="8" s="1"/>
  <c r="H16" i="7"/>
  <c r="E5" i="8" s="1"/>
  <c r="H15" i="7"/>
  <c r="E4" i="8" s="1"/>
</calcChain>
</file>

<file path=xl/sharedStrings.xml><?xml version="1.0" encoding="utf-8"?>
<sst xmlns="http://schemas.openxmlformats.org/spreadsheetml/2006/main" count="314" uniqueCount="92">
  <si>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</si>
  <si>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</si>
  <si>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</si>
  <si>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</si>
  <si>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</si>
  <si>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</si>
  <si>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</si>
  <si>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</si>
  <si>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</si>
  <si>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</si>
  <si>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</si>
  <si>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</si>
  <si>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</si>
  <si>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</si>
  <si>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</si>
  <si>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</si>
  <si>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</si>
  <si>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</si>
  <si>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</si>
  <si>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</si>
  <si>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</si>
  <si>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</si>
  <si>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</si>
  <si>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</si>
  <si>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</si>
  <si>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</si>
  <si>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</si>
  <si>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</si>
  <si>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</si>
  <si>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</si>
  <si>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</si>
  <si>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</si>
  <si>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</si>
  <si>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</si>
  <si>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</si>
  <si>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</si>
  <si>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</si>
  <si>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</si>
  <si>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</si>
  <si>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</si>
  <si>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</si>
  <si>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</si>
  <si>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</si>
  <si>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</si>
  <si>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</si>
  <si>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</si>
  <si>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</si>
  <si>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</si>
  <si>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</si>
  <si>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</si>
  <si>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</si>
  <si>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</si>
  <si>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</si>
  <si>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</si>
  <si>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SA</t>
  </si>
  <si>
    <t>SH</t>
  </si>
  <si>
    <t>THH</t>
  </si>
  <si>
    <t>THSH</t>
  </si>
  <si>
    <t># Average manure emptying (3 AEZ)</t>
  </si>
  <si>
    <t># THSH: 3.4 months</t>
  </si>
  <si>
    <t># THH: 2.9 months</t>
  </si>
  <si>
    <t># SH: 4.8 months</t>
  </si>
  <si>
    <t>Average removal frequency</t>
  </si>
  <si>
    <t>N lost per month MM</t>
  </si>
  <si>
    <t>Fraction N from manure available for soil</t>
  </si>
  <si>
    <t># All systems: 3.2 months (use for SA)</t>
  </si>
  <si>
    <t>AEZ</t>
  </si>
  <si>
    <t>Land type</t>
  </si>
  <si>
    <t>Scenarios</t>
  </si>
  <si>
    <t>Scenario 5</t>
  </si>
  <si>
    <t>N recovery efficiency</t>
  </si>
  <si>
    <t>Semi-arid</t>
  </si>
  <si>
    <t>Sub-humid</t>
  </si>
  <si>
    <t>Tropical highland sub-humid</t>
  </si>
  <si>
    <t>Tropical highland humid</t>
  </si>
  <si>
    <t>Intensified yield</t>
  </si>
  <si>
    <t>Base yield (Mg/ha/yr)</t>
  </si>
  <si>
    <t>Base Maize yield -- Semi arid</t>
  </si>
  <si>
    <t>Base Maize yield -- Sub-humid</t>
  </si>
  <si>
    <t>Base Maize yield -- Tropical highland humid</t>
  </si>
  <si>
    <t>Base Maize yield -- Tropical highland sub-humid</t>
  </si>
  <si>
    <t>Baseline</t>
  </si>
  <si>
    <t>Intensified</t>
  </si>
  <si>
    <t>Base Rhodes yield -- Semi arid</t>
  </si>
  <si>
    <t>Base Rhodes yield -- Sub-humid</t>
  </si>
  <si>
    <t>Base Rhodes yield -- Tropical highland sub-humid</t>
  </si>
  <si>
    <t>Base Rhodes yield -- Tropical highland humid</t>
  </si>
  <si>
    <t>Fraction system (baseline)</t>
  </si>
  <si>
    <t>Relative gain</t>
  </si>
  <si>
    <t>Maize</t>
  </si>
  <si>
    <t>50 kg N fertiliser per ha</t>
  </si>
  <si>
    <t>Yield values from DNDC (Tons grain per ha per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</si>
</sst>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166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left" indent="2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d_use_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EAST_DMI_Data"/>
      <sheetName val="Sarid"/>
      <sheetName val="THSH"/>
      <sheetName val="SH"/>
      <sheetName val="THH"/>
    </sheetNames>
    <sheetDataSet>
      <sheetData sheetId="0"/>
      <sheetData sheetId="1">
        <row r="2">
          <cell r="C2">
            <v>2211</v>
          </cell>
        </row>
        <row r="3">
          <cell r="C3">
            <v>1238</v>
          </cell>
        </row>
        <row r="4">
          <cell r="C4">
            <v>1720</v>
          </cell>
        </row>
        <row r="5">
          <cell r="C5">
            <v>2160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24"/>
  <sheetViews>
    <sheetView workbookViewId="0">
      <selection activeCell="B20" sqref="B20"/>
    </sheetView>
  </sheetViews>
  <sheetFormatPr defaultRowHeight="14.5"/>
  <cols>
    <col min="2" max="2" width="15.36328125" customWidth="1"/>
    <col min="3" max="3" width="10.36328125" bestFit="1" customWidth="1"/>
    <col min="4" max="4" width="15.36328125" customWidth="1"/>
    <col min="5" max="5" width="19.26953125" customWidth="1"/>
    <col min="6" max="6" width="18.453125" customWidth="1"/>
    <col min="7" max="7" width="21.1796875" customWidth="1"/>
    <col min="8" max="8" width="14.36328125" customWidth="1"/>
  </cols>
  <sheetData>
    <row r="1" spans="1:8" ht="15.5">
      <c r="C1" s="20" t="s">
        <v>68</v>
      </c>
      <c r="D1" s="20"/>
      <c r="E1" s="20"/>
      <c r="F1" s="20"/>
      <c r="G1" s="20"/>
      <c r="H1" s="20"/>
    </row>
    <row r="2" spans="1:8">
      <c r="A2" s="8" t="s">
        <v>66</v>
      </c>
      <c r="B2" s="8" t="s">
        <v>67</v>
      </c>
      <c r="C2" s="8" t="s">
        <v>10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69</v>
      </c>
    </row>
    <row r="3" spans="1:8">
      <c r="A3" s="9" t="s">
        <v>54</v>
      </c>
      <c r="B3" t="str">
        <f>SA!A11</f>
        <v>Maize as residue</v>
      </c>
      <c r="C3" s="5">
        <f>SA!D14</f>
        <v>0</v>
      </c>
      <c r="D3" s="5">
        <f>SA!F14</f>
        <v>1.2892679274911123</v>
      </c>
      <c r="E3" s="5">
        <f>SA!H14</f>
        <v>0</v>
      </c>
      <c r="F3" s="5">
        <f>SA!J14</f>
        <v>0</v>
      </c>
      <c r="G3" s="5">
        <f>SA!L14</f>
        <v>0</v>
      </c>
      <c r="H3" s="5">
        <f>SA!N14</f>
        <v>0</v>
      </c>
    </row>
    <row r="4" spans="1:8">
      <c r="A4" s="9"/>
      <c r="B4" t="str">
        <f>SA!A12</f>
        <v>Native grass</v>
      </c>
      <c r="C4" s="5">
        <f>SA!D15</f>
        <v>45.613484450241792</v>
      </c>
      <c r="D4" s="5">
        <f>SA!F15</f>
        <v>15.017397768488976</v>
      </c>
      <c r="E4" s="5">
        <f>SA!H15</f>
        <v>48.187740996998087</v>
      </c>
      <c r="F4" s="5">
        <f>SA!J15</f>
        <v>27.300073186603338</v>
      </c>
      <c r="G4" s="5">
        <f>SA!L15</f>
        <v>58.970509597616882</v>
      </c>
      <c r="H4" s="5">
        <f>SA!N15</f>
        <v>69.77522577660605</v>
      </c>
    </row>
    <row r="5" spans="1:8">
      <c r="A5" s="9"/>
      <c r="B5" t="str">
        <f>SA!A13</f>
        <v>Rhodes</v>
      </c>
      <c r="C5" s="5">
        <f>SA!D16</f>
        <v>0.93088743776003668</v>
      </c>
      <c r="D5" s="5">
        <f>SA!F16</f>
        <v>0.34380478066429659</v>
      </c>
      <c r="E5" s="5">
        <f>SA!H16</f>
        <v>0.98342328565302228</v>
      </c>
      <c r="F5" s="5">
        <f>SA!J16</f>
        <v>24.209498863591648</v>
      </c>
      <c r="G5" s="5">
        <f>SA!L16</f>
        <v>1.4158585737723142</v>
      </c>
      <c r="H5" s="5">
        <f>SA!N16</f>
        <v>1.6752755288500856</v>
      </c>
    </row>
    <row r="6" spans="1:8">
      <c r="A6" s="9" t="s">
        <v>55</v>
      </c>
      <c r="B6" t="str">
        <f>B3</f>
        <v>Maize as residue</v>
      </c>
      <c r="C6" s="5">
        <f>SH!D14</f>
        <v>0.75383588206751617</v>
      </c>
      <c r="D6" s="5">
        <f>SH!F14</f>
        <v>4.7820643137846544</v>
      </c>
      <c r="E6" s="5">
        <f>SH!H14</f>
        <v>1.2294683932677808</v>
      </c>
      <c r="F6" s="5">
        <f>SH!J14</f>
        <v>0.83137594096253331</v>
      </c>
      <c r="G6" s="5">
        <f>SH!L14</f>
        <v>1.080540093061173</v>
      </c>
      <c r="H6" s="5">
        <f>SH!N14</f>
        <v>1.7804603346288059</v>
      </c>
    </row>
    <row r="7" spans="1:8">
      <c r="A7" s="9"/>
      <c r="B7" t="str">
        <f t="shared" ref="B7:B14" si="0">B4</f>
        <v>Native grass</v>
      </c>
      <c r="C7" s="5">
        <f>SH!D15</f>
        <v>113.38256997062925</v>
      </c>
      <c r="D7" s="5">
        <f>SH!F15</f>
        <v>35.10900309166518</v>
      </c>
      <c r="E7" s="5">
        <f>SH!H15</f>
        <v>127.47298244673209</v>
      </c>
      <c r="F7" s="5">
        <f>SH!J15</f>
        <v>102.141466710674</v>
      </c>
      <c r="G7" s="5">
        <f>SH!L15</f>
        <v>112.03189042516294</v>
      </c>
      <c r="H7" s="5">
        <f>SH!N15</f>
        <v>187.45621068357428</v>
      </c>
    </row>
    <row r="8" spans="1:8">
      <c r="A8" s="9"/>
      <c r="B8" t="str">
        <f t="shared" si="0"/>
        <v>Rhodes</v>
      </c>
      <c r="C8" s="5">
        <f>SH!D16</f>
        <v>22.507153237094251</v>
      </c>
      <c r="D8" s="5">
        <f>SH!F16</f>
        <v>8.987320448772115</v>
      </c>
      <c r="E8" s="5">
        <f>SH!H16</f>
        <v>36.708034448489691</v>
      </c>
      <c r="F8" s="5">
        <f>SH!J16</f>
        <v>47.725963570179722</v>
      </c>
      <c r="G8" s="5">
        <f>SH!L16</f>
        <v>32.26150682380721</v>
      </c>
      <c r="H8" s="5">
        <f>SH!N16</f>
        <v>53.158909700811442</v>
      </c>
    </row>
    <row r="9" spans="1:8">
      <c r="A9" s="9" t="s">
        <v>56</v>
      </c>
      <c r="B9" t="str">
        <f t="shared" si="0"/>
        <v>Maize as residue</v>
      </c>
      <c r="C9" s="5">
        <f>THH!D14</f>
        <v>7.4739420259398077</v>
      </c>
      <c r="D9" s="5">
        <f>THH!F14</f>
        <v>11.543322026843235</v>
      </c>
      <c r="E9" s="5">
        <f>THH!H14</f>
        <v>11.357723908372607</v>
      </c>
      <c r="F9" s="5">
        <f>THH!J14</f>
        <v>8.9168792860621693</v>
      </c>
      <c r="G9" s="5">
        <f>THH!L14</f>
        <v>10.488923090978831</v>
      </c>
      <c r="H9" s="5">
        <f>THH!N14</f>
        <v>13.960235176499372</v>
      </c>
    </row>
    <row r="10" spans="1:8">
      <c r="A10" s="9"/>
      <c r="B10" t="str">
        <f t="shared" si="0"/>
        <v>Native grass</v>
      </c>
      <c r="C10" s="5">
        <f>THH!D15</f>
        <v>28.140113756519675</v>
      </c>
      <c r="D10" s="5">
        <f>THH!F15</f>
        <v>10.359889138691148</v>
      </c>
      <c r="E10" s="5">
        <f>THH!H15</f>
        <v>36.348488579970692</v>
      </c>
      <c r="F10" s="5">
        <f>THH!J15</f>
        <v>23.885762441721909</v>
      </c>
      <c r="G10" s="5">
        <f>THH!L15</f>
        <v>33.568037422320415</v>
      </c>
      <c r="H10" s="5">
        <f>THH!N15</f>
        <v>36.793143858985637</v>
      </c>
    </row>
    <row r="11" spans="1:8">
      <c r="A11" s="9"/>
      <c r="B11" t="str">
        <f t="shared" si="0"/>
        <v>Rhodes</v>
      </c>
      <c r="C11" s="5">
        <f>THH!D16</f>
        <v>5.226495184730954</v>
      </c>
      <c r="D11" s="5">
        <f>THH!F16</f>
        <v>2.5496154845688999</v>
      </c>
      <c r="E11" s="5">
        <f>THH!H16</f>
        <v>7.9424069802238977</v>
      </c>
      <c r="F11" s="5">
        <f>THH!J16</f>
        <v>15.922684437013706</v>
      </c>
      <c r="G11" s="5">
        <f>THH!L16</f>
        <v>7.3348583435286709</v>
      </c>
      <c r="H11" s="5">
        <f>THH!N16</f>
        <v>9.7623318022072745</v>
      </c>
    </row>
    <row r="12" spans="1:8">
      <c r="A12" s="9" t="s">
        <v>57</v>
      </c>
      <c r="B12" t="str">
        <f t="shared" si="0"/>
        <v>Maize as residue</v>
      </c>
      <c r="C12" s="5">
        <f>THSH!D14</f>
        <v>3.2252603548193948</v>
      </c>
      <c r="D12" s="5">
        <f>THSH!F14</f>
        <v>7.1118057045220446</v>
      </c>
      <c r="E12" s="5">
        <f>THSH!H14</f>
        <v>5.4476317044938654</v>
      </c>
      <c r="F12" s="5">
        <f>THSH!J14</f>
        <v>2.5704956279321993</v>
      </c>
      <c r="G12" s="5">
        <f>THSH!L14</f>
        <v>4.7627758213225704</v>
      </c>
      <c r="H12" s="5">
        <f>THSH!N14</f>
        <v>7.7474425282461885</v>
      </c>
    </row>
    <row r="13" spans="1:8">
      <c r="A13" s="9"/>
      <c r="B13" t="str">
        <f t="shared" si="0"/>
        <v>Native grass</v>
      </c>
      <c r="C13" s="5">
        <f>THSH!D15</f>
        <v>60.225544027451285</v>
      </c>
      <c r="D13" s="5">
        <f>THSH!F15</f>
        <v>24.130058701162646</v>
      </c>
      <c r="E13" s="5">
        <f>THSH!H15</f>
        <v>86.465452374402389</v>
      </c>
      <c r="F13" s="5">
        <f>THSH!J15</f>
        <v>38.239516920503355</v>
      </c>
      <c r="G13" s="5">
        <f>THSH!L15</f>
        <v>75.595339091812434</v>
      </c>
      <c r="H13" s="5">
        <f>THSH!N15</f>
        <v>101.26802888066909</v>
      </c>
    </row>
    <row r="14" spans="1:8">
      <c r="A14" s="9"/>
      <c r="B14" t="str">
        <f t="shared" si="0"/>
        <v>Rhodes</v>
      </c>
      <c r="C14" s="5">
        <f>THSH!D16</f>
        <v>12.000047402997373</v>
      </c>
      <c r="D14" s="5">
        <f>THSH!F16</f>
        <v>5.9037997271130775</v>
      </c>
      <c r="E14" s="5">
        <f>THSH!H16</f>
        <v>20.268701281840663</v>
      </c>
      <c r="F14" s="5">
        <f>THSH!J16</f>
        <v>19.323453684138507</v>
      </c>
      <c r="G14" s="5">
        <f>THSH!L16</f>
        <v>17.720595963770187</v>
      </c>
      <c r="H14" s="5">
        <f>THSH!N16</f>
        <v>28.825479918863195</v>
      </c>
    </row>
    <row r="20" spans="4:4">
      <c r="D20" t="s">
        <v>58</v>
      </c>
    </row>
    <row r="21" spans="4:4">
      <c r="D21" t="s">
        <v>59</v>
      </c>
    </row>
    <row r="22" spans="4:4">
      <c r="D22" t="s">
        <v>60</v>
      </c>
    </row>
    <row r="23" spans="4:4">
      <c r="D23" t="s">
        <v>61</v>
      </c>
    </row>
    <row r="24" spans="4:4">
      <c r="D24" t="s">
        <v>65</v>
      </c>
    </row>
  </sheetData>
  <mergeCells count="1">
    <mergeCell ref="C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83F0-0E8C-436A-B48E-1FA08ECF41F4}">
  <dimension ref="A1:Q16"/>
  <sheetViews>
    <sheetView workbookViewId="0">
      <selection activeCell="D4" sqref="D4"/>
    </sheetView>
  </sheetViews>
  <sheetFormatPr defaultRowHeight="14.5"/>
  <cols>
    <col min="1" max="1" width="44" customWidth="1"/>
    <col min="2" max="3" width="14.1796875" customWidth="1"/>
    <col min="4" max="5" width="13.54296875" customWidth="1"/>
    <col min="6" max="7" width="13.453125" customWidth="1"/>
    <col min="8" max="9" width="15.26953125" customWidth="1"/>
    <col min="10" max="10" width="13.6328125" customWidth="1"/>
    <col min="11" max="11" width="13" customWidth="1"/>
    <col min="14" max="14" width="13.6328125" customWidth="1"/>
    <col min="15" max="15" width="12.1796875" customWidth="1"/>
    <col min="16" max="16" width="15.453125" customWidth="1"/>
    <col min="17" max="17" width="11" customWidth="1"/>
  </cols>
  <sheetData>
    <row r="1" spans="1:17" ht="17">
      <c r="B1" s="21" t="s">
        <v>71</v>
      </c>
      <c r="C1" s="21"/>
      <c r="D1" s="21"/>
      <c r="E1" s="21"/>
      <c r="F1" s="21" t="s">
        <v>72</v>
      </c>
      <c r="G1" s="21"/>
      <c r="H1" s="21"/>
      <c r="I1" s="18"/>
      <c r="J1" s="23" t="s">
        <v>74</v>
      </c>
      <c r="K1" s="23"/>
      <c r="L1" s="23"/>
      <c r="M1" s="23"/>
      <c r="N1" s="22" t="s">
        <v>73</v>
      </c>
      <c r="O1" s="22"/>
      <c r="P1" s="22"/>
      <c r="Q1" s="22"/>
    </row>
    <row r="2" spans="1:17">
      <c r="B2" t="s">
        <v>87</v>
      </c>
      <c r="C2" t="s">
        <v>76</v>
      </c>
      <c r="D2" t="s">
        <v>75</v>
      </c>
      <c r="E2" t="s">
        <v>88</v>
      </c>
      <c r="F2" t="s">
        <v>87</v>
      </c>
      <c r="G2" t="s">
        <v>76</v>
      </c>
      <c r="H2" t="s">
        <v>75</v>
      </c>
      <c r="I2" t="s">
        <v>88</v>
      </c>
      <c r="J2" t="s">
        <v>87</v>
      </c>
      <c r="K2" t="s">
        <v>76</v>
      </c>
      <c r="L2" t="s">
        <v>75</v>
      </c>
      <c r="M2" t="s">
        <v>88</v>
      </c>
      <c r="N2" t="s">
        <v>87</v>
      </c>
      <c r="O2" t="s">
        <v>76</v>
      </c>
      <c r="P2" t="s">
        <v>75</v>
      </c>
      <c r="Q2" t="s">
        <v>88</v>
      </c>
    </row>
    <row r="3" spans="1:17">
      <c r="A3" s="8" t="s">
        <v>89</v>
      </c>
      <c r="B3">
        <v>0.06</v>
      </c>
      <c r="C3" s="13">
        <f>B13</f>
        <v>1.238</v>
      </c>
      <c r="D3">
        <f>C13</f>
        <v>2</v>
      </c>
      <c r="E3" s="5">
        <f>D3/C3</f>
        <v>1.6155088852988693</v>
      </c>
      <c r="F3">
        <v>0.48699999999999999</v>
      </c>
      <c r="G3" s="15">
        <f>B14</f>
        <v>1.72</v>
      </c>
      <c r="H3" s="16">
        <f>C14</f>
        <v>2</v>
      </c>
      <c r="I3" s="16">
        <f>H3/G3</f>
        <v>1.1627906976744187</v>
      </c>
      <c r="J3" s="17">
        <v>0.39500000000000002</v>
      </c>
      <c r="K3" s="15">
        <f>B15</f>
        <v>2.2109999999999999</v>
      </c>
      <c r="L3" s="16">
        <f>C15</f>
        <v>3</v>
      </c>
      <c r="M3" s="16">
        <f>L3/K3</f>
        <v>1.3568521031207599</v>
      </c>
      <c r="N3" s="17">
        <v>0.17</v>
      </c>
      <c r="O3" s="15">
        <f>B13</f>
        <v>1.238</v>
      </c>
      <c r="P3" s="5">
        <f>C13</f>
        <v>2</v>
      </c>
      <c r="Q3" s="19">
        <f>P3/O3</f>
        <v>1.6155088852988693</v>
      </c>
    </row>
    <row r="4" spans="1:17">
      <c r="A4" s="8" t="s">
        <v>36</v>
      </c>
      <c r="B4">
        <v>0</v>
      </c>
      <c r="C4" s="13">
        <f>B9</f>
        <v>5</v>
      </c>
      <c r="D4">
        <f>C9</f>
        <v>10</v>
      </c>
      <c r="E4" s="5">
        <f>D4/C4</f>
        <v>2</v>
      </c>
      <c r="F4">
        <v>8.5000000000000006E-2</v>
      </c>
      <c r="G4" s="15">
        <f>B9</f>
        <v>5</v>
      </c>
      <c r="H4" s="16">
        <f>C10</f>
        <v>15</v>
      </c>
      <c r="I4" s="16">
        <f>H4/G4</f>
        <v>3</v>
      </c>
      <c r="J4" s="17">
        <v>9.5000000000000001E-2</v>
      </c>
      <c r="K4" s="15">
        <f>B9</f>
        <v>5</v>
      </c>
      <c r="L4" s="16">
        <f>C11</f>
        <v>15</v>
      </c>
      <c r="M4" s="16">
        <f>L4/K4</f>
        <v>3</v>
      </c>
      <c r="N4" s="17">
        <v>0.13800000000000001</v>
      </c>
      <c r="O4" s="15">
        <f>B16</f>
        <v>2.16</v>
      </c>
      <c r="P4" s="5">
        <f>C16</f>
        <v>3</v>
      </c>
      <c r="Q4" s="19">
        <f>P4/O4</f>
        <v>1.3888888888888888</v>
      </c>
    </row>
    <row r="5" spans="1:17">
      <c r="C5" s="14"/>
      <c r="E5" s="5"/>
      <c r="G5" s="17"/>
      <c r="H5" s="16"/>
      <c r="I5" s="16"/>
      <c r="J5" s="17"/>
      <c r="K5" s="17"/>
      <c r="L5" s="16"/>
      <c r="M5" s="16"/>
      <c r="N5" s="17"/>
      <c r="O5" s="17"/>
      <c r="P5" s="5"/>
    </row>
    <row r="6" spans="1:17">
      <c r="C6" s="14"/>
      <c r="E6" s="5"/>
      <c r="G6" s="17"/>
      <c r="H6" s="16"/>
      <c r="I6" s="16"/>
      <c r="J6" s="17"/>
      <c r="K6" s="17"/>
      <c r="L6" s="16"/>
      <c r="M6" s="16"/>
      <c r="N6" s="17"/>
      <c r="O6" s="17"/>
      <c r="P6" s="5"/>
    </row>
    <row r="7" spans="1:17">
      <c r="B7" s="22" t="s">
        <v>91</v>
      </c>
      <c r="C7" s="22"/>
    </row>
    <row r="8" spans="1:17">
      <c r="B8" s="8" t="s">
        <v>81</v>
      </c>
      <c r="C8" s="8" t="s">
        <v>82</v>
      </c>
    </row>
    <row r="9" spans="1:17">
      <c r="A9" t="s">
        <v>83</v>
      </c>
      <c r="B9" s="12">
        <v>5</v>
      </c>
      <c r="C9" s="11">
        <v>10</v>
      </c>
      <c r="E9" t="s">
        <v>90</v>
      </c>
    </row>
    <row r="10" spans="1:17">
      <c r="A10" t="s">
        <v>84</v>
      </c>
      <c r="B10" s="12">
        <v>10.6</v>
      </c>
      <c r="C10" s="11">
        <v>15</v>
      </c>
    </row>
    <row r="11" spans="1:17">
      <c r="A11" t="s">
        <v>86</v>
      </c>
      <c r="B11" s="12">
        <v>10.6</v>
      </c>
      <c r="C11" s="11">
        <v>15</v>
      </c>
    </row>
    <row r="12" spans="1:17">
      <c r="A12" t="s">
        <v>85</v>
      </c>
      <c r="B12" s="12">
        <v>10.6</v>
      </c>
      <c r="C12" s="11">
        <v>15</v>
      </c>
    </row>
    <row r="13" spans="1:17">
      <c r="A13" t="s">
        <v>77</v>
      </c>
      <c r="B13" s="12">
        <f>[1]FEAST_DMI_Data!$C$3/1000</f>
        <v>1.238</v>
      </c>
      <c r="C13" s="11">
        <v>2</v>
      </c>
    </row>
    <row r="14" spans="1:17">
      <c r="A14" t="s">
        <v>78</v>
      </c>
      <c r="B14" s="12">
        <f>[1]FEAST_DMI_Data!$C$4/1000</f>
        <v>1.72</v>
      </c>
      <c r="C14" s="11">
        <v>2</v>
      </c>
    </row>
    <row r="15" spans="1:17">
      <c r="A15" t="s">
        <v>79</v>
      </c>
      <c r="B15" s="12">
        <f>[1]FEAST_DMI_Data!$C$2/1000</f>
        <v>2.2109999999999999</v>
      </c>
      <c r="C15" s="11">
        <v>3</v>
      </c>
    </row>
    <row r="16" spans="1:17">
      <c r="A16" t="s">
        <v>80</v>
      </c>
      <c r="B16" s="12">
        <f>[1]FEAST_DMI_Data!$C$5/1000</f>
        <v>2.16</v>
      </c>
      <c r="C16" s="11">
        <v>3</v>
      </c>
    </row>
  </sheetData>
  <mergeCells count="5">
    <mergeCell ref="F1:H1"/>
    <mergeCell ref="B7:C7"/>
    <mergeCell ref="B1:E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opLeftCell="A11" workbookViewId="0">
      <selection activeCell="C10" sqref="C10"/>
    </sheetView>
  </sheetViews>
  <sheetFormatPr defaultRowHeight="14.5"/>
  <cols>
    <col min="1" max="1" width="18.54296875" customWidth="1"/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8" max="18" width="17.7265625" customWidth="1"/>
  </cols>
  <sheetData>
    <row r="1" spans="1:24">
      <c r="C1" s="22" t="s">
        <v>10</v>
      </c>
      <c r="D1" s="22"/>
      <c r="E1" s="22" t="s">
        <v>44</v>
      </c>
      <c r="F1" s="22"/>
      <c r="G1" s="22" t="s">
        <v>11</v>
      </c>
      <c r="H1" s="22"/>
      <c r="I1" s="22" t="s">
        <v>45</v>
      </c>
      <c r="J1" s="22"/>
      <c r="K1" s="22" t="s">
        <v>12</v>
      </c>
      <c r="L1" s="22"/>
      <c r="M1" s="22" t="s">
        <v>13</v>
      </c>
      <c r="N1" s="2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3.2</v>
      </c>
    </row>
    <row r="3" spans="1:24">
      <c r="A3" t="s">
        <v>0</v>
      </c>
      <c r="B3" s="1">
        <f>0.232+0.139</f>
        <v>0.371</v>
      </c>
      <c r="C3" s="5">
        <f>D19</f>
        <v>25674.234283220201</v>
      </c>
      <c r="D3" s="5">
        <f>C19</f>
        <v>13732.5639610697</v>
      </c>
      <c r="E3" s="5">
        <f>G3</f>
        <v>31382.585587924299</v>
      </c>
      <c r="F3" s="5">
        <f>H3</f>
        <v>13098.1117756975</v>
      </c>
      <c r="G3" s="5">
        <f>D20</f>
        <v>31382.585587924299</v>
      </c>
      <c r="H3" s="5">
        <f>C20</f>
        <v>13098.1117756975</v>
      </c>
      <c r="I3" s="5">
        <f>K3</f>
        <v>27782.0684101558</v>
      </c>
      <c r="J3" s="5">
        <f>L3</f>
        <v>15397.1133854823</v>
      </c>
      <c r="K3" s="5">
        <f>D21</f>
        <v>27782.0684101558</v>
      </c>
      <c r="L3" s="5">
        <f>C21</f>
        <v>15397.1133854823</v>
      </c>
      <c r="M3" s="5">
        <f>D22</f>
        <v>37846.777774355003</v>
      </c>
      <c r="N3" s="5">
        <f>C22</f>
        <v>17607.5629739373</v>
      </c>
      <c r="P3" t="s">
        <v>70</v>
      </c>
      <c r="Q3">
        <v>0.46</v>
      </c>
    </row>
    <row r="4" spans="1:24">
      <c r="A4" t="s">
        <v>1</v>
      </c>
      <c r="B4" s="1">
        <v>0.13100000000000001</v>
      </c>
      <c r="C4" s="5">
        <f>D43</f>
        <v>21386.990409434798</v>
      </c>
      <c r="D4" s="5">
        <f>C43</f>
        <v>12138.370712617099</v>
      </c>
      <c r="E4" s="5">
        <f t="shared" ref="E4:E8" si="0">G4</f>
        <v>20178.460698584298</v>
      </c>
      <c r="F4" s="5">
        <f t="shared" ref="F4:F8" si="1">H4</f>
        <v>11354.1518708525</v>
      </c>
      <c r="G4" s="5">
        <f>D44</f>
        <v>20178.460698584298</v>
      </c>
      <c r="H4" s="5">
        <f>C44</f>
        <v>11354.1518708525</v>
      </c>
      <c r="I4" s="5">
        <f t="shared" ref="I4:I8" si="2">K4</f>
        <v>23208.399750811299</v>
      </c>
      <c r="J4" s="5">
        <f t="shared" ref="J4:J8" si="3">L4</f>
        <v>13169.703052869299</v>
      </c>
      <c r="K4" s="5">
        <f>D45</f>
        <v>23208.399750811299</v>
      </c>
      <c r="L4" s="5">
        <f>C45</f>
        <v>13169.703052869299</v>
      </c>
      <c r="M4" s="5">
        <f>D46</f>
        <v>22652.402388368599</v>
      </c>
      <c r="N4" s="5">
        <f>C46</f>
        <v>12863.0316530543</v>
      </c>
      <c r="P4" t="s">
        <v>64</v>
      </c>
      <c r="Q4">
        <f>(1-Q2*Q1)*Q3</f>
        <v>0.34960000000000002</v>
      </c>
    </row>
    <row r="5" spans="1:24">
      <c r="A5" t="s">
        <v>2</v>
      </c>
      <c r="B5" s="1">
        <v>7.4999999999999997E-2</v>
      </c>
      <c r="C5" s="5">
        <f>D31</f>
        <v>10405.320871256399</v>
      </c>
      <c r="D5" s="5">
        <f>C31</f>
        <v>1158.2397276725301</v>
      </c>
      <c r="E5" s="5">
        <f t="shared" si="0"/>
        <v>10358.389350335199</v>
      </c>
      <c r="F5" s="5">
        <f t="shared" si="1"/>
        <v>1129.22751800388</v>
      </c>
      <c r="G5" s="5">
        <f>D32</f>
        <v>10358.389350335199</v>
      </c>
      <c r="H5" s="5">
        <f>C32</f>
        <v>1129.22751800388</v>
      </c>
      <c r="I5" s="5">
        <f t="shared" si="2"/>
        <v>10647.1695249533</v>
      </c>
      <c r="J5" s="5">
        <f t="shared" si="3"/>
        <v>1214.1892280591501</v>
      </c>
      <c r="K5" s="5">
        <f>D33</f>
        <v>10647.1695249533</v>
      </c>
      <c r="L5" s="5">
        <f>C33</f>
        <v>1214.1892280591501</v>
      </c>
      <c r="M5" s="5">
        <f>D34</f>
        <v>10620.369228531399</v>
      </c>
      <c r="N5" s="5">
        <f>C34</f>
        <v>1194.29948069385</v>
      </c>
    </row>
    <row r="6" spans="1:24">
      <c r="A6" t="s">
        <v>5</v>
      </c>
      <c r="B6" s="1">
        <f>0.115+0.099</f>
        <v>0.21400000000000002</v>
      </c>
      <c r="C6" s="5">
        <f>D25</f>
        <v>5620.7842243782698</v>
      </c>
      <c r="D6" s="5">
        <f>C25</f>
        <v>2278.7077196646001</v>
      </c>
      <c r="E6" s="5">
        <f t="shared" si="0"/>
        <v>4786.6243647607598</v>
      </c>
      <c r="F6" s="5">
        <f t="shared" si="1"/>
        <v>1919.83386513145</v>
      </c>
      <c r="G6" s="5">
        <f>D26</f>
        <v>4786.6243647607598</v>
      </c>
      <c r="H6" s="5">
        <f>C26</f>
        <v>1919.83386513145</v>
      </c>
      <c r="I6" s="5">
        <f t="shared" si="2"/>
        <v>6718.9966882874696</v>
      </c>
      <c r="J6" s="5">
        <f t="shared" si="3"/>
        <v>2820.2521433371198</v>
      </c>
      <c r="K6" s="5">
        <f>D27</f>
        <v>6718.9966882874696</v>
      </c>
      <c r="L6" s="5">
        <f>C27</f>
        <v>2820.2521433371198</v>
      </c>
      <c r="M6" s="5">
        <f>D28</f>
        <v>7866.4895261068104</v>
      </c>
      <c r="N6" s="5">
        <f>C28</f>
        <v>3391.6876344321299</v>
      </c>
    </row>
    <row r="7" spans="1:24">
      <c r="A7" t="s">
        <v>4</v>
      </c>
      <c r="B7" s="1">
        <f>0.106 + 0.039</f>
        <v>0.14499999999999999</v>
      </c>
      <c r="C7" s="5">
        <f>D49</f>
        <v>4994.4314224275204</v>
      </c>
      <c r="D7" s="5">
        <f>C49</f>
        <v>1724.04340311178</v>
      </c>
      <c r="E7" s="5">
        <f t="shared" si="0"/>
        <v>4822.1572086516098</v>
      </c>
      <c r="F7" s="5">
        <f t="shared" si="1"/>
        <v>1605.4150934029899</v>
      </c>
      <c r="G7" s="5">
        <f>D50</f>
        <v>4822.1572086516098</v>
      </c>
      <c r="H7" s="5">
        <f>C50</f>
        <v>1605.4150934029899</v>
      </c>
      <c r="I7" s="5">
        <f t="shared" si="2"/>
        <v>6516.7310394068099</v>
      </c>
      <c r="J7" s="5">
        <f t="shared" si="3"/>
        <v>2390.2438140430099</v>
      </c>
      <c r="K7" s="5">
        <f>D51</f>
        <v>6516.7310394068099</v>
      </c>
      <c r="L7" s="5">
        <f>C51</f>
        <v>2390.2438140430099</v>
      </c>
      <c r="M7" s="5">
        <f>D52</f>
        <v>6076.1888255967297</v>
      </c>
      <c r="N7" s="5">
        <f>C52</f>
        <v>2254.0341778914099</v>
      </c>
    </row>
    <row r="8" spans="1:24">
      <c r="A8" t="s">
        <v>3</v>
      </c>
      <c r="B8" s="1">
        <v>6.3E-2</v>
      </c>
      <c r="C8" s="5">
        <f>D37</f>
        <v>10405.320871256399</v>
      </c>
      <c r="D8" s="5">
        <f>C37</f>
        <v>1158.2397276725301</v>
      </c>
      <c r="E8" s="5">
        <f t="shared" si="0"/>
        <v>10358.389350335199</v>
      </c>
      <c r="F8" s="5">
        <f t="shared" si="1"/>
        <v>1129.22751800388</v>
      </c>
      <c r="G8" s="5">
        <f>D38</f>
        <v>10358.389350335199</v>
      </c>
      <c r="H8" s="5">
        <f>C38</f>
        <v>1129.22751800388</v>
      </c>
      <c r="I8" s="5">
        <f t="shared" si="2"/>
        <v>10647.1695249533</v>
      </c>
      <c r="J8" s="5">
        <f t="shared" si="3"/>
        <v>1214.1892280591501</v>
      </c>
      <c r="K8" s="5">
        <f>D39</f>
        <v>10647.1695249533</v>
      </c>
      <c r="L8" s="5">
        <f>C39</f>
        <v>1214.1892280591501</v>
      </c>
      <c r="M8" s="5">
        <f>D40</f>
        <v>10620.369228531399</v>
      </c>
      <c r="N8" s="5">
        <f>C40</f>
        <v>1194.29948069385</v>
      </c>
    </row>
    <row r="9" spans="1:24">
      <c r="A9" t="s">
        <v>9</v>
      </c>
      <c r="C9" s="5">
        <f>SUMPRODUCT($B3:$B8,C3:C8)</f>
        <v>15689.811323212976</v>
      </c>
      <c r="D9" s="5">
        <f>SUMPRODUCT($B3:$B8,D3:D8)</f>
        <v>7582.3746207879403</v>
      </c>
      <c r="E9" s="5">
        <f t="shared" ref="E9:F9" si="4">SUMPRODUCT($B3:$B8,E3:E8)</f>
        <v>17439.325744294005</v>
      </c>
      <c r="F9" s="5">
        <f t="shared" si="4"/>
        <v>7146.2563970315496</v>
      </c>
      <c r="G9" s="5">
        <f t="shared" ref="G9:N9" si="5">SUMPRODUCT($B3:$B8,G3:G8)</f>
        <v>17439.325744294005</v>
      </c>
      <c r="H9" s="5">
        <f t="shared" si="5"/>
        <v>7146.2563970315496</v>
      </c>
      <c r="I9" s="5">
        <f t="shared" ref="I9" si="6">SUMPRODUCT($B3:$B8,I3:I8)</f>
        <v>17199.548433975142</v>
      </c>
      <c r="J9" s="5">
        <f t="shared" ref="J9" si="7">SUMPRODUCT($B3:$B8,J3:J8)</f>
        <v>8555.2375911223535</v>
      </c>
      <c r="K9" s="5">
        <f t="shared" si="5"/>
        <v>17199.548433975142</v>
      </c>
      <c r="L9" s="5">
        <f t="shared" si="5"/>
        <v>8555.2375911223535</v>
      </c>
      <c r="M9" s="5">
        <f t="shared" si="5"/>
        <v>21038.706358997712</v>
      </c>
      <c r="N9" s="5">
        <f t="shared" si="5"/>
        <v>9434.9324477793343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15.689811323212977</v>
      </c>
      <c r="D10" s="5">
        <f>D9/1000</f>
        <v>7.5823746207879399</v>
      </c>
      <c r="E10" s="5">
        <f t="shared" ref="E10:J10" si="8">E9/1000</f>
        <v>17.439325744294006</v>
      </c>
      <c r="F10" s="5">
        <f t="shared" si="8"/>
        <v>7.1462563970315491</v>
      </c>
      <c r="G10" s="5">
        <f>G9/1000</f>
        <v>17.439325744294006</v>
      </c>
      <c r="H10" s="5">
        <f t="shared" si="8"/>
        <v>7.1462563970315491</v>
      </c>
      <c r="I10" s="5">
        <f t="shared" si="8"/>
        <v>17.199548433975142</v>
      </c>
      <c r="J10" s="5">
        <f t="shared" si="8"/>
        <v>8.5552375911223528</v>
      </c>
      <c r="K10" s="5">
        <f t="shared" ref="K10:N10" si="9">K9/1000</f>
        <v>17.199548433975142</v>
      </c>
      <c r="L10" s="5">
        <f t="shared" si="9"/>
        <v>8.5552375911223528</v>
      </c>
      <c r="M10" s="5">
        <f t="shared" si="9"/>
        <v>21.038706358997711</v>
      </c>
      <c r="N10" s="5">
        <f t="shared" si="9"/>
        <v>9.4349324477793335</v>
      </c>
      <c r="R10" t="s">
        <v>32</v>
      </c>
      <c r="S10">
        <f>S13/S$16</f>
        <v>0</v>
      </c>
      <c r="T10">
        <f>T13/T$16+[2]Land.footprint!$J$2</f>
        <v>7.4999999999999997E-2</v>
      </c>
      <c r="U10">
        <f t="shared" ref="U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40</v>
      </c>
      <c r="C11" s="5">
        <f>$S10*C$10*$Q$4/S16</f>
        <v>0</v>
      </c>
      <c r="D11" s="5">
        <f>$S10*D$10*$Q$4/S16</f>
        <v>0</v>
      </c>
      <c r="E11" s="5">
        <f>T10*E$10*$Q$4/T16</f>
        <v>0.91451824203077781</v>
      </c>
      <c r="F11" s="5">
        <f>T10*F$10*$Q$4/T16</f>
        <v>0.37474968546033444</v>
      </c>
      <c r="G11" s="5">
        <f>$U10*G$10*$Q$4/$U16</f>
        <v>0</v>
      </c>
      <c r="H11" s="5">
        <f>$U10*H$10*$Q$4/$U16</f>
        <v>0</v>
      </c>
      <c r="I11" s="5">
        <f>$V10*I$10*$Q$4/$V16</f>
        <v>0</v>
      </c>
      <c r="J11" s="5">
        <f>$V10*J$10*$Q$4/$V16</f>
        <v>0</v>
      </c>
      <c r="K11" s="5">
        <f>$W10*K$10*$Q$4/$W16</f>
        <v>0</v>
      </c>
      <c r="L11" s="5">
        <f>$W10*L$10*$Q$4/$W16</f>
        <v>0</v>
      </c>
      <c r="M11" s="5">
        <f>$X10*M$10*$Q$4/$X16</f>
        <v>0</v>
      </c>
      <c r="N11" s="5">
        <f>$X10*N$10*$Q$4/$X16</f>
        <v>0</v>
      </c>
      <c r="R11" t="s">
        <v>33</v>
      </c>
      <c r="S11">
        <f t="shared" ref="S11:X12" si="12">S14/S$16</f>
        <v>0.98</v>
      </c>
      <c r="T11">
        <f>T14/T$16+[2]Land.footprint!$J$1</f>
        <v>0.83</v>
      </c>
      <c r="U11">
        <f t="shared" ref="U11" si="13">U14/U$16</f>
        <v>0.98</v>
      </c>
      <c r="V11">
        <f>V14/V$16+[2]Land.footprint!$J$1</f>
        <v>0.52999999999999992</v>
      </c>
      <c r="W11">
        <f t="shared" si="12"/>
        <v>0.97655334114888626</v>
      </c>
      <c r="X11">
        <f t="shared" si="12"/>
        <v>0.97655334114888626</v>
      </c>
    </row>
    <row r="12" spans="1:24">
      <c r="A12" t="s">
        <v>35</v>
      </c>
      <c r="C12" s="5">
        <f>$S11*C$10/S16</f>
        <v>30.752030193497433</v>
      </c>
      <c r="D12" s="5">
        <f>$S11*D$10/S16</f>
        <v>14.861454256744361</v>
      </c>
      <c r="E12" s="5">
        <f>T11*E$10*$Q$4/T16</f>
        <v>10.120668545140607</v>
      </c>
      <c r="F12" s="5">
        <f>U11*F$10*$Q$4/U16</f>
        <v>4.8967292233483697</v>
      </c>
      <c r="G12" s="5">
        <f>$U11*G$10/$U16</f>
        <v>34.181078458816252</v>
      </c>
      <c r="H12" s="5">
        <f>$U11*H$10/$U16</f>
        <v>14.006662538181835</v>
      </c>
      <c r="I12" s="5">
        <f>$V11*I$10/$V16</f>
        <v>18.231521340013646</v>
      </c>
      <c r="J12" s="5">
        <f>$V11*J$10/$V16</f>
        <v>9.0685518465896919</v>
      </c>
      <c r="K12" s="5">
        <f>$W11*K$10/$W16</f>
        <v>39.381656481712824</v>
      </c>
      <c r="L12" s="5">
        <f>$W11*L$10/$W16</f>
        <v>19.588853115904062</v>
      </c>
      <c r="M12" s="5">
        <f>$X11*M$10/$X16</f>
        <v>48.172142997255648</v>
      </c>
      <c r="N12" s="5">
        <f>$X11*N$10/$X16</f>
        <v>21.603082779350405</v>
      </c>
      <c r="R12" t="s">
        <v>34</v>
      </c>
      <c r="S12">
        <f t="shared" si="12"/>
        <v>0.02</v>
      </c>
      <c r="T12">
        <f t="shared" ref="T12:U12" si="14">T15/T$16</f>
        <v>0.02</v>
      </c>
      <c r="U12">
        <f t="shared" si="14"/>
        <v>0.02</v>
      </c>
      <c r="V12">
        <f>V15/V$16+[2]Land.footprint!$J$3</f>
        <v>0.47</v>
      </c>
      <c r="W12">
        <f t="shared" si="12"/>
        <v>2.3446658851113716E-2</v>
      </c>
      <c r="X12">
        <f t="shared" si="12"/>
        <v>2.3446658851113716E-2</v>
      </c>
    </row>
    <row r="13" spans="1:24">
      <c r="A13" t="s">
        <v>36</v>
      </c>
      <c r="C13" s="5">
        <f>$S12*C$10/S16</f>
        <v>0.62759245292851906</v>
      </c>
      <c r="D13" s="5">
        <f>$S12*D$10/S16</f>
        <v>0.30329498483151762</v>
      </c>
      <c r="E13" s="5">
        <f>T12*E$10*$Q$4/T16</f>
        <v>0.2438715312082074</v>
      </c>
      <c r="F13" s="5">
        <f>U12*F$10*$Q$4/U16</f>
        <v>9.9933249456089182E-2</v>
      </c>
      <c r="G13" s="5">
        <f>$U12*G$10/$U16</f>
        <v>0.69757302977176028</v>
      </c>
      <c r="H13" s="5">
        <f>$U12*H$10/$U16</f>
        <v>0.28585025588126195</v>
      </c>
      <c r="I13" s="5">
        <f>$V12*I$10/$V16</f>
        <v>16.167575527936634</v>
      </c>
      <c r="J13" s="5">
        <f>$V12*J$10/$V16</f>
        <v>8.0419233356550119</v>
      </c>
      <c r="K13" s="5">
        <f>$W12*K$10/$W16</f>
        <v>0.9455379707494076</v>
      </c>
      <c r="L13" s="5">
        <f>$W12*L$10/$W16</f>
        <v>0.47032060302290668</v>
      </c>
      <c r="M13" s="5">
        <f>$X12*M$10/$X16</f>
        <v>1.1565940695619605</v>
      </c>
      <c r="N13" s="5">
        <f>$X12*N$10/$X16</f>
        <v>0.51868145928812504</v>
      </c>
      <c r="R13" t="s">
        <v>37</v>
      </c>
      <c r="S13" s="4">
        <v>0</v>
      </c>
      <c r="T13" s="4">
        <f>$S13</f>
        <v>0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47</v>
      </c>
      <c r="C14" s="5"/>
      <c r="D14" s="7">
        <f>SUM(C11:D11)</f>
        <v>0</v>
      </c>
      <c r="E14" s="7"/>
      <c r="F14" s="7">
        <f>SUM(E11:F11)</f>
        <v>1.2892679274911123</v>
      </c>
      <c r="G14" s="7"/>
      <c r="H14" s="7">
        <f>SUM(G11:H11)</f>
        <v>0</v>
      </c>
      <c r="I14" s="7"/>
      <c r="J14" s="7">
        <f>SUM(I11:J11)</f>
        <v>0</v>
      </c>
      <c r="K14" s="7"/>
      <c r="L14" s="7">
        <f>SUM(K11:L11)</f>
        <v>0</v>
      </c>
      <c r="M14" s="7"/>
      <c r="N14" s="7">
        <f>SUM(M11:N11)</f>
        <v>0</v>
      </c>
      <c r="R14" t="s">
        <v>38</v>
      </c>
      <c r="S14" s="4">
        <v>0.49</v>
      </c>
      <c r="T14" s="4">
        <f>$S14</f>
        <v>0.49</v>
      </c>
      <c r="U14" s="4">
        <f t="shared" si="15"/>
        <v>0.49</v>
      </c>
      <c r="V14" s="4">
        <f>$S14+[2]Land.footprint!$J$1</f>
        <v>0.33999999999999997</v>
      </c>
      <c r="W14" s="4">
        <f>$S14*(1+[2]Land.footprint!$J$1)</f>
        <v>0.41649999999999998</v>
      </c>
      <c r="X14" s="4">
        <f>$S14*(1+[2]Land.footprint!$J$1)</f>
        <v>0.41649999999999998</v>
      </c>
    </row>
    <row r="15" spans="1:24">
      <c r="A15" t="s">
        <v>48</v>
      </c>
      <c r="C15" s="5"/>
      <c r="D15" s="7">
        <f t="shared" ref="D15:D16" si="16">SUM(C12:D12)</f>
        <v>45.613484450241792</v>
      </c>
      <c r="E15" s="5"/>
      <c r="F15" s="7">
        <f t="shared" ref="F15:F16" si="17">SUM(E12:F12)</f>
        <v>15.017397768488976</v>
      </c>
      <c r="G15" s="7"/>
      <c r="H15" s="7">
        <f t="shared" ref="H15:H16" si="18">SUM(G12:H12)</f>
        <v>48.187740996998087</v>
      </c>
      <c r="I15" s="7"/>
      <c r="J15" s="7">
        <f t="shared" ref="J15:J16" si="19">SUM(I12:J12)</f>
        <v>27.300073186603338</v>
      </c>
      <c r="K15" s="7"/>
      <c r="L15" s="7">
        <f t="shared" ref="L15:L16" si="20">SUM(K12:L12)</f>
        <v>58.970509597616882</v>
      </c>
      <c r="M15" s="5"/>
      <c r="N15" s="7">
        <f t="shared" ref="N15:N16" si="21">SUM(M12:N12)</f>
        <v>69.77522577660605</v>
      </c>
      <c r="R15" t="s">
        <v>39</v>
      </c>
      <c r="S15" s="4">
        <v>0.01</v>
      </c>
      <c r="T15" s="4">
        <f>$S15</f>
        <v>0.01</v>
      </c>
      <c r="U15" s="4">
        <f t="shared" si="15"/>
        <v>0.01</v>
      </c>
      <c r="V15" s="4">
        <f>$S15+[2]Land.footprint!$J$3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49</v>
      </c>
      <c r="C16" s="5"/>
      <c r="D16" s="7">
        <f t="shared" si="16"/>
        <v>0.93088743776003668</v>
      </c>
      <c r="E16" s="5"/>
      <c r="F16" s="7">
        <f t="shared" si="17"/>
        <v>0.34380478066429659</v>
      </c>
      <c r="G16" s="7"/>
      <c r="H16" s="7">
        <f t="shared" si="18"/>
        <v>0.98342328565302228</v>
      </c>
      <c r="I16" s="7"/>
      <c r="J16" s="7">
        <f t="shared" si="19"/>
        <v>24.209498863591648</v>
      </c>
      <c r="K16" s="7"/>
      <c r="L16" s="7">
        <f t="shared" si="20"/>
        <v>1.4158585737723142</v>
      </c>
      <c r="M16" s="5"/>
      <c r="N16" s="7">
        <f t="shared" si="21"/>
        <v>1.6752755288500856</v>
      </c>
      <c r="R16" t="s">
        <v>43</v>
      </c>
      <c r="S16" s="4">
        <f>SUM(S13:S15)</f>
        <v>0.5</v>
      </c>
      <c r="T16" s="4">
        <f t="shared" ref="T16:X16" si="22">SUM(T13:T15)</f>
        <v>0.5</v>
      </c>
      <c r="U16" s="4">
        <f t="shared" si="22"/>
        <v>0.5</v>
      </c>
      <c r="V16" s="4">
        <f t="shared" si="22"/>
        <v>0.5</v>
      </c>
      <c r="W16" s="4">
        <f t="shared" si="22"/>
        <v>0.42649999999999999</v>
      </c>
      <c r="X16" s="4">
        <f t="shared" si="22"/>
        <v>0.42649999999999999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I1" workbookViewId="0">
      <selection activeCell="W15" sqref="W15"/>
    </sheetView>
  </sheetViews>
  <sheetFormatPr defaultRowHeight="14.5"/>
  <cols>
    <col min="2" max="2" width="15.453125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9" max="24" width="9.36328125" bestFit="1" customWidth="1"/>
  </cols>
  <sheetData>
    <row r="1" spans="1:24">
      <c r="C1" s="22" t="s">
        <v>10</v>
      </c>
      <c r="D1" s="22"/>
      <c r="E1" s="22" t="s">
        <v>44</v>
      </c>
      <c r="F1" s="22"/>
      <c r="G1" s="22" t="s">
        <v>11</v>
      </c>
      <c r="H1" s="22"/>
      <c r="I1" s="22" t="s">
        <v>45</v>
      </c>
      <c r="J1" s="22"/>
      <c r="K1" s="22" t="s">
        <v>12</v>
      </c>
      <c r="L1" s="22"/>
      <c r="M1" s="22" t="s">
        <v>13</v>
      </c>
      <c r="N1" s="2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4.8</v>
      </c>
    </row>
    <row r="3" spans="1:24">
      <c r="A3" t="s">
        <v>0</v>
      </c>
      <c r="B3" s="3">
        <v>0.42659999999999998</v>
      </c>
      <c r="C3" s="5">
        <f>D19</f>
        <v>25911.460378622302</v>
      </c>
      <c r="D3" s="5">
        <f>C19</f>
        <v>11532.644110007101</v>
      </c>
      <c r="E3" s="5">
        <f>G3</f>
        <v>35844.960796181098</v>
      </c>
      <c r="F3" s="5">
        <f>H3</f>
        <v>14689.928218004399</v>
      </c>
      <c r="G3" s="5">
        <f>D20</f>
        <v>35844.960796181098</v>
      </c>
      <c r="H3" s="5">
        <f>C20</f>
        <v>14689.928218004399</v>
      </c>
      <c r="I3" s="5">
        <f>K3</f>
        <v>28426.126257068499</v>
      </c>
      <c r="J3" s="5">
        <f>L3</f>
        <v>13738.6164336033</v>
      </c>
      <c r="K3" s="5">
        <f>D21</f>
        <v>28426.126257068499</v>
      </c>
      <c r="L3" s="5">
        <f>C21</f>
        <v>13738.6164336033</v>
      </c>
      <c r="M3" s="5">
        <f>D22</f>
        <v>37967.902495390001</v>
      </c>
      <c r="N3" s="5">
        <f>C22</f>
        <v>16446.633675298999</v>
      </c>
      <c r="P3" t="s">
        <v>70</v>
      </c>
      <c r="Q3">
        <v>0.46</v>
      </c>
    </row>
    <row r="4" spans="1:24">
      <c r="A4" t="s">
        <v>1</v>
      </c>
      <c r="B4" s="3">
        <v>6.6189999999999999E-2</v>
      </c>
      <c r="C4" s="5">
        <f>D43</f>
        <v>23976.062507011</v>
      </c>
      <c r="D4" s="5">
        <f>C43</f>
        <v>13210.0422310709</v>
      </c>
      <c r="E4" s="5">
        <f t="shared" ref="E4:E8" si="0">G4</f>
        <v>23693.995318633501</v>
      </c>
      <c r="F4" s="5">
        <f t="shared" ref="F4:F8" si="1">H4</f>
        <v>12695.0610196855</v>
      </c>
      <c r="G4" s="5">
        <f>D44</f>
        <v>23693.995318633501</v>
      </c>
      <c r="H4" s="5">
        <f>C44</f>
        <v>12695.0610196855</v>
      </c>
      <c r="I4" s="5">
        <f t="shared" ref="I4:I8" si="2">K4</f>
        <v>25481.888058389901</v>
      </c>
      <c r="J4" s="5">
        <f t="shared" ref="J4:J8" si="3">L4</f>
        <v>14237.1437203242</v>
      </c>
      <c r="K4" s="5">
        <f>D45</f>
        <v>25481.888058389901</v>
      </c>
      <c r="L4" s="5">
        <f>C45</f>
        <v>14237.1437203242</v>
      </c>
      <c r="M4" s="5">
        <f>D46</f>
        <v>25854.8253830506</v>
      </c>
      <c r="N4" s="5">
        <f>C46</f>
        <v>14202.1134770067</v>
      </c>
      <c r="P4" t="s">
        <v>64</v>
      </c>
      <c r="Q4">
        <f>(1-Q2*Q1)*Q3</f>
        <v>0.2944</v>
      </c>
    </row>
    <row r="5" spans="1:24">
      <c r="A5" t="s">
        <v>2</v>
      </c>
      <c r="B5" s="3">
        <v>0.28410000000000002</v>
      </c>
      <c r="C5" s="5">
        <f>D31</f>
        <v>10694.4464249758</v>
      </c>
      <c r="D5" s="5">
        <f>C31</f>
        <v>1222.51513812996</v>
      </c>
      <c r="E5" s="5">
        <f t="shared" si="0"/>
        <v>10840.84050445</v>
      </c>
      <c r="F5" s="5">
        <f t="shared" si="1"/>
        <v>1253.1615615548701</v>
      </c>
      <c r="G5" s="5">
        <f>D32</f>
        <v>10840.84050445</v>
      </c>
      <c r="H5" s="5">
        <f>C32</f>
        <v>1253.1615615548701</v>
      </c>
      <c r="I5" s="5">
        <f t="shared" si="2"/>
        <v>10897.4578351729</v>
      </c>
      <c r="J5" s="5">
        <f t="shared" si="3"/>
        <v>1264.1678070892799</v>
      </c>
      <c r="K5" s="5">
        <f>D33</f>
        <v>10897.4578351729</v>
      </c>
      <c r="L5" s="5">
        <f>C33</f>
        <v>1264.1678070892799</v>
      </c>
      <c r="M5" s="5">
        <f>D34</f>
        <v>10928.8330350089</v>
      </c>
      <c r="N5" s="5">
        <f>C34</f>
        <v>1269.1426210146101</v>
      </c>
    </row>
    <row r="6" spans="1:24">
      <c r="A6" t="s">
        <v>5</v>
      </c>
      <c r="B6" s="2">
        <v>0.10390000000000001</v>
      </c>
      <c r="C6" s="5">
        <f>D25</f>
        <v>25911.460378622302</v>
      </c>
      <c r="D6" s="5">
        <f>C25</f>
        <v>11532.644110007101</v>
      </c>
      <c r="E6" s="5">
        <f t="shared" si="0"/>
        <v>35844.960796181098</v>
      </c>
      <c r="F6" s="5">
        <f t="shared" si="1"/>
        <v>14689.928218004399</v>
      </c>
      <c r="G6" s="5">
        <f>D26</f>
        <v>35844.960796181098</v>
      </c>
      <c r="H6" s="5">
        <f>C26</f>
        <v>14689.928218004399</v>
      </c>
      <c r="I6" s="5">
        <f t="shared" si="2"/>
        <v>28426.126257068499</v>
      </c>
      <c r="J6" s="5">
        <f t="shared" si="3"/>
        <v>13738.6164336033</v>
      </c>
      <c r="K6" s="5">
        <f>D27</f>
        <v>28426.126257068499</v>
      </c>
      <c r="L6" s="5">
        <f>C27</f>
        <v>13738.6164336033</v>
      </c>
      <c r="M6" s="5">
        <f>D28</f>
        <v>37967.902495390001</v>
      </c>
      <c r="N6" s="5">
        <f>C28</f>
        <v>16446.633675298999</v>
      </c>
    </row>
    <row r="7" spans="1:24">
      <c r="A7" t="s">
        <v>4</v>
      </c>
      <c r="B7" s="2">
        <v>3.0700000000000002E-2</v>
      </c>
      <c r="C7" s="5">
        <f>D49</f>
        <v>8064.38145482864</v>
      </c>
      <c r="D7" s="5">
        <f>C49</f>
        <v>2967.7560443951002</v>
      </c>
      <c r="E7" s="5">
        <f t="shared" si="0"/>
        <v>6869.88421791576</v>
      </c>
      <c r="F7" s="5">
        <f t="shared" si="1"/>
        <v>2538.7322315116598</v>
      </c>
      <c r="G7" s="5">
        <f>D50</f>
        <v>6869.88421791576</v>
      </c>
      <c r="H7" s="5">
        <f>C50</f>
        <v>2538.7322315116598</v>
      </c>
      <c r="I7" s="5">
        <f t="shared" si="2"/>
        <v>8615.1602989391395</v>
      </c>
      <c r="J7" s="5">
        <f t="shared" si="3"/>
        <v>3227.4182949804499</v>
      </c>
      <c r="K7" s="5">
        <f>D51</f>
        <v>8615.1602989391395</v>
      </c>
      <c r="L7" s="5">
        <f>C51</f>
        <v>3227.4182949804499</v>
      </c>
      <c r="M7" s="5">
        <f>D52</f>
        <v>8325.3815956061499</v>
      </c>
      <c r="N7" s="5">
        <f>C52</f>
        <v>3472.5462658841798</v>
      </c>
    </row>
    <row r="8" spans="1:24">
      <c r="A8" t="s">
        <v>3</v>
      </c>
      <c r="B8" s="3">
        <v>8.8520000000000001E-2</v>
      </c>
      <c r="C8" s="5">
        <f>D37</f>
        <v>10694.4464249758</v>
      </c>
      <c r="D8" s="5">
        <f>C37</f>
        <v>1222.51513812996</v>
      </c>
      <c r="E8" s="5">
        <f t="shared" si="0"/>
        <v>10840.84050445</v>
      </c>
      <c r="F8" s="5">
        <f t="shared" si="1"/>
        <v>1253.1615615548701</v>
      </c>
      <c r="G8" s="5">
        <f>D38</f>
        <v>10840.84050445</v>
      </c>
      <c r="H8" s="5">
        <f>C38</f>
        <v>1253.1615615548701</v>
      </c>
      <c r="I8" s="5">
        <f t="shared" si="2"/>
        <v>10897.4578351729</v>
      </c>
      <c r="J8" s="5">
        <f t="shared" si="3"/>
        <v>1264.1678070892799</v>
      </c>
      <c r="K8" s="5">
        <f>D39</f>
        <v>10897.4578351729</v>
      </c>
      <c r="L8" s="5">
        <f>C39</f>
        <v>1264.1678070892799</v>
      </c>
      <c r="M8" s="5">
        <f>D40</f>
        <v>10928.8330350089</v>
      </c>
      <c r="N8" s="5">
        <f>C40</f>
        <v>1269.1426210146101</v>
      </c>
    </row>
    <row r="9" spans="1:24">
      <c r="A9" t="s">
        <v>9</v>
      </c>
      <c r="C9" s="3">
        <f>SUMPRODUCT($B3:$B8,C3:C8)</f>
        <v>19565.546445735912</v>
      </c>
      <c r="D9" s="3">
        <f>SUMPRODUCT($B3:$B8,D3:D8)</f>
        <v>7539.0840969662659</v>
      </c>
      <c r="E9" s="3">
        <f t="shared" ref="E9:K9" si="4">SUMPRODUCT($B3:$B8,E3:E8)</f>
        <v>24834.476686772596</v>
      </c>
      <c r="F9" s="3">
        <f t="shared" si="4"/>
        <v>9178.1851491183006</v>
      </c>
      <c r="G9" s="3">
        <f t="shared" si="4"/>
        <v>24834.476686772596</v>
      </c>
      <c r="H9" s="3">
        <f t="shared" si="4"/>
        <v>9178.1851491183006</v>
      </c>
      <c r="I9" s="3">
        <f t="shared" si="4"/>
        <v>21091.802309679224</v>
      </c>
      <c r="J9" s="3">
        <f t="shared" si="4"/>
        <v>8800.8285108083164</v>
      </c>
      <c r="K9" s="3">
        <f t="shared" si="4"/>
        <v>21091.802309679224</v>
      </c>
      <c r="L9" s="3">
        <f>SUMPRODUCT($B3:$B8,L3:L8)</f>
        <v>8800.8285108083164</v>
      </c>
      <c r="M9" s="3">
        <f>SUMPRODUCT($B3:$B8,M3:M8)</f>
        <v>26181.19414639864</v>
      </c>
      <c r="N9" s="3">
        <f>SUMPRODUCT($B3:$B8,N3:N8)</f>
        <v>10244.492149594302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3">
        <f>C9/1000</f>
        <v>19.565546445735912</v>
      </c>
      <c r="D10" s="3">
        <f t="shared" ref="D10:N10" si="5">D9/1000</f>
        <v>7.539084096966266</v>
      </c>
      <c r="E10" s="3">
        <f t="shared" ref="E10" si="6">E9/1000</f>
        <v>24.834476686772597</v>
      </c>
      <c r="F10" s="3">
        <f t="shared" ref="F10" si="7">F9/1000</f>
        <v>9.1781851491183009</v>
      </c>
      <c r="G10" s="3">
        <f t="shared" ref="G10" si="8">G9/1000</f>
        <v>24.834476686772597</v>
      </c>
      <c r="H10" s="3">
        <f t="shared" ref="H10" si="9">H9/1000</f>
        <v>9.1781851491183009</v>
      </c>
      <c r="I10" s="3">
        <f t="shared" ref="I10" si="10">I9/1000</f>
        <v>21.091802309679224</v>
      </c>
      <c r="J10" s="3">
        <f t="shared" ref="J10" si="11">J9/1000</f>
        <v>8.8008285108083157</v>
      </c>
      <c r="K10" s="3">
        <f t="shared" ref="K10" si="12">K9/1000</f>
        <v>21.091802309679224</v>
      </c>
      <c r="L10" s="3">
        <f t="shared" si="5"/>
        <v>8.8008285108083157</v>
      </c>
      <c r="M10" s="3">
        <f t="shared" si="5"/>
        <v>26.181194146398642</v>
      </c>
      <c r="N10" s="3">
        <f t="shared" si="5"/>
        <v>10.244492149594302</v>
      </c>
      <c r="R10" t="str">
        <f>SA!R10</f>
        <v>FRAC_maize</v>
      </c>
      <c r="S10" s="10">
        <f>S13/S$16</f>
        <v>1.8494605704910735E-2</v>
      </c>
      <c r="T10" s="10">
        <f>T13/T$16+[2]Land.footprint!$J$2</f>
        <v>9.3494605704910735E-2</v>
      </c>
      <c r="U10" s="10">
        <f>U13/U$16</f>
        <v>2.1084669290306186E-2</v>
      </c>
      <c r="V10" s="10">
        <f t="shared" ref="T10:X12" si="13">V13/V$16</f>
        <v>1.8494605704910735E-2</v>
      </c>
      <c r="W10" s="10">
        <f t="shared" si="13"/>
        <v>2.1084669290306186E-2</v>
      </c>
      <c r="X10" s="10">
        <f t="shared" si="13"/>
        <v>2.4518319484606286E-2</v>
      </c>
    </row>
    <row r="11" spans="1:24">
      <c r="A11" t="s">
        <v>40</v>
      </c>
      <c r="B11">
        <v>0.2</v>
      </c>
      <c r="C11" s="5">
        <f>$S10*C$10*$Q$4/S16</f>
        <v>0.54415834740184121</v>
      </c>
      <c r="D11" s="5">
        <f>$S10*D$10*$Q$4/S16</f>
        <v>0.20967753466567501</v>
      </c>
      <c r="E11" s="5">
        <f>T10*E$10*$Q$4/T16</f>
        <v>3.4916427678710522</v>
      </c>
      <c r="F11" s="5">
        <f>T10*F$10*$Q$4/T16</f>
        <v>1.2904215459136024</v>
      </c>
      <c r="G11" s="5">
        <f>$U10*G$10*$Q$4/$U16</f>
        <v>0.89770110604848818</v>
      </c>
      <c r="H11" s="5">
        <f>$U10*H$10*$Q$4/$U16</f>
        <v>0.33176728721929255</v>
      </c>
      <c r="I11" s="5">
        <f>$V10*I$10*$Q$4/$V16</f>
        <v>0.58660668233279656</v>
      </c>
      <c r="J11" s="5">
        <f>$V10*J$10*$Q$4/$V16</f>
        <v>0.24476925862973675</v>
      </c>
      <c r="K11" s="5">
        <f>$W10*K$10*$Q$4/$W16</f>
        <v>0.76241325721350295</v>
      </c>
      <c r="L11" s="5">
        <f>$W10*L$10*$Q$4/$W16</f>
        <v>0.31812683584767004</v>
      </c>
      <c r="M11" s="5">
        <f>$X10*M$10*$Q$4/$X16</f>
        <v>1.2797172114230435</v>
      </c>
      <c r="N11" s="5">
        <f>$X10*N$10*$Q$4/$X16</f>
        <v>0.50074312320576242</v>
      </c>
      <c r="R11" t="str">
        <f>SA!R11</f>
        <v>FRAC_native_grass</v>
      </c>
      <c r="S11" s="10">
        <f t="shared" ref="S11" si="14">S14/S$16</f>
        <v>0.8189405454531673</v>
      </c>
      <c r="T11" s="10">
        <f>T14/T$16+[2]Land.footprint!$J$1</f>
        <v>0.66894054545316728</v>
      </c>
      <c r="U11" s="10">
        <f>U14/U$16+[2]Land.footprint!$J$1</f>
        <v>0.64358420601583632</v>
      </c>
      <c r="V11" s="10">
        <f>V14/V$16+[2]Land.footprint!$J$1</f>
        <v>0.66894054545316728</v>
      </c>
      <c r="W11" s="10">
        <f>W14/W$16+[2]Land.footprint!$J$1</f>
        <v>0.64358420601583632</v>
      </c>
      <c r="X11" s="10">
        <f t="shared" si="13"/>
        <v>0.75996927844160167</v>
      </c>
    </row>
    <row r="12" spans="1:24">
      <c r="A12" t="s">
        <v>35</v>
      </c>
      <c r="B12">
        <v>0.8</v>
      </c>
      <c r="C12" s="5">
        <f>$S11*C$10/S16</f>
        <v>81.845496303750295</v>
      </c>
      <c r="D12" s="5">
        <f>$S11*D$10/S16</f>
        <v>31.537073666878957</v>
      </c>
      <c r="E12" s="5">
        <f>T11*E$10*$Q$4/T16</f>
        <v>24.982205123568825</v>
      </c>
      <c r="F12" s="5">
        <f>U11*F$10*$Q$4/U16</f>
        <v>10.126797968096355</v>
      </c>
      <c r="G12" s="5">
        <f>$U11*G$10/$U16</f>
        <v>93.074891522491754</v>
      </c>
      <c r="H12" s="5">
        <f>$U11*H$10/$U16</f>
        <v>34.398090924240336</v>
      </c>
      <c r="I12" s="5">
        <f>$V11*I$10/$V16</f>
        <v>72.069522298642582</v>
      </c>
      <c r="J12" s="5">
        <f>$V11*J$10/$V16</f>
        <v>30.071944412031407</v>
      </c>
      <c r="K12" s="5">
        <f>$W11*K$10/$W16</f>
        <v>79.048060353646804</v>
      </c>
      <c r="L12" s="5">
        <f>$W11*L$10/$W16</f>
        <v>32.983830071516145</v>
      </c>
      <c r="M12" s="5">
        <f>$X11*M$10/$X16</f>
        <v>134.73534598563646</v>
      </c>
      <c r="N12" s="5">
        <f>$X11*N$10/$X16</f>
        <v>52.720864697937834</v>
      </c>
      <c r="R12" t="str">
        <f>SA!R12</f>
        <v>FRAC_rhodes</v>
      </c>
      <c r="S12" s="10">
        <f>S15/S$16</f>
        <v>0.16256484884192196</v>
      </c>
      <c r="T12" s="10">
        <f t="shared" si="13"/>
        <v>0.16256484884192196</v>
      </c>
      <c r="U12" s="10">
        <f t="shared" si="13"/>
        <v>0.18533112469385746</v>
      </c>
      <c r="V12" s="10">
        <f>V15/V$16+[2]Land.footprint!$J$3</f>
        <v>0.31256484884192193</v>
      </c>
      <c r="W12" s="10">
        <f t="shared" si="13"/>
        <v>0.18533112469385746</v>
      </c>
      <c r="X12" s="10">
        <f t="shared" si="13"/>
        <v>0.21551240207379205</v>
      </c>
    </row>
    <row r="13" spans="1:24">
      <c r="A13" t="s">
        <v>36</v>
      </c>
      <c r="B13">
        <v>0.2</v>
      </c>
      <c r="C13" s="5">
        <f>$S12*C$10/S16</f>
        <v>16.246845767843514</v>
      </c>
      <c r="D13" s="5">
        <f>$S12*D$10/S16</f>
        <v>6.2603074692507361</v>
      </c>
      <c r="E13" s="5">
        <f>T12*E$10*$Q$4/T16</f>
        <v>6.0711350616363307</v>
      </c>
      <c r="F13" s="5">
        <f>U12*F$10*$Q$4/U16</f>
        <v>2.9161853871357839</v>
      </c>
      <c r="G13" s="5">
        <f>$U12*G$10/$U16</f>
        <v>26.802513432403469</v>
      </c>
      <c r="H13" s="5">
        <f>$U12*H$10/$U16</f>
        <v>9.9055210160862224</v>
      </c>
      <c r="I13" s="5">
        <f>$V12*I$10/$V16</f>
        <v>33.674740597648253</v>
      </c>
      <c r="J13" s="5">
        <f>$V12*J$10/$V16</f>
        <v>14.05122297253147</v>
      </c>
      <c r="K13" s="5">
        <f>$W12*K$10/$W16</f>
        <v>22.763246508023848</v>
      </c>
      <c r="L13" s="5">
        <f>$W12*L$10/$W16</f>
        <v>9.4982603157833658</v>
      </c>
      <c r="M13" s="5">
        <f>$X12*M$10/$X16</f>
        <v>38.208305100374218</v>
      </c>
      <c r="N13" s="5">
        <f>$X12*N$10/$X16</f>
        <v>14.950604600437225</v>
      </c>
      <c r="R13" t="str">
        <f>SA!R13</f>
        <v>Ha_per_TLU Maize</v>
      </c>
      <c r="S13" s="10">
        <v>3.6207175365601313E-3</v>
      </c>
      <c r="T13" s="10">
        <f>$S13</f>
        <v>3.6207175365601313E-3</v>
      </c>
      <c r="U13" s="10">
        <f>$S13</f>
        <v>3.6207175365601313E-3</v>
      </c>
      <c r="V13" s="10">
        <f t="shared" ref="U13:X15" si="15">$S13</f>
        <v>3.6207175365601313E-3</v>
      </c>
      <c r="W13" s="10">
        <f t="shared" si="15"/>
        <v>3.6207175365601313E-3</v>
      </c>
      <c r="X13" s="10">
        <f t="shared" si="15"/>
        <v>3.6207175365601313E-3</v>
      </c>
    </row>
    <row r="14" spans="1:24">
      <c r="A14" t="s">
        <v>47</v>
      </c>
      <c r="C14" s="5"/>
      <c r="D14" s="7">
        <f>SUM(C11:D11)</f>
        <v>0.75383588206751617</v>
      </c>
      <c r="E14" s="7"/>
      <c r="F14" s="7">
        <f>SUM(E11:F11)</f>
        <v>4.7820643137846544</v>
      </c>
      <c r="G14" s="7"/>
      <c r="H14" s="7">
        <f>SUM(G11:H11)</f>
        <v>1.2294683932677808</v>
      </c>
      <c r="I14" s="7"/>
      <c r="J14" s="7">
        <f>SUM(I11:J11)</f>
        <v>0.83137594096253331</v>
      </c>
      <c r="K14" s="7"/>
      <c r="L14" s="7">
        <f>SUM(K11:L11)</f>
        <v>1.080540093061173</v>
      </c>
      <c r="M14" s="7"/>
      <c r="N14" s="7">
        <f>SUM(M11:N11)</f>
        <v>1.7804603346288059</v>
      </c>
      <c r="R14" t="str">
        <f>SA!R14</f>
        <v>Ha_per_TLU Native grass</v>
      </c>
      <c r="S14" s="10">
        <v>0.16032525600343495</v>
      </c>
      <c r="T14" s="10">
        <f>$S14</f>
        <v>0.16032525600343495</v>
      </c>
      <c r="U14" s="10">
        <f>$S14*(1+[2]Land.footprint!$J$1)</f>
        <v>0.1362764676029197</v>
      </c>
      <c r="V14" s="10">
        <f>$S14</f>
        <v>0.16032525600343495</v>
      </c>
      <c r="W14" s="10">
        <f>$S14*(1+[2]Land.footprint!$J$1)</f>
        <v>0.1362764676029197</v>
      </c>
      <c r="X14" s="10">
        <f>$S14*(1+[2]Land.footprint!$J$1+[2]Land.footprint!$J$1)</f>
        <v>0.11222767920240445</v>
      </c>
    </row>
    <row r="15" spans="1:24">
      <c r="A15" t="s">
        <v>48</v>
      </c>
      <c r="C15" s="5"/>
      <c r="D15" s="5">
        <f t="shared" ref="D15:D16" si="16">SUM(C12:D12)</f>
        <v>113.38256997062925</v>
      </c>
      <c r="E15" s="5"/>
      <c r="F15" s="5">
        <f t="shared" ref="F15:F16" si="17">SUM(E12:F12)</f>
        <v>35.10900309166518</v>
      </c>
      <c r="G15" s="5"/>
      <c r="H15" s="5">
        <f t="shared" ref="H15:H16" si="18">SUM(G12:H12)</f>
        <v>127.47298244673209</v>
      </c>
      <c r="I15" s="5"/>
      <c r="J15" s="5">
        <f t="shared" ref="J15:J16" si="19">SUM(I12:J12)</f>
        <v>102.141466710674</v>
      </c>
      <c r="K15" s="5"/>
      <c r="L15" s="5">
        <f t="shared" ref="L15:L16" si="20">SUM(K12:L12)</f>
        <v>112.03189042516294</v>
      </c>
      <c r="M15" s="5"/>
      <c r="N15" s="5">
        <f t="shared" ref="N15:N16" si="21">SUM(M12:N12)</f>
        <v>187.45621068357428</v>
      </c>
      <c r="R15" t="str">
        <f>SA!R15</f>
        <v>Ha_per_TLU Rhodes</v>
      </c>
      <c r="S15" s="10">
        <v>3.1825571651625251E-2</v>
      </c>
      <c r="T15" s="10">
        <f>$S15</f>
        <v>3.1825571651625251E-2</v>
      </c>
      <c r="U15" s="10">
        <f t="shared" si="15"/>
        <v>3.1825571651625251E-2</v>
      </c>
      <c r="V15" s="10">
        <f>$S15</f>
        <v>3.1825571651625251E-2</v>
      </c>
      <c r="W15" s="10">
        <f t="shared" si="15"/>
        <v>3.1825571651625251E-2</v>
      </c>
      <c r="X15" s="10">
        <f t="shared" si="15"/>
        <v>3.1825571651625251E-2</v>
      </c>
    </row>
    <row r="16" spans="1:24">
      <c r="A16" t="s">
        <v>49</v>
      </c>
      <c r="C16" s="5"/>
      <c r="D16" s="5">
        <f t="shared" si="16"/>
        <v>22.507153237094251</v>
      </c>
      <c r="E16" s="5"/>
      <c r="F16" s="5">
        <f t="shared" si="17"/>
        <v>8.987320448772115</v>
      </c>
      <c r="G16" s="5"/>
      <c r="H16" s="5">
        <f t="shared" si="18"/>
        <v>36.708034448489691</v>
      </c>
      <c r="I16" s="5"/>
      <c r="J16" s="5">
        <f t="shared" si="19"/>
        <v>47.725963570179722</v>
      </c>
      <c r="K16" s="5"/>
      <c r="L16" s="5">
        <f t="shared" si="20"/>
        <v>32.26150682380721</v>
      </c>
      <c r="M16" s="5"/>
      <c r="N16" s="5">
        <f t="shared" si="21"/>
        <v>53.158909700811442</v>
      </c>
      <c r="R16" t="s">
        <v>43</v>
      </c>
      <c r="S16" s="10">
        <f>SUM(S13:S15)</f>
        <v>0.19577154519162032</v>
      </c>
      <c r="T16" s="10">
        <f t="shared" ref="T16:X16" si="22">SUM(T13:T15)</f>
        <v>0.19577154519162032</v>
      </c>
      <c r="U16" s="10">
        <f>SUM(U13:U15)</f>
        <v>0.17172275679110507</v>
      </c>
      <c r="V16" s="10">
        <f t="shared" si="22"/>
        <v>0.19577154519162032</v>
      </c>
      <c r="W16" s="10">
        <f t="shared" si="22"/>
        <v>0.17172275679110507</v>
      </c>
      <c r="X16" s="10">
        <f t="shared" si="22"/>
        <v>0.14767396839058983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40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41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35</v>
      </c>
      <c r="R22">
        <v>0.16032525600343495</v>
      </c>
    </row>
    <row r="23" spans="2:24">
      <c r="Q23" t="s">
        <v>42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I1" workbookViewId="0">
      <selection activeCell="T13" sqref="T13:X15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22" t="s">
        <v>10</v>
      </c>
      <c r="D1" s="22"/>
      <c r="E1" s="22" t="s">
        <v>44</v>
      </c>
      <c r="F1" s="22"/>
      <c r="G1" s="22" t="s">
        <v>11</v>
      </c>
      <c r="H1" s="22"/>
      <c r="I1" s="22" t="s">
        <v>45</v>
      </c>
      <c r="J1" s="22"/>
      <c r="K1" s="22" t="s">
        <v>12</v>
      </c>
      <c r="L1" s="22"/>
      <c r="M1" s="22" t="s">
        <v>13</v>
      </c>
      <c r="N1" s="2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2.9</v>
      </c>
    </row>
    <row r="3" spans="1:24">
      <c r="A3" t="s">
        <v>0</v>
      </c>
      <c r="B3" s="2">
        <v>0.4748</v>
      </c>
      <c r="C3" s="5">
        <f>D19</f>
        <v>18235.9343766852</v>
      </c>
      <c r="D3" s="5">
        <f>C19</f>
        <v>9444.0354595351491</v>
      </c>
      <c r="E3" s="5">
        <f>G3</f>
        <v>29048.045863605101</v>
      </c>
      <c r="F3" s="5">
        <f>H3</f>
        <v>12473.802905311401</v>
      </c>
      <c r="G3" s="5">
        <f>D20</f>
        <v>29048.045863605101</v>
      </c>
      <c r="H3" s="5">
        <f>C20</f>
        <v>12473.802905311401</v>
      </c>
      <c r="I3" s="5">
        <f>K3</f>
        <v>23448.496926377</v>
      </c>
      <c r="J3" s="5">
        <f>L3</f>
        <v>12213.107768916299</v>
      </c>
      <c r="K3" s="5">
        <f>D21</f>
        <v>23448.496926377</v>
      </c>
      <c r="L3" s="5">
        <f>C21</f>
        <v>12213.107768916299</v>
      </c>
      <c r="M3" s="5">
        <f>D22</f>
        <v>31761.818853426899</v>
      </c>
      <c r="N3" s="5">
        <f>C22</f>
        <v>14148.743003039899</v>
      </c>
      <c r="P3" t="s">
        <v>70</v>
      </c>
      <c r="Q3">
        <v>0.46</v>
      </c>
    </row>
    <row r="4" spans="1:24">
      <c r="A4" t="s">
        <v>1</v>
      </c>
      <c r="B4" s="2">
        <v>8.5889999999999994E-2</v>
      </c>
      <c r="C4" s="5">
        <f>D43</f>
        <v>21285.752495548</v>
      </c>
      <c r="D4" s="5">
        <f>C43</f>
        <v>11852.591935709501</v>
      </c>
      <c r="E4" s="5">
        <f t="shared" ref="E4:E8" si="0">G4</f>
        <v>20894.538288365598</v>
      </c>
      <c r="F4" s="5">
        <f t="shared" ref="F4:F8" si="1">H4</f>
        <v>11572.9720522633</v>
      </c>
      <c r="G4" s="5">
        <f>D44</f>
        <v>20894.538288365598</v>
      </c>
      <c r="H4" s="5">
        <f>C44</f>
        <v>11572.9720522633</v>
      </c>
      <c r="I4" s="5">
        <f t="shared" ref="I4:I8" si="2">K4</f>
        <v>22846.0946586848</v>
      </c>
      <c r="J4" s="5">
        <f t="shared" ref="J4:J8" si="3">L4</f>
        <v>12753.123618067601</v>
      </c>
      <c r="K4" s="5">
        <f>D45</f>
        <v>22846.0946586848</v>
      </c>
      <c r="L4" s="5">
        <f>C45</f>
        <v>12753.123618067601</v>
      </c>
      <c r="M4" s="5">
        <f>D46</f>
        <v>20861.4076470527</v>
      </c>
      <c r="N4" s="5">
        <f>C46</f>
        <v>11686.5706472561</v>
      </c>
      <c r="P4" t="s">
        <v>64</v>
      </c>
      <c r="Q4">
        <f>(1-Q2*Q1)*Q3</f>
        <v>0.35994999999999999</v>
      </c>
    </row>
    <row r="5" spans="1:24">
      <c r="A5" t="s">
        <v>2</v>
      </c>
      <c r="B5" s="3">
        <v>0.23580000000000001</v>
      </c>
      <c r="C5" s="5">
        <f>D31</f>
        <v>10603.983952402699</v>
      </c>
      <c r="D5" s="5">
        <f>C31</f>
        <v>1180.54031133281</v>
      </c>
      <c r="E5" s="5">
        <f t="shared" si="0"/>
        <v>10629.0848717633</v>
      </c>
      <c r="F5" s="5">
        <f t="shared" si="1"/>
        <v>1184.84704273584</v>
      </c>
      <c r="G5" s="5">
        <f>D32</f>
        <v>10629.0848717633</v>
      </c>
      <c r="H5" s="5">
        <f>C32</f>
        <v>1184.84704273584</v>
      </c>
      <c r="I5" s="5">
        <f t="shared" si="2"/>
        <v>10719.556578986099</v>
      </c>
      <c r="J5" s="5">
        <f t="shared" si="3"/>
        <v>1207.7334167920001</v>
      </c>
      <c r="K5" s="5">
        <f>D33</f>
        <v>10719.556578986099</v>
      </c>
      <c r="L5" s="5">
        <f>C33</f>
        <v>1207.7334167920001</v>
      </c>
      <c r="M5" s="5">
        <f>D34</f>
        <v>10662.6606398608</v>
      </c>
      <c r="N5" s="5">
        <f>C34</f>
        <v>1187.3211510721901</v>
      </c>
    </row>
    <row r="6" spans="1:24">
      <c r="A6" t="s">
        <v>5</v>
      </c>
      <c r="B6" s="2">
        <v>4.761E-2</v>
      </c>
      <c r="C6" s="5">
        <f>D25</f>
        <v>19232.6805927149</v>
      </c>
      <c r="D6" s="5">
        <f>C25</f>
        <v>9605.02513210098</v>
      </c>
      <c r="E6" s="5">
        <f t="shared" si="0"/>
        <v>18061.096391343101</v>
      </c>
      <c r="F6" s="5">
        <f t="shared" si="1"/>
        <v>9131.4183351817101</v>
      </c>
      <c r="G6" s="5">
        <f>D26</f>
        <v>18061.096391343101</v>
      </c>
      <c r="H6" s="5">
        <f>C26</f>
        <v>9131.4183351817101</v>
      </c>
      <c r="I6" s="5">
        <f t="shared" si="2"/>
        <v>20791.767178714101</v>
      </c>
      <c r="J6" s="5">
        <f t="shared" si="3"/>
        <v>10475.1906547568</v>
      </c>
      <c r="K6" s="5">
        <f>D27</f>
        <v>20791.767178714101</v>
      </c>
      <c r="L6" s="5">
        <f>C27</f>
        <v>10475.1906547568</v>
      </c>
      <c r="M6" s="5">
        <f>D28</f>
        <v>0</v>
      </c>
      <c r="N6" s="5">
        <f>C28</f>
        <v>0</v>
      </c>
    </row>
    <row r="7" spans="1:24">
      <c r="A7" t="s">
        <v>4</v>
      </c>
      <c r="B7" s="2">
        <v>4.0289999999999999E-2</v>
      </c>
      <c r="C7" s="5">
        <f>D49</f>
        <v>9420.7996669978802</v>
      </c>
      <c r="D7" s="5">
        <f>C49</f>
        <v>4034.6903060121599</v>
      </c>
      <c r="E7" s="5">
        <f t="shared" si="0"/>
        <v>9268.8494409008108</v>
      </c>
      <c r="F7" s="5">
        <f t="shared" si="1"/>
        <v>3889.67430607809</v>
      </c>
      <c r="G7" s="5">
        <f>D50</f>
        <v>9268.8494409008108</v>
      </c>
      <c r="H7" s="5">
        <f>C50</f>
        <v>3889.67430607809</v>
      </c>
      <c r="I7" s="5">
        <f t="shared" si="2"/>
        <v>10922.5714214789</v>
      </c>
      <c r="J7" s="5">
        <f t="shared" si="3"/>
        <v>4746.0294200175103</v>
      </c>
      <c r="K7" s="5">
        <f>D51</f>
        <v>10922.5714214789</v>
      </c>
      <c r="L7" s="5">
        <f>C51</f>
        <v>4746.0294200175103</v>
      </c>
      <c r="M7" s="5">
        <f>D52</f>
        <v>9909.3031005668599</v>
      </c>
      <c r="N7" s="5">
        <f>C52</f>
        <v>4401.5900484167096</v>
      </c>
    </row>
    <row r="8" spans="1:24">
      <c r="A8" t="s">
        <v>3</v>
      </c>
      <c r="B8" s="3">
        <v>0.11559999999999999</v>
      </c>
      <c r="C8" s="5">
        <f>D37</f>
        <v>10603.983952402699</v>
      </c>
      <c r="D8" s="5">
        <f>C37</f>
        <v>1180.54031133281</v>
      </c>
      <c r="E8" s="5">
        <f t="shared" si="0"/>
        <v>10629.0848717633</v>
      </c>
      <c r="F8" s="5">
        <f t="shared" si="1"/>
        <v>1184.84704273584</v>
      </c>
      <c r="G8" s="5">
        <f>D38</f>
        <v>10629.0848717633</v>
      </c>
      <c r="H8" s="5">
        <f>C38</f>
        <v>1184.84704273584</v>
      </c>
      <c r="I8" s="5">
        <f t="shared" si="2"/>
        <v>10719.556578986099</v>
      </c>
      <c r="J8" s="5">
        <f t="shared" si="3"/>
        <v>1207.7334167920001</v>
      </c>
      <c r="K8" s="5">
        <f>D39</f>
        <v>10719.556578986099</v>
      </c>
      <c r="L8" s="5">
        <f>C39</f>
        <v>1207.7334167920001</v>
      </c>
      <c r="M8" s="5">
        <f>D40</f>
        <v>10662.6606398608</v>
      </c>
      <c r="N8" s="5">
        <f>C40</f>
        <v>1187.3211510721901</v>
      </c>
    </row>
    <row r="9" spans="1:24">
      <c r="A9" t="s">
        <v>9</v>
      </c>
      <c r="C9" s="5">
        <f>SUMPRODUCT($B3:$B8,C3:C8)</f>
        <v>15508.126826369562</v>
      </c>
      <c r="D9" s="5">
        <f t="shared" ref="D9:N9" si="4">SUMPRODUCT($B3:$B8,D3:D8)</f>
        <v>6536.7419419162843</v>
      </c>
      <c r="E9" s="5">
        <f t="shared" ref="E9" si="5">SUMPRODUCT($B3:$B8,E3:E8)</f>
        <v>20555.035236730786</v>
      </c>
      <c r="F9" s="5">
        <f t="shared" ref="F9" si="6">SUMPRODUCT($B3:$B8,F3:F8)</f>
        <v>7924.3812445580097</v>
      </c>
      <c r="G9" s="5">
        <f t="shared" ref="G9" si="7">SUMPRODUCT($B3:$B8,G3:G8)</f>
        <v>20555.035236730786</v>
      </c>
      <c r="H9" s="5">
        <f t="shared" ref="H9" si="8">SUMPRODUCT($B3:$B8,H3:H8)</f>
        <v>7924.3812445580097</v>
      </c>
      <c r="I9" s="5">
        <f t="shared" ref="I9" si="9">SUMPRODUCT($B3:$B8,I3:I8)</f>
        <v>18292.416030683915</v>
      </c>
      <c r="J9" s="5">
        <f t="shared" ref="J9" si="10">SUMPRODUCT($B3:$B8,J3:J8)</f>
        <v>8008.4882313034714</v>
      </c>
      <c r="K9" s="5">
        <f t="shared" si="4"/>
        <v>18292.416030683915</v>
      </c>
      <c r="L9" s="5">
        <f t="shared" si="4"/>
        <v>8008.4882313034714</v>
      </c>
      <c r="M9" s="5">
        <f t="shared" si="4"/>
        <v>21018.402665181373</v>
      </c>
      <c r="N9" s="5">
        <f t="shared" si="4"/>
        <v>8316.1474462736478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15.508126826369562</v>
      </c>
      <c r="D10" s="5">
        <f t="shared" ref="D10:N10" si="11">D9/1000</f>
        <v>6.5367419419162847</v>
      </c>
      <c r="E10" s="5">
        <f t="shared" ref="E10" si="12">E9/1000</f>
        <v>20.555035236730784</v>
      </c>
      <c r="F10" s="5">
        <f t="shared" ref="F10" si="13">F9/1000</f>
        <v>7.9243812445580097</v>
      </c>
      <c r="G10" s="5">
        <f t="shared" ref="G10" si="14">G9/1000</f>
        <v>20.555035236730784</v>
      </c>
      <c r="H10" s="5">
        <f t="shared" ref="H10" si="15">H9/1000</f>
        <v>7.9243812445580097</v>
      </c>
      <c r="I10" s="5">
        <f t="shared" ref="I10" si="16">I9/1000</f>
        <v>18.292416030683913</v>
      </c>
      <c r="J10" s="5">
        <f t="shared" ref="J10" si="17">J9/1000</f>
        <v>8.0084882313034722</v>
      </c>
      <c r="K10" s="5">
        <f t="shared" ref="K10" si="18">K9/1000</f>
        <v>18.292416030683913</v>
      </c>
      <c r="L10" s="5">
        <f t="shared" ref="L10" si="19">L9/1000</f>
        <v>8.0084882313034722</v>
      </c>
      <c r="M10" s="5">
        <f t="shared" si="11"/>
        <v>21.018402665181373</v>
      </c>
      <c r="N10" s="5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>T13/T$16+[2]Land.footprint!$J$2</f>
        <v>0.45858884268218486</v>
      </c>
      <c r="U10">
        <f t="shared" ref="T10:X12" si="20">U13/U$16</f>
        <v>0.41603031087902942</v>
      </c>
      <c r="V10">
        <f t="shared" si="20"/>
        <v>0.38358884268218485</v>
      </c>
      <c r="W10">
        <f t="shared" si="20"/>
        <v>0.41603031087902942</v>
      </c>
      <c r="X10">
        <f t="shared" si="20"/>
        <v>0.45446612182332813</v>
      </c>
    </row>
    <row r="11" spans="1:24">
      <c r="A11" t="s">
        <v>40</v>
      </c>
      <c r="B11">
        <v>0.2</v>
      </c>
      <c r="C11" s="5">
        <f>$S10*C$10*$Q$4/S16</f>
        <v>5.2577695993343232</v>
      </c>
      <c r="D11" s="5">
        <f>$S10*D$10*$Q$4/S16</f>
        <v>2.216172426605485</v>
      </c>
      <c r="E11" s="5">
        <f>T10*E$10*$Q$4/T16</f>
        <v>8.3313993166462463</v>
      </c>
      <c r="F11" s="5">
        <f>T10*F$10*$Q$4/T16</f>
        <v>3.2119227101969883</v>
      </c>
      <c r="G11" s="5">
        <f>$U10*G$10*$Q$4/$U16</f>
        <v>8.1974437678188625</v>
      </c>
      <c r="H11" s="5">
        <f>$U10*H$10*$Q$4/$U16</f>
        <v>3.1602801405537444</v>
      </c>
      <c r="I11" s="5">
        <f>$V10*I$10*$Q$4/$V16</f>
        <v>6.2017360304900686</v>
      </c>
      <c r="J11" s="5">
        <f>$V10*J$10*$Q$4/$V16</f>
        <v>2.7151432555721011</v>
      </c>
      <c r="K11" s="5">
        <f>$W10*K$10*$Q$4/$W16</f>
        <v>7.2951006924631745</v>
      </c>
      <c r="L11" s="5">
        <f>$W10*L$10*$Q$4/$W16</f>
        <v>3.1938223985156564</v>
      </c>
      <c r="M11" s="5">
        <f>$X10*M$10*$Q$4/$X16</f>
        <v>10.002602498604986</v>
      </c>
      <c r="N11" s="5">
        <f>$X10*N$10*$Q$4/$X16</f>
        <v>3.9576326778943867</v>
      </c>
      <c r="R11" t="str">
        <f>SA!R11</f>
        <v>FRAC_native_grass</v>
      </c>
      <c r="S11">
        <f t="shared" ref="S11" si="21">S14/S$16</f>
        <v>0.51985744545550194</v>
      </c>
      <c r="T11">
        <f>T14/T$16+[2]Land.footprint!$J$1</f>
        <v>0.36985744545550192</v>
      </c>
      <c r="U11">
        <f t="shared" si="20"/>
        <v>0.47925008757644944</v>
      </c>
      <c r="V11">
        <f>V14/V$16+[2]Land.footprint!$J$1</f>
        <v>0.36985744545550192</v>
      </c>
      <c r="W11">
        <f t="shared" si="20"/>
        <v>0.47925008757644944</v>
      </c>
      <c r="X11">
        <f t="shared" si="20"/>
        <v>0.43113954211912181</v>
      </c>
    </row>
    <row r="12" spans="1:24">
      <c r="A12" t="s">
        <v>35</v>
      </c>
      <c r="B12">
        <v>0.8</v>
      </c>
      <c r="C12" s="5">
        <f>$S11*C$10/S16</f>
        <v>19.796010474436919</v>
      </c>
      <c r="D12" s="5">
        <f>$S11*D$10/S16</f>
        <v>8.3441032820827541</v>
      </c>
      <c r="E12" s="5">
        <f>T11*E$10*$Q$4/T16</f>
        <v>6.7193742662858762</v>
      </c>
      <c r="F12" s="5">
        <f>U11*F$10*$Q$4/U16</f>
        <v>3.6405148724052729</v>
      </c>
      <c r="G12" s="5">
        <f>$U11*G$10/$U16</f>
        <v>26.234542553007856</v>
      </c>
      <c r="H12" s="5">
        <f>$U11*H$10/$U16</f>
        <v>10.113946026962838</v>
      </c>
      <c r="I12" s="5">
        <f>$V11*I$10/$V16</f>
        <v>16.612672303649752</v>
      </c>
      <c r="J12" s="5">
        <f>$V11*J$10/$V16</f>
        <v>7.2730901380721571</v>
      </c>
      <c r="K12" s="5">
        <f>$W11*K$10/$W16</f>
        <v>23.346745029984472</v>
      </c>
      <c r="L12" s="5">
        <f>$W11*L$10/$W16</f>
        <v>10.22129239233594</v>
      </c>
      <c r="M12" s="5">
        <f>$X11*M$10/$X16</f>
        <v>26.362535304201646</v>
      </c>
      <c r="N12" s="5">
        <f>$X11*N$10/$X16</f>
        <v>10.430608554783991</v>
      </c>
      <c r="R12" t="str">
        <f>SA!R12</f>
        <v>FRAC_rhodes</v>
      </c>
      <c r="S12">
        <f>S15/S$16</f>
        <v>9.6553711862313166E-2</v>
      </c>
      <c r="T12">
        <f t="shared" si="20"/>
        <v>9.6553711862313166E-2</v>
      </c>
      <c r="U12">
        <f t="shared" si="20"/>
        <v>0.10471960154452109</v>
      </c>
      <c r="V12">
        <f>V15/V$16+[2]Land.footprint!$J$3</f>
        <v>0.24655371186231317</v>
      </c>
      <c r="W12">
        <f t="shared" si="20"/>
        <v>0.10471960154452109</v>
      </c>
      <c r="X12">
        <f t="shared" si="20"/>
        <v>0.11439433605755002</v>
      </c>
    </row>
    <row r="13" spans="1:24">
      <c r="A13" t="s">
        <v>36</v>
      </c>
      <c r="B13">
        <v>0.2</v>
      </c>
      <c r="C13" s="5">
        <f>$S12*C$10/S16</f>
        <v>3.6767354359950648</v>
      </c>
      <c r="D13" s="5">
        <f>$S12*D$10/S16</f>
        <v>1.5497597487358894</v>
      </c>
      <c r="E13" s="5">
        <f>T12*E$10*$Q$4/T16</f>
        <v>1.7541367215225201</v>
      </c>
      <c r="F13" s="5">
        <f>U12*F$10*$Q$4/U16</f>
        <v>0.79547876304637988</v>
      </c>
      <c r="G13" s="5">
        <f>$U12*G$10/$U16</f>
        <v>5.7324368092379832</v>
      </c>
      <c r="H13" s="5">
        <f>$U12*H$10/$U16</f>
        <v>2.2099701709859145</v>
      </c>
      <c r="I13" s="5">
        <f>$V12*I$10/$V16</f>
        <v>11.07431003686494</v>
      </c>
      <c r="J13" s="5">
        <f>$V12*J$10/$V16</f>
        <v>4.8483744001487654</v>
      </c>
      <c r="K13" s="5">
        <f>$W12*K$10/$W16</f>
        <v>5.1014322172898936</v>
      </c>
      <c r="L13" s="5">
        <f>$W12*L$10/$W16</f>
        <v>2.2334261262387778</v>
      </c>
      <c r="M13" s="5">
        <f>$X12*M$10/$X16</f>
        <v>6.9947764663270888</v>
      </c>
      <c r="N13" s="5">
        <f>$X12*N$10/$X16</f>
        <v>2.7675553358801865</v>
      </c>
      <c r="R13" t="str">
        <f>SA!R13</f>
        <v>Ha_per_TLU Maize</v>
      </c>
      <c r="S13" s="4">
        <v>0.15621829876377438</v>
      </c>
      <c r="T13" s="4">
        <f>$S13</f>
        <v>0.15621829876377438</v>
      </c>
      <c r="U13" s="4">
        <f>$S13</f>
        <v>0.15621829876377438</v>
      </c>
      <c r="V13" s="4">
        <f t="shared" ref="U13:X15" si="22">$S13</f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47</v>
      </c>
      <c r="C14" s="5"/>
      <c r="D14" s="7">
        <f>SUM(C11:D11)</f>
        <v>7.4739420259398077</v>
      </c>
      <c r="E14" s="7"/>
      <c r="F14" s="7">
        <f>SUM(E11:F11)</f>
        <v>11.543322026843235</v>
      </c>
      <c r="G14" s="7"/>
      <c r="H14" s="7">
        <f>SUM(G11:H11)</f>
        <v>11.357723908372607</v>
      </c>
      <c r="I14" s="7"/>
      <c r="J14" s="7">
        <f>SUM(I11:J11)</f>
        <v>8.9168792860621693</v>
      </c>
      <c r="K14" s="7"/>
      <c r="L14" s="7">
        <f>SUM(K11:L11)</f>
        <v>10.488923090978831</v>
      </c>
      <c r="M14" s="7"/>
      <c r="N14" s="7">
        <f>SUM(M11:N11)</f>
        <v>13.960235176499372</v>
      </c>
      <c r="R14" t="str">
        <f>SA!R14</f>
        <v>Ha_per_TLU Native grass</v>
      </c>
      <c r="S14" s="4">
        <v>0.21171430628921126</v>
      </c>
      <c r="T14" s="4">
        <f>$S14</f>
        <v>0.21171430628921126</v>
      </c>
      <c r="U14" s="4">
        <f>$S14*(1+[2]Land.footprint!$J$1)</f>
        <v>0.17995716034582956</v>
      </c>
      <c r="V14" s="4">
        <f>$S14</f>
        <v>0.21171430628921126</v>
      </c>
      <c r="W14" s="4">
        <f>$S14*(1+[2]Land.footprint!$J$1)</f>
        <v>0.17995716034582956</v>
      </c>
      <c r="X14" s="4">
        <f>$S14*(1+[2]Land.footprint!$J$1+[2]Land.footprint!$J$1)</f>
        <v>0.14820001440244787</v>
      </c>
    </row>
    <row r="15" spans="1:24">
      <c r="A15" t="s">
        <v>48</v>
      </c>
      <c r="C15" s="5"/>
      <c r="D15" s="5">
        <f t="shared" ref="D15:D16" si="23">SUM(C12:D12)</f>
        <v>28.140113756519675</v>
      </c>
      <c r="E15" s="5"/>
      <c r="F15" s="5">
        <f t="shared" ref="F15:F16" si="24">SUM(E12:F12)</f>
        <v>10.359889138691148</v>
      </c>
      <c r="G15" s="5"/>
      <c r="H15" s="5">
        <f t="shared" ref="H15:H16" si="25">SUM(G12:H12)</f>
        <v>36.348488579970692</v>
      </c>
      <c r="I15" s="5"/>
      <c r="J15" s="5">
        <f t="shared" ref="J15:J16" si="26">SUM(I12:J12)</f>
        <v>23.885762441721909</v>
      </c>
      <c r="K15" s="5"/>
      <c r="L15" s="5">
        <f t="shared" ref="L15:L16" si="27">SUM(K12:L12)</f>
        <v>33.568037422320415</v>
      </c>
      <c r="M15" s="5"/>
      <c r="N15" s="5">
        <f t="shared" ref="N15:N16" si="28">SUM(M12:N12)</f>
        <v>36.793143858985637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</f>
        <v>3.9321937783668368E-2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49</v>
      </c>
      <c r="C16" s="5"/>
      <c r="D16" s="5">
        <f t="shared" si="23"/>
        <v>5.226495184730954</v>
      </c>
      <c r="E16" s="5"/>
      <c r="F16" s="5">
        <f t="shared" si="24"/>
        <v>2.5496154845688999</v>
      </c>
      <c r="G16" s="5"/>
      <c r="H16" s="5">
        <f t="shared" si="25"/>
        <v>7.9424069802238977</v>
      </c>
      <c r="I16" s="5"/>
      <c r="J16" s="5">
        <f t="shared" si="26"/>
        <v>15.922684437013706</v>
      </c>
      <c r="K16" s="5"/>
      <c r="L16" s="5">
        <f t="shared" si="27"/>
        <v>7.3348583435286709</v>
      </c>
      <c r="M16" s="5"/>
      <c r="N16" s="5">
        <f t="shared" si="28"/>
        <v>9.7623318022072745</v>
      </c>
      <c r="R16" t="s">
        <v>43</v>
      </c>
      <c r="S16" s="4">
        <f>SUM(S13:S15)</f>
        <v>0.40725454283665402</v>
      </c>
      <c r="T16" s="4">
        <f t="shared" ref="T16:X16" si="29">SUM(T13:T15)</f>
        <v>0.40725454283665402</v>
      </c>
      <c r="U16" s="4">
        <f t="shared" si="29"/>
        <v>0.37549739689327233</v>
      </c>
      <c r="V16" s="4">
        <f t="shared" si="29"/>
        <v>0.40725454283665402</v>
      </c>
      <c r="W16" s="4">
        <f t="shared" si="29"/>
        <v>0.37549739689327233</v>
      </c>
      <c r="X16" s="4">
        <f t="shared" si="29"/>
        <v>0.34374025094989064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40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41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35</v>
      </c>
      <c r="R22">
        <v>0.21171430628921126</v>
      </c>
    </row>
    <row r="23" spans="2:24">
      <c r="Q23" t="s">
        <v>42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abSelected="1" workbookViewId="0">
      <selection activeCell="X13" sqref="X13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7" width="15.36328125" bestFit="1" customWidth="1"/>
    <col min="8" max="8" width="14.36328125" bestFit="1" customWidth="1"/>
    <col min="9" max="10" width="14.36328125" customWidth="1"/>
    <col min="11" max="11" width="15.36328125" bestFit="1" customWidth="1"/>
    <col min="12" max="12" width="14.36328125" bestFit="1" customWidth="1"/>
    <col min="13" max="13" width="15.36328125" bestFit="1" customWidth="1"/>
    <col min="14" max="14" width="14.36328125" bestFit="1" customWidth="1"/>
    <col min="18" max="18" width="13.36328125" customWidth="1"/>
  </cols>
  <sheetData>
    <row r="1" spans="1:24">
      <c r="C1" s="22" t="s">
        <v>10</v>
      </c>
      <c r="D1" s="22"/>
      <c r="E1" s="22" t="s">
        <v>44</v>
      </c>
      <c r="F1" s="22"/>
      <c r="G1" s="22" t="s">
        <v>11</v>
      </c>
      <c r="H1" s="22"/>
      <c r="I1" s="22" t="s">
        <v>45</v>
      </c>
      <c r="J1" s="22"/>
      <c r="K1" s="22" t="s">
        <v>12</v>
      </c>
      <c r="L1" s="22"/>
      <c r="M1" s="22" t="s">
        <v>13</v>
      </c>
      <c r="N1" s="2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3.4</v>
      </c>
    </row>
    <row r="3" spans="1:24">
      <c r="A3" t="s">
        <v>0</v>
      </c>
      <c r="B3" s="1">
        <v>0.60540000000000005</v>
      </c>
      <c r="C3" s="5">
        <f>D19</f>
        <v>19699.633402662901</v>
      </c>
      <c r="D3" s="5">
        <f>C19</f>
        <v>10166.260087475501</v>
      </c>
      <c r="E3" s="5">
        <f>G3</f>
        <v>30599.793018495198</v>
      </c>
      <c r="F3" s="5">
        <f>H3</f>
        <v>12995.020880538899</v>
      </c>
      <c r="G3" s="5">
        <f>D20</f>
        <v>30599.793018495198</v>
      </c>
      <c r="H3" s="5">
        <f>C20</f>
        <v>12995.020880538899</v>
      </c>
      <c r="I3" s="5">
        <f>K3</f>
        <v>23567.3021870743</v>
      </c>
      <c r="J3" s="5">
        <f>L3</f>
        <v>12510.697929510599</v>
      </c>
      <c r="K3" s="5">
        <f>D21</f>
        <v>23567.3021870743</v>
      </c>
      <c r="L3" s="5">
        <f>C21</f>
        <v>12510.697929510599</v>
      </c>
      <c r="M3" s="5">
        <f>D22</f>
        <v>32918.784266790397</v>
      </c>
      <c r="N3" s="5">
        <f>C22</f>
        <v>14850.6252584063</v>
      </c>
      <c r="P3" t="s">
        <v>70</v>
      </c>
      <c r="Q3">
        <v>0.46</v>
      </c>
    </row>
    <row r="4" spans="1:24">
      <c r="A4" t="s">
        <v>1</v>
      </c>
      <c r="B4" s="1">
        <v>5.067E-2</v>
      </c>
      <c r="C4" s="5">
        <f>D43</f>
        <v>23917.9931673924</v>
      </c>
      <c r="D4" s="5">
        <f>C43</f>
        <v>13329.435276862199</v>
      </c>
      <c r="E4" s="5">
        <f t="shared" ref="E4:E9" si="0">G4</f>
        <v>22745.990359257801</v>
      </c>
      <c r="F4" s="5">
        <f t="shared" ref="F4:F9" si="1">H4</f>
        <v>12786.1997892497</v>
      </c>
      <c r="G4" s="5">
        <f>D44</f>
        <v>22745.990359257801</v>
      </c>
      <c r="H4" s="5">
        <f>C44</f>
        <v>12786.1997892497</v>
      </c>
      <c r="I4" s="5">
        <f t="shared" ref="I4:I9" si="2">K4</f>
        <v>25121.167362751901</v>
      </c>
      <c r="J4" s="5"/>
      <c r="K4" s="5">
        <f>D45</f>
        <v>25121.167362751901</v>
      </c>
      <c r="L4" s="5">
        <f>C45</f>
        <v>14095.078175873199</v>
      </c>
      <c r="M4" s="5">
        <f>D46</f>
        <v>24736.089559101601</v>
      </c>
      <c r="N4" s="5">
        <f>C46</f>
        <v>13884.617890776701</v>
      </c>
      <c r="P4" t="s">
        <v>64</v>
      </c>
      <c r="Q4">
        <f>(1-Q2*Q1)*Q3</f>
        <v>0.3427</v>
      </c>
    </row>
    <row r="5" spans="1:24">
      <c r="A5" t="s">
        <v>2</v>
      </c>
      <c r="B5" s="1">
        <v>0.19620000000000001</v>
      </c>
      <c r="C5" s="5">
        <f>D31</f>
        <v>10768.5461909561</v>
      </c>
      <c r="D5" s="5">
        <f>C31</f>
        <v>1231.88836484478</v>
      </c>
      <c r="E5" s="5">
        <f t="shared" si="0"/>
        <v>10605.6624375665</v>
      </c>
      <c r="F5" s="5">
        <f t="shared" si="1"/>
        <v>1183.50484245455</v>
      </c>
      <c r="G5" s="5">
        <f>D32</f>
        <v>10605.6624375665</v>
      </c>
      <c r="H5" s="5">
        <f>C32</f>
        <v>1183.50484245455</v>
      </c>
      <c r="I5" s="5">
        <f t="shared" si="2"/>
        <v>10853.1997578591</v>
      </c>
      <c r="J5" s="5"/>
      <c r="K5" s="5">
        <f>D33</f>
        <v>10853.1997578591</v>
      </c>
      <c r="L5" s="5">
        <f>C33</f>
        <v>1250.17537028324</v>
      </c>
      <c r="M5" s="5">
        <f>D34</f>
        <v>10844.4771808115</v>
      </c>
      <c r="N5" s="5">
        <f>C34</f>
        <v>1240.0799492532201</v>
      </c>
    </row>
    <row r="6" spans="1:24">
      <c r="A6" t="s">
        <v>5</v>
      </c>
      <c r="B6" s="1">
        <v>2.5559999999999999E-2</v>
      </c>
      <c r="C6" s="5">
        <f>D25</f>
        <v>15761.305162323</v>
      </c>
      <c r="D6" s="5">
        <f>C25</f>
        <v>7758.9891635943304</v>
      </c>
      <c r="E6" s="5">
        <f t="shared" si="0"/>
        <v>18495.756155986899</v>
      </c>
      <c r="F6" s="5">
        <f t="shared" si="1"/>
        <v>9069.1777922584806</v>
      </c>
      <c r="G6" s="5">
        <f>D26</f>
        <v>18495.756155986899</v>
      </c>
      <c r="H6" s="5">
        <f>C26</f>
        <v>9069.1777922584806</v>
      </c>
      <c r="I6" s="5">
        <f t="shared" si="2"/>
        <v>20288.250582656099</v>
      </c>
      <c r="J6" s="5"/>
      <c r="K6" s="5">
        <f>D27</f>
        <v>20288.250582656099</v>
      </c>
      <c r="L6" s="5">
        <f>C27</f>
        <v>10079.8129102815</v>
      </c>
      <c r="M6" s="5">
        <f>D28</f>
        <v>19831.618672263099</v>
      </c>
      <c r="N6" s="5">
        <f>C28</f>
        <v>9949.0255633061897</v>
      </c>
    </row>
    <row r="7" spans="1:24">
      <c r="A7" t="s">
        <v>4</v>
      </c>
      <c r="B7" s="1">
        <v>4.4010000000000001E-2</v>
      </c>
      <c r="C7" s="5">
        <f>D49</f>
        <v>9351.6862863029091</v>
      </c>
      <c r="D7" s="5">
        <f>C49</f>
        <v>3749.0693070878301</v>
      </c>
      <c r="E7" s="5">
        <f t="shared" si="0"/>
        <v>8439.9319240231107</v>
      </c>
      <c r="F7" s="5">
        <f t="shared" si="1"/>
        <v>3285.12929381496</v>
      </c>
      <c r="G7" s="5">
        <f>D50</f>
        <v>8439.9319240231107</v>
      </c>
      <c r="H7" s="5">
        <f>C50</f>
        <v>3285.12929381496</v>
      </c>
      <c r="I7" s="5">
        <f t="shared" si="2"/>
        <v>10002.846182511201</v>
      </c>
      <c r="J7" s="5"/>
      <c r="K7" s="5">
        <f>D51</f>
        <v>10002.846182511201</v>
      </c>
      <c r="L7" s="5">
        <f>C51</f>
        <v>4033.6506009618001</v>
      </c>
      <c r="M7" s="5">
        <f>D52</f>
        <v>10257.7982150354</v>
      </c>
      <c r="N7" s="5">
        <f>C52</f>
        <v>4323.9937526986096</v>
      </c>
    </row>
    <row r="8" spans="1:24">
      <c r="A8" t="s">
        <v>3</v>
      </c>
      <c r="B8" s="1">
        <v>7.8200000000000006E-2</v>
      </c>
      <c r="C8" s="5">
        <f>D37</f>
        <v>10768.5461909561</v>
      </c>
      <c r="D8" s="5">
        <f>C37</f>
        <v>1231.88836484478</v>
      </c>
      <c r="E8" s="5">
        <f t="shared" si="0"/>
        <v>10605.6624375665</v>
      </c>
      <c r="F8" s="5">
        <f t="shared" si="1"/>
        <v>1183.50484245455</v>
      </c>
      <c r="G8" s="5">
        <f>D38</f>
        <v>10605.6624375665</v>
      </c>
      <c r="H8" s="5">
        <f>C38</f>
        <v>1183.50484245455</v>
      </c>
      <c r="I8" s="5">
        <f t="shared" si="2"/>
        <v>10853.1997578591</v>
      </c>
      <c r="J8" s="5"/>
      <c r="K8" s="5">
        <f>D39</f>
        <v>10853.1997578591</v>
      </c>
      <c r="L8" s="5">
        <f>C39</f>
        <v>1250.17537028324</v>
      </c>
      <c r="M8" s="5">
        <f>D40</f>
        <v>10844.4771808115</v>
      </c>
      <c r="N8" s="5">
        <f>C40</f>
        <v>1240.0799492532201</v>
      </c>
    </row>
    <row r="9" spans="1:24">
      <c r="A9" t="s">
        <v>9</v>
      </c>
      <c r="C9" s="5">
        <f>SUMPRODUCT($B3:$B8,C3:C8)</f>
        <v>16907.398523971413</v>
      </c>
      <c r="D9" s="5">
        <f t="shared" ref="D9:N9" si="3">SUMPRODUCT($B3:$B8,D3:D8)</f>
        <v>7531.40281297609</v>
      </c>
      <c r="E9" s="5">
        <f t="shared" si="0"/>
        <v>23432.040729092114</v>
      </c>
      <c r="F9" s="5">
        <f t="shared" si="1"/>
        <v>9216.2028377599854</v>
      </c>
      <c r="G9" s="5">
        <f t="shared" si="3"/>
        <v>23432.040729092114</v>
      </c>
      <c r="H9" s="5">
        <f t="shared" si="3"/>
        <v>9216.2028377599854</v>
      </c>
      <c r="I9" s="5">
        <f t="shared" si="2"/>
        <v>19477.445253266964</v>
      </c>
      <c r="J9" s="5"/>
      <c r="K9" s="5">
        <f t="shared" si="3"/>
        <v>19477.445253266964</v>
      </c>
      <c r="L9" s="5">
        <f t="shared" si="3"/>
        <v>9066.3832402380594</v>
      </c>
      <c r="M9" s="5">
        <f t="shared" si="3"/>
        <v>25116.476064196017</v>
      </c>
      <c r="N9" s="5">
        <f t="shared" si="3"/>
        <v>10478.976116494287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16.907398523971413</v>
      </c>
      <c r="D10" s="5">
        <f t="shared" ref="D10" si="4">D9/1000</f>
        <v>7.5314028129760899</v>
      </c>
      <c r="E10" s="5">
        <f t="shared" ref="E10" si="5">E9/1000</f>
        <v>23.432040729092115</v>
      </c>
      <c r="F10" s="5">
        <f t="shared" ref="F10" si="6">F9/1000</f>
        <v>9.2162028377599849</v>
      </c>
      <c r="G10" s="5">
        <f t="shared" ref="G10" si="7">G9/1000</f>
        <v>23.432040729092115</v>
      </c>
      <c r="H10" s="5">
        <f t="shared" ref="H10" si="8">H9/1000</f>
        <v>9.2162028377599849</v>
      </c>
      <c r="I10" s="5">
        <f t="shared" ref="I10" si="9">I9/1000</f>
        <v>19.477445253266964</v>
      </c>
      <c r="J10" s="5">
        <f t="shared" ref="J10" si="10">J9/1000</f>
        <v>0</v>
      </c>
      <c r="K10" s="5">
        <f t="shared" ref="K10" si="11">K9/1000</f>
        <v>19.477445253266964</v>
      </c>
      <c r="L10" s="5">
        <f t="shared" ref="L10" si="12">L9/1000</f>
        <v>9.0663832402380589</v>
      </c>
      <c r="M10" s="5">
        <f t="shared" ref="M10" si="13">M9/1000</f>
        <v>25.116476064196018</v>
      </c>
      <c r="N10" s="5">
        <f>N9/1000</f>
        <v>10.478976116494287</v>
      </c>
      <c r="R10" t="str">
        <f>SA!R10</f>
        <v>FRAC_maize</v>
      </c>
      <c r="S10">
        <f>S13/S$16</f>
        <v>0.11528268761032279</v>
      </c>
      <c r="T10">
        <f>T13/T$16+[2]Land.footprint!$J$2</f>
        <v>0.1902826876103228</v>
      </c>
      <c r="U10">
        <f t="shared" ref="T10:X12" si="14">U13/U$16</f>
        <v>0.12962704252970522</v>
      </c>
      <c r="V10">
        <f t="shared" si="14"/>
        <v>0.11528268761032279</v>
      </c>
      <c r="W10">
        <f t="shared" si="14"/>
        <v>0.12962704252970522</v>
      </c>
      <c r="X10">
        <f t="shared" si="14"/>
        <v>0.14804835240896841</v>
      </c>
    </row>
    <row r="11" spans="1:24">
      <c r="A11" t="s">
        <v>40</v>
      </c>
      <c r="B11">
        <v>0.2</v>
      </c>
      <c r="C11" s="6">
        <f>$S10*C$10*$Q$4/S16</f>
        <v>2.2313190164550045</v>
      </c>
      <c r="D11" s="6">
        <f>$S10*D$10*$Q$4/S16</f>
        <v>0.99394133836439025</v>
      </c>
      <c r="E11" s="6">
        <f>T10*E$10*$Q$4/T16</f>
        <v>5.1042292852453688</v>
      </c>
      <c r="F11" s="6">
        <f>T10*F$10*$Q$4/T16</f>
        <v>2.0075764192766763</v>
      </c>
      <c r="G11" s="6">
        <f>$U10*G$10*$Q$4/$U16</f>
        <v>3.9098314038062512</v>
      </c>
      <c r="H11" s="6">
        <f>$U10*H$10*$Q$4/$U16</f>
        <v>1.5378003006876144</v>
      </c>
      <c r="I11" s="6">
        <f>$V10*I$10*$Q$4/$V16</f>
        <v>2.5704956279321993</v>
      </c>
      <c r="J11" s="6">
        <f>$V10*J$10*$Q$4/$V16</f>
        <v>0</v>
      </c>
      <c r="K11" s="6">
        <f>$W10*K$10*$Q$4/$W16</f>
        <v>3.2499741698806268</v>
      </c>
      <c r="L11" s="6">
        <f>$W10*L$10*$Q$4/$W16</f>
        <v>1.5128016514419436</v>
      </c>
      <c r="M11" s="6">
        <f>$X10*M$10*$Q$4/$X16</f>
        <v>5.4666661862210963</v>
      </c>
      <c r="N11" s="6">
        <f>$X10*N$10*$Q$4/$X16</f>
        <v>2.2807763420250922</v>
      </c>
      <c r="R11" t="str">
        <f>SA!R11</f>
        <v>FRAC_native_grass</v>
      </c>
      <c r="S11">
        <f t="shared" ref="S11" si="15">S14/S$16</f>
        <v>0.73772440479746859</v>
      </c>
      <c r="T11">
        <f>T14/T$16+[2]Land.footprint!$J$1</f>
        <v>0.58772440479746857</v>
      </c>
      <c r="U11">
        <f t="shared" si="14"/>
        <v>0.70509006652636352</v>
      </c>
      <c r="V11">
        <f>V14/V$16+[2]Land.footprint!$J$1</f>
        <v>0.58772440479746857</v>
      </c>
      <c r="W11">
        <f t="shared" si="14"/>
        <v>0.70509006652636352</v>
      </c>
      <c r="X11">
        <f t="shared" si="14"/>
        <v>0.66318039116101057</v>
      </c>
    </row>
    <row r="12" spans="1:24">
      <c r="A12" t="s">
        <v>35</v>
      </c>
      <c r="B12">
        <v>0.8</v>
      </c>
      <c r="C12" s="6">
        <f>$S11*C$10/S16</f>
        <v>41.665598085437416</v>
      </c>
      <c r="D12" s="6">
        <f>$S11*D$10/S16</f>
        <v>18.559945942013869</v>
      </c>
      <c r="E12" s="6">
        <f>T11*E$10*$Q$4/T16</f>
        <v>15.765386521994342</v>
      </c>
      <c r="F12" s="6">
        <f>U11*F$10*$Q$4/U16</f>
        <v>8.3646721791683039</v>
      </c>
      <c r="G12" s="6">
        <f>$U11*G$10/$U16</f>
        <v>62.057304784182648</v>
      </c>
      <c r="H12" s="6">
        <f>$U11*H$10/$U16</f>
        <v>24.408147590219734</v>
      </c>
      <c r="I12" s="6">
        <f>$V11*I$10/$V16</f>
        <v>38.239516920503355</v>
      </c>
      <c r="J12" s="6">
        <f>$V11*J$10/$V16</f>
        <v>0</v>
      </c>
      <c r="K12" s="6">
        <f>$W11*K$10/$W16</f>
        <v>51.58397300831475</v>
      </c>
      <c r="L12" s="6">
        <f>$W11*L$10/$W16</f>
        <v>24.011366083497681</v>
      </c>
      <c r="M12" s="6">
        <f>$X11*M$10/$X16</f>
        <v>71.455645809422336</v>
      </c>
      <c r="N12" s="6">
        <f>$X11*N$10/$X16</f>
        <v>29.812383071246757</v>
      </c>
      <c r="R12" t="str">
        <f>SA!R12</f>
        <v>FRAC_rhodes</v>
      </c>
      <c r="S12">
        <f>S15/S$16</f>
        <v>0.14699290759220873</v>
      </c>
      <c r="T12">
        <f t="shared" si="14"/>
        <v>0.14699290759220873</v>
      </c>
      <c r="U12">
        <f t="shared" si="14"/>
        <v>0.16528289094393117</v>
      </c>
      <c r="V12">
        <f>V15/V$16+[2]Land.footprint!$J$3</f>
        <v>0.29699290759220875</v>
      </c>
      <c r="W12">
        <f t="shared" si="14"/>
        <v>0.16528289094393117</v>
      </c>
      <c r="X12">
        <f t="shared" si="14"/>
        <v>0.18877125643002096</v>
      </c>
    </row>
    <row r="13" spans="1:24">
      <c r="A13" t="s">
        <v>36</v>
      </c>
      <c r="B13">
        <v>0.2</v>
      </c>
      <c r="C13" s="6">
        <f>$S12*C$10/S16</f>
        <v>8.3019449666006579</v>
      </c>
      <c r="D13" s="6">
        <f>$S12*D$10/S16</f>
        <v>3.6981024363967143</v>
      </c>
      <c r="E13" s="6">
        <f>T12*E$10*$Q$4/T16</f>
        <v>3.9430045532677003</v>
      </c>
      <c r="F13" s="6">
        <f>U12*F$10*$Q$4/U16</f>
        <v>1.9607951738453775</v>
      </c>
      <c r="G13" s="6">
        <f>$U12*G$10/$U16</f>
        <v>14.547092954308194</v>
      </c>
      <c r="H13" s="6">
        <f>$U12*H$10/$U16</f>
        <v>5.7216083275324703</v>
      </c>
      <c r="I13" s="6">
        <f>$V12*I$10/$V16</f>
        <v>19.323453684138507</v>
      </c>
      <c r="J13" s="6">
        <f>$V12*J$10/$V16</f>
        <v>0</v>
      </c>
      <c r="K13" s="6">
        <f>$W12*K$10/$W16</f>
        <v>12.091998724632704</v>
      </c>
      <c r="L13" s="6">
        <f>$W12*L$10/$W16</f>
        <v>5.6285972391374841</v>
      </c>
      <c r="M13" s="6">
        <f>$X12*M$10/$X16</f>
        <v>20.339521822786125</v>
      </c>
      <c r="N13" s="6">
        <f>$X12*N$10/$X16</f>
        <v>8.4859580960770717</v>
      </c>
      <c r="R13" t="str">
        <f>SA!R13</f>
        <v>Ha_per_TLU Maize</v>
      </c>
      <c r="S13" s="4">
        <v>3.4510989587346795E-2</v>
      </c>
      <c r="T13" s="4">
        <f>$S13</f>
        <v>3.4510989587346795E-2</v>
      </c>
      <c r="U13" s="4">
        <f>$S13</f>
        <v>3.4510989587346795E-2</v>
      </c>
      <c r="V13" s="4">
        <f t="shared" ref="U13:X15" si="16">$S13</f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47</v>
      </c>
      <c r="C14" s="5"/>
      <c r="D14" s="7">
        <f>SUM(C11:D11)</f>
        <v>3.2252603548193948</v>
      </c>
      <c r="E14" s="7"/>
      <c r="F14" s="7">
        <f>SUM(E11:F11)</f>
        <v>7.1118057045220446</v>
      </c>
      <c r="G14" s="7"/>
      <c r="H14" s="7">
        <f>SUM(G11:H11)</f>
        <v>5.4476317044938654</v>
      </c>
      <c r="I14" s="7"/>
      <c r="J14" s="7">
        <f>SUM(I11:J11)</f>
        <v>2.5704956279321993</v>
      </c>
      <c r="K14" s="7"/>
      <c r="L14" s="7">
        <f>SUM(K11:L11)</f>
        <v>4.7627758213225704</v>
      </c>
      <c r="M14" s="7"/>
      <c r="N14" s="7">
        <f>SUM(M11:N11)</f>
        <v>7.7474425282461885</v>
      </c>
      <c r="R14" t="str">
        <f>SA!R14</f>
        <v>Ha_per_TLU Native grass</v>
      </c>
      <c r="S14" s="4">
        <v>0.22084494888213652</v>
      </c>
      <c r="T14" s="4">
        <f>$S14</f>
        <v>0.22084494888213652</v>
      </c>
      <c r="U14" s="4">
        <f>$S14*(1+[2]Land.footprint!$J$1)</f>
        <v>0.18771820654981602</v>
      </c>
      <c r="V14" s="4">
        <f>$S14</f>
        <v>0.22084494888213652</v>
      </c>
      <c r="W14" s="4">
        <f>$S14*(1+[2]Land.footprint!$J$1)</f>
        <v>0.18771820654981602</v>
      </c>
      <c r="X14" s="4">
        <f>$S14*(1+[2]Land.footprint!$J$1+[2]Land.footprint!$J$1)</f>
        <v>0.15459146421749556</v>
      </c>
    </row>
    <row r="15" spans="1:24">
      <c r="A15" t="s">
        <v>48</v>
      </c>
      <c r="C15" s="5"/>
      <c r="D15" s="5">
        <f t="shared" ref="D15:D16" si="17">SUM(C12:D12)</f>
        <v>60.225544027451285</v>
      </c>
      <c r="E15" s="5"/>
      <c r="F15" s="5">
        <f t="shared" ref="F15:F16" si="18">SUM(E12:F12)</f>
        <v>24.130058701162646</v>
      </c>
      <c r="G15" s="5"/>
      <c r="H15" s="5">
        <f t="shared" ref="H15:H16" si="19">SUM(G12:H12)</f>
        <v>86.465452374402389</v>
      </c>
      <c r="I15" s="5"/>
      <c r="J15" s="5">
        <f t="shared" ref="J15:J16" si="20">SUM(I12:J12)</f>
        <v>38.239516920503355</v>
      </c>
      <c r="K15" s="5"/>
      <c r="L15" s="5">
        <f t="shared" ref="L15:L16" si="21">SUM(K12:L12)</f>
        <v>75.595339091812434</v>
      </c>
      <c r="M15" s="5"/>
      <c r="N15" s="5">
        <f t="shared" ref="N15:N16" si="22">SUM(M12:N12)</f>
        <v>101.26802888066909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</f>
        <v>4.4003751200490777E-2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49</v>
      </c>
      <c r="C16" s="5"/>
      <c r="D16" s="5">
        <f t="shared" si="17"/>
        <v>12.000047402997373</v>
      </c>
      <c r="E16" s="5"/>
      <c r="F16" s="5">
        <f t="shared" si="18"/>
        <v>5.9037997271130775</v>
      </c>
      <c r="G16" s="5"/>
      <c r="H16" s="5">
        <f t="shared" si="19"/>
        <v>20.268701281840663</v>
      </c>
      <c r="I16" s="5"/>
      <c r="J16" s="5">
        <f t="shared" si="20"/>
        <v>19.323453684138507</v>
      </c>
      <c r="K16" s="5"/>
      <c r="L16" s="5">
        <f t="shared" si="21"/>
        <v>17.720595963770187</v>
      </c>
      <c r="M16" s="5"/>
      <c r="N16" s="5">
        <f t="shared" si="22"/>
        <v>28.825479918863195</v>
      </c>
      <c r="R16" t="s">
        <v>43</v>
      </c>
      <c r="S16" s="4">
        <f>SUM(S13:S15)</f>
        <v>0.29935968966997406</v>
      </c>
      <c r="T16" s="4">
        <f t="shared" ref="T16:X16" si="23">SUM(T13:T15)</f>
        <v>0.29935968966997406</v>
      </c>
      <c r="U16" s="4">
        <f t="shared" si="23"/>
        <v>0.26623294733765362</v>
      </c>
      <c r="V16" s="4">
        <f t="shared" si="23"/>
        <v>0.29935968966997406</v>
      </c>
      <c r="W16" s="4">
        <f t="shared" si="23"/>
        <v>0.26623294733765362</v>
      </c>
      <c r="X16" s="4">
        <f t="shared" si="23"/>
        <v>0.23310620500533313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40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41</v>
      </c>
    </row>
    <row r="22" spans="2:24">
      <c r="C22">
        <v>14850.6252584063</v>
      </c>
      <c r="D22">
        <v>32918.784266790397</v>
      </c>
      <c r="Q22" t="s">
        <v>35</v>
      </c>
      <c r="R22">
        <v>0.22084494888213652</v>
      </c>
    </row>
    <row r="23" spans="2:24">
      <c r="Q23" t="s">
        <v>42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Yield_increments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2024-11-19T13:52:21Z</dcterms:modified>
</cp:coreProperties>
</file>