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go29gaj\Documents\Github\DNDC Modelling\Feast data\"/>
    </mc:Choice>
  </mc:AlternateContent>
  <xr:revisionPtr revIDLastSave="0" documentId="13_ncr:1_{1B2420AF-C69F-443E-ABAF-BBE4689971A0}" xr6:coauthVersionLast="47" xr6:coauthVersionMax="47" xr10:uidLastSave="{00000000-0000-0000-0000-000000000000}"/>
  <bookViews>
    <workbookView xWindow="-110" yWindow="-110" windowWidth="19420" windowHeight="11620" activeTab="2" xr2:uid="{1756D58F-A50D-43D5-9CA7-E18DD85D0814}"/>
  </bookViews>
  <sheets>
    <sheet name="Info" sheetId="4" r:id="rId1"/>
    <sheet name="FEAST_DMI_Data" sheetId="1" r:id="rId2"/>
    <sheet name="Sarid" sheetId="6" r:id="rId3"/>
    <sheet name="THSH" sheetId="7" r:id="rId4"/>
    <sheet name="SH" sheetId="5" r:id="rId5"/>
    <sheet name="THH"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7" i="2" l="1"/>
  <c r="K17" i="7"/>
  <c r="K17" i="6"/>
  <c r="K16" i="6"/>
  <c r="J16" i="6"/>
  <c r="B2" i="5"/>
  <c r="I8" i="5" s="1"/>
  <c r="F8" i="6"/>
  <c r="E6" i="1"/>
  <c r="D6" i="1"/>
  <c r="C6" i="1"/>
  <c r="G2" i="7"/>
  <c r="H2" i="7"/>
  <c r="H2" i="5"/>
  <c r="H2" i="6"/>
  <c r="H2" i="2"/>
  <c r="J2" i="2"/>
  <c r="J3" i="2"/>
  <c r="G3" i="7"/>
  <c r="G3" i="5"/>
  <c r="G3" i="6"/>
  <c r="G3" i="2"/>
  <c r="F21" i="6"/>
  <c r="F21" i="2"/>
  <c r="F21" i="5"/>
  <c r="F21" i="7"/>
  <c r="B6" i="5"/>
  <c r="B5" i="5"/>
  <c r="B4" i="5"/>
  <c r="B3" i="5"/>
  <c r="F8" i="5"/>
  <c r="F2" i="5"/>
  <c r="F9" i="7"/>
  <c r="F8" i="7"/>
  <c r="F2" i="7"/>
  <c r="F3" i="5"/>
  <c r="F2" i="6"/>
  <c r="F3" i="6" s="1"/>
  <c r="F9" i="6"/>
  <c r="F22" i="7"/>
  <c r="E16" i="7"/>
  <c r="E15" i="7"/>
  <c r="E14" i="7"/>
  <c r="E13" i="7"/>
  <c r="I9" i="7"/>
  <c r="I8" i="7"/>
  <c r="J7" i="7"/>
  <c r="H7" i="7"/>
  <c r="G7" i="7"/>
  <c r="I3" i="7"/>
  <c r="F3" i="7"/>
  <c r="I2" i="7"/>
  <c r="F22" i="6"/>
  <c r="E16" i="6"/>
  <c r="E15" i="6"/>
  <c r="E14" i="6"/>
  <c r="E13" i="6"/>
  <c r="I9" i="6"/>
  <c r="J9" i="6" s="1"/>
  <c r="I8" i="6"/>
  <c r="J7" i="6"/>
  <c r="H7" i="6"/>
  <c r="G7" i="6"/>
  <c r="I3" i="6"/>
  <c r="I2" i="6"/>
  <c r="F22" i="5"/>
  <c r="E16" i="5"/>
  <c r="E15" i="5"/>
  <c r="E14" i="5"/>
  <c r="E13" i="5"/>
  <c r="I9" i="5"/>
  <c r="J7" i="5"/>
  <c r="H7" i="5"/>
  <c r="G7" i="5"/>
  <c r="I3" i="5"/>
  <c r="I2" i="5"/>
  <c r="F22" i="2"/>
  <c r="J7" i="2"/>
  <c r="H7" i="2"/>
  <c r="G7" i="2"/>
  <c r="F2" i="2"/>
  <c r="E16" i="2"/>
  <c r="E15" i="2"/>
  <c r="E13" i="2"/>
  <c r="E14" i="2"/>
  <c r="I9" i="2"/>
  <c r="J9" i="7" l="1"/>
  <c r="J2" i="7"/>
  <c r="J3" i="7"/>
  <c r="J2" i="6"/>
  <c r="J3" i="6"/>
  <c r="J2" i="5"/>
  <c r="J3" i="5"/>
  <c r="K2" i="5" s="1"/>
  <c r="I8" i="2"/>
  <c r="F9" i="2"/>
  <c r="I3" i="2"/>
  <c r="I2" i="2"/>
  <c r="F3" i="2"/>
  <c r="K3" i="7" l="1"/>
  <c r="J4" i="7"/>
  <c r="K2" i="7"/>
  <c r="J4" i="6"/>
  <c r="K2" i="6"/>
  <c r="J8" i="5"/>
  <c r="J8" i="7"/>
  <c r="K3" i="6"/>
  <c r="K3" i="5"/>
  <c r="J4" i="5"/>
  <c r="J9" i="2"/>
  <c r="J15" i="7" l="1"/>
  <c r="J16" i="7"/>
  <c r="J13" i="7"/>
  <c r="J14" i="7"/>
  <c r="K9" i="7"/>
  <c r="K8" i="7"/>
  <c r="K3" i="2"/>
  <c r="J4" i="2"/>
  <c r="K2" i="2"/>
  <c r="F23" i="7" l="1"/>
  <c r="F24" i="7" l="1"/>
  <c r="K15" i="7" s="1"/>
  <c r="K14" i="7" l="1"/>
  <c r="K13" i="7"/>
  <c r="K16" i="7"/>
  <c r="J15" i="2"/>
  <c r="J14" i="2"/>
  <c r="J13" i="2"/>
  <c r="K8" i="2"/>
  <c r="J8" i="6"/>
  <c r="F8" i="2"/>
  <c r="J8" i="2"/>
  <c r="K9" i="2" s="1"/>
  <c r="J16" i="2"/>
  <c r="J14" i="6" l="1"/>
  <c r="K8" i="6"/>
  <c r="K9" i="6"/>
  <c r="J15" i="6"/>
  <c r="J13" i="6"/>
  <c r="F23" i="2"/>
  <c r="F24" i="2" s="1"/>
  <c r="K15" i="2" s="1"/>
  <c r="F23" i="6" l="1"/>
  <c r="F24" i="6" s="1"/>
  <c r="K15" i="6" s="1"/>
  <c r="K16" i="2"/>
  <c r="K14" i="2"/>
  <c r="K13" i="2"/>
  <c r="K14" i="6" l="1"/>
  <c r="K13" i="6"/>
  <c r="K17" i="5"/>
  <c r="K13" i="5"/>
  <c r="F24" i="5"/>
  <c r="J13" i="5"/>
  <c r="F23" i="5"/>
  <c r="K14" i="5"/>
  <c r="J14" i="5"/>
  <c r="K15" i="5"/>
  <c r="J15" i="5"/>
  <c r="K16" i="5"/>
  <c r="J16" i="5"/>
  <c r="K8" i="5"/>
  <c r="F6" i="1"/>
  <c r="F4" i="1"/>
  <c r="F9" i="5"/>
  <c r="J9" i="5"/>
  <c r="K9" i="5"/>
</calcChain>
</file>

<file path=xl/sharedStrings.xml><?xml version="1.0" encoding="utf-8"?>
<sst xmlns="http://schemas.openxmlformats.org/spreadsheetml/2006/main" count="172" uniqueCount="58">
  <si>
    <t>Awendo</t>
  </si>
  <si>
    <t>THH</t>
  </si>
  <si>
    <t>AEZ</t>
  </si>
  <si>
    <t>THSH</t>
  </si>
  <si>
    <t>SH</t>
  </si>
  <si>
    <t>Bukira</t>
  </si>
  <si>
    <t>Grazing</t>
  </si>
  <si>
    <t>Crop residue</t>
  </si>
  <si>
    <t>Cultivated fodder</t>
  </si>
  <si>
    <t>Collected fodder</t>
  </si>
  <si>
    <t>Concentrate/purchased</t>
  </si>
  <si>
    <t>Feed type</t>
  </si>
  <si>
    <t>Diet DMI %</t>
  </si>
  <si>
    <t>Cropland %</t>
  </si>
  <si>
    <t>Calculated</t>
  </si>
  <si>
    <t>Total grass</t>
  </si>
  <si>
    <t>Grassland %</t>
  </si>
  <si>
    <t>Total</t>
  </si>
  <si>
    <t>% of total land footprint</t>
  </si>
  <si>
    <t>ha/TLU</t>
  </si>
  <si>
    <t>Maize as concentrate</t>
  </si>
  <si>
    <t>Yield weighted by proportion in diet</t>
  </si>
  <si>
    <t>Weighted average biomass available per ha (all feeds)</t>
  </si>
  <si>
    <t>Land footprint (ha/TLU)</t>
  </si>
  <si>
    <t>Wilson and Lewis (2015)</t>
  </si>
  <si>
    <t>FAO Stat (2024)</t>
  </si>
  <si>
    <t>Smart et al. (2010)</t>
  </si>
  <si>
    <t>FEAST (Duncan et al. 2023)</t>
  </si>
  <si>
    <t>Maize as residue</t>
  </si>
  <si>
    <t>Total maize</t>
  </si>
  <si>
    <t>Native grass</t>
  </si>
  <si>
    <t>Improved forage</t>
  </si>
  <si>
    <t>Yield(kg/ha/yr)</t>
  </si>
  <si>
    <t>Yield (kg/ha/yr) (grain)</t>
  </si>
  <si>
    <t>Use efficiency (fraction consumed from that on offer)</t>
  </si>
  <si>
    <t>Ratio individual feed component to total category (maize or grass)</t>
  </si>
  <si>
    <t>% of total DMI</t>
  </si>
  <si>
    <t>% DMI (dry matter intake)</t>
  </si>
  <si>
    <t>Fraction of total biomass for feed category</t>
  </si>
  <si>
    <t>Color code for citations</t>
  </si>
  <si>
    <t>Maize yield (kg/ha/yr)</t>
  </si>
  <si>
    <t>Maize harvest index</t>
  </si>
  <si>
    <t>Native grass yield (kg/ha/yr)</t>
  </si>
  <si>
    <t>Rhodes grass yield (kg/ha/yr)</t>
  </si>
  <si>
    <t>Total intake per TLU (Mg/yr)</t>
  </si>
  <si>
    <t>Land footprint calculations</t>
  </si>
  <si>
    <t>Daily DMI (kg/kg bodyweight)</t>
  </si>
  <si>
    <t>Description</t>
  </si>
  <si>
    <t xml:space="preserve">The following sheets calculate the land footprint based on dry matter intake data and land use parameters (yields, processing efficiencies, harvest indices) for respective agro-ecological zones (AEZ) based on FEAST assessments for select sites per zone. For each AEZ, the total land footprint is calculated based assuming a total upper allowable feed intake of 3 kg kg bodyweight, and adjusting based on the reported feed scarcity per AEZ. From this, the land footprint is calculated taking into account the biomass productivity coefficients for each feed type. The aggregate breakdown of this land footprint into main feed categories is then calculated based on the dry matter intake proportions and the conversion ratios defined from FEAST and supplementary data (Smart, et al. 2010, Wilson and Lewis, 2015, FAO Stat 2024, and Duncan et al. 2023). </t>
  </si>
  <si>
    <t>Notes</t>
  </si>
  <si>
    <t>SArid</t>
  </si>
  <si>
    <t>Two sites were used because each site lacked some data</t>
  </si>
  <si>
    <t>Site(s)</t>
  </si>
  <si>
    <t>Mwingi/Wajir*</t>
  </si>
  <si>
    <t>Nasewa/Burumba/Lwany'a*</t>
  </si>
  <si>
    <t xml:space="preserve">* averages were taken across multiple sites as data were either missing or multiple sites were available allowing means to be taken </t>
  </si>
  <si>
    <t>Averages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</si>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</sst>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theme="8"/>
        <bgColor indexed="64"/>
      </patternFill>
    </fill>
    <fill>
      <patternFill patternType="solid">
        <fgColor rgb="FFCC00FF"/>
        <bgColor indexed="64"/>
      </patternFill>
    </fill>
    <fill>
      <patternFill patternType="solid">
        <fgColor theme="9" tint="0.399975585192419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164" fontId="0" fillId="0" borderId="0" xfId="0" applyNumberFormat="1"/>
    <xf numFmtId="0" fontId="0" fillId="3" borderId="0" xfId="0" applyFill="1"/>
    <xf numFmtId="2" fontId="0" fillId="0" borderId="0" xfId="0" applyNumberFormat="1" applyAlignment="1">
      <alignment horizontal="left"/>
    </xf>
    <xf numFmtId="2" fontId="0" fillId="0" borderId="0" xfId="0" applyNumberFormat="1"/>
    <xf numFmtId="0" fontId="1" fillId="0" borderId="0" xfId="0" applyFont="1"/>
    <xf numFmtId="0" fontId="0" fillId="4" borderId="0" xfId="0" applyFill="1"/>
    <xf numFmtId="0" fontId="0" fillId="5" borderId="0" xfId="0" applyFill="1"/>
    <xf numFmtId="0" fontId="0" fillId="6" borderId="0" xfId="0" applyFill="1"/>
    <xf numFmtId="0" fontId="2" fillId="0" borderId="0" xfId="0" applyFont="1"/>
    <xf numFmtId="0" fontId="0" fillId="2" borderId="0" xfId="0" quotePrefix="1" applyFill="1"/>
    <xf numFmtId="165" fontId="0" fillId="0" borderId="0" xfId="0" applyNumberFormat="1"/>
    <xf numFmtId="2" fontId="0" fillId="2" borderId="0" xfId="0" applyNumberFormat="1" applyFill="1"/>
    <xf numFmtId="2" fontId="0" fillId="6" borderId="0" xfId="0" applyNumberFormat="1" applyFill="1"/>
    <xf numFmtId="164" fontId="0" fillId="2" borderId="0" xfId="0" applyNumberFormat="1" applyFill="1"/>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colors>
    <mruColors>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2B3EE-DB29-4DC2-9E9E-CE560F672143}">
  <dimension ref="B1:D17"/>
  <sheetViews>
    <sheetView workbookViewId="0">
      <selection activeCell="B9" sqref="B9"/>
    </sheetView>
  </sheetViews>
  <sheetFormatPr defaultRowHeight="14.5" x14ac:dyDescent="0.35"/>
  <cols>
    <col min="2" max="2" width="49.1796875" customWidth="1"/>
    <col min="4" max="4" width="25.90625" customWidth="1"/>
  </cols>
  <sheetData>
    <row r="1" spans="2:4" x14ac:dyDescent="0.35">
      <c r="B1" t="s">
        <v>47</v>
      </c>
    </row>
    <row r="2" spans="2:4" ht="14.5" customHeight="1" x14ac:dyDescent="0.35">
      <c r="B2" s="16" t="s">
        <v>48</v>
      </c>
      <c r="C2" s="16"/>
      <c r="D2" s="16"/>
    </row>
    <row r="3" spans="2:4" x14ac:dyDescent="0.35">
      <c r="B3" s="16"/>
      <c r="C3" s="16"/>
      <c r="D3" s="16"/>
    </row>
    <row r="4" spans="2:4" x14ac:dyDescent="0.35">
      <c r="B4" s="16"/>
      <c r="C4" s="16"/>
      <c r="D4" s="16"/>
    </row>
    <row r="5" spans="2:4" x14ac:dyDescent="0.35">
      <c r="B5" s="16"/>
      <c r="C5" s="16"/>
      <c r="D5" s="16"/>
    </row>
    <row r="6" spans="2:4" x14ac:dyDescent="0.35">
      <c r="B6" s="16"/>
      <c r="C6" s="16"/>
      <c r="D6" s="16"/>
    </row>
    <row r="7" spans="2:4" x14ac:dyDescent="0.35">
      <c r="B7" s="16"/>
      <c r="C7" s="16"/>
      <c r="D7" s="16"/>
    </row>
    <row r="8" spans="2:4" x14ac:dyDescent="0.35">
      <c r="B8" s="16"/>
      <c r="C8" s="16"/>
      <c r="D8" s="16"/>
    </row>
    <row r="12" spans="2:4" x14ac:dyDescent="0.35">
      <c r="B12" s="6" t="s">
        <v>39</v>
      </c>
    </row>
    <row r="13" spans="2:4" x14ac:dyDescent="0.35">
      <c r="B13" s="1" t="s">
        <v>27</v>
      </c>
    </row>
    <row r="14" spans="2:4" x14ac:dyDescent="0.35">
      <c r="B14" s="7" t="s">
        <v>26</v>
      </c>
    </row>
    <row r="15" spans="2:4" x14ac:dyDescent="0.35">
      <c r="B15" s="8" t="s">
        <v>25</v>
      </c>
    </row>
    <row r="16" spans="2:4" x14ac:dyDescent="0.35">
      <c r="B16" s="9" t="s">
        <v>24</v>
      </c>
    </row>
    <row r="17" spans="2:2" x14ac:dyDescent="0.35">
      <c r="B17" s="3" t="s">
        <v>14</v>
      </c>
    </row>
  </sheetData>
  <mergeCells count="1">
    <mergeCell ref="B2: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1DEA6-8D89-4D9F-A495-078C0693863D}">
  <dimension ref="A1:I6"/>
  <sheetViews>
    <sheetView workbookViewId="0">
      <selection activeCell="G16" sqref="G16"/>
    </sheetView>
  </sheetViews>
  <sheetFormatPr defaultRowHeight="14.5" x14ac:dyDescent="0.35"/>
  <cols>
    <col min="1" max="1" width="33.81640625" customWidth="1"/>
    <col min="3" max="3" width="11.08984375" customWidth="1"/>
  </cols>
  <sheetData>
    <row r="1" spans="1:9" x14ac:dyDescent="0.35">
      <c r="A1" t="s">
        <v>52</v>
      </c>
      <c r="B1" t="s">
        <v>2</v>
      </c>
      <c r="C1" t="s">
        <v>40</v>
      </c>
      <c r="D1" t="s">
        <v>41</v>
      </c>
      <c r="E1" t="s">
        <v>42</v>
      </c>
      <c r="F1" t="s">
        <v>43</v>
      </c>
      <c r="I1" t="s">
        <v>49</v>
      </c>
    </row>
    <row r="2" spans="1:9" x14ac:dyDescent="0.35">
      <c r="A2" t="s">
        <v>0</v>
      </c>
      <c r="B2" t="s">
        <v>1</v>
      </c>
      <c r="C2" s="1">
        <v>2211</v>
      </c>
      <c r="D2" s="1">
        <v>0.3785</v>
      </c>
      <c r="E2" s="11" t="s">
        <v>57</v>
      </c>
      <c r="F2" s="1">
        <v>10600</v>
      </c>
      <c r="I2" t="s">
        <v>51</v>
      </c>
    </row>
    <row r="3" spans="1:9" x14ac:dyDescent="0.35">
      <c r="A3" t="s">
        <v>53</v>
      </c>
      <c r="B3" t="s">
        <v>50</v>
      </c>
      <c r="C3" s="1">
        <v>1238</v>
      </c>
      <c r="D3" s="1">
        <v>0.3785</v>
      </c>
      <c r="E3" s="11" t="s">
        <v>57</v>
      </c>
      <c r="F3" s="1">
        <v>10600</v>
      </c>
      <c r="I3" t="s">
        <v>55</v>
      </c>
    </row>
    <row r="4" spans="1:9" x14ac:dyDescent="0.35">
      <c r="A4" t="s">
        <v>54</v>
      </c>
      <c r="B4" t="s">
        <v>4</v>
      </c>
      <c r="C4" s="1">
        <v>1720</v>
      </c>
      <c r="D4" s="1">
        <v>0.3785</v>
      </c>
      <c r="E4" s="1">
        <v>3500</v>
      </c>
      <c r="F4" s="11">
        <f ca="1">F6</f>
        <v>10600</v>
      </c>
    </row>
    <row r="5" spans="1:9" x14ac:dyDescent="0.35">
      <c r="A5" t="s">
        <v>5</v>
      </c>
      <c r="B5" t="s">
        <v>3</v>
      </c>
      <c r="C5" s="1">
        <v>2160</v>
      </c>
      <c r="D5" s="1">
        <v>0.3785</v>
      </c>
      <c r="E5" s="1">
        <v>3500</v>
      </c>
      <c r="F5" s="1">
        <v>10600</v>
      </c>
    </row>
    <row r="6" spans="1:9" x14ac:dyDescent="0.35">
      <c r="A6" t="s">
        <v>56</v>
      </c>
      <c r="C6">
        <f>AVERAGE(C2:C5)</f>
        <v>1832.25</v>
      </c>
      <c r="D6">
        <f t="shared" ref="D6:F6" si="0">AVERAGE(D2:D5)</f>
        <v>0.3785</v>
      </c>
      <c r="E6">
        <f>AVERAGE(E4:E5)</f>
        <v>3500</v>
      </c>
      <c r="F6">
        <f t="shared" ca="1" si="0"/>
        <v>1832.25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C26CF-B37C-4213-BE8B-7FF8F600B129}">
  <dimension ref="A1:M24"/>
  <sheetViews>
    <sheetView tabSelected="1" workbookViewId="0">
      <selection activeCell="K18" sqref="K18"/>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
        <v>89</v>
      </c>
      <c r="E2" t="s">
        <v>28</v>
      </c>
      <c r="F2" s="1">
        <f>FEAST_DMI_Data!C3</f>
        <v>1238</v>
      </c>
      <c r="G2" s="8">
        <v>0.75</v>
      </c>
      <c r="H2" s="13">
        <f>1/(1-FEAST_DMI_Data!D3)</f>
        <v>1.6090104585679808</v>
      </c>
      <c r="I2" s="1">
        <f>B4</f>
        <v>0</v>
      </c>
      <c r="J2">
        <f>I2/(F2*(1/G2)*(H2))</f>
        <v>0</v>
      </c>
      <c r="K2" s="4">
        <f>100*J2/SUM(J2:J3)</f>
        <v>0</v>
      </c>
    </row>
    <row r="3" spans="1:13" x14ac:dyDescent="0.35">
      <c r="A3" t="s">
        <v>9</v>
      </c>
      <c r="B3" s="1">
        <v>5</v>
      </c>
      <c r="E3" t="s">
        <v>20</v>
      </c>
      <c r="F3" s="1">
        <f>F2</f>
        <v>1238</v>
      </c>
      <c r="G3" s="8">
        <f>1-0.047</f>
        <v>0.95299999999999996</v>
      </c>
      <c r="H3" s="9">
        <v>0.6</v>
      </c>
      <c r="I3" s="1">
        <f>B6</f>
        <v>6</v>
      </c>
      <c r="J3">
        <f>I3/(F3*(1/G3)*(H3))</f>
        <v>7.6978998384491116E-3</v>
      </c>
      <c r="K3" s="4">
        <f>100*J3/SUM(J2:J3)</f>
        <v>100</v>
      </c>
    </row>
    <row r="4" spans="1:13" x14ac:dyDescent="0.35">
      <c r="A4" t="s">
        <v>7</v>
      </c>
      <c r="B4" s="1">
        <v>0</v>
      </c>
      <c r="E4" t="s">
        <v>29</v>
      </c>
      <c r="J4">
        <f>SUM(J2:J3)</f>
        <v>7.6978998384491116E-3</v>
      </c>
    </row>
    <row r="5" spans="1:13" x14ac:dyDescent="0.35">
      <c r="A5" t="s">
        <v>8</v>
      </c>
      <c r="B5" s="1">
        <v>0</v>
      </c>
    </row>
    <row r="6" spans="1:13" x14ac:dyDescent="0.35">
      <c r="A6" t="s">
        <v>10</v>
      </c>
      <c r="B6" s="1">
        <v>6</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FEAST_DMI_Data!E6</f>
        <v>3500</v>
      </c>
      <c r="G8" s="7">
        <v>0.5</v>
      </c>
      <c r="H8">
        <v>1</v>
      </c>
      <c r="I8" s="1">
        <f>(B2+B3)</f>
        <v>94</v>
      </c>
      <c r="J8">
        <f>I8/(F8/G8)</f>
        <v>1.3428571428571429E-2</v>
      </c>
      <c r="K8" s="2">
        <f>100*J8/SUM(J8,J9)</f>
        <v>100.00000000000001</v>
      </c>
      <c r="L8" s="2"/>
    </row>
    <row r="9" spans="1:13" x14ac:dyDescent="0.35">
      <c r="A9" s="1" t="s">
        <v>27</v>
      </c>
      <c r="E9" t="s">
        <v>31</v>
      </c>
      <c r="F9" s="1">
        <f>FEAST_DMI_Data!F3</f>
        <v>10600</v>
      </c>
      <c r="G9" s="7">
        <v>0.5</v>
      </c>
      <c r="H9">
        <v>1</v>
      </c>
      <c r="I9" s="1">
        <f>B5</f>
        <v>0</v>
      </c>
      <c r="J9">
        <f>I9/(F9/G9)</f>
        <v>0</v>
      </c>
      <c r="K9" s="2">
        <f>100*J9/SUM(J8,J9)</f>
        <v>0</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100*J2/SUM(J$2,J$3,J$8,J$9)</f>
        <v>0</v>
      </c>
      <c r="K13" s="5">
        <f>J13*F$24/100</f>
        <v>0</v>
      </c>
      <c r="M13" s="6"/>
    </row>
    <row r="14" spans="1:13" x14ac:dyDescent="0.35">
      <c r="E14" t="str">
        <f>E3</f>
        <v>Maize as concentrate</v>
      </c>
      <c r="J14" s="2">
        <f>100*J3/SUM(J$2,J$3,J$8,J$9)</f>
        <v>36.437224850067189</v>
      </c>
      <c r="K14" s="5">
        <f t="shared" ref="K14:K16" si="0">J14*F$24/100</f>
        <v>0.1771962719038844</v>
      </c>
    </row>
    <row r="15" spans="1:13" x14ac:dyDescent="0.35">
      <c r="E15" t="str">
        <f>E8</f>
        <v>Native grass</v>
      </c>
      <c r="J15" s="2">
        <f>100*J8/SUM(J$2,J$3,J$8,J$9)</f>
        <v>63.562775149932826</v>
      </c>
      <c r="K15" s="5">
        <f t="shared" si="0"/>
        <v>0.30910934723428024</v>
      </c>
    </row>
    <row r="16" spans="1:13" x14ac:dyDescent="0.35">
      <c r="E16" t="str">
        <f>E9</f>
        <v>Improved forage</v>
      </c>
      <c r="J16" s="2">
        <f>100*J9/SUM(J$2,J$3,J$8,J$9)</f>
        <v>0</v>
      </c>
      <c r="K16" s="5">
        <f>J16*F$24/100</f>
        <v>0</v>
      </c>
    </row>
    <row r="17" spans="5:11" x14ac:dyDescent="0.35">
      <c r="E17" t="s">
        <v>17</v>
      </c>
      <c r="K17" s="5">
        <f>SUM(K13:K16)</f>
        <v>0.48630561913816461</v>
      </c>
    </row>
    <row r="20" spans="5:11" x14ac:dyDescent="0.35">
      <c r="E20" s="10" t="s">
        <v>45</v>
      </c>
    </row>
    <row r="21" spans="5:11" x14ac:dyDescent="0.35">
      <c r="E21" t="s">
        <v>46</v>
      </c>
      <c r="F21">
        <f>3*(1)</f>
        <v>3</v>
      </c>
    </row>
    <row r="22" spans="5:11" x14ac:dyDescent="0.35">
      <c r="E22" t="s">
        <v>44</v>
      </c>
      <c r="F22">
        <f>F21*250/1000</f>
        <v>0.75</v>
      </c>
    </row>
    <row r="23" spans="5:11" x14ac:dyDescent="0.35">
      <c r="E23" t="s">
        <v>22</v>
      </c>
      <c r="F23" s="5">
        <f>(1/1000)*(F2*J13*H2*G2+F3*J14*G3+F8*J15*G8+F9*J16*G8)/100</f>
        <v>1.5422400451163965</v>
      </c>
    </row>
    <row r="24" spans="5:11" x14ac:dyDescent="0.35">
      <c r="E24" s="6" t="s">
        <v>23</v>
      </c>
      <c r="F24" s="12">
        <f>F22/F23</f>
        <v>0.48630561913816456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FA0A1-961B-4C3D-AD13-0CD114EA8D15}">
  <dimension ref="A1:M24"/>
  <sheetViews>
    <sheetView workbookViewId="0">
      <selection activeCell="E13" sqref="E13:E16"/>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
        <v>49</v>
      </c>
      <c r="E2" t="s">
        <v>28</v>
      </c>
      <c r="F2" s="1">
        <f>FEAST_DMI_Data!C5</f>
        <v>2160</v>
      </c>
      <c r="G2" s="8">
        <f>0.75</f>
        <v>0.75</v>
      </c>
      <c r="H2" s="13">
        <f>1/(1-FEAST_DMI_Data!D3)</f>
        <v>1.6090104585679808</v>
      </c>
      <c r="I2" s="1">
        <f>B4</f>
        <v>6</v>
      </c>
      <c r="J2">
        <f>I2/(F2*(1/G2)*(H2))</f>
        <v>1.2947916666666665E-3</v>
      </c>
      <c r="K2" s="4">
        <f>100*J2/SUM(J2:J3)</f>
        <v>63.778719522624044</v>
      </c>
    </row>
    <row r="3" spans="1:13" x14ac:dyDescent="0.35">
      <c r="A3" t="s">
        <v>9</v>
      </c>
      <c r="B3" s="1">
        <v>9</v>
      </c>
      <c r="E3" t="s">
        <v>20</v>
      </c>
      <c r="F3" s="1">
        <f>F2</f>
        <v>2160</v>
      </c>
      <c r="G3" s="8">
        <f>1-0.047</f>
        <v>0.95299999999999996</v>
      </c>
      <c r="H3" s="14">
        <v>0.6</v>
      </c>
      <c r="I3" s="1">
        <f>B6</f>
        <v>1</v>
      </c>
      <c r="J3">
        <f>I3/(F3*(1/G3)*(H3))</f>
        <v>7.3533950617283943E-4</v>
      </c>
      <c r="K3" s="4">
        <f>100*J3/SUM(J2:J3)</f>
        <v>36.221280477375956</v>
      </c>
    </row>
    <row r="4" spans="1:13" x14ac:dyDescent="0.35">
      <c r="A4" t="s">
        <v>7</v>
      </c>
      <c r="B4" s="1">
        <v>6</v>
      </c>
      <c r="E4" t="s">
        <v>29</v>
      </c>
      <c r="J4">
        <f>SUM(J2:J3)</f>
        <v>2.0301311728395059E-3</v>
      </c>
    </row>
    <row r="5" spans="1:13" x14ac:dyDescent="0.35">
      <c r="A5" t="s">
        <v>8</v>
      </c>
      <c r="B5" s="1">
        <v>35</v>
      </c>
    </row>
    <row r="6" spans="1:13" x14ac:dyDescent="0.35">
      <c r="A6" t="s">
        <v>10</v>
      </c>
      <c r="B6" s="1">
        <v>1</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FEAST_DMI_Data!E5</f>
        <v>3500</v>
      </c>
      <c r="G8" s="7">
        <v>0.5</v>
      </c>
      <c r="H8">
        <v>1</v>
      </c>
      <c r="I8" s="1">
        <f>(B2+B3)</f>
        <v>58</v>
      </c>
      <c r="J8">
        <f>I8/(F8/G8)</f>
        <v>8.2857142857142851E-3</v>
      </c>
      <c r="K8" s="2">
        <f>100*J8/SUM(J8,J9)</f>
        <v>83.385324833853247</v>
      </c>
      <c r="L8" s="2"/>
    </row>
    <row r="9" spans="1:13" x14ac:dyDescent="0.35">
      <c r="A9" s="1" t="s">
        <v>27</v>
      </c>
      <c r="E9" t="s">
        <v>31</v>
      </c>
      <c r="F9" s="1">
        <f>FEAST_DMI_Data!F5</f>
        <v>10600</v>
      </c>
      <c r="G9" s="7">
        <v>0.5</v>
      </c>
      <c r="H9">
        <v>1</v>
      </c>
      <c r="I9" s="1">
        <f>B5</f>
        <v>35</v>
      </c>
      <c r="J9">
        <f>I9/(F9/G9)</f>
        <v>1.6509433962264152E-3</v>
      </c>
      <c r="K9" s="2">
        <f>100*J9/SUM(J8,J9)</f>
        <v>16.614675166146757</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100*J2/SUM(J$2,J$3,J$8,J$9)</f>
        <v>10.819875593856192</v>
      </c>
      <c r="K13" s="5">
        <f>J13*F$24/100</f>
        <v>3.4510989587346795E-2</v>
      </c>
      <c r="M13" s="6"/>
    </row>
    <row r="14" spans="1:13" x14ac:dyDescent="0.35">
      <c r="E14" t="str">
        <f>E3</f>
        <v>Maize as concentrate</v>
      </c>
      <c r="J14" s="2">
        <f>100*J3/SUM(J$2,J$3,J$8,J$9)</f>
        <v>6.1448356371651336</v>
      </c>
      <c r="K14" s="5">
        <f t="shared" ref="K14:K16" si="0">J14*F$24/100</f>
        <v>1.9599519130384376E-2</v>
      </c>
    </row>
    <row r="15" spans="1:13" x14ac:dyDescent="0.35">
      <c r="E15" t="str">
        <f>E8</f>
        <v>Native grass</v>
      </c>
      <c r="J15" s="2">
        <f>100*J8/SUM(J$2,J$3,J$8,J$9)</f>
        <v>69.239245266740937</v>
      </c>
      <c r="K15" s="5">
        <f t="shared" si="0"/>
        <v>0.22084494888213652</v>
      </c>
    </row>
    <row r="16" spans="1:13" x14ac:dyDescent="0.35">
      <c r="E16" t="str">
        <f>E9</f>
        <v>Improved forage</v>
      </c>
      <c r="J16" s="2">
        <f>100*J9/SUM(J$2,J$3,J$8,J$9)</f>
        <v>13.796043502237746</v>
      </c>
      <c r="K16" s="5">
        <f t="shared" si="0"/>
        <v>4.4003751200490777E-2</v>
      </c>
    </row>
    <row r="17" spans="5:11" x14ac:dyDescent="0.35">
      <c r="E17" t="s">
        <v>17</v>
      </c>
      <c r="K17" s="5">
        <f>SUM(K13:K16)</f>
        <v>0.31895920880035844</v>
      </c>
    </row>
    <row r="20" spans="5:11" x14ac:dyDescent="0.35">
      <c r="E20" s="10" t="s">
        <v>45</v>
      </c>
    </row>
    <row r="21" spans="5:11" x14ac:dyDescent="0.35">
      <c r="E21" t="s">
        <v>46</v>
      </c>
      <c r="F21">
        <f>3*(1)</f>
        <v>3</v>
      </c>
    </row>
    <row r="22" spans="5:11" x14ac:dyDescent="0.35">
      <c r="E22" t="s">
        <v>44</v>
      </c>
      <c r="F22">
        <f>F21*250/1000</f>
        <v>0.75</v>
      </c>
    </row>
    <row r="23" spans="5:11" x14ac:dyDescent="0.35">
      <c r="E23" t="s">
        <v>22</v>
      </c>
      <c r="F23" s="5">
        <f>(1/1000)*(F2*J13*(H2*G2)+F3*J14*G3+F8*J15*G8+F9*J16*G8)/100</f>
        <v>2.3513978568633731</v>
      </c>
    </row>
    <row r="24" spans="5:11" x14ac:dyDescent="0.35">
      <c r="E24" s="6" t="s">
        <v>23</v>
      </c>
      <c r="F24" s="12">
        <f>F22/F23</f>
        <v>0.31895920880035844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909A5-9C81-45EC-B551-7D73ADED20A4}">
  <dimension ref="A1:M24"/>
  <sheetViews>
    <sheetView workbookViewId="0">
      <selection activeCell="K13" sqref="K13:K16"/>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5">
        <f>AVERAGE(54,13,54)</f>
        <v>40.333333333333336</v>
      </c>
      <c r="E2" t="s">
        <v>28</v>
      </c>
      <c r="F2" s="1">
        <f>FEAST_DMI_Data!C4</f>
        <v>1720</v>
      </c>
      <c r="G2" s="8">
        <v>0.75</v>
      </c>
      <c r="H2" s="13">
        <f>1/(1-FEAST_DMI_Data!D3)</f>
        <v>1.6090104585679808</v>
      </c>
      <c r="I2" s="1">
        <f>B4</f>
        <v>0.66666666666666663</v>
      </c>
      <c r="J2">
        <f>I2/(F2*(1/G2)*(H2))</f>
        <v>1.8066860465116278E-4</v>
      </c>
      <c r="K2" s="4">
        <f>100*J2/SUM(J2:J3)</f>
        <v>1.9837674025184113</v>
      </c>
    </row>
    <row r="3" spans="1:13" x14ac:dyDescent="0.35">
      <c r="A3" t="s">
        <v>9</v>
      </c>
      <c r="B3" s="15">
        <f>AVERAGE(14,19,14)</f>
        <v>15.666666666666666</v>
      </c>
      <c r="E3" t="s">
        <v>20</v>
      </c>
      <c r="F3" s="1">
        <f>F2</f>
        <v>1720</v>
      </c>
      <c r="G3" s="8">
        <f>1-0.047</f>
        <v>0.95299999999999996</v>
      </c>
      <c r="H3" s="14">
        <v>0.6</v>
      </c>
      <c r="I3" s="1">
        <f>B6</f>
        <v>9.6666666666666661</v>
      </c>
      <c r="J3">
        <f>I3/(F3*(1/G3)*(H3))</f>
        <v>8.9266795865633065E-3</v>
      </c>
      <c r="K3" s="4">
        <f>100*J3/SUM(J2:J3)</f>
        <v>98.01623259748159</v>
      </c>
    </row>
    <row r="4" spans="1:13" x14ac:dyDescent="0.35">
      <c r="A4" t="s">
        <v>7</v>
      </c>
      <c r="B4" s="15">
        <f>AVERAGE(0,2,0)</f>
        <v>0.66666666666666663</v>
      </c>
      <c r="E4" t="s">
        <v>29</v>
      </c>
      <c r="J4">
        <f>SUM(J2:J3)</f>
        <v>9.1073481912144691E-3</v>
      </c>
    </row>
    <row r="5" spans="1:13" x14ac:dyDescent="0.35">
      <c r="A5" t="s">
        <v>8</v>
      </c>
      <c r="B5" s="15">
        <f>AVERAGE(26,49,26)</f>
        <v>33.666666666666664</v>
      </c>
    </row>
    <row r="6" spans="1:13" x14ac:dyDescent="0.35">
      <c r="A6" t="s">
        <v>10</v>
      </c>
      <c r="B6" s="15">
        <f>AVERAGE(6,17,6)</f>
        <v>9.6666666666666661</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FEAST_DMI_Data!E4</f>
        <v>3500</v>
      </c>
      <c r="G8" s="7">
        <v>0.5</v>
      </c>
      <c r="H8">
        <v>1</v>
      </c>
      <c r="I8" s="1">
        <f>(B2+B3)</f>
        <v>56</v>
      </c>
      <c r="J8">
        <f>I8/(F8/G8)</f>
        <v>8.0000000000000002E-3</v>
      </c>
      <c r="K8" s="2">
        <f ca="1">100*J8/SUM(J8,J9)</f>
        <v>83.437192522138403</v>
      </c>
      <c r="L8" s="2"/>
    </row>
    <row r="9" spans="1:13" x14ac:dyDescent="0.35">
      <c r="A9" s="1" t="s">
        <v>27</v>
      </c>
      <c r="E9" t="s">
        <v>31</v>
      </c>
      <c r="F9" s="1">
        <f ca="1">FEAST_DMI_Data!F4</f>
        <v>10600</v>
      </c>
      <c r="G9" s="7">
        <v>0.5</v>
      </c>
      <c r="H9">
        <v>1</v>
      </c>
      <c r="I9" s="1">
        <f>B5</f>
        <v>33.666666666666664</v>
      </c>
      <c r="J9">
        <f ca="1">I9/(F9/G9)</f>
        <v>1.5880503144654087E-3</v>
      </c>
      <c r="K9" s="2">
        <f ca="1">100*J9/SUM(J8,J9)</f>
        <v>16.562807477861593</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 ca="1">100*J2/SUM(J$2,J$3,J$8,J$9)</f>
        <v>0.9663800672463525</v>
      </c>
      <c r="K13" s="5">
        <f ca="1">J13*F$24/100</f>
        <v>3.6207175365601313E-3</v>
      </c>
      <c r="M13" s="6"/>
    </row>
    <row r="14" spans="1:13" x14ac:dyDescent="0.35">
      <c r="E14" t="str">
        <f>E3</f>
        <v>Maize as concentrate</v>
      </c>
      <c r="J14" s="2">
        <f ca="1">100*J3/SUM(J$2,J$3,J$8,J$9)</f>
        <v>47.748003787409388</v>
      </c>
      <c r="K14" s="5">
        <f t="shared" ref="K14:K16" ca="1" si="0">J14*F$24/100</f>
        <v>0.17889652374704984</v>
      </c>
    </row>
    <row r="15" spans="1:13" x14ac:dyDescent="0.35">
      <c r="E15" t="str">
        <f>E8</f>
        <v>Native grass</v>
      </c>
      <c r="J15" s="2">
        <f ca="1">100*J8/SUM(J$2,J$3,J$8,J$9)</f>
        <v>42.791278279355787</v>
      </c>
      <c r="K15" s="5">
        <f t="shared" ca="1" si="0"/>
        <v>0.16032525600343495</v>
      </c>
    </row>
    <row r="16" spans="1:13" x14ac:dyDescent="0.35">
      <c r="E16" t="str">
        <f>E9</f>
        <v>Improved forage</v>
      </c>
      <c r="J16" s="2">
        <f ca="1">100*J9/SUM(J$2,J$3,J$8,J$9)</f>
        <v>8.4943378659884718</v>
      </c>
      <c r="K16" s="5">
        <f t="shared" ca="1" si="0"/>
        <v>3.1825571651625251E-2</v>
      </c>
    </row>
    <row r="17" spans="5:11" x14ac:dyDescent="0.35">
      <c r="E17" t="s">
        <v>17</v>
      </c>
      <c r="K17" s="5">
        <f ca="1">SUM(K13:K16)</f>
        <v>0</v>
      </c>
    </row>
    <row r="20" spans="5:11" x14ac:dyDescent="0.35">
      <c r="E20" s="10" t="s">
        <v>45</v>
      </c>
    </row>
    <row r="21" spans="5:11" x14ac:dyDescent="0.35">
      <c r="E21" t="s">
        <v>46</v>
      </c>
      <c r="F21">
        <f>3*(1)</f>
        <v>3</v>
      </c>
    </row>
    <row r="22" spans="5:11" x14ac:dyDescent="0.35">
      <c r="E22" t="s">
        <v>44</v>
      </c>
      <c r="F22">
        <f>F21*250/1000</f>
        <v>0.75</v>
      </c>
    </row>
    <row r="23" spans="5:11" x14ac:dyDescent="0.35">
      <c r="E23" t="s">
        <v>22</v>
      </c>
      <c r="F23" s="5">
        <f ca="1">(1/1000)*(F2*J13*H2*G2+F3*J14*G3+F8*J15*G8+F9*J16*G8)/100</f>
        <v>2.0017718673612626</v>
      </c>
    </row>
    <row r="24" spans="5:11" x14ac:dyDescent="0.35">
      <c r="E24" s="6" t="s">
        <v>23</v>
      </c>
      <c r="F24" s="12">
        <f ca="1">F22/F23</f>
        <v>0.37466806893867016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FC301-9B58-43C5-A375-F8B31B6A40EE}">
  <dimension ref="A1:M24"/>
  <sheetViews>
    <sheetView workbookViewId="0">
      <selection activeCell="K13" sqref="K13:K16"/>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
        <v>32</v>
      </c>
      <c r="E2" t="s">
        <v>28</v>
      </c>
      <c r="F2" s="1">
        <f>FEAST_DMI_Data!C2</f>
        <v>2211</v>
      </c>
      <c r="G2" s="8">
        <v>0.75</v>
      </c>
      <c r="H2" s="15">
        <f>1/(1-FEAST_DMI_Data!D2)</f>
        <v>1.6090104585679808</v>
      </c>
      <c r="I2" s="1">
        <f>B4</f>
        <v>24</v>
      </c>
      <c r="J2">
        <f>I2/(F2*(1/G2)*(H2))</f>
        <v>5.0597014925373137E-3</v>
      </c>
      <c r="K2" s="4">
        <f>100*J2/SUM(J2:J3)</f>
        <v>95.137258903969808</v>
      </c>
    </row>
    <row r="3" spans="1:13" x14ac:dyDescent="0.35">
      <c r="A3" t="s">
        <v>9</v>
      </c>
      <c r="B3" s="1">
        <v>16</v>
      </c>
      <c r="E3" t="s">
        <v>20</v>
      </c>
      <c r="F3" s="1">
        <f>F2</f>
        <v>2211</v>
      </c>
      <c r="G3" s="8">
        <f>1-0.047</f>
        <v>0.95299999999999996</v>
      </c>
      <c r="H3" s="9">
        <v>0.6</v>
      </c>
      <c r="I3" s="1">
        <f>B6</f>
        <v>1</v>
      </c>
      <c r="J3">
        <f>I3/(F3*(1/G3)*(1/H3))</f>
        <v>2.5861601085481681E-4</v>
      </c>
      <c r="K3" s="4">
        <f>100*J3/SUM(J2:J3)</f>
        <v>4.8627410960302067</v>
      </c>
    </row>
    <row r="4" spans="1:13" x14ac:dyDescent="0.35">
      <c r="A4" t="s">
        <v>7</v>
      </c>
      <c r="B4" s="1">
        <v>24</v>
      </c>
      <c r="E4" t="s">
        <v>29</v>
      </c>
      <c r="J4">
        <f>SUM(J2:J3)</f>
        <v>5.3183175033921304E-3</v>
      </c>
    </row>
    <row r="5" spans="1:13" x14ac:dyDescent="0.35">
      <c r="A5" t="s">
        <v>8</v>
      </c>
      <c r="B5" s="1">
        <v>27</v>
      </c>
    </row>
    <row r="6" spans="1:13" x14ac:dyDescent="0.35">
      <c r="A6" t="s">
        <v>10</v>
      </c>
      <c r="B6" s="1">
        <v>1</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FEAST_DMI_Data!E6</f>
        <v>3500</v>
      </c>
      <c r="G8" s="7">
        <v>0.5</v>
      </c>
      <c r="H8">
        <v>1</v>
      </c>
      <c r="I8" s="1">
        <f>(B2+B3)</f>
        <v>48</v>
      </c>
      <c r="J8">
        <f>I8/(F8/G8)</f>
        <v>6.8571428571428568E-3</v>
      </c>
      <c r="K8" s="2">
        <f>100*J8/SUM(J8,J9)</f>
        <v>84.336151168572854</v>
      </c>
      <c r="L8" s="2"/>
    </row>
    <row r="9" spans="1:13" x14ac:dyDescent="0.35">
      <c r="A9" s="1" t="s">
        <v>27</v>
      </c>
      <c r="E9" t="s">
        <v>31</v>
      </c>
      <c r="F9" s="1">
        <f>FEAST_DMI_Data!F2</f>
        <v>10600</v>
      </c>
      <c r="G9" s="7">
        <v>0.5</v>
      </c>
      <c r="H9">
        <v>1</v>
      </c>
      <c r="I9" s="1">
        <f>B5</f>
        <v>27</v>
      </c>
      <c r="J9">
        <f>I9/(F9/G9)</f>
        <v>1.2735849056603773E-3</v>
      </c>
      <c r="K9" s="2">
        <f>100*J9/SUM(J8,J9)</f>
        <v>15.663848831427151</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100*J2/SUM(J$2,J$3,J$8,J$9)</f>
        <v>37.621268962898405</v>
      </c>
      <c r="K13" s="5">
        <f>J13*F$24/100</f>
        <v>0.15621829876377438</v>
      </c>
      <c r="M13" s="6"/>
    </row>
    <row r="14" spans="1:13" x14ac:dyDescent="0.35">
      <c r="E14" t="str">
        <f>E3</f>
        <v>Maize as concentrate</v>
      </c>
      <c r="J14" s="2">
        <f>100*J3/SUM(J$2,J$3,J$8,J$9)</f>
        <v>1.9229321170095026</v>
      </c>
      <c r="K14" s="5">
        <f t="shared" ref="K14:K16" si="0">J14*F$24/100</f>
        <v>7.9847701111223895E-3</v>
      </c>
    </row>
    <row r="15" spans="1:13" x14ac:dyDescent="0.35">
      <c r="E15" t="str">
        <f>E8</f>
        <v>Native grass</v>
      </c>
      <c r="J15" s="2">
        <f>100*J8/SUM(J$2,J$3,J$8,J$9)</f>
        <v>50.986093967417304</v>
      </c>
      <c r="K15" s="5">
        <f t="shared" si="0"/>
        <v>0.21171430628921126</v>
      </c>
    </row>
    <row r="16" spans="1:13" x14ac:dyDescent="0.35">
      <c r="E16" t="str">
        <f>E9</f>
        <v>Improved forage</v>
      </c>
      <c r="J16" s="2">
        <f>100*J9/SUM(J$2,J$3,J$8,J$9)</f>
        <v>9.4697049526747943</v>
      </c>
      <c r="K16" s="5">
        <f t="shared" si="0"/>
        <v>3.9321937783668368E-2</v>
      </c>
    </row>
    <row r="17" spans="5:11" x14ac:dyDescent="0.35">
      <c r="E17" t="s">
        <v>17</v>
      </c>
      <c r="K17" s="5">
        <f>SUM(K13:K16)</f>
        <v>0.41523931294777644</v>
      </c>
    </row>
    <row r="20" spans="5:11" x14ac:dyDescent="0.35">
      <c r="E20" s="10" t="s">
        <v>45</v>
      </c>
    </row>
    <row r="21" spans="5:11" x14ac:dyDescent="0.35">
      <c r="E21" t="s">
        <v>46</v>
      </c>
      <c r="F21">
        <f>3*(1)</f>
        <v>3</v>
      </c>
    </row>
    <row r="22" spans="5:11" x14ac:dyDescent="0.35">
      <c r="E22" t="s">
        <v>44</v>
      </c>
      <c r="F22">
        <f>F21*250/1000</f>
        <v>0.75</v>
      </c>
    </row>
    <row r="23" spans="5:11" x14ac:dyDescent="0.35">
      <c r="E23" t="s">
        <v>22</v>
      </c>
      <c r="F23" s="5">
        <f>(1/1000)*(F2*J13*(1/H2)*G2+F3*J14*G3*H3+F8*J15*G8+F9*J16*G8)/100</f>
        <v>1.8061873638017643</v>
      </c>
    </row>
    <row r="24" spans="5:11" x14ac:dyDescent="0.35">
      <c r="E24" s="6" t="s">
        <v>23</v>
      </c>
      <c r="F24" s="12">
        <f>F22/F23</f>
        <v>0.41523931294777638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FEAST_DMI_Data</vt:lpstr>
      <vt:lpstr>Sarid</vt:lpstr>
      <vt:lpstr>THSH</vt:lpstr>
      <vt:lpstr>SH</vt:lpstr>
      <vt:lpstr>THH</vt:lpstr>
    </vt:vector>
  </TitlesOfParts>
  <Company>MWN-PC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Hawkins</dc:creator>
  <cp:lastModifiedBy>James Hawkins</cp:lastModifiedBy>
  <dcterms:created xsi:type="dcterms:W3CDTF">2024-10-04T12:50:39Z</dcterms:created>
  <dcterms:modified xsi:type="dcterms:W3CDTF">2024-11-06T15:08:31Z</dcterms:modified>
</cp:coreProperties>
</file>