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kj\Documents\GitHub\Tanzania Dairy Mitigation Assessment\"/>
    </mc:Choice>
  </mc:AlternateContent>
  <xr:revisionPtr revIDLastSave="0" documentId="13_ncr:1_{407EEDAC-89E1-44CD-B12B-370762E62414}" xr6:coauthVersionLast="47" xr6:coauthVersionMax="47" xr10:uidLastSave="{00000000-0000-0000-0000-000000000000}"/>
  <bookViews>
    <workbookView xWindow="-108" yWindow="-108" windowWidth="23256" windowHeight="12456" xr2:uid="{64B7B528-6AFC-453E-A699-FBF307BA8192}"/>
  </bookViews>
  <sheets>
    <sheet name="Dairy_Income_Roadmap" sheetId="27" r:id="rId1"/>
    <sheet name="Dairy_Income_Baseline" sheetId="26" r:id="rId2"/>
    <sheet name="Mappings" sheetId="1" r:id="rId3"/>
    <sheet name="MC_Baseline" sheetId="25" r:id="rId4"/>
    <sheet name="MC_Status_quo" sheetId="19" r:id="rId5"/>
    <sheet name="MC_Middle_road" sheetId="18" r:id="rId6"/>
    <sheet name="MC_High_ambition" sheetId="20" r:id="rId7"/>
    <sheet name="MC_High_ambition_plus" sheetId="21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4" i="1" l="1"/>
  <c r="Z3" i="1"/>
  <c r="N23" i="1"/>
  <c r="B36" i="1"/>
  <c r="B37" i="1"/>
  <c r="B38" i="1"/>
  <c r="B35" i="1"/>
  <c r="C38" i="1"/>
  <c r="C37" i="1"/>
  <c r="C36" i="1"/>
  <c r="C35" i="1"/>
  <c r="E1" i="25"/>
  <c r="F1" i="21"/>
  <c r="F1" i="19"/>
  <c r="F1" i="18"/>
  <c r="D1" i="21" l="1"/>
  <c r="C1" i="21"/>
  <c r="B1" i="21"/>
  <c r="D1" i="19"/>
  <c r="C1" i="19"/>
  <c r="B1" i="19"/>
  <c r="D1" i="18"/>
  <c r="C1" i="18"/>
  <c r="B1" i="18"/>
  <c r="D1" i="20"/>
  <c r="C1" i="20"/>
  <c r="B1" i="20"/>
  <c r="C34" i="1" l="1"/>
  <c r="C26" i="1" l="1"/>
  <c r="C24" i="1" l="1"/>
  <c r="C25" i="1"/>
  <c r="B15" i="1" l="1"/>
  <c r="B16" i="1"/>
  <c r="B14" i="1"/>
  <c r="B12" i="1"/>
  <c r="B20" i="1" s="1"/>
  <c r="B11" i="1"/>
  <c r="B19" i="1" s="1"/>
  <c r="B10" i="1"/>
  <c r="B18" i="1" s="1"/>
  <c r="A49" i="26"/>
  <c r="C32" i="1" l="1"/>
  <c r="C29" i="1" l="1"/>
  <c r="E4" i="1" l="1"/>
  <c r="E3" i="1" l="1"/>
  <c r="A10" i="20" l="1"/>
  <c r="A10" i="18" s="1"/>
  <c r="A10" i="19" s="1"/>
  <c r="A10" i="21" s="1"/>
  <c r="A9" i="20"/>
  <c r="A9" i="18" s="1"/>
  <c r="A9" i="19" s="1"/>
  <c r="A9" i="21" s="1"/>
  <c r="L11" i="27" l="1"/>
  <c r="I4" i="1" l="1"/>
  <c r="I3" i="1"/>
  <c r="C27" i="1" l="1"/>
  <c r="C28" i="1" l="1"/>
  <c r="C30" i="1"/>
  <c r="K17" i="26"/>
  <c r="L14" i="26"/>
  <c r="L13" i="27" s="1"/>
  <c r="C15" i="27" s="1"/>
  <c r="F3" i="1" l="1"/>
  <c r="L16" i="27"/>
  <c r="L30" i="27" l="1"/>
  <c r="L29" i="27"/>
  <c r="L17" i="26"/>
  <c r="B12" i="26" s="1"/>
  <c r="C8" i="27" l="1"/>
  <c r="E8" i="27"/>
  <c r="G8" i="27"/>
  <c r="L38" i="26"/>
  <c r="D19" i="26" s="1"/>
  <c r="L36" i="26"/>
  <c r="B19" i="26" s="1"/>
  <c r="K10" i="26"/>
  <c r="L37" i="26" l="1"/>
  <c r="L36" i="27" s="1"/>
  <c r="L37" i="27"/>
  <c r="G19" i="27" s="1"/>
  <c r="L35" i="27"/>
  <c r="L39" i="26"/>
  <c r="L38" i="27" s="1"/>
  <c r="N22" i="1"/>
  <c r="C19" i="27" l="1"/>
  <c r="E19" i="27"/>
  <c r="L34" i="26"/>
  <c r="L33" i="26"/>
  <c r="L25" i="26"/>
  <c r="L27" i="27"/>
  <c r="L28" i="26" s="1"/>
  <c r="L26" i="27"/>
  <c r="L27" i="26" s="1"/>
  <c r="L23" i="27"/>
  <c r="L19" i="27"/>
  <c r="D564" i="26"/>
  <c r="D563" i="26"/>
  <c r="D562" i="26"/>
  <c r="D561" i="26"/>
  <c r="D560" i="26"/>
  <c r="D559" i="26"/>
  <c r="D558" i="26"/>
  <c r="D557" i="26"/>
  <c r="D556" i="26"/>
  <c r="D555" i="26"/>
  <c r="D554" i="26"/>
  <c r="D553" i="26"/>
  <c r="D552" i="26"/>
  <c r="D551" i="26"/>
  <c r="D550" i="26"/>
  <c r="D549" i="26"/>
  <c r="D548" i="26"/>
  <c r="D547" i="26"/>
  <c r="D546" i="26"/>
  <c r="D545" i="26"/>
  <c r="D544" i="26"/>
  <c r="D543" i="26"/>
  <c r="D542" i="26"/>
  <c r="D541" i="26"/>
  <c r="D540" i="26"/>
  <c r="D539" i="26"/>
  <c r="D538" i="26"/>
  <c r="D537" i="26"/>
  <c r="D536" i="26"/>
  <c r="D535" i="26"/>
  <c r="D534" i="26"/>
  <c r="D533" i="26"/>
  <c r="D532" i="26"/>
  <c r="D531" i="26"/>
  <c r="D530" i="26"/>
  <c r="D529" i="26"/>
  <c r="D528" i="26"/>
  <c r="D527" i="26"/>
  <c r="D526" i="26"/>
  <c r="D525" i="26"/>
  <c r="D524" i="26"/>
  <c r="D523" i="26"/>
  <c r="D522" i="26"/>
  <c r="D521" i="26"/>
  <c r="D520" i="26"/>
  <c r="D519" i="26"/>
  <c r="D518" i="26"/>
  <c r="D517" i="26"/>
  <c r="D516" i="26"/>
  <c r="D515" i="26"/>
  <c r="D514" i="26"/>
  <c r="D513" i="26"/>
  <c r="D512" i="26"/>
  <c r="D511" i="26"/>
  <c r="D510" i="26"/>
  <c r="D509" i="26"/>
  <c r="D508" i="26"/>
  <c r="D507" i="26"/>
  <c r="D506" i="26"/>
  <c r="D505" i="26"/>
  <c r="D504" i="26"/>
  <c r="D503" i="26"/>
  <c r="D502" i="26"/>
  <c r="D501" i="26"/>
  <c r="D500" i="26"/>
  <c r="D499" i="26"/>
  <c r="D498" i="26"/>
  <c r="D497" i="26"/>
  <c r="D496" i="26"/>
  <c r="D495" i="26"/>
  <c r="D494" i="26"/>
  <c r="D493" i="26"/>
  <c r="D492" i="26"/>
  <c r="D491" i="26"/>
  <c r="D490" i="26"/>
  <c r="D489" i="26"/>
  <c r="D488" i="26"/>
  <c r="D487" i="26"/>
  <c r="D486" i="26"/>
  <c r="D485" i="26"/>
  <c r="D484" i="26"/>
  <c r="D483" i="26"/>
  <c r="D482" i="26"/>
  <c r="D481" i="26"/>
  <c r="D480" i="26"/>
  <c r="D479" i="26"/>
  <c r="D478" i="26"/>
  <c r="D477" i="26"/>
  <c r="D476" i="26"/>
  <c r="D475" i="26"/>
  <c r="D474" i="26"/>
  <c r="D473" i="26"/>
  <c r="D472" i="26"/>
  <c r="D471" i="26"/>
  <c r="D470" i="26"/>
  <c r="D469" i="26"/>
  <c r="D468" i="26"/>
  <c r="D467" i="26"/>
  <c r="D466" i="26"/>
  <c r="D465" i="26"/>
  <c r="D464" i="26"/>
  <c r="D463" i="26"/>
  <c r="D462" i="26"/>
  <c r="D461" i="26"/>
  <c r="D460" i="26"/>
  <c r="D459" i="26"/>
  <c r="D458" i="26"/>
  <c r="D457" i="26"/>
  <c r="D456" i="26"/>
  <c r="D455" i="26"/>
  <c r="D454" i="26"/>
  <c r="D453" i="26"/>
  <c r="D452" i="26"/>
  <c r="D451" i="26"/>
  <c r="D450" i="26"/>
  <c r="D449" i="26"/>
  <c r="D448" i="26"/>
  <c r="D447" i="26"/>
  <c r="D446" i="26"/>
  <c r="D445" i="26"/>
  <c r="D444" i="26"/>
  <c r="D443" i="26"/>
  <c r="D442" i="26"/>
  <c r="D441" i="26"/>
  <c r="D440" i="26"/>
  <c r="D439" i="26"/>
  <c r="D438" i="26"/>
  <c r="D437" i="26"/>
  <c r="D436" i="26"/>
  <c r="D435" i="26"/>
  <c r="D434" i="26"/>
  <c r="D433" i="26"/>
  <c r="D432" i="26"/>
  <c r="D431" i="26"/>
  <c r="D430" i="26"/>
  <c r="D429" i="26"/>
  <c r="D428" i="26"/>
  <c r="D427" i="26"/>
  <c r="D426" i="26"/>
  <c r="D425" i="26"/>
  <c r="D424" i="26"/>
  <c r="D423" i="26"/>
  <c r="D422" i="26"/>
  <c r="D421" i="26"/>
  <c r="D420" i="26"/>
  <c r="D419" i="26"/>
  <c r="D418" i="26"/>
  <c r="D417" i="26"/>
  <c r="D416" i="26"/>
  <c r="D415" i="26"/>
  <c r="D414" i="26"/>
  <c r="D413" i="26"/>
  <c r="D412" i="26"/>
  <c r="D411" i="26"/>
  <c r="D410" i="26"/>
  <c r="D409" i="26"/>
  <c r="D408" i="26"/>
  <c r="D407" i="26"/>
  <c r="D406" i="26"/>
  <c r="D405" i="26"/>
  <c r="D404" i="26"/>
  <c r="D403" i="26"/>
  <c r="D402" i="26"/>
  <c r="D401" i="26"/>
  <c r="D400" i="26"/>
  <c r="D399" i="26"/>
  <c r="D398" i="26"/>
  <c r="D397" i="26"/>
  <c r="D396" i="26"/>
  <c r="D395" i="26"/>
  <c r="D394" i="26"/>
  <c r="D393" i="26"/>
  <c r="D392" i="26"/>
  <c r="D391" i="26"/>
  <c r="D390" i="26"/>
  <c r="D389" i="26"/>
  <c r="D388" i="26"/>
  <c r="D387" i="26"/>
  <c r="D386" i="26"/>
  <c r="D385" i="26"/>
  <c r="D384" i="26"/>
  <c r="D383" i="26"/>
  <c r="D382" i="26"/>
  <c r="D381" i="26"/>
  <c r="D380" i="26"/>
  <c r="D379" i="26"/>
  <c r="D378" i="26"/>
  <c r="D377" i="26"/>
  <c r="D376" i="26"/>
  <c r="D375" i="26"/>
  <c r="D374" i="26"/>
  <c r="D373" i="26"/>
  <c r="D372" i="26"/>
  <c r="D371" i="26"/>
  <c r="D370" i="26"/>
  <c r="D369" i="26"/>
  <c r="D368" i="26"/>
  <c r="D367" i="26"/>
  <c r="D366" i="26"/>
  <c r="D365" i="26"/>
  <c r="D364" i="26"/>
  <c r="D363" i="26"/>
  <c r="D362" i="26"/>
  <c r="D361" i="26"/>
  <c r="D360" i="26"/>
  <c r="D359" i="26"/>
  <c r="D358" i="26"/>
  <c r="D357" i="26"/>
  <c r="D356" i="26"/>
  <c r="D355" i="26"/>
  <c r="D354" i="26"/>
  <c r="D353" i="26"/>
  <c r="D352" i="26"/>
  <c r="D351" i="26"/>
  <c r="D350" i="26"/>
  <c r="D349" i="26"/>
  <c r="D348" i="26"/>
  <c r="D347" i="26"/>
  <c r="D346" i="26"/>
  <c r="D345" i="26"/>
  <c r="D344" i="26"/>
  <c r="D343" i="26"/>
  <c r="D342" i="26"/>
  <c r="D341" i="26"/>
  <c r="D340" i="26"/>
  <c r="D339" i="26"/>
  <c r="D338" i="26"/>
  <c r="D337" i="26"/>
  <c r="D336" i="26"/>
  <c r="D335" i="26"/>
  <c r="D334" i="26"/>
  <c r="D333" i="26"/>
  <c r="D332" i="26"/>
  <c r="D331" i="26"/>
  <c r="D330" i="26"/>
  <c r="D329" i="26"/>
  <c r="D328" i="26"/>
  <c r="D327" i="26"/>
  <c r="D326" i="26"/>
  <c r="D325" i="26"/>
  <c r="D324" i="26"/>
  <c r="D323" i="26"/>
  <c r="D322" i="26"/>
  <c r="D321" i="26"/>
  <c r="D320" i="26"/>
  <c r="D319" i="26"/>
  <c r="D318" i="26"/>
  <c r="D317" i="26"/>
  <c r="D316" i="26"/>
  <c r="D315" i="26"/>
  <c r="D314" i="26"/>
  <c r="D313" i="26"/>
  <c r="D312" i="26"/>
  <c r="D311" i="26"/>
  <c r="D310" i="26"/>
  <c r="D309" i="26"/>
  <c r="D308" i="26"/>
  <c r="D307" i="26"/>
  <c r="D306" i="26"/>
  <c r="D305" i="26"/>
  <c r="D304" i="26"/>
  <c r="D303" i="26"/>
  <c r="D302" i="26"/>
  <c r="D301" i="26"/>
  <c r="D300" i="26"/>
  <c r="D299" i="26"/>
  <c r="D298" i="26"/>
  <c r="D297" i="26"/>
  <c r="D296" i="26"/>
  <c r="D295" i="26"/>
  <c r="D294" i="26"/>
  <c r="D293" i="26"/>
  <c r="D292" i="26"/>
  <c r="D291" i="26"/>
  <c r="D290" i="26"/>
  <c r="D289" i="26"/>
  <c r="D288" i="26"/>
  <c r="D287" i="26"/>
  <c r="D286" i="26"/>
  <c r="D285" i="26"/>
  <c r="D284" i="26"/>
  <c r="D283" i="26"/>
  <c r="D282" i="26"/>
  <c r="D281" i="26"/>
  <c r="D280" i="26"/>
  <c r="D279" i="26"/>
  <c r="D278" i="26"/>
  <c r="D277" i="26"/>
  <c r="D276" i="26"/>
  <c r="D275" i="26"/>
  <c r="D274" i="26"/>
  <c r="D273" i="26"/>
  <c r="D272" i="26"/>
  <c r="D271" i="26"/>
  <c r="D270" i="26"/>
  <c r="D269" i="26"/>
  <c r="D268" i="26"/>
  <c r="D267" i="26"/>
  <c r="D266" i="26"/>
  <c r="D265" i="26"/>
  <c r="D264" i="26"/>
  <c r="D263" i="26"/>
  <c r="D262" i="26"/>
  <c r="D261" i="26"/>
  <c r="D260" i="26"/>
  <c r="D259" i="26"/>
  <c r="D258" i="26"/>
  <c r="D257" i="26"/>
  <c r="D256" i="26"/>
  <c r="D255" i="26"/>
  <c r="D254" i="26"/>
  <c r="D253" i="26"/>
  <c r="D252" i="26"/>
  <c r="D251" i="26"/>
  <c r="D250" i="26"/>
  <c r="D249" i="26"/>
  <c r="D248" i="26"/>
  <c r="D247" i="26"/>
  <c r="D246" i="26"/>
  <c r="D245" i="26"/>
  <c r="D244" i="26"/>
  <c r="D243" i="26"/>
  <c r="D242" i="26"/>
  <c r="D241" i="26"/>
  <c r="D240" i="26"/>
  <c r="D239" i="26"/>
  <c r="D238" i="26"/>
  <c r="D237" i="26"/>
  <c r="D236" i="26"/>
  <c r="D235" i="26"/>
  <c r="D234" i="26"/>
  <c r="D233" i="26"/>
  <c r="D232" i="26"/>
  <c r="D231" i="26"/>
  <c r="D230" i="26"/>
  <c r="D229" i="26"/>
  <c r="D228" i="26"/>
  <c r="D227" i="26"/>
  <c r="D226" i="26"/>
  <c r="D225" i="26"/>
  <c r="D224" i="26"/>
  <c r="D223" i="26"/>
  <c r="D222" i="26"/>
  <c r="D221" i="26"/>
  <c r="D220" i="26"/>
  <c r="D219" i="26"/>
  <c r="D218" i="26"/>
  <c r="D217" i="26"/>
  <c r="D216" i="26"/>
  <c r="D215" i="26"/>
  <c r="D214" i="26"/>
  <c r="D213" i="26"/>
  <c r="D212" i="26"/>
  <c r="D211" i="26"/>
  <c r="D210" i="26"/>
  <c r="D209" i="26"/>
  <c r="D208" i="26"/>
  <c r="D207" i="26"/>
  <c r="D206" i="26"/>
  <c r="D205" i="26"/>
  <c r="D204" i="26"/>
  <c r="D203" i="26"/>
  <c r="D202" i="26"/>
  <c r="D201" i="26"/>
  <c r="D200" i="26"/>
  <c r="D199" i="26"/>
  <c r="D198" i="26"/>
  <c r="D197" i="26"/>
  <c r="D196" i="26"/>
  <c r="D195" i="26"/>
  <c r="D194" i="26"/>
  <c r="D193" i="26"/>
  <c r="D192" i="26"/>
  <c r="D191" i="26"/>
  <c r="D190" i="26"/>
  <c r="D189" i="26"/>
  <c r="D188" i="26"/>
  <c r="D187" i="26"/>
  <c r="D186" i="26"/>
  <c r="D185" i="26"/>
  <c r="D184" i="26"/>
  <c r="D183" i="26"/>
  <c r="D182" i="26"/>
  <c r="D181" i="26"/>
  <c r="D180" i="26"/>
  <c r="D179" i="26"/>
  <c r="D178" i="26"/>
  <c r="D177" i="26"/>
  <c r="D176" i="26"/>
  <c r="D175" i="26"/>
  <c r="D174" i="26"/>
  <c r="D173" i="26"/>
  <c r="D172" i="26"/>
  <c r="D171" i="26"/>
  <c r="D170" i="26"/>
  <c r="D169" i="26"/>
  <c r="D168" i="26"/>
  <c r="D167" i="26"/>
  <c r="D166" i="26"/>
  <c r="D165" i="26"/>
  <c r="D164" i="26"/>
  <c r="D163" i="26"/>
  <c r="D162" i="26"/>
  <c r="D161" i="26"/>
  <c r="D160" i="26"/>
  <c r="D159" i="26"/>
  <c r="D158" i="26"/>
  <c r="D157" i="26"/>
  <c r="D156" i="26"/>
  <c r="D155" i="26"/>
  <c r="D154" i="26"/>
  <c r="D153" i="26"/>
  <c r="D152" i="26"/>
  <c r="D151" i="26"/>
  <c r="D150" i="26"/>
  <c r="D149" i="26"/>
  <c r="D148" i="26"/>
  <c r="D147" i="26"/>
  <c r="D146" i="26"/>
  <c r="D145" i="26"/>
  <c r="D144" i="26"/>
  <c r="D143" i="26"/>
  <c r="D142" i="26"/>
  <c r="D141" i="26"/>
  <c r="D140" i="26"/>
  <c r="D139" i="26"/>
  <c r="D138" i="26"/>
  <c r="D137" i="26"/>
  <c r="D136" i="26"/>
  <c r="D135" i="26"/>
  <c r="D134" i="26"/>
  <c r="D133" i="26"/>
  <c r="D132" i="26"/>
  <c r="D131" i="26"/>
  <c r="D130" i="26"/>
  <c r="D129" i="26"/>
  <c r="D128" i="26"/>
  <c r="D127" i="26"/>
  <c r="D126" i="26"/>
  <c r="D125" i="26"/>
  <c r="D124" i="26"/>
  <c r="D123" i="26"/>
  <c r="D122" i="26"/>
  <c r="D121" i="26"/>
  <c r="D120" i="26"/>
  <c r="D119" i="26"/>
  <c r="D118" i="26"/>
  <c r="D117" i="26"/>
  <c r="D116" i="26"/>
  <c r="D115" i="26"/>
  <c r="D114" i="26"/>
  <c r="D113" i="26"/>
  <c r="D112" i="26"/>
  <c r="D111" i="26"/>
  <c r="D110" i="26"/>
  <c r="D109" i="26"/>
  <c r="D108" i="26"/>
  <c r="D107" i="26"/>
  <c r="D106" i="26"/>
  <c r="D105" i="26"/>
  <c r="D104" i="26"/>
  <c r="D103" i="26"/>
  <c r="D102" i="26"/>
  <c r="D101" i="26"/>
  <c r="D100" i="26"/>
  <c r="D99" i="26"/>
  <c r="D98" i="26"/>
  <c r="D97" i="26"/>
  <c r="D96" i="26"/>
  <c r="D95" i="26"/>
  <c r="D94" i="26"/>
  <c r="D93" i="26"/>
  <c r="D92" i="26"/>
  <c r="D91" i="26"/>
  <c r="D90" i="26"/>
  <c r="D89" i="26"/>
  <c r="D88" i="26"/>
  <c r="D87" i="26"/>
  <c r="D86" i="26"/>
  <c r="D85" i="26"/>
  <c r="D84" i="26"/>
  <c r="D83" i="26"/>
  <c r="D82" i="26"/>
  <c r="D81" i="26"/>
  <c r="D80" i="26"/>
  <c r="D79" i="26"/>
  <c r="D78" i="26"/>
  <c r="D77" i="26"/>
  <c r="D76" i="26"/>
  <c r="D75" i="26"/>
  <c r="D74" i="26"/>
  <c r="D73" i="26"/>
  <c r="D72" i="26"/>
  <c r="D71" i="26"/>
  <c r="D70" i="26"/>
  <c r="D69" i="26"/>
  <c r="D68" i="26"/>
  <c r="D67" i="26"/>
  <c r="D66" i="26"/>
  <c r="D65" i="26"/>
  <c r="K39" i="26"/>
  <c r="K38" i="26"/>
  <c r="K37" i="26"/>
  <c r="K36" i="26"/>
  <c r="K34" i="26"/>
  <c r="K33" i="26"/>
  <c r="K31" i="26"/>
  <c r="K30" i="26"/>
  <c r="K28" i="26"/>
  <c r="K27" i="26"/>
  <c r="K25" i="26"/>
  <c r="K23" i="26"/>
  <c r="K20" i="26"/>
  <c r="K19" i="26"/>
  <c r="K14" i="26"/>
  <c r="L20" i="26" l="1"/>
  <c r="L31" i="26"/>
  <c r="B8" i="26" s="1"/>
  <c r="L23" i="26"/>
  <c r="L30" i="26"/>
  <c r="D8" i="26" l="1"/>
  <c r="C40" i="27"/>
  <c r="C52" i="27" s="1"/>
  <c r="G40" i="27"/>
  <c r="G52" i="27" s="1"/>
  <c r="E40" i="27"/>
  <c r="E52" i="27" s="1"/>
  <c r="V4" i="1"/>
  <c r="C7" i="25" s="1"/>
  <c r="C8" i="25" s="1"/>
  <c r="H3" i="1" l="1"/>
  <c r="H7" i="1" s="1"/>
  <c r="H11" i="1" s="1"/>
  <c r="H15" i="1" s="1"/>
  <c r="H19" i="1" s="1"/>
  <c r="H4" i="1"/>
  <c r="H8" i="1" s="1"/>
  <c r="H12" i="1" s="1"/>
  <c r="H16" i="1" s="1"/>
  <c r="H20" i="1" s="1"/>
  <c r="H13" i="1"/>
  <c r="H17" i="1" l="1"/>
  <c r="H6" i="1"/>
  <c r="H10" i="1" s="1"/>
  <c r="H14" i="1" s="1"/>
  <c r="H18" i="1" s="1"/>
  <c r="E6" i="1" l="1"/>
  <c r="F4" i="1"/>
  <c r="V3" i="1"/>
  <c r="B7" i="25" l="1"/>
  <c r="B8" i="25" s="1"/>
  <c r="C5" i="25"/>
  <c r="C6" i="25" s="1"/>
  <c r="K12" i="1" l="1"/>
  <c r="A20" i="21" l="1"/>
  <c r="A18" i="21"/>
  <c r="A16" i="21"/>
  <c r="A15" i="21"/>
  <c r="A14" i="21"/>
  <c r="A12" i="21"/>
  <c r="A11" i="21"/>
  <c r="A8" i="21"/>
  <c r="A7" i="21"/>
  <c r="A6" i="21"/>
  <c r="A5" i="21"/>
  <c r="A4" i="21"/>
  <c r="A3" i="21"/>
  <c r="A20" i="19"/>
  <c r="A18" i="19"/>
  <c r="A16" i="19"/>
  <c r="A15" i="19"/>
  <c r="A14" i="19"/>
  <c r="A12" i="19"/>
  <c r="A11" i="19"/>
  <c r="A8" i="19"/>
  <c r="A7" i="19"/>
  <c r="A6" i="19"/>
  <c r="A5" i="19"/>
  <c r="A4" i="19"/>
  <c r="A3" i="19"/>
  <c r="A4" i="18"/>
  <c r="A5" i="18"/>
  <c r="A6" i="18"/>
  <c r="A7" i="18"/>
  <c r="A8" i="18"/>
  <c r="A11" i="18"/>
  <c r="A12" i="18"/>
  <c r="A14" i="18"/>
  <c r="A15" i="18"/>
  <c r="A16" i="18"/>
  <c r="A18" i="18"/>
  <c r="A20" i="18"/>
  <c r="A3" i="18"/>
  <c r="K20" i="1" l="1"/>
  <c r="K18" i="1"/>
  <c r="K6" i="1" l="1"/>
  <c r="E7" i="1" l="1"/>
  <c r="E11" i="1" l="1"/>
  <c r="E8" i="1" l="1"/>
  <c r="E12" i="1" l="1"/>
  <c r="E16" i="1" s="1"/>
  <c r="E20" i="1" s="1"/>
  <c r="E10" i="1"/>
  <c r="E15" i="1"/>
  <c r="E19" i="1" l="1"/>
  <c r="E14" i="1"/>
  <c r="K14" i="1"/>
  <c r="K10" i="1"/>
  <c r="E18" i="1" l="1"/>
  <c r="I8" i="1"/>
  <c r="I12" i="1" l="1"/>
  <c r="I16" i="1" l="1"/>
  <c r="I20" i="1" l="1"/>
  <c r="K8" i="1" l="1"/>
  <c r="K16" i="1"/>
  <c r="W4" i="1" l="1"/>
  <c r="W3" i="1"/>
  <c r="W8" i="1" l="1"/>
  <c r="W7" i="1"/>
  <c r="W6" i="1"/>
  <c r="W10" i="1" l="1"/>
  <c r="W11" i="1"/>
  <c r="W12" i="1"/>
  <c r="B5" i="25"/>
  <c r="B6" i="25" s="1"/>
  <c r="I7" i="1"/>
  <c r="I15" i="1"/>
  <c r="I6" i="1"/>
  <c r="W16" i="1" l="1"/>
  <c r="W15" i="1"/>
  <c r="W14" i="1"/>
  <c r="I10" i="1"/>
  <c r="I11" i="1"/>
  <c r="I19" i="1"/>
  <c r="W18" i="1" l="1"/>
  <c r="W19" i="1"/>
  <c r="W20" i="1"/>
  <c r="I14" i="1"/>
  <c r="I18" i="1" l="1"/>
  <c r="B41" i="26" l="1"/>
  <c r="E37" i="27" s="1"/>
  <c r="D41" i="26"/>
  <c r="B11" i="26"/>
  <c r="D40" i="26"/>
  <c r="B10" i="26"/>
  <c r="D39" i="26"/>
  <c r="B9" i="26"/>
  <c r="D38" i="26"/>
  <c r="B36" i="26"/>
  <c r="E32" i="27" s="1"/>
  <c r="D36" i="26"/>
  <c r="B38" i="26"/>
  <c r="E34" i="27" s="1"/>
  <c r="D11" i="26"/>
  <c r="B39" i="26"/>
  <c r="E35" i="27" s="1"/>
  <c r="D10" i="26"/>
  <c r="B40" i="26"/>
  <c r="E36" i="27" s="1"/>
  <c r="D9" i="26"/>
  <c r="D12" i="26"/>
  <c r="B44" i="26"/>
  <c r="D44" i="26"/>
  <c r="B14" i="26" l="1"/>
  <c r="D14" i="26"/>
  <c r="G15" i="27"/>
  <c r="E15" i="27"/>
  <c r="C34" i="27"/>
  <c r="G34" i="27"/>
  <c r="C32" i="27"/>
  <c r="G32" i="27"/>
  <c r="G9" i="27"/>
  <c r="C9" i="27"/>
  <c r="D52" i="26"/>
  <c r="E9" i="27"/>
  <c r="B52" i="26"/>
  <c r="E11" i="27"/>
  <c r="E49" i="27" s="1"/>
  <c r="B54" i="26"/>
  <c r="B51" i="26"/>
  <c r="E10" i="27"/>
  <c r="E48" i="27" s="1"/>
  <c r="B53" i="26"/>
  <c r="C37" i="27"/>
  <c r="G37" i="27"/>
  <c r="B42" i="26"/>
  <c r="E38" i="27" s="1"/>
  <c r="G10" i="27"/>
  <c r="C10" i="27"/>
  <c r="D53" i="26"/>
  <c r="C36" i="27"/>
  <c r="G36" i="27"/>
  <c r="D51" i="26"/>
  <c r="D42" i="26"/>
  <c r="C38" i="27" s="1"/>
  <c r="G35" i="27"/>
  <c r="C35" i="27"/>
  <c r="G11" i="27"/>
  <c r="C11" i="27"/>
  <c r="D54" i="26"/>
  <c r="D57" i="26" l="1"/>
  <c r="B57" i="26"/>
  <c r="G49" i="27"/>
  <c r="C49" i="27"/>
  <c r="C48" i="27"/>
  <c r="G48" i="27"/>
  <c r="E47" i="27"/>
  <c r="G38" i="27"/>
  <c r="C47" i="27"/>
  <c r="G47" i="27"/>
  <c r="G3" i="27" l="1"/>
  <c r="D3" i="26"/>
  <c r="D49" i="26" s="1"/>
  <c r="B3" i="26"/>
  <c r="B48" i="26" l="1"/>
  <c r="B49" i="26"/>
  <c r="E3" i="27"/>
  <c r="D48" i="26"/>
  <c r="D59" i="26" s="1"/>
  <c r="C3" i="27"/>
  <c r="C43" i="27" s="1"/>
  <c r="G43" i="27"/>
  <c r="B59" i="26" l="1"/>
  <c r="E43" i="27"/>
  <c r="C65" i="26" l="1"/>
  <c r="E65" i="26" l="1"/>
  <c r="B61" i="26"/>
  <c r="B62" i="26"/>
  <c r="O3" i="1" s="1"/>
  <c r="T3" i="1" l="1"/>
  <c r="D61" i="26"/>
  <c r="D62" i="26"/>
  <c r="O4" i="1" s="1"/>
  <c r="T4" i="1" s="1"/>
  <c r="G13" i="27" l="1"/>
  <c r="G46" i="27"/>
  <c r="G54" i="27" s="1"/>
  <c r="C46" i="27"/>
  <c r="C54" i="27" s="1"/>
  <c r="C13" i="27"/>
  <c r="E13" i="27"/>
  <c r="E46" i="27"/>
  <c r="E54" i="27" s="1"/>
  <c r="E21" i="27" l="1"/>
  <c r="C21" i="27"/>
  <c r="G21" i="27"/>
  <c r="B22" i="26" l="1"/>
  <c r="B23" i="26" s="1"/>
  <c r="D22" i="26"/>
  <c r="D23" i="26" s="1"/>
  <c r="C20" i="27" l="1"/>
  <c r="G20" i="27"/>
  <c r="E20" i="27"/>
  <c r="B20" i="26" l="1"/>
  <c r="B21" i="26" s="1"/>
  <c r="D20" i="26"/>
  <c r="D21" i="26" s="1"/>
  <c r="E22" i="27"/>
  <c r="E39" i="27"/>
  <c r="E51" i="27" s="1"/>
  <c r="E23" i="27"/>
  <c r="E24" i="27" s="1"/>
  <c r="C39" i="27"/>
  <c r="C51" i="27" s="1"/>
  <c r="C23" i="27"/>
  <c r="C24" i="27" s="1"/>
  <c r="C22" i="27"/>
  <c r="G23" i="27"/>
  <c r="G24" i="27" s="1"/>
  <c r="G39" i="27"/>
  <c r="G51" i="27" s="1"/>
  <c r="G22" i="27"/>
  <c r="D24" i="26" l="1"/>
  <c r="D43" i="26"/>
  <c r="D25" i="26"/>
  <c r="D26" i="26" s="1"/>
  <c r="B25" i="26"/>
  <c r="B26" i="26" s="1"/>
  <c r="B24" i="26"/>
  <c r="B43" i="26"/>
  <c r="L4" i="1" l="1"/>
  <c r="D4" i="1" s="1"/>
  <c r="L3" i="1"/>
  <c r="D3" i="1" s="1"/>
  <c r="AA4" i="1" l="1"/>
  <c r="J4" i="1"/>
  <c r="D12" i="1"/>
  <c r="D8" i="1"/>
  <c r="C11" i="25"/>
  <c r="M4" i="1"/>
  <c r="M3" i="1"/>
  <c r="C3" i="1"/>
  <c r="AA3" i="1"/>
  <c r="D11" i="1"/>
  <c r="D10" i="1"/>
  <c r="D15" i="1"/>
  <c r="D19" i="1"/>
  <c r="B11" i="25"/>
  <c r="D14" i="1"/>
  <c r="J3" i="1"/>
  <c r="D6" i="1"/>
  <c r="D18" i="1"/>
  <c r="B4" i="26"/>
  <c r="B5" i="26" s="1"/>
  <c r="B28" i="26" s="1"/>
  <c r="N3" i="1" s="1"/>
  <c r="D4" i="26"/>
  <c r="D5" i="26" s="1"/>
  <c r="D28" i="26" s="1"/>
  <c r="N4" i="1" s="1"/>
  <c r="D7" i="1" l="1"/>
  <c r="C11" i="21"/>
  <c r="C11" i="19"/>
  <c r="D11" i="20"/>
  <c r="B11" i="18"/>
  <c r="C10" i="1"/>
  <c r="C12" i="1"/>
  <c r="D11" i="18"/>
  <c r="D16" i="1"/>
  <c r="C14" i="1" s="1"/>
  <c r="C11" i="1"/>
  <c r="C11" i="18"/>
  <c r="G3" i="1"/>
  <c r="C4" i="1"/>
  <c r="Z8" i="1" s="1"/>
  <c r="Z12" i="1" s="1"/>
  <c r="Z16" i="1" s="1"/>
  <c r="B12" i="25"/>
  <c r="B16" i="25" s="1"/>
  <c r="B11" i="21"/>
  <c r="B11" i="20"/>
  <c r="G4" i="1"/>
  <c r="S4" i="1" s="1"/>
  <c r="B11" i="19"/>
  <c r="U3" i="1"/>
  <c r="B4" i="25"/>
  <c r="B14" i="25" s="1"/>
  <c r="B3" i="25"/>
  <c r="U4" i="1"/>
  <c r="C3" i="25"/>
  <c r="C4" i="25"/>
  <c r="C14" i="25" s="1"/>
  <c r="C11" i="20" l="1"/>
  <c r="C7" i="1"/>
  <c r="C6" i="1"/>
  <c r="C8" i="1"/>
  <c r="S3" i="1"/>
  <c r="P4" i="1"/>
  <c r="Z20" i="1"/>
  <c r="D12" i="19"/>
  <c r="D11" i="19"/>
  <c r="D20" i="1"/>
  <c r="C16" i="1"/>
  <c r="D12" i="18"/>
  <c r="D16" i="18" s="1"/>
  <c r="Z6" i="1"/>
  <c r="Z7" i="1"/>
  <c r="C12" i="20" s="1"/>
  <c r="C16" i="20" s="1"/>
  <c r="Z11" i="1"/>
  <c r="Z15" i="1" s="1"/>
  <c r="Y4" i="1"/>
  <c r="D12" i="20"/>
  <c r="D16" i="20" s="1"/>
  <c r="C12" i="25"/>
  <c r="C16" i="25" s="1"/>
  <c r="P3" i="1"/>
  <c r="C15" i="1"/>
  <c r="U8" i="1"/>
  <c r="U7" i="1"/>
  <c r="U6" i="1"/>
  <c r="D16" i="19" l="1"/>
  <c r="C12" i="18"/>
  <c r="C16" i="18" s="1"/>
  <c r="Y3" i="1"/>
  <c r="D12" i="21"/>
  <c r="D11" i="21"/>
  <c r="C20" i="1"/>
  <c r="C19" i="1"/>
  <c r="C18" i="1"/>
  <c r="Q3" i="1"/>
  <c r="R3" i="1"/>
  <c r="R4" i="1"/>
  <c r="Q4" i="1"/>
  <c r="AB4" i="1"/>
  <c r="Z19" i="1"/>
  <c r="C12" i="21" s="1"/>
  <c r="C16" i="21" s="1"/>
  <c r="C12" i="19"/>
  <c r="C16" i="19" s="1"/>
  <c r="Z10" i="1"/>
  <c r="B12" i="20"/>
  <c r="B16" i="20" s="1"/>
  <c r="M18" i="1"/>
  <c r="M19" i="1"/>
  <c r="J19" i="1" s="1"/>
  <c r="M10" i="1"/>
  <c r="M11" i="1"/>
  <c r="J11" i="1" s="1"/>
  <c r="M15" i="1"/>
  <c r="J15" i="1" s="1"/>
  <c r="M14" i="1"/>
  <c r="U11" i="1"/>
  <c r="U10" i="1"/>
  <c r="U12" i="1"/>
  <c r="M8" i="1"/>
  <c r="J8" i="1" s="1"/>
  <c r="M7" i="1"/>
  <c r="J7" i="1" s="1"/>
  <c r="M6" i="1"/>
  <c r="J6" i="1" s="1"/>
  <c r="E4" i="27"/>
  <c r="D16" i="21" l="1"/>
  <c r="AB3" i="1"/>
  <c r="B9" i="25"/>
  <c r="B10" i="25" s="1"/>
  <c r="B15" i="25" s="1"/>
  <c r="B18" i="25" s="1"/>
  <c r="X3" i="1"/>
  <c r="C9" i="25"/>
  <c r="C10" i="25" s="1"/>
  <c r="C15" i="25" s="1"/>
  <c r="C18" i="25" s="1"/>
  <c r="X4" i="1"/>
  <c r="Z14" i="1"/>
  <c r="B12" i="18"/>
  <c r="B16" i="18" s="1"/>
  <c r="F15" i="1"/>
  <c r="F11" i="1"/>
  <c r="F19" i="1"/>
  <c r="F6" i="1"/>
  <c r="F7" i="1"/>
  <c r="F8" i="1"/>
  <c r="U15" i="1"/>
  <c r="C4" i="27"/>
  <c r="G4" i="27"/>
  <c r="M16" i="1"/>
  <c r="J16" i="1" s="1"/>
  <c r="J14" i="1"/>
  <c r="E5" i="27"/>
  <c r="E27" i="27" s="1"/>
  <c r="E44" i="27"/>
  <c r="E56" i="27" s="1"/>
  <c r="E62" i="27" s="1"/>
  <c r="M12" i="1"/>
  <c r="J12" i="1" s="1"/>
  <c r="J10" i="1"/>
  <c r="U16" i="1"/>
  <c r="U14" i="1"/>
  <c r="M20" i="1"/>
  <c r="J20" i="1" s="1"/>
  <c r="J18" i="1"/>
  <c r="P11" i="1" l="1"/>
  <c r="Q11" i="1" s="1"/>
  <c r="C9" i="18" s="1"/>
  <c r="C10" i="18" s="1"/>
  <c r="C5" i="21"/>
  <c r="C6" i="21" s="1"/>
  <c r="C5" i="19"/>
  <c r="C6" i="19" s="1"/>
  <c r="P8" i="1"/>
  <c r="Q8" i="1" s="1"/>
  <c r="E18" i="25"/>
  <c r="E22" i="25" s="1"/>
  <c r="E19" i="25" s="1"/>
  <c r="P19" i="1"/>
  <c r="Q19" i="1" s="1"/>
  <c r="D5" i="20"/>
  <c r="D6" i="20" s="1"/>
  <c r="D5" i="18"/>
  <c r="D6" i="18" s="1"/>
  <c r="P15" i="1"/>
  <c r="R15" i="1" s="1"/>
  <c r="P6" i="1"/>
  <c r="Q6" i="1" s="1"/>
  <c r="B5" i="20"/>
  <c r="B6" i="20" s="1"/>
  <c r="P7" i="1"/>
  <c r="Q7" i="1" s="1"/>
  <c r="C5" i="20"/>
  <c r="C6" i="20" s="1"/>
  <c r="C5" i="18"/>
  <c r="C6" i="18" s="1"/>
  <c r="Z18" i="1"/>
  <c r="B12" i="21" s="1"/>
  <c r="B16" i="21" s="1"/>
  <c r="B12" i="19"/>
  <c r="B16" i="19" s="1"/>
  <c r="F14" i="1"/>
  <c r="F16" i="1"/>
  <c r="F10" i="1"/>
  <c r="F12" i="1"/>
  <c r="F18" i="1"/>
  <c r="F20" i="1"/>
  <c r="E58" i="27"/>
  <c r="E59" i="27"/>
  <c r="U20" i="1"/>
  <c r="G5" i="27"/>
  <c r="G27" i="27" s="1"/>
  <c r="G44" i="27"/>
  <c r="G56" i="27" s="1"/>
  <c r="G62" i="27" s="1"/>
  <c r="C5" i="27"/>
  <c r="C27" i="27" s="1"/>
  <c r="C44" i="27"/>
  <c r="C56" i="27" s="1"/>
  <c r="C62" i="27" s="1"/>
  <c r="N15" i="1"/>
  <c r="N19" i="1"/>
  <c r="N7" i="1"/>
  <c r="E28" i="27"/>
  <c r="N11" i="1"/>
  <c r="U18" i="1"/>
  <c r="U19" i="1"/>
  <c r="R11" i="1" l="1"/>
  <c r="V11" i="1" s="1"/>
  <c r="C7" i="18" s="1"/>
  <c r="C8" i="18" s="1"/>
  <c r="C15" i="18" s="1"/>
  <c r="R19" i="1"/>
  <c r="V19" i="1" s="1"/>
  <c r="C7" i="21" s="1"/>
  <c r="C8" i="21" s="1"/>
  <c r="P14" i="1"/>
  <c r="Q14" i="1" s="1"/>
  <c r="R8" i="1"/>
  <c r="V8" i="1" s="1"/>
  <c r="E20" i="25"/>
  <c r="H20" i="25" s="1"/>
  <c r="AD4" i="1" s="1"/>
  <c r="Q15" i="1"/>
  <c r="V15" i="1" s="1"/>
  <c r="R7" i="1"/>
  <c r="V7" i="1" s="1"/>
  <c r="R6" i="1"/>
  <c r="V6" i="1" s="1"/>
  <c r="X6" i="1" s="1"/>
  <c r="B5" i="19"/>
  <c r="B6" i="19" s="1"/>
  <c r="P18" i="1"/>
  <c r="Q18" i="1" s="1"/>
  <c r="P10" i="1"/>
  <c r="Q10" i="1" s="1"/>
  <c r="D5" i="19"/>
  <c r="D6" i="19" s="1"/>
  <c r="P16" i="1"/>
  <c r="Q16" i="1" s="1"/>
  <c r="B5" i="18"/>
  <c r="B6" i="18" s="1"/>
  <c r="P12" i="1"/>
  <c r="R12" i="1" s="1"/>
  <c r="P20" i="1"/>
  <c r="Q20" i="1" s="1"/>
  <c r="D5" i="21"/>
  <c r="D6" i="21" s="1"/>
  <c r="B5" i="21"/>
  <c r="B6" i="21" s="1"/>
  <c r="G59" i="27"/>
  <c r="G58" i="27"/>
  <c r="C9" i="21"/>
  <c r="C10" i="21" s="1"/>
  <c r="B9" i="20"/>
  <c r="B10" i="20" s="1"/>
  <c r="S19" i="1"/>
  <c r="C3" i="21"/>
  <c r="N12" i="1"/>
  <c r="N8" i="1"/>
  <c r="G28" i="27"/>
  <c r="N20" i="1"/>
  <c r="N16" i="1"/>
  <c r="D3" i="19"/>
  <c r="D3" i="21"/>
  <c r="C3" i="19"/>
  <c r="S15" i="1"/>
  <c r="C9" i="20"/>
  <c r="C10" i="20" s="1"/>
  <c r="C3" i="20"/>
  <c r="S7" i="1"/>
  <c r="D9" i="20"/>
  <c r="D10" i="20" s="1"/>
  <c r="C59" i="27"/>
  <c r="C58" i="27"/>
  <c r="O19" i="1"/>
  <c r="O11" i="1"/>
  <c r="T11" i="1" s="1"/>
  <c r="AA11" i="1" s="1"/>
  <c r="O15" i="1"/>
  <c r="T15" i="1" s="1"/>
  <c r="AA15" i="1" s="1"/>
  <c r="O7" i="1"/>
  <c r="T7" i="1" s="1"/>
  <c r="AA7" i="1" s="1"/>
  <c r="N6" i="1"/>
  <c r="S6" i="1" s="1"/>
  <c r="N18" i="1"/>
  <c r="N14" i="1"/>
  <c r="S14" i="1" s="1"/>
  <c r="C28" i="27"/>
  <c r="N10" i="1"/>
  <c r="C3" i="18"/>
  <c r="S11" i="1"/>
  <c r="R14" i="1" l="1"/>
  <c r="C9" i="19"/>
  <c r="C10" i="19" s="1"/>
  <c r="T19" i="1"/>
  <c r="AA19" i="1" s="1"/>
  <c r="Y6" i="1"/>
  <c r="R10" i="1"/>
  <c r="V10" i="1" s="1"/>
  <c r="R18" i="1"/>
  <c r="V18" i="1" s="1"/>
  <c r="Q12" i="1"/>
  <c r="V12" i="1" s="1"/>
  <c r="R16" i="1"/>
  <c r="V16" i="1" s="1"/>
  <c r="Y11" i="1"/>
  <c r="R20" i="1"/>
  <c r="V20" i="1" s="1"/>
  <c r="Y7" i="1"/>
  <c r="X19" i="1"/>
  <c r="X11" i="1"/>
  <c r="C15" i="21"/>
  <c r="S20" i="1"/>
  <c r="Y15" i="1"/>
  <c r="C7" i="19"/>
  <c r="C8" i="19" s="1"/>
  <c r="X15" i="1"/>
  <c r="B9" i="18"/>
  <c r="B10" i="18" s="1"/>
  <c r="S16" i="1"/>
  <c r="C4" i="18"/>
  <c r="C14" i="18" s="1"/>
  <c r="C18" i="18" s="1"/>
  <c r="B9" i="19"/>
  <c r="B10" i="19" s="1"/>
  <c r="V14" i="1"/>
  <c r="O20" i="1"/>
  <c r="T20" i="1" s="1"/>
  <c r="AA20" i="1" s="1"/>
  <c r="O8" i="1"/>
  <c r="T8" i="1" s="1"/>
  <c r="AA8" i="1" s="1"/>
  <c r="O16" i="1"/>
  <c r="T16" i="1" s="1"/>
  <c r="AA16" i="1" s="1"/>
  <c r="O12" i="1"/>
  <c r="T12" i="1" s="1"/>
  <c r="AA12" i="1" s="1"/>
  <c r="C4" i="21"/>
  <c r="C14" i="21" s="1"/>
  <c r="Y19" i="1"/>
  <c r="O6" i="1"/>
  <c r="O10" i="1"/>
  <c r="O14" i="1"/>
  <c r="O18" i="1"/>
  <c r="T18" i="1" s="1"/>
  <c r="AA18" i="1" s="1"/>
  <c r="B3" i="19"/>
  <c r="D7" i="20"/>
  <c r="D8" i="20" s="1"/>
  <c r="X8" i="1"/>
  <c r="C4" i="19"/>
  <c r="C14" i="19" s="1"/>
  <c r="D9" i="21"/>
  <c r="D10" i="21" s="1"/>
  <c r="B9" i="21"/>
  <c r="B10" i="21" s="1"/>
  <c r="C4" i="20"/>
  <c r="C14" i="20" s="1"/>
  <c r="D3" i="20"/>
  <c r="S8" i="1"/>
  <c r="C7" i="20"/>
  <c r="C8" i="20" s="1"/>
  <c r="C15" i="20" s="1"/>
  <c r="X7" i="1"/>
  <c r="S12" i="1"/>
  <c r="D3" i="18"/>
  <c r="B3" i="18"/>
  <c r="S10" i="1"/>
  <c r="D9" i="19"/>
  <c r="D10" i="19" s="1"/>
  <c r="S18" i="1"/>
  <c r="B3" i="21"/>
  <c r="B3" i="20"/>
  <c r="B7" i="20"/>
  <c r="B8" i="20" s="1"/>
  <c r="D9" i="18" l="1"/>
  <c r="D10" i="18" s="1"/>
  <c r="C15" i="19"/>
  <c r="C18" i="19" s="1"/>
  <c r="T10" i="1"/>
  <c r="AA10" i="1" s="1"/>
  <c r="T6" i="1"/>
  <c r="AA6" i="1" s="1"/>
  <c r="T14" i="1"/>
  <c r="AA14" i="1" s="1"/>
  <c r="AB7" i="1"/>
  <c r="AB11" i="1"/>
  <c r="AB15" i="1"/>
  <c r="Y18" i="1"/>
  <c r="Y8" i="1"/>
  <c r="Y12" i="1"/>
  <c r="D4" i="19"/>
  <c r="D14" i="19" s="1"/>
  <c r="Y14" i="1"/>
  <c r="C18" i="21"/>
  <c r="B4" i="21"/>
  <c r="B14" i="21" s="1"/>
  <c r="D4" i="18"/>
  <c r="D14" i="18" s="1"/>
  <c r="B4" i="18"/>
  <c r="B14" i="18" s="1"/>
  <c r="C18" i="20"/>
  <c r="B4" i="19"/>
  <c r="B14" i="19" s="1"/>
  <c r="D4" i="20"/>
  <c r="D14" i="20" s="1"/>
  <c r="B4" i="20"/>
  <c r="B14" i="20" s="1"/>
  <c r="D7" i="18"/>
  <c r="D8" i="18" s="1"/>
  <c r="X12" i="1"/>
  <c r="Y10" i="1"/>
  <c r="B7" i="18"/>
  <c r="B8" i="18" s="1"/>
  <c r="X10" i="1"/>
  <c r="AB19" i="1"/>
  <c r="B7" i="19"/>
  <c r="B8" i="19" s="1"/>
  <c r="X14" i="1"/>
  <c r="B7" i="21"/>
  <c r="B8" i="21" s="1"/>
  <c r="B15" i="21" s="1"/>
  <c r="X18" i="1"/>
  <c r="D15" i="20"/>
  <c r="B15" i="20"/>
  <c r="D7" i="19"/>
  <c r="D8" i="19" s="1"/>
  <c r="X16" i="1"/>
  <c r="Y20" i="1"/>
  <c r="D7" i="21"/>
  <c r="D8" i="21" s="1"/>
  <c r="D15" i="21" s="1"/>
  <c r="X20" i="1"/>
  <c r="Y16" i="1"/>
  <c r="D4" i="21"/>
  <c r="D14" i="21" s="1"/>
  <c r="AB18" i="1" l="1"/>
  <c r="AB10" i="1"/>
  <c r="AB14" i="1"/>
  <c r="AB12" i="1"/>
  <c r="AB6" i="1"/>
  <c r="AB20" i="1"/>
  <c r="AB8" i="1"/>
  <c r="B18" i="21"/>
  <c r="D18" i="20"/>
  <c r="B18" i="20"/>
  <c r="AB16" i="1"/>
  <c r="D18" i="21"/>
  <c r="D15" i="19"/>
  <c r="D18" i="19" s="1"/>
  <c r="B15" i="19"/>
  <c r="B18" i="19" s="1"/>
  <c r="D15" i="18"/>
  <c r="D18" i="18" s="1"/>
  <c r="B15" i="18"/>
  <c r="B18" i="18" s="1"/>
  <c r="AC16" i="1" l="1"/>
  <c r="AC12" i="1"/>
  <c r="AC20" i="1"/>
  <c r="AC8" i="1"/>
  <c r="F18" i="21"/>
  <c r="F22" i="21" s="1"/>
  <c r="F19" i="21" s="1"/>
  <c r="F18" i="20"/>
  <c r="F22" i="20" s="1"/>
  <c r="F18" i="18"/>
  <c r="F22" i="18" s="1"/>
  <c r="F19" i="18" s="1"/>
  <c r="F18" i="19"/>
  <c r="F22" i="19" s="1"/>
  <c r="F20" i="19" s="1"/>
  <c r="F20" i="18" l="1"/>
  <c r="I20" i="18" s="1"/>
  <c r="AD12" i="1" s="1"/>
  <c r="F20" i="21"/>
  <c r="I20" i="21" s="1"/>
  <c r="AD20" i="1" s="1"/>
  <c r="F19" i="19"/>
  <c r="I20" i="19" s="1"/>
  <c r="AD16" i="1" s="1"/>
  <c r="F20" i="20"/>
  <c r="F19" i="20"/>
  <c r="I20" i="20" l="1"/>
  <c r="AD8" i="1" s="1"/>
</calcChain>
</file>

<file path=xl/sharedStrings.xml><?xml version="1.0" encoding="utf-8"?>
<sst xmlns="http://schemas.openxmlformats.org/spreadsheetml/2006/main" count="249" uniqueCount="151">
  <si>
    <t>Feeding expenses</t>
  </si>
  <si>
    <t>Replacements</t>
  </si>
  <si>
    <t>Health</t>
  </si>
  <si>
    <t>New animal</t>
  </si>
  <si>
    <t>Total expenses (USD/head/year)</t>
  </si>
  <si>
    <t>Value milk production (USD/yr/cow)</t>
  </si>
  <si>
    <t>Reproductive inputs and services</t>
  </si>
  <si>
    <t>Net income gain over base</t>
  </si>
  <si>
    <t>Opportunity cost of land (USD/ha/yr)</t>
  </si>
  <si>
    <t>Change in cropping net income (USD)</t>
  </si>
  <si>
    <t>Price</t>
  </si>
  <si>
    <t>Feed expenses</t>
  </si>
  <si>
    <t>Standard deviation</t>
  </si>
  <si>
    <t>Reproductive inputs</t>
  </si>
  <si>
    <t>Mean</t>
  </si>
  <si>
    <t>Gilbert et al. (2018)</t>
  </si>
  <si>
    <t>Milk price (USD / l)</t>
  </si>
  <si>
    <t>Yield (L/year)</t>
  </si>
  <si>
    <t>Milk price</t>
  </si>
  <si>
    <t>Cropland allocation</t>
  </si>
  <si>
    <t>Cropland margin</t>
  </si>
  <si>
    <t>Total expenses</t>
  </si>
  <si>
    <t>Scenario</t>
  </si>
  <si>
    <t>GLS (2019) and typology</t>
  </si>
  <si>
    <t>Household type</t>
  </si>
  <si>
    <t xml:space="preserve">Sample size </t>
  </si>
  <si>
    <t>SE (fraction)</t>
  </si>
  <si>
    <t>Parameters that are specified manually (i.e. as part of a scenario definition)</t>
  </si>
  <si>
    <t>Standard error (%) improved forage yield</t>
  </si>
  <si>
    <t>Market price Maize bran (USD/kg)</t>
  </si>
  <si>
    <t>Market price Sunflower cake (USD/kg)</t>
  </si>
  <si>
    <t>Napier yield (Mg/ha)</t>
  </si>
  <si>
    <t>Feeding expenses (based on change in other sheet)</t>
  </si>
  <si>
    <t>Standard error (fraction) of herd size per household type</t>
  </si>
  <si>
    <t xml:space="preserve">Feeding expenses </t>
  </si>
  <si>
    <t xml:space="preserve">Opportunity cost land strata 1 </t>
  </si>
  <si>
    <t>Opportunity cost land strata 2</t>
  </si>
  <si>
    <t>Base 2018 animals in subsector</t>
  </si>
  <si>
    <t>Fraction local cattle not owned by pastoralist households</t>
  </si>
  <si>
    <t>Average household size (# people)</t>
  </si>
  <si>
    <t>Fraction cows to total herd</t>
  </si>
  <si>
    <t>Proportion of specific farm type's herd of cattle to total herd of same breed in population</t>
  </si>
  <si>
    <t>Dairy Income (USD/household/year)</t>
  </si>
  <si>
    <t>Non dairy income (USD/household/year)</t>
  </si>
  <si>
    <t>Estimated non dairy income (USD/person/day)</t>
  </si>
  <si>
    <t>Income per cow (USD/day)</t>
  </si>
  <si>
    <t>Random value income per cow (USD/day)</t>
  </si>
  <si>
    <t>Average number of cows per household (head)</t>
  </si>
  <si>
    <t>Random value cows per household (head)</t>
  </si>
  <si>
    <t>Random value non dairy income (USD/person/day)</t>
  </si>
  <si>
    <t>Quantity households</t>
  </si>
  <si>
    <t>SD quantity households</t>
  </si>
  <si>
    <t>Estimated population income (USD/yr)</t>
  </si>
  <si>
    <t>Mean population income (USD/yr)</t>
  </si>
  <si>
    <t xml:space="preserve">Net income </t>
  </si>
  <si>
    <t># projected animals in subsector (final year)</t>
  </si>
  <si>
    <t>Dairy income base year</t>
  </si>
  <si>
    <t>Dairy expenses</t>
  </si>
  <si>
    <t>--</t>
  </si>
  <si>
    <t>SE population income (USD/yr)</t>
  </si>
  <si>
    <t xml:space="preserve">Change in napier allocation (ha) </t>
  </si>
  <si>
    <t>Pasture yield (Mg/ha)</t>
  </si>
  <si>
    <t>Standard error (%) district level</t>
  </si>
  <si>
    <t>Revenue</t>
  </si>
  <si>
    <t>Variable expenses (USD/cow/year)</t>
  </si>
  <si>
    <t>Health inputs/services</t>
  </si>
  <si>
    <t>Reproductive inputs/services</t>
  </si>
  <si>
    <t>Heifer</t>
  </si>
  <si>
    <t xml:space="preserve">Cropping expenses </t>
  </si>
  <si>
    <t>Forage seeding cost (USD/yr)</t>
  </si>
  <si>
    <t>Uncertainty quantification</t>
  </si>
  <si>
    <t>Standard deviations of revenue, cost parameters</t>
  </si>
  <si>
    <t>Random values of parameters</t>
  </si>
  <si>
    <t>Monte carlo simulations (n = 500)</t>
  </si>
  <si>
    <t>Milk price (USD/litre)</t>
  </si>
  <si>
    <t>Milk yield (litre/cow/year)</t>
  </si>
  <si>
    <t>Value milk produced (USD/year/cow)</t>
  </si>
  <si>
    <t>Price acquring new animal (USD/head)</t>
  </si>
  <si>
    <t>Cropping expenses</t>
  </si>
  <si>
    <t>Cropping parameters</t>
  </si>
  <si>
    <t>Forage seeding cost (USD/ha/yr)</t>
  </si>
  <si>
    <t>Change in pasture allocation (ha)</t>
  </si>
  <si>
    <t>Forage seeding cost (USD/year)</t>
  </si>
  <si>
    <t>Use efficiency napier</t>
  </si>
  <si>
    <t>Use efficiency pasture</t>
  </si>
  <si>
    <t>Baseline</t>
  </si>
  <si>
    <t xml:space="preserve">Sources </t>
  </si>
  <si>
    <t>Total herd size base year (head)</t>
  </si>
  <si>
    <t>Total variable expenses (USD/head/year)</t>
  </si>
  <si>
    <t>Total change planted forage (ha)</t>
  </si>
  <si>
    <t>Amortization period (years)</t>
  </si>
  <si>
    <t>Parameters (as defined in Table 1 and other sections of text) (based on TLSA, URT 2017)</t>
  </si>
  <si>
    <t xml:space="preserve"> Dairy income by household</t>
  </si>
  <si>
    <t>Change in income from cropping (USD)</t>
  </si>
  <si>
    <t xml:space="preserve">Standard error (%) of net household income intervention scenario not including dairy </t>
  </si>
  <si>
    <t>Basic income parameters</t>
  </si>
  <si>
    <t>Price deflator</t>
  </si>
  <si>
    <t>Change in forage land area (ha)</t>
  </si>
  <si>
    <t>Napier allocation (ha)</t>
  </si>
  <si>
    <t>Pasture fed</t>
  </si>
  <si>
    <t>Pasture allocation (ha)</t>
  </si>
  <si>
    <t>Total improved forage area (ha)</t>
  </si>
  <si>
    <t>Forage seeding cost (USD)</t>
  </si>
  <si>
    <t>Napier fed (kg/yr)</t>
  </si>
  <si>
    <t>High ambition</t>
  </si>
  <si>
    <t>Middle road</t>
  </si>
  <si>
    <t>Status quo</t>
  </si>
  <si>
    <t>Middle road +</t>
  </si>
  <si>
    <t>Heifer cost (USD/head) (average, by dividing by time period)</t>
  </si>
  <si>
    <t>Reduction in non-dairy income through crop area change</t>
  </si>
  <si>
    <t>Total dairy income (USD/yr)</t>
  </si>
  <si>
    <t>Milk yield</t>
  </si>
  <si>
    <t>Milk yield standard error (fraction)</t>
  </si>
  <si>
    <t>New-improved</t>
  </si>
  <si>
    <t>Extant-improved</t>
  </si>
  <si>
    <t>Local-only</t>
  </si>
  <si>
    <t>High ambition ++</t>
  </si>
  <si>
    <t xml:space="preserve">Proportion of households within region  </t>
  </si>
  <si>
    <t>Fraction all dairy households adopting</t>
  </si>
  <si>
    <t>High ambition +</t>
  </si>
  <si>
    <t>All dairy households</t>
  </si>
  <si>
    <t>Income per cow (USD/yr)</t>
  </si>
  <si>
    <t>Random value income per cow (USD/yr)</t>
  </si>
  <si>
    <t>Cows per household (head)</t>
  </si>
  <si>
    <t>Non-dairy income (USD/yr)</t>
  </si>
  <si>
    <t>Random value non dairy income (USD/yr)</t>
  </si>
  <si>
    <t>Random value reduction/increase in non-dairy income (USD/yr)</t>
  </si>
  <si>
    <t>SE quantity households</t>
  </si>
  <si>
    <t>Number of households</t>
  </si>
  <si>
    <t>Average herd size (head</t>
  </si>
  <si>
    <t>Total number of cattle owned by households (head)</t>
  </si>
  <si>
    <t>Calculated income per cow (USD per cow per yr)</t>
  </si>
  <si>
    <t xml:space="preserve">Standard deviation income per cow </t>
  </si>
  <si>
    <t>Net income from dairy enterprise</t>
  </si>
  <si>
    <t>SD dairy income (USD per household)</t>
  </si>
  <si>
    <t>Projection from base year excluding dairy</t>
  </si>
  <si>
    <t xml:space="preserve">Total base year (2018) </t>
  </si>
  <si>
    <t>Total final year (simulated)</t>
  </si>
  <si>
    <t>Uncertainty in population percentage (used for quantifying uncertainty)</t>
  </si>
  <si>
    <t>Total income per household type (USD/yr)</t>
  </si>
  <si>
    <t>Aggregate absolute welfare gain/loss relative to Baseline (fraction)</t>
  </si>
  <si>
    <t>Standard error of imputed income at district level (%)</t>
  </si>
  <si>
    <t xml:space="preserve">Dairy Income </t>
  </si>
  <si>
    <r>
      <t xml:space="preserve">Household income </t>
    </r>
    <r>
      <rPr>
        <sz val="12"/>
        <color theme="1"/>
        <rFont val="Calibri"/>
        <family val="2"/>
        <scheme val="minor"/>
      </rPr>
      <t>(USD/yr)</t>
    </r>
  </si>
  <si>
    <t>District totals</t>
  </si>
  <si>
    <t>Average herd size (head) in base year (2018)</t>
  </si>
  <si>
    <t>Fraction Improved owned by other base year</t>
  </si>
  <si>
    <t>Fraction Improved owned by other farms  final year</t>
  </si>
  <si>
    <t>Ratio improved cattle for which new adopters adopt</t>
  </si>
  <si>
    <t xml:space="preserve">Adoption rate (% of newly local cattle rearing hholds) </t>
  </si>
  <si>
    <t xml:space="preserve">Adoption rate (% of all dairy hholds)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</si>
</sst>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43" formatCode="_(* #,##0.00_);_(* \(#,##0.00\);_(* &quot;-&quot;??_);_(@_)"/>
    <numFmt numFmtId="164" formatCode="0.0000"/>
    <numFmt numFmtId="165" formatCode="0.0"/>
    <numFmt numFmtId="166" formatCode="_(* #,##0.000_);_(* \(#,##0.000\);_(* &quot;-&quot;??_);_(@_)"/>
    <numFmt numFmtId="167" formatCode="_(* #,##0.0_);_(* \(#,##0.0\);_(* &quot;-&quot;??_);_(@_)"/>
    <numFmt numFmtId="168" formatCode="_(* #,##0_);_(* \(#,##0\);_(* &quot;-&quot;??_);_(@_)"/>
    <numFmt numFmtId="169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C0C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222222"/>
      <name val="Arial"/>
      <family val="2"/>
    </font>
    <font>
      <sz val="11"/>
      <color rgb="FF00B0F0"/>
      <name val="Calibri"/>
      <family val="2"/>
      <scheme val="minor"/>
    </font>
    <font>
      <sz val="11"/>
      <color rgb="FF003399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B88C00"/>
      <name val="Calibri"/>
      <family val="2"/>
      <scheme val="minor"/>
    </font>
    <font>
      <b/>
      <sz val="11"/>
      <color rgb="FFB88C00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43" fontId="0" fillId="0" borderId="0" xfId="1" applyFont="1" applyAlignment="1">
      <alignment horizontal="center"/>
    </xf>
    <xf numFmtId="43" fontId="0" fillId="0" borderId="0" xfId="0" applyNumberFormat="1"/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5" fillId="0" borderId="0" xfId="0" applyFont="1"/>
    <xf numFmtId="0" fontId="6" fillId="0" borderId="0" xfId="0" applyFont="1"/>
    <xf numFmtId="43" fontId="0" fillId="0" borderId="0" xfId="1" applyFont="1"/>
    <xf numFmtId="164" fontId="4" fillId="0" borderId="0" xfId="0" applyNumberFormat="1" applyFont="1"/>
    <xf numFmtId="164" fontId="0" fillId="0" borderId="0" xfId="0" applyNumberFormat="1"/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7" fillId="0" borderId="0" xfId="0" applyFont="1"/>
    <xf numFmtId="0" fontId="10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43" fontId="11" fillId="0" borderId="0" xfId="1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43" fontId="14" fillId="0" borderId="0" xfId="0" applyNumberFormat="1" applyFont="1"/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65" fontId="0" fillId="0" borderId="0" xfId="0" applyNumberFormat="1"/>
    <xf numFmtId="43" fontId="0" fillId="0" borderId="0" xfId="1" applyNumberFormat="1" applyFont="1" applyAlignment="1">
      <alignment horizontal="center"/>
    </xf>
    <xf numFmtId="167" fontId="0" fillId="0" borderId="0" xfId="0" applyNumberFormat="1"/>
    <xf numFmtId="166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/>
    <xf numFmtId="0" fontId="0" fillId="0" borderId="0" xfId="0" applyNumberFormat="1"/>
    <xf numFmtId="0" fontId="17" fillId="0" borderId="0" xfId="0" applyFont="1"/>
    <xf numFmtId="0" fontId="0" fillId="0" borderId="0" xfId="0" quotePrefix="1"/>
    <xf numFmtId="168" fontId="0" fillId="0" borderId="0" xfId="0" applyNumberFormat="1"/>
    <xf numFmtId="165" fontId="0" fillId="0" borderId="0" xfId="1" applyNumberFormat="1" applyFont="1"/>
    <xf numFmtId="0" fontId="0" fillId="0" borderId="0" xfId="0" quotePrefix="1" applyNumberFormat="1"/>
    <xf numFmtId="8" fontId="0" fillId="0" borderId="0" xfId="0" applyNumberFormat="1"/>
    <xf numFmtId="0" fontId="2" fillId="0" borderId="0" xfId="0" applyFont="1" applyAlignment="1">
      <alignment horizontal="center"/>
    </xf>
    <xf numFmtId="167" fontId="2" fillId="0" borderId="0" xfId="0" applyNumberFormat="1" applyFont="1"/>
    <xf numFmtId="43" fontId="2" fillId="0" borderId="0" xfId="0" applyNumberFormat="1" applyFont="1"/>
    <xf numFmtId="0" fontId="2" fillId="0" borderId="0" xfId="0" applyNumberFormat="1" applyFont="1"/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169" fontId="0" fillId="0" borderId="0" xfId="0" applyNumberFormat="1" applyAlignment="1">
      <alignment horizontal="center"/>
    </xf>
    <xf numFmtId="169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7" fontId="0" fillId="0" borderId="0" xfId="1" applyNumberFormat="1" applyFont="1" applyAlignment="1"/>
    <xf numFmtId="165" fontId="3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18" fillId="0" borderId="0" xfId="0" applyFont="1"/>
    <xf numFmtId="0" fontId="4" fillId="0" borderId="0" xfId="0" applyFont="1"/>
    <xf numFmtId="43" fontId="6" fillId="0" borderId="0" xfId="0" applyNumberFormat="1" applyFont="1"/>
    <xf numFmtId="167" fontId="11" fillId="0" borderId="0" xfId="0" applyNumberFormat="1" applyFont="1"/>
    <xf numFmtId="43" fontId="11" fillId="0" borderId="0" xfId="0" applyNumberFormat="1" applyFont="1"/>
    <xf numFmtId="166" fontId="11" fillId="0" borderId="0" xfId="0" applyNumberFormat="1" applyFont="1"/>
    <xf numFmtId="0" fontId="11" fillId="0" borderId="0" xfId="0" applyFont="1"/>
    <xf numFmtId="167" fontId="11" fillId="0" borderId="0" xfId="1" applyNumberFormat="1" applyFont="1" applyAlignment="1"/>
    <xf numFmtId="2" fontId="6" fillId="0" borderId="0" xfId="0" applyNumberFormat="1" applyFont="1"/>
    <xf numFmtId="43" fontId="19" fillId="0" borderId="0" xfId="0" applyNumberFormat="1" applyFont="1"/>
    <xf numFmtId="0" fontId="20" fillId="0" borderId="0" xfId="0" applyFont="1"/>
    <xf numFmtId="43" fontId="20" fillId="0" borderId="0" xfId="0" applyNumberFormat="1" applyFont="1"/>
    <xf numFmtId="167" fontId="20" fillId="0" borderId="0" xfId="0" applyNumberFormat="1" applyFont="1"/>
    <xf numFmtId="0" fontId="21" fillId="0" borderId="0" xfId="0" applyFont="1"/>
    <xf numFmtId="0" fontId="22" fillId="0" borderId="0" xfId="0" applyFont="1"/>
    <xf numFmtId="43" fontId="21" fillId="0" borderId="0" xfId="0" applyNumberFormat="1" applyFo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6" fontId="18" fillId="0" borderId="0" xfId="0" applyNumberFormat="1" applyFont="1"/>
    <xf numFmtId="165" fontId="0" fillId="0" borderId="0" xfId="0" applyNumberFormat="1" applyAlignment="1">
      <alignment horizontal="center"/>
    </xf>
    <xf numFmtId="165" fontId="2" fillId="0" borderId="0" xfId="0" applyNumberFormat="1" applyFont="1"/>
    <xf numFmtId="165" fontId="0" fillId="0" borderId="0" xfId="0" applyNumberFormat="1" applyFont="1" applyAlignment="1">
      <alignment horizontal="center"/>
    </xf>
    <xf numFmtId="166" fontId="20" fillId="0" borderId="0" xfId="0" applyNumberFormat="1" applyFon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/>
    <xf numFmtId="169" fontId="0" fillId="0" borderId="0" xfId="0" applyNumberFormat="1" applyAlignment="1">
      <alignment horizontal="center"/>
    </xf>
    <xf numFmtId="169" fontId="18" fillId="0" borderId="0" xfId="0" applyNumberFormat="1" applyFont="1"/>
    <xf numFmtId="0" fontId="23" fillId="0" borderId="0" xfId="0" applyFont="1"/>
    <xf numFmtId="165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/>
    <xf numFmtId="2" fontId="0" fillId="0" borderId="0" xfId="0" applyNumberFormat="1" applyAlignment="1"/>
    <xf numFmtId="169" fontId="18" fillId="0" borderId="0" xfId="0" applyNumberFormat="1" applyFont="1" applyAlignment="1">
      <alignment horizontal="right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2" fontId="18" fillId="0" borderId="0" xfId="0" applyNumberFormat="1" applyFont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8" fontId="0" fillId="0" borderId="0" xfId="0" applyNumberForma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5" fontId="2" fillId="0" borderId="0" xfId="0" applyNumberFormat="1" applyFont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CC00CC"/>
      <color rgb="FFB88C00"/>
      <color rgb="FF003399"/>
      <color rgb="FF00B0F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district_summa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scenario_parameters_LS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Currency_converter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global_parameter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interpolation_Rungw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output_ncc_m1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scenario_parameters_LS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Sensitiity analysis"/>
    </sheetNames>
    <sheetDataSet>
      <sheetData sheetId="0">
        <row r="3">
          <cell r="E3">
            <v>3858</v>
          </cell>
          <cell r="F3">
            <v>77</v>
          </cell>
          <cell r="G3">
            <v>11.4</v>
          </cell>
          <cell r="H3">
            <v>0.52700000000000002</v>
          </cell>
          <cell r="I3">
            <v>0.39</v>
          </cell>
          <cell r="J3">
            <v>6</v>
          </cell>
          <cell r="L3">
            <v>0.42680000000000001</v>
          </cell>
          <cell r="M3">
            <v>397.7</v>
          </cell>
          <cell r="N3">
            <v>175.7</v>
          </cell>
          <cell r="P3">
            <v>13</v>
          </cell>
          <cell r="R3">
            <v>0.3</v>
          </cell>
          <cell r="S3">
            <v>0.06</v>
          </cell>
          <cell r="U3">
            <v>155.1</v>
          </cell>
          <cell r="V3">
            <v>72.099999999999994</v>
          </cell>
          <cell r="W3">
            <v>72.2</v>
          </cell>
          <cell r="X3">
            <v>25.6</v>
          </cell>
          <cell r="Y3">
            <v>2.4</v>
          </cell>
        </row>
        <row r="4">
          <cell r="E4">
            <v>4226.45</v>
          </cell>
          <cell r="F4">
            <v>77</v>
          </cell>
          <cell r="G4">
            <v>2.8333330000000001</v>
          </cell>
          <cell r="H4">
            <v>0.42</v>
          </cell>
          <cell r="I4">
            <v>0.50487289999999996</v>
          </cell>
          <cell r="J4">
            <v>5.7</v>
          </cell>
          <cell r="L4">
            <v>0.4365</v>
          </cell>
          <cell r="N4">
            <v>148.1</v>
          </cell>
          <cell r="P4">
            <v>10.6</v>
          </cell>
          <cell r="Q4">
            <v>12.1</v>
          </cell>
          <cell r="R4">
            <v>1.3</v>
          </cell>
          <cell r="S4">
            <v>0.09</v>
          </cell>
          <cell r="U4">
            <v>173.5</v>
          </cell>
          <cell r="V4">
            <v>122.5</v>
          </cell>
          <cell r="W4">
            <v>78.2</v>
          </cell>
          <cell r="X4">
            <v>9.9</v>
          </cell>
          <cell r="Y4">
            <v>3.8</v>
          </cell>
        </row>
        <row r="7">
          <cell r="L7">
            <v>0.4365</v>
          </cell>
        </row>
        <row r="12">
          <cell r="B12">
            <v>285</v>
          </cell>
        </row>
      </sheetData>
      <sheetData sheetId="1">
        <row r="4">
          <cell r="C4">
            <v>1</v>
          </cell>
        </row>
        <row r="5">
          <cell r="C5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k_yield_changes "/>
      <sheetName val="Herd_size_changes "/>
      <sheetName val="numerical_resu"/>
      <sheetName val="prod_herd_data"/>
      <sheetName val="concentrate_feeding"/>
      <sheetName val="feeding_change_data"/>
      <sheetName val="FEEDING_base"/>
      <sheetName val="feeding_change_data_pasture"/>
      <sheetName val="Household_adoption"/>
    </sheetNames>
    <sheetDataSet>
      <sheetData sheetId="0"/>
      <sheetData sheetId="1"/>
      <sheetData sheetId="2"/>
      <sheetData sheetId="3">
        <row r="3">
          <cell r="D3">
            <v>0.58220000000000005</v>
          </cell>
          <cell r="F3">
            <v>0.16769999999999999</v>
          </cell>
        </row>
        <row r="8">
          <cell r="F8">
            <v>1330580.6470453946</v>
          </cell>
          <cell r="G8">
            <v>135988.75682193215</v>
          </cell>
        </row>
        <row r="9">
          <cell r="F9">
            <v>371232.40484762628</v>
          </cell>
          <cell r="G9">
            <v>37940.904476061129</v>
          </cell>
        </row>
        <row r="10">
          <cell r="F10">
            <v>1625089.9170655624</v>
          </cell>
          <cell r="G10">
            <v>166088.36002261739</v>
          </cell>
        </row>
        <row r="17">
          <cell r="F17">
            <v>300.56148880662164</v>
          </cell>
        </row>
        <row r="18">
          <cell r="F18">
            <v>1672.7289168977238</v>
          </cell>
        </row>
        <row r="25">
          <cell r="F25">
            <v>0.45</v>
          </cell>
          <cell r="G25">
            <v>0.45</v>
          </cell>
        </row>
        <row r="26">
          <cell r="F26">
            <v>0.55000000000000004</v>
          </cell>
          <cell r="G26">
            <v>0.55000000000000004</v>
          </cell>
        </row>
        <row r="31">
          <cell r="F31">
            <v>1108700.9055325631</v>
          </cell>
          <cell r="G31">
            <v>94604.915466535749</v>
          </cell>
        </row>
        <row r="34">
          <cell r="F34">
            <v>0.30884999999999996</v>
          </cell>
          <cell r="G34">
            <v>0.30884999999999996</v>
          </cell>
        </row>
        <row r="35">
          <cell r="F35">
            <v>0.69115000000000004</v>
          </cell>
          <cell r="G35">
            <v>0.69115000000000004</v>
          </cell>
        </row>
        <row r="38">
          <cell r="F38">
            <v>711.5958362201842</v>
          </cell>
        </row>
        <row r="39">
          <cell r="F39">
            <v>2760.7763092360706</v>
          </cell>
        </row>
        <row r="40">
          <cell r="F40">
            <v>1380067.5849802031</v>
          </cell>
          <cell r="G40">
            <v>116269.44030965822</v>
          </cell>
        </row>
        <row r="43">
          <cell r="F43">
            <v>0.16769999999999999</v>
          </cell>
          <cell r="G43">
            <v>0.16769999999999999</v>
          </cell>
        </row>
        <row r="44">
          <cell r="F44">
            <v>0.83230000000000004</v>
          </cell>
          <cell r="G44">
            <v>0.83230000000000004</v>
          </cell>
        </row>
        <row r="49">
          <cell r="F49">
            <v>1827325.4973916544</v>
          </cell>
          <cell r="G49">
            <v>150803.42287481303</v>
          </cell>
        </row>
        <row r="52">
          <cell r="F52">
            <v>0.45</v>
          </cell>
          <cell r="G52">
            <v>0.45</v>
          </cell>
        </row>
        <row r="53">
          <cell r="F53">
            <v>0.55000000000000004</v>
          </cell>
          <cell r="G53">
            <v>0.55000000000000004</v>
          </cell>
        </row>
        <row r="58">
          <cell r="F58">
            <v>1403738.0684149966</v>
          </cell>
          <cell r="G58">
            <v>119780.29479083752</v>
          </cell>
        </row>
      </sheetData>
      <sheetData sheetId="4">
        <row r="17">
          <cell r="D17">
            <v>147</v>
          </cell>
          <cell r="F17">
            <v>146.99999999999997</v>
          </cell>
        </row>
        <row r="18">
          <cell r="F18">
            <v>146.99999999999997</v>
          </cell>
        </row>
        <row r="20">
          <cell r="F20">
            <v>383.10629627076395</v>
          </cell>
        </row>
        <row r="21">
          <cell r="F21">
            <v>777.82187424670349</v>
          </cell>
        </row>
        <row r="23">
          <cell r="F23">
            <v>383.10629627076395</v>
          </cell>
        </row>
        <row r="24">
          <cell r="F24">
            <v>777.82187424670349</v>
          </cell>
        </row>
      </sheetData>
      <sheetData sheetId="5">
        <row r="4">
          <cell r="D4">
            <v>0.13015924266423304</v>
          </cell>
          <cell r="F4">
            <v>0.33055487566983349</v>
          </cell>
          <cell r="G4">
            <v>3.3783556602590067E-2</v>
          </cell>
        </row>
        <row r="19">
          <cell r="F19">
            <v>363.62299785730903</v>
          </cell>
        </row>
        <row r="22">
          <cell r="F22">
            <v>748.04887130310738</v>
          </cell>
        </row>
        <row r="25">
          <cell r="F25">
            <v>911.69416392295466</v>
          </cell>
        </row>
      </sheetData>
      <sheetData sheetId="6">
        <row r="17">
          <cell r="D17">
            <v>3.6798211462832722</v>
          </cell>
          <cell r="J17">
            <v>1.8486531574899723</v>
          </cell>
        </row>
        <row r="18">
          <cell r="J18">
            <v>294.01107625407087</v>
          </cell>
        </row>
        <row r="23">
          <cell r="J23">
            <v>619.98571058256346</v>
          </cell>
        </row>
        <row r="24">
          <cell r="J24">
            <v>161.09296191833383</v>
          </cell>
        </row>
      </sheetData>
      <sheetData sheetId="7">
        <row r="4">
          <cell r="E4">
            <v>1.5695177221061046E-2</v>
          </cell>
          <cell r="F4">
            <v>0.33055487566983349</v>
          </cell>
          <cell r="G4">
            <v>3.3783556602590067E-2</v>
          </cell>
        </row>
        <row r="19">
          <cell r="F19">
            <v>-49.136990877306268</v>
          </cell>
        </row>
        <row r="22">
          <cell r="F22">
            <v>-17.384098842999084</v>
          </cell>
        </row>
        <row r="25">
          <cell r="F25">
            <v>211.7135803215121</v>
          </cell>
        </row>
      </sheetData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World bank data"/>
    </sheetNames>
    <sheetDataSet>
      <sheetData sheetId="0">
        <row r="6">
          <cell r="B6">
            <v>1.2771565952446682</v>
          </cell>
        </row>
        <row r="9">
          <cell r="B9">
            <v>1.7128804434230893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B5">
            <v>28</v>
          </cell>
        </row>
        <row r="6">
          <cell r="B6">
            <v>0.75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V_Roadmap"/>
      <sheetName val="NPV_Baseline"/>
      <sheetName val="Mappings"/>
      <sheetName val="MC_sims_Base"/>
      <sheetName val="MC_sims_Inclusive"/>
      <sheetName val="MC_sims_Inequitable"/>
      <sheetName val="MC_sims_Status_quo"/>
      <sheetName val="MC_sims_Middle_rd"/>
    </sheetNames>
    <sheetDataSet>
      <sheetData sheetId="0" refreshError="1">
        <row r="14">
          <cell r="K14" t="str">
            <v>Price acquring new animal (USD/head)</v>
          </cell>
        </row>
        <row r="24">
          <cell r="K24" t="str">
            <v>Cropping parameters</v>
          </cell>
        </row>
        <row r="25">
          <cell r="K25" t="str">
            <v>Forage seeding cost (USD/ha/yr)</v>
          </cell>
        </row>
        <row r="28">
          <cell r="K28" t="str">
            <v>Use efficiency napier</v>
          </cell>
        </row>
        <row r="29">
          <cell r="K29" t="str">
            <v>Use efficiency pasture</v>
          </cell>
        </row>
        <row r="31">
          <cell r="K31" t="str">
            <v>Standard error (%) improved forage yield</v>
          </cell>
        </row>
        <row r="32">
          <cell r="K32" t="str">
            <v>Standard error (%) improved forage yield</v>
          </cell>
        </row>
        <row r="34">
          <cell r="K34" t="str">
            <v>Market price Sunflower cake (USD/kg)</v>
          </cell>
        </row>
        <row r="35">
          <cell r="K35" t="str">
            <v>Market price Maize bran (USD/kg)</v>
          </cell>
        </row>
        <row r="37">
          <cell r="K37" t="str">
            <v>Napier yield (Mg/ha)</v>
          </cell>
        </row>
        <row r="38">
          <cell r="K38" t="str">
            <v>Pasture yield (Mg/ha)</v>
          </cell>
        </row>
        <row r="40">
          <cell r="K40" t="str">
            <v xml:space="preserve">Opportunity cost land strata 1 </v>
          </cell>
        </row>
        <row r="41">
          <cell r="K41" t="str">
            <v>SE (fraction)</v>
          </cell>
        </row>
        <row r="42">
          <cell r="K42" t="str">
            <v>Opportunity cost land strata 2</v>
          </cell>
        </row>
        <row r="43">
          <cell r="K43" t="str">
            <v>SE (fraction)</v>
          </cell>
        </row>
      </sheetData>
      <sheetData sheetId="1" refreshError="1">
        <row r="3">
          <cell r="C3">
            <v>0.51465014185725644</v>
          </cell>
        </row>
        <row r="33">
          <cell r="C33">
            <v>102.38197935134957</v>
          </cell>
          <cell r="E33">
            <v>159.61062489481509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QG2">
            <v>458.13829545773842</v>
          </cell>
          <cell r="QH2">
            <v>205.83998279629881</v>
          </cell>
          <cell r="QO2">
            <v>257.99945573684721</v>
          </cell>
          <cell r="QP2">
            <v>229.4124122099366</v>
          </cell>
        </row>
        <row r="11">
          <cell r="QG11">
            <v>155.4446005362432</v>
          </cell>
          <cell r="QH11">
            <v>0.85987407654285009</v>
          </cell>
          <cell r="QO11">
            <v>247.3810751500078</v>
          </cell>
          <cell r="QP11">
            <v>39.704048846205559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merical_resu"/>
      <sheetName val="concentrate_feeding"/>
      <sheetName val="prod_herd_data"/>
      <sheetName val="feeding_change_data"/>
      <sheetName val="feeding_change_data_pasture"/>
    </sheetNames>
    <sheetDataSet>
      <sheetData sheetId="0" refreshError="1"/>
      <sheetData sheetId="1" refreshError="1"/>
      <sheetData sheetId="2" refreshError="1">
        <row r="3">
          <cell r="D3">
            <v>0.58220000000000005</v>
          </cell>
        </row>
        <row r="8">
          <cell r="F8">
            <v>1330580.6470453946</v>
          </cell>
          <cell r="G8">
            <v>135988.75682193215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80F15-C477-4BA6-893B-82C05841FF6B}">
  <dimension ref="A1:L561"/>
  <sheetViews>
    <sheetView tabSelected="1" topLeftCell="A4" workbookViewId="0">
      <selection activeCell="E11" sqref="E11:F11"/>
    </sheetView>
  </sheetViews>
  <sheetFormatPr defaultRowHeight="14.4" x14ac:dyDescent="0.3"/>
  <cols>
    <col min="1" max="1" width="30.6640625" customWidth="1"/>
    <col min="2" max="2" width="4.6640625" customWidth="1"/>
    <col min="4" max="4" width="4.44140625" customWidth="1"/>
    <col min="5" max="5" width="9.21875" bestFit="1" customWidth="1"/>
    <col min="6" max="6" width="6.33203125" customWidth="1"/>
    <col min="7" max="7" width="15.44140625" customWidth="1"/>
  </cols>
  <sheetData>
    <row r="1" spans="1:12" x14ac:dyDescent="0.3">
      <c r="C1" s="103" t="s">
        <v>92</v>
      </c>
      <c r="D1" s="103"/>
      <c r="E1" s="103"/>
      <c r="F1" s="103"/>
      <c r="G1" s="103"/>
    </row>
    <row r="2" spans="1:12" x14ac:dyDescent="0.3">
      <c r="A2" s="2" t="s">
        <v>63</v>
      </c>
      <c r="C2" s="102" t="s">
        <v>113</v>
      </c>
      <c r="D2" s="102"/>
      <c r="E2" s="102" t="s">
        <v>115</v>
      </c>
      <c r="F2" s="102"/>
      <c r="G2" s="91" t="s">
        <v>114</v>
      </c>
    </row>
    <row r="3" spans="1:12" x14ac:dyDescent="0.3">
      <c r="A3" t="s">
        <v>74</v>
      </c>
      <c r="C3" s="105">
        <f>G3</f>
        <v>0.55747885382429763</v>
      </c>
      <c r="D3" s="105"/>
      <c r="E3" s="105">
        <f>Dairy_Income_Baseline!B3</f>
        <v>0.54509043485042441</v>
      </c>
      <c r="F3" s="105"/>
      <c r="G3" s="76">
        <f>[1]All!$L$7*L16</f>
        <v>0.55747885382429763</v>
      </c>
    </row>
    <row r="4" spans="1:12" x14ac:dyDescent="0.3">
      <c r="A4" t="s">
        <v>75</v>
      </c>
      <c r="C4" s="101">
        <f>[2]prod_herd_data!F39</f>
        <v>2760.7763092360706</v>
      </c>
      <c r="D4" s="101"/>
      <c r="E4" s="101">
        <f>[2]prod_herd_data!F38</f>
        <v>711.5958362201842</v>
      </c>
      <c r="F4" s="101"/>
      <c r="G4" s="75">
        <f>[2]prod_herd_data!F39</f>
        <v>2760.7763092360706</v>
      </c>
    </row>
    <row r="5" spans="1:12" x14ac:dyDescent="0.3">
      <c r="A5" t="s">
        <v>76</v>
      </c>
      <c r="C5" s="101">
        <f>C4*C3*(12*L11-9)/(12*L11)</f>
        <v>1442.882261754562</v>
      </c>
      <c r="D5" s="101"/>
      <c r="E5" s="101">
        <f>E4*E3</f>
        <v>387.88408380301161</v>
      </c>
      <c r="F5" s="101"/>
      <c r="G5" s="75">
        <f>G4*G3</f>
        <v>1539.0744125381993</v>
      </c>
    </row>
    <row r="6" spans="1:12" x14ac:dyDescent="0.3">
      <c r="C6" s="102"/>
      <c r="D6" s="102"/>
      <c r="E6" s="102"/>
      <c r="F6" s="102"/>
    </row>
    <row r="7" spans="1:12" x14ac:dyDescent="0.3">
      <c r="A7" s="2" t="s">
        <v>64</v>
      </c>
      <c r="C7" s="102"/>
      <c r="D7" s="102"/>
      <c r="E7" s="102"/>
      <c r="F7" s="102"/>
    </row>
    <row r="8" spans="1:12" x14ac:dyDescent="0.3">
      <c r="A8" t="s">
        <v>34</v>
      </c>
      <c r="C8" s="101">
        <f>(([2]concentrate_feeding!$F$23*L29)+([2]concentrate_feeding!$F$24*L30))</f>
        <v>330.9357539306377</v>
      </c>
      <c r="D8" s="101"/>
      <c r="E8" s="101">
        <f>(([2]concentrate_feeding!$F$17*L29)+([2]concentrate_feeding!$F$18*L30))</f>
        <v>86.361328970444447</v>
      </c>
      <c r="F8" s="101"/>
      <c r="G8" s="75">
        <f>(([2]concentrate_feeding!$F$20*L29)+([2]concentrate_feeding!$F$21*L30))</f>
        <v>330.9357539306377</v>
      </c>
    </row>
    <row r="9" spans="1:12" x14ac:dyDescent="0.3">
      <c r="A9" t="s">
        <v>1</v>
      </c>
      <c r="C9" s="101">
        <f>Dairy_Income_Baseline!D9</f>
        <v>13.537859909593482</v>
      </c>
      <c r="D9" s="101"/>
      <c r="E9" s="101">
        <f>Dairy_Income_Baseline!B9</f>
        <v>16.603035738180687</v>
      </c>
      <c r="F9" s="101"/>
      <c r="G9" s="75">
        <f>Dairy_Income_Baseline!D9</f>
        <v>13.537859909593482</v>
      </c>
    </row>
    <row r="10" spans="1:12" x14ac:dyDescent="0.3">
      <c r="A10" t="s">
        <v>65</v>
      </c>
      <c r="C10" s="101">
        <f>Dairy_Income_Baseline!D10</f>
        <v>15.453594802460485</v>
      </c>
      <c r="D10" s="101"/>
      <c r="E10" s="101">
        <f>Dairy_Income_Baseline!B10</f>
        <v>15.453594802460485</v>
      </c>
      <c r="F10" s="101"/>
      <c r="G10" s="75">
        <f>Dairy_Income_Baseline!D10</f>
        <v>15.453594802460485</v>
      </c>
      <c r="K10" s="2" t="s">
        <v>95</v>
      </c>
    </row>
    <row r="11" spans="1:12" x14ac:dyDescent="0.3">
      <c r="A11" t="s">
        <v>66</v>
      </c>
      <c r="C11" s="101">
        <f>Dairy_Income_Baseline!D11</f>
        <v>1.6603035738180687</v>
      </c>
      <c r="D11" s="101"/>
      <c r="E11" s="101">
        <f>Dairy_Income_Baseline!B11</f>
        <v>0.38314697857340047</v>
      </c>
      <c r="F11" s="101"/>
      <c r="G11" s="75">
        <f>Dairy_Income_Baseline!D11</f>
        <v>1.6603035738180687</v>
      </c>
      <c r="K11" t="s">
        <v>90</v>
      </c>
      <c r="L11">
        <f>12</f>
        <v>12</v>
      </c>
    </row>
    <row r="12" spans="1:12" x14ac:dyDescent="0.3">
      <c r="C12" s="102"/>
      <c r="D12" s="102"/>
      <c r="E12" s="102"/>
      <c r="F12" s="102"/>
      <c r="G12" s="74"/>
    </row>
    <row r="13" spans="1:12" x14ac:dyDescent="0.3">
      <c r="A13" s="2" t="s">
        <v>88</v>
      </c>
      <c r="C13" s="101">
        <f>SUM(C8:C11)</f>
        <v>361.58751221650971</v>
      </c>
      <c r="D13" s="101"/>
      <c r="E13" s="101">
        <f>SUM(E8:E11)</f>
        <v>118.80110648965903</v>
      </c>
      <c r="F13" s="101"/>
      <c r="G13" s="75">
        <f>SUM(G8:G11)</f>
        <v>361.58751221650971</v>
      </c>
      <c r="K13" t="s">
        <v>77</v>
      </c>
      <c r="L13">
        <f>Dairy_Income_Baseline!L14</f>
        <v>397.7</v>
      </c>
    </row>
    <row r="14" spans="1:12" x14ac:dyDescent="0.3">
      <c r="C14" s="102"/>
      <c r="D14" s="102"/>
      <c r="E14" s="102"/>
      <c r="F14" s="102"/>
      <c r="G14" s="74"/>
    </row>
    <row r="15" spans="1:12" x14ac:dyDescent="0.3">
      <c r="A15" s="2" t="s">
        <v>108</v>
      </c>
      <c r="C15" s="101">
        <f>L13/L11</f>
        <v>33.141666666666666</v>
      </c>
      <c r="D15" s="101"/>
      <c r="E15" s="101">
        <f>Dairy_Income_Baseline!B12</f>
        <v>0</v>
      </c>
      <c r="F15" s="101"/>
      <c r="G15" s="82">
        <f>Dairy_Income_Baseline!D12</f>
        <v>0</v>
      </c>
    </row>
    <row r="16" spans="1:12" x14ac:dyDescent="0.3">
      <c r="C16" s="101"/>
      <c r="D16" s="101"/>
      <c r="E16" s="101"/>
      <c r="F16" s="101"/>
      <c r="G16" s="75"/>
      <c r="K16" t="s">
        <v>96</v>
      </c>
      <c r="L16" s="17">
        <f>[3]Sheet1!$B$6</f>
        <v>1.2771565952446682</v>
      </c>
    </row>
    <row r="17" spans="1:12" x14ac:dyDescent="0.3">
      <c r="C17" s="101"/>
      <c r="D17" s="101"/>
      <c r="E17" s="101"/>
      <c r="F17" s="101"/>
      <c r="G17" s="75"/>
    </row>
    <row r="18" spans="1:12" x14ac:dyDescent="0.3">
      <c r="C18" s="103" t="s">
        <v>78</v>
      </c>
      <c r="D18" s="103"/>
      <c r="E18" s="103"/>
      <c r="F18" s="103"/>
      <c r="G18" s="103"/>
      <c r="K18" s="2" t="s">
        <v>79</v>
      </c>
    </row>
    <row r="19" spans="1:12" x14ac:dyDescent="0.3">
      <c r="A19" t="s">
        <v>8</v>
      </c>
      <c r="C19" s="101">
        <f>L35*L16</f>
        <v>286.58935981411065</v>
      </c>
      <c r="D19" s="101"/>
      <c r="E19" s="101">
        <f>L35*L16</f>
        <v>286.58935981411065</v>
      </c>
      <c r="F19" s="101"/>
      <c r="G19" s="50">
        <f>L37*L16</f>
        <v>241.57020027586674</v>
      </c>
      <c r="K19" t="s">
        <v>80</v>
      </c>
      <c r="L19">
        <f>[4]Sheet1!$B$5</f>
        <v>28</v>
      </c>
    </row>
    <row r="20" spans="1:12" x14ac:dyDescent="0.3">
      <c r="A20" t="s">
        <v>60</v>
      </c>
      <c r="C20" s="101">
        <f>(((1/1000)*(1/L23)*[2]feeding_change_data!$F$25/L32))</f>
        <v>9.3507093735687649E-2</v>
      </c>
      <c r="D20" s="101"/>
      <c r="E20" s="101">
        <f>(((1/1000)*(1/L23)*[2]feeding_change_data!$F$19/L32))</f>
        <v>3.7294666446903491E-2</v>
      </c>
      <c r="F20" s="101"/>
      <c r="G20" s="50">
        <f>(((1/1000)*(1/L23)*[2]feeding_change_data!$F$22/L32))</f>
        <v>7.6722961159293057E-2</v>
      </c>
    </row>
    <row r="21" spans="1:12" x14ac:dyDescent="0.3">
      <c r="A21" t="s">
        <v>81</v>
      </c>
      <c r="C21" s="101">
        <f>(((1/1000)*(1/L24)*[2]feeding_change_data_pasture!$F$25/L33))</f>
        <v>8.468543212860484E-2</v>
      </c>
      <c r="D21" s="101"/>
      <c r="E21" s="101">
        <f>(((1/1000)*(1/L24)*[2]feeding_change_data_pasture!$F$19/L33))</f>
        <v>-1.9654796350922508E-2</v>
      </c>
      <c r="F21" s="101"/>
      <c r="G21" s="50">
        <f>(((1/1000)*(1/L24)*[2]feeding_change_data_pasture!$F$22/L33))</f>
        <v>-6.9536395371996339E-3</v>
      </c>
      <c r="K21" t="s">
        <v>112</v>
      </c>
      <c r="L21">
        <v>0.15</v>
      </c>
    </row>
    <row r="22" spans="1:12" x14ac:dyDescent="0.3">
      <c r="A22" t="s">
        <v>89</v>
      </c>
      <c r="C22" s="101">
        <f>SUM(C20:C21)</f>
        <v>0.17819252586429249</v>
      </c>
      <c r="D22" s="101"/>
      <c r="E22" s="101">
        <f>SUM(E20:E21)</f>
        <v>1.7639870095980982E-2</v>
      </c>
      <c r="F22" s="101"/>
      <c r="G22" s="57">
        <f t="shared" ref="G22" si="0">SUM(G20:H21)</f>
        <v>6.9769321622093428E-2</v>
      </c>
    </row>
    <row r="23" spans="1:12" x14ac:dyDescent="0.3">
      <c r="A23" t="s">
        <v>82</v>
      </c>
      <c r="C23" s="101">
        <f>L19*(C20+C21)</f>
        <v>4.9893907242001898</v>
      </c>
      <c r="D23" s="101"/>
      <c r="E23" s="101">
        <f>L19*(E20+E21)</f>
        <v>0.49391636268746753</v>
      </c>
      <c r="F23" s="101"/>
      <c r="G23" s="50">
        <f>L19*(G20+G21)</f>
        <v>1.953541005418616</v>
      </c>
      <c r="K23" t="s">
        <v>83</v>
      </c>
      <c r="L23">
        <f>[4]Sheet1!$B$6</f>
        <v>0.75</v>
      </c>
    </row>
    <row r="24" spans="1:12" x14ac:dyDescent="0.3">
      <c r="A24" t="s">
        <v>9</v>
      </c>
      <c r="C24" s="101">
        <f>(C20+C21)*C19+C23</f>
        <v>56.057472635307128</v>
      </c>
      <c r="D24" s="101"/>
      <c r="E24" s="101">
        <f>(E20+E21)*E19+E23</f>
        <v>5.5493154406987317</v>
      </c>
      <c r="F24" s="101"/>
      <c r="G24" s="50">
        <f>(G20+G21)*G19+G23</f>
        <v>18.807730002779085</v>
      </c>
      <c r="K24" t="s">
        <v>84</v>
      </c>
      <c r="L24">
        <v>0.5</v>
      </c>
    </row>
    <row r="25" spans="1:12" x14ac:dyDescent="0.3">
      <c r="C25" s="102"/>
      <c r="D25" s="102"/>
      <c r="E25" s="102"/>
      <c r="F25" s="102"/>
      <c r="G25" s="46"/>
    </row>
    <row r="26" spans="1:12" x14ac:dyDescent="0.3">
      <c r="C26" s="102"/>
      <c r="D26" s="102"/>
      <c r="E26" s="102"/>
      <c r="F26" s="102"/>
      <c r="G26" s="46"/>
      <c r="K26" t="s">
        <v>28</v>
      </c>
      <c r="L26">
        <f>7.5</f>
        <v>7.5</v>
      </c>
    </row>
    <row r="27" spans="1:12" x14ac:dyDescent="0.3">
      <c r="A27" t="s">
        <v>54</v>
      </c>
      <c r="C27" s="101">
        <f>C5-C13-C15</f>
        <v>1048.1530828713855</v>
      </c>
      <c r="D27" s="101"/>
      <c r="E27" s="101">
        <f>E5-E13</f>
        <v>269.08297731335256</v>
      </c>
      <c r="F27" s="101"/>
      <c r="G27" s="75">
        <f>G5-G13</f>
        <v>1177.4869003216895</v>
      </c>
      <c r="H27" s="75"/>
      <c r="K27" t="s">
        <v>28</v>
      </c>
      <c r="L27">
        <f>20</f>
        <v>20</v>
      </c>
    </row>
    <row r="28" spans="1:12" x14ac:dyDescent="0.3">
      <c r="A28" t="s">
        <v>7</v>
      </c>
      <c r="C28" s="101">
        <f>C27-[5]NPV_Baseline!C33</f>
        <v>945.77110352003592</v>
      </c>
      <c r="D28" s="101"/>
      <c r="E28" s="101">
        <f>E27-[5]NPV_Baseline!E33</f>
        <v>109.47235241853747</v>
      </c>
      <c r="F28" s="101"/>
      <c r="G28" s="50">
        <f>G27-[5]NPV_Baseline!E33</f>
        <v>1017.8762754268744</v>
      </c>
    </row>
    <row r="29" spans="1:12" x14ac:dyDescent="0.3">
      <c r="C29" s="102"/>
      <c r="D29" s="102"/>
      <c r="E29" s="102"/>
      <c r="F29" s="102"/>
      <c r="K29" t="s">
        <v>30</v>
      </c>
      <c r="L29" s="17">
        <f>0.25*L16*'[1]Sensitiity analysis'!$C$4</f>
        <v>0.31928914881116705</v>
      </c>
    </row>
    <row r="30" spans="1:12" x14ac:dyDescent="0.3">
      <c r="A30" s="103" t="s">
        <v>70</v>
      </c>
      <c r="B30" s="103"/>
      <c r="C30" s="103"/>
      <c r="D30" s="103"/>
      <c r="E30" s="103"/>
      <c r="F30" s="103"/>
      <c r="G30" s="103"/>
      <c r="K30" t="s">
        <v>29</v>
      </c>
      <c r="L30" s="17">
        <f>0.21*L16*'[1]Sensitiity analysis'!$C$5</f>
        <v>0.26820288500138029</v>
      </c>
    </row>
    <row r="31" spans="1:12" x14ac:dyDescent="0.3">
      <c r="A31" s="102" t="s">
        <v>71</v>
      </c>
      <c r="B31" s="102"/>
      <c r="C31" s="102"/>
      <c r="D31" s="102"/>
      <c r="E31" s="102"/>
      <c r="F31" s="102"/>
      <c r="G31" s="102"/>
    </row>
    <row r="32" spans="1:12" x14ac:dyDescent="0.3">
      <c r="A32" t="s">
        <v>18</v>
      </c>
      <c r="C32" s="104">
        <f>Dairy_Income_Baseline!D36</f>
        <v>0.11494409357202014</v>
      </c>
      <c r="D32" s="104"/>
      <c r="E32" s="104">
        <f>Dairy_Income_Baseline!B36</f>
        <v>7.6629395714680082E-2</v>
      </c>
      <c r="F32" s="104"/>
      <c r="G32" s="49">
        <f>Dairy_Income_Baseline!D36</f>
        <v>0.11494409357202014</v>
      </c>
      <c r="K32" t="s">
        <v>31</v>
      </c>
      <c r="L32">
        <v>13</v>
      </c>
    </row>
    <row r="33" spans="1:12" x14ac:dyDescent="0.3">
      <c r="C33" s="102"/>
      <c r="D33" s="102"/>
      <c r="E33" s="102"/>
      <c r="F33" s="102"/>
      <c r="K33" t="s">
        <v>61</v>
      </c>
      <c r="L33">
        <v>5</v>
      </c>
    </row>
    <row r="34" spans="1:12" x14ac:dyDescent="0.3">
      <c r="A34" t="s">
        <v>0</v>
      </c>
      <c r="C34" s="101">
        <f>Dairy_Income_Baseline!D38</f>
        <v>156.45168291747186</v>
      </c>
      <c r="D34" s="101"/>
      <c r="E34" s="101">
        <f>Dairy_Income_Baseline!B38</f>
        <v>92.082990517140573</v>
      </c>
      <c r="F34" s="101"/>
      <c r="G34" s="28">
        <f>Dairy_Income_Baseline!D38</f>
        <v>156.45168291747186</v>
      </c>
    </row>
    <row r="35" spans="1:12" x14ac:dyDescent="0.3">
      <c r="A35" t="s">
        <v>1</v>
      </c>
      <c r="C35" s="101">
        <f>Dairy_Income_Baseline!D39</f>
        <v>99.873645748133058</v>
      </c>
      <c r="D35" s="101"/>
      <c r="E35" s="101">
        <f>Dairy_Income_Baseline!B39</f>
        <v>92.210706176665042</v>
      </c>
      <c r="F35" s="101"/>
      <c r="G35" s="28">
        <f>Dairy_Income_Baseline!D39</f>
        <v>99.873645748133058</v>
      </c>
      <c r="K35" t="s">
        <v>35</v>
      </c>
      <c r="L35" s="47">
        <f>Dairy_Income_Baseline!L36</f>
        <v>224.39641378448817</v>
      </c>
    </row>
    <row r="36" spans="1:12" x14ac:dyDescent="0.3">
      <c r="A36" t="s">
        <v>2</v>
      </c>
      <c r="C36" s="101">
        <f>Dairy_Income_Baseline!D40</f>
        <v>12.643850292922215</v>
      </c>
      <c r="D36" s="101"/>
      <c r="E36" s="101">
        <f>Dairy_Income_Baseline!B40</f>
        <v>32.695208838263504</v>
      </c>
      <c r="F36" s="101"/>
      <c r="G36" s="28">
        <f>Dairy_Income_Baseline!D40</f>
        <v>12.643850292922215</v>
      </c>
      <c r="K36" t="s">
        <v>26</v>
      </c>
      <c r="L36" s="17">
        <f>Dairy_Income_Baseline!L37</f>
        <v>0.88275469550369956</v>
      </c>
    </row>
    <row r="37" spans="1:12" x14ac:dyDescent="0.3">
      <c r="A37" t="s">
        <v>6</v>
      </c>
      <c r="C37" s="101">
        <f>Dairy_Income_Baseline!D41</f>
        <v>4.853195061929739</v>
      </c>
      <c r="D37" s="101"/>
      <c r="E37" s="101">
        <f>Dairy_Income_Baseline!B41</f>
        <v>3.0651758285872037</v>
      </c>
      <c r="F37" s="101"/>
      <c r="G37" s="28">
        <f>Dairy_Income_Baseline!D41</f>
        <v>4.853195061929739</v>
      </c>
      <c r="K37" t="s">
        <v>36</v>
      </c>
      <c r="L37" s="47">
        <f>Dairy_Income_Baseline!L38</f>
        <v>189.14689175573534</v>
      </c>
    </row>
    <row r="38" spans="1:12" x14ac:dyDescent="0.3">
      <c r="A38" t="s">
        <v>3</v>
      </c>
      <c r="C38" s="101">
        <f>Dairy_Income_Baseline!D42</f>
        <v>0</v>
      </c>
      <c r="D38" s="101"/>
      <c r="E38" s="101">
        <f>Dairy_Income_Baseline!B42</f>
        <v>0</v>
      </c>
      <c r="F38" s="101"/>
      <c r="G38" s="28">
        <f>Dairy_Income_Baseline!D42</f>
        <v>0</v>
      </c>
      <c r="K38" t="s">
        <v>26</v>
      </c>
      <c r="L38" s="17">
        <f>Dairy_Income_Baseline!L39</f>
        <v>1.1715057393652939</v>
      </c>
    </row>
    <row r="39" spans="1:12" x14ac:dyDescent="0.3">
      <c r="A39" t="s">
        <v>19</v>
      </c>
      <c r="C39" s="101">
        <f>(C20*L26+C21*L27)/100</f>
        <v>2.3950118455897541E-2</v>
      </c>
      <c r="D39" s="101"/>
      <c r="E39" s="101">
        <f>(E20*L26+E21*L27)/100</f>
        <v>-1.1338592866667401E-3</v>
      </c>
      <c r="F39" s="101"/>
      <c r="G39" s="28">
        <f>(G20*L26+G21*L27)/100</f>
        <v>4.3634941795070523E-3</v>
      </c>
    </row>
    <row r="40" spans="1:12" x14ac:dyDescent="0.3">
      <c r="A40" t="s">
        <v>20</v>
      </c>
      <c r="C40" s="101">
        <f>C19*L36</f>
        <v>252.98810305730544</v>
      </c>
      <c r="D40" s="101"/>
      <c r="E40" s="101">
        <f>E19*L36</f>
        <v>252.98810305730544</v>
      </c>
      <c r="F40" s="101"/>
      <c r="G40" s="28">
        <f>G19*L38</f>
        <v>283.00087608280137</v>
      </c>
    </row>
    <row r="41" spans="1:12" x14ac:dyDescent="0.3">
      <c r="C41" s="102"/>
      <c r="D41" s="102"/>
      <c r="E41" s="102"/>
      <c r="F41" s="102"/>
    </row>
    <row r="42" spans="1:12" x14ac:dyDescent="0.3">
      <c r="B42" s="103" t="s">
        <v>72</v>
      </c>
      <c r="C42" s="103"/>
      <c r="D42" s="103"/>
      <c r="E42" s="103"/>
      <c r="F42" s="103"/>
      <c r="G42" s="103"/>
    </row>
    <row r="43" spans="1:12" x14ac:dyDescent="0.3">
      <c r="A43" t="s">
        <v>10</v>
      </c>
      <c r="C43" s="104">
        <f ca="1">_xlfn.NORM.INV(RAND(),C3,C32)</f>
        <v>0.42399636891665482</v>
      </c>
      <c r="D43" s="104"/>
      <c r="E43" s="104">
        <f ca="1">_xlfn.NORM.INV(RAND(),E3,E32)</f>
        <v>0.58503067592307489</v>
      </c>
      <c r="F43" s="104"/>
      <c r="G43" s="48">
        <f ca="1">_xlfn.NORM.INV(RAND(),G3,G32)</f>
        <v>0.6007417924522126</v>
      </c>
    </row>
    <row r="44" spans="1:12" x14ac:dyDescent="0.3">
      <c r="A44" t="s">
        <v>111</v>
      </c>
      <c r="C44" s="105">
        <f ca="1">_xlfn.NORM.INV(RAND(),C4,C4*L21)</f>
        <v>3572.6317610768942</v>
      </c>
      <c r="D44" s="105"/>
      <c r="E44" s="104">
        <f ca="1">_xlfn.NORM.INV(RAND(),E4,E4*L21)</f>
        <v>540.08409726524587</v>
      </c>
      <c r="F44" s="104"/>
      <c r="G44" s="85">
        <f ca="1">_xlfn.NORM.INV(RAND(),G4,G4*L21)</f>
        <v>2156.9405607383978</v>
      </c>
    </row>
    <row r="45" spans="1:12" x14ac:dyDescent="0.3">
      <c r="C45" s="102"/>
      <c r="D45" s="102"/>
      <c r="E45" s="102"/>
      <c r="F45" s="102"/>
      <c r="G45" s="46"/>
    </row>
    <row r="46" spans="1:12" x14ac:dyDescent="0.3">
      <c r="A46" t="s">
        <v>11</v>
      </c>
      <c r="C46" s="101">
        <f ca="1">_xlfn.NORM.INV(RAND(),C8,C34)</f>
        <v>508.63690660045438</v>
      </c>
      <c r="D46" s="101"/>
      <c r="E46" s="101">
        <f ca="1">_xlfn.NORM.INV(RAND(),E8,E34)</f>
        <v>61.108605710393931</v>
      </c>
      <c r="F46" s="101"/>
      <c r="G46" s="50">
        <f ca="1">_xlfn.NORM.INV(RAND(),G8,G34)</f>
        <v>210.82616892139464</v>
      </c>
    </row>
    <row r="47" spans="1:12" x14ac:dyDescent="0.3">
      <c r="A47" t="s">
        <v>1</v>
      </c>
      <c r="C47" s="101">
        <f ca="1">_xlfn.NORM.INV(RAND(),C9,C35)</f>
        <v>-90.705694971543835</v>
      </c>
      <c r="D47" s="101"/>
      <c r="E47" s="101">
        <f ca="1">_xlfn.NORM.INV(RAND(),E9,E35)</f>
        <v>73.351510090076061</v>
      </c>
      <c r="F47" s="101"/>
      <c r="G47" s="50">
        <f ca="1">_xlfn.NORM.INV(RAND(),G9,G35)</f>
        <v>147.40967167679071</v>
      </c>
    </row>
    <row r="48" spans="1:12" x14ac:dyDescent="0.3">
      <c r="A48" t="s">
        <v>2</v>
      </c>
      <c r="C48" s="101">
        <f ca="1">_xlfn.NORM.INV(RAND(),C10,C36)</f>
        <v>8.5956048400924736</v>
      </c>
      <c r="D48" s="101"/>
      <c r="E48" s="101">
        <f ca="1">_xlfn.NORM.INV(RAND(),E10,E36)</f>
        <v>45.193067129776175</v>
      </c>
      <c r="F48" s="101"/>
      <c r="G48" s="50">
        <f ca="1">_xlfn.NORM.INV(RAND(),G10,G36)</f>
        <v>10.416890911694972</v>
      </c>
    </row>
    <row r="49" spans="1:8" x14ac:dyDescent="0.3">
      <c r="A49" t="s">
        <v>13</v>
      </c>
      <c r="C49" s="101">
        <f ca="1">_xlfn.NORM.INV(RAND(),C11,C37)</f>
        <v>-5.6343355706072424</v>
      </c>
      <c r="D49" s="101"/>
      <c r="E49" s="101">
        <f ca="1">_xlfn.NORM.INV(RAND(),E11,E37)</f>
        <v>-3.316171410185337</v>
      </c>
      <c r="F49" s="101"/>
      <c r="G49" s="50">
        <f ca="1">_xlfn.NORM.INV(RAND(),G11,G37)</f>
        <v>0.36055388318037496</v>
      </c>
    </row>
    <row r="50" spans="1:8" x14ac:dyDescent="0.3">
      <c r="A50" t="s">
        <v>3</v>
      </c>
      <c r="C50" s="101">
        <v>1E-4</v>
      </c>
      <c r="D50" s="101"/>
      <c r="E50" s="101">
        <v>1E-4</v>
      </c>
      <c r="F50" s="101"/>
      <c r="G50" s="50">
        <v>1E-4</v>
      </c>
    </row>
    <row r="51" spans="1:8" x14ac:dyDescent="0.3">
      <c r="A51" t="s">
        <v>19</v>
      </c>
      <c r="C51" s="101">
        <f ca="1">_xlfn.NORM.INV(RAND(),C20+C21,C39)</f>
        <v>0.1375820143359533</v>
      </c>
      <c r="D51" s="101"/>
      <c r="E51" s="101">
        <f ca="1">_xlfn.NORM.INV(RAND(),E20+ABS(E21),ABS(E39))</f>
        <v>5.7694539596490943E-2</v>
      </c>
      <c r="F51" s="101"/>
      <c r="G51" s="50">
        <f ca="1">_xlfn.NORM.INV(RAND(),ABS(G20+G21),ABS(G39))</f>
        <v>6.6566463500596765E-2</v>
      </c>
    </row>
    <row r="52" spans="1:8" x14ac:dyDescent="0.3">
      <c r="A52" t="s">
        <v>20</v>
      </c>
      <c r="C52" s="101">
        <f ca="1">_xlfn.NORM.INV(RAND(),C19,C40)</f>
        <v>627.72798943489988</v>
      </c>
      <c r="D52" s="101"/>
      <c r="E52" s="101">
        <f ca="1">_xlfn.NORM.INV(RAND(),E19,E40)</f>
        <v>570.41223470901059</v>
      </c>
      <c r="F52" s="101"/>
      <c r="G52" s="50">
        <f ca="1">_xlfn.NORM.INV(RAND(),G19,G40)</f>
        <v>164.86503893711983</v>
      </c>
    </row>
    <row r="53" spans="1:8" x14ac:dyDescent="0.3">
      <c r="C53" s="101"/>
      <c r="D53" s="101"/>
      <c r="E53" s="101"/>
      <c r="F53" s="101"/>
      <c r="G53" s="50"/>
    </row>
    <row r="54" spans="1:8" x14ac:dyDescent="0.3">
      <c r="A54" t="s">
        <v>21</v>
      </c>
      <c r="C54" s="101">
        <f ca="1">SUM(C46:C50)</f>
        <v>420.89258089839575</v>
      </c>
      <c r="D54" s="101"/>
      <c r="E54" s="101">
        <f ca="1">SUM(E46:E50)</f>
        <v>176.33711152006083</v>
      </c>
      <c r="F54" s="101"/>
      <c r="G54" s="50">
        <f ca="1">SUM(G46:G50)</f>
        <v>369.01338539306067</v>
      </c>
    </row>
    <row r="55" spans="1:8" x14ac:dyDescent="0.3">
      <c r="C55" s="101"/>
      <c r="D55" s="101"/>
      <c r="E55" s="101"/>
      <c r="F55" s="101"/>
      <c r="G55" s="50"/>
    </row>
    <row r="56" spans="1:8" x14ac:dyDescent="0.3">
      <c r="A56" s="2" t="s">
        <v>54</v>
      </c>
      <c r="C56" s="101">
        <f ca="1">C43*C44-C54</f>
        <v>1093.8903132745213</v>
      </c>
      <c r="D56" s="101"/>
      <c r="E56" s="101">
        <f ca="1">E43*E44-E54</f>
        <v>139.62865295832967</v>
      </c>
      <c r="F56" s="101"/>
      <c r="G56" s="83">
        <f ca="1">G43*G44-G54</f>
        <v>926.75095327780514</v>
      </c>
      <c r="H56" s="84"/>
    </row>
    <row r="57" spans="1:8" x14ac:dyDescent="0.3">
      <c r="A57" s="2"/>
      <c r="C57" s="101"/>
      <c r="D57" s="101"/>
      <c r="E57" s="101"/>
      <c r="F57" s="101"/>
      <c r="G57" s="50"/>
    </row>
    <row r="58" spans="1:8" x14ac:dyDescent="0.3">
      <c r="A58" s="2" t="s">
        <v>14</v>
      </c>
      <c r="C58" s="101">
        <f ca="1">AVERAGE(C62:C561)</f>
        <v>899.09088878954537</v>
      </c>
      <c r="D58" s="101"/>
      <c r="E58" s="101">
        <f ca="1">AVERAGE(E62:E561)</f>
        <v>6.5497029599674965</v>
      </c>
      <c r="F58" s="101"/>
      <c r="G58" s="50">
        <f ca="1">AVERAGE(G62:G561)</f>
        <v>946.38648716028831</v>
      </c>
    </row>
    <row r="59" spans="1:8" x14ac:dyDescent="0.3">
      <c r="A59" s="2" t="s">
        <v>12</v>
      </c>
      <c r="C59" s="101">
        <f ca="1">STDEVA(C62:C561)</f>
        <v>314.80418002539551</v>
      </c>
      <c r="D59" s="101"/>
      <c r="E59" s="101">
        <f t="shared" ref="E59" ca="1" si="1">STDEVA(E62:E561)</f>
        <v>26.985901890880744</v>
      </c>
      <c r="F59" s="101"/>
      <c r="G59" s="50">
        <f ca="1">STDEVA(G62:G561)</f>
        <v>285.11080289725788</v>
      </c>
    </row>
    <row r="60" spans="1:8" x14ac:dyDescent="0.3">
      <c r="A60" s="2"/>
      <c r="C60" s="102"/>
      <c r="D60" s="102"/>
      <c r="E60" s="102"/>
      <c r="F60" s="102"/>
    </row>
    <row r="61" spans="1:8" x14ac:dyDescent="0.3">
      <c r="A61" s="2" t="s">
        <v>73</v>
      </c>
      <c r="C61" s="102"/>
      <c r="D61" s="102"/>
      <c r="E61" s="102"/>
      <c r="F61" s="102"/>
    </row>
    <row r="62" spans="1:8" x14ac:dyDescent="0.3">
      <c r="B62">
        <v>1</v>
      </c>
      <c r="C62" s="28">
        <f ca="1">C56</f>
        <v>1093.8903132745213</v>
      </c>
      <c r="D62">
        <v>1</v>
      </c>
      <c r="E62" s="28">
        <f ca="1">E56</f>
        <v>139.62865295832967</v>
      </c>
      <c r="F62">
        <v>1</v>
      </c>
      <c r="G62" s="28">
        <f ca="1">G56</f>
        <v>926.75095327780514</v>
      </c>
    </row>
    <row r="63" spans="1:8" x14ac:dyDescent="0.3">
      <c r="B63">
        <v>2</v>
      </c>
      <c r="C63" s="28">
        <v>707.88840906720384</v>
      </c>
      <c r="D63">
        <v>2</v>
      </c>
      <c r="E63" s="28">
        <v>28.806659002733994</v>
      </c>
      <c r="F63">
        <v>2</v>
      </c>
      <c r="G63" s="28">
        <v>1014.2291412637121</v>
      </c>
    </row>
    <row r="64" spans="1:8" x14ac:dyDescent="0.3">
      <c r="B64">
        <v>3</v>
      </c>
      <c r="C64" s="28">
        <v>1374.9138148690067</v>
      </c>
      <c r="D64">
        <v>3</v>
      </c>
      <c r="E64" s="28">
        <v>-0.58582997748964183</v>
      </c>
      <c r="F64">
        <v>3</v>
      </c>
      <c r="G64" s="28">
        <v>1080.8217218282134</v>
      </c>
    </row>
    <row r="65" spans="2:7" x14ac:dyDescent="0.3">
      <c r="B65">
        <v>4</v>
      </c>
      <c r="C65" s="28">
        <v>512.66755501554508</v>
      </c>
      <c r="D65">
        <v>4</v>
      </c>
      <c r="E65" s="28">
        <v>21.112479299518487</v>
      </c>
      <c r="F65">
        <v>4</v>
      </c>
      <c r="G65" s="28">
        <v>979.39895996095913</v>
      </c>
    </row>
    <row r="66" spans="2:7" x14ac:dyDescent="0.3">
      <c r="B66">
        <v>5</v>
      </c>
      <c r="C66" s="28">
        <v>1553.6215041255828</v>
      </c>
      <c r="D66">
        <v>5</v>
      </c>
      <c r="E66" s="28">
        <v>-7.3748447954331242</v>
      </c>
      <c r="F66">
        <v>5</v>
      </c>
      <c r="G66" s="28">
        <v>1168.2398876393856</v>
      </c>
    </row>
    <row r="67" spans="2:7" x14ac:dyDescent="0.3">
      <c r="B67">
        <v>6</v>
      </c>
      <c r="C67" s="28">
        <v>958.28187453807607</v>
      </c>
      <c r="D67">
        <v>6</v>
      </c>
      <c r="E67" s="28">
        <v>-32.031469240705015</v>
      </c>
      <c r="F67">
        <v>6</v>
      </c>
      <c r="G67" s="28">
        <v>1397.9772094004597</v>
      </c>
    </row>
    <row r="68" spans="2:7" x14ac:dyDescent="0.3">
      <c r="B68">
        <v>7</v>
      </c>
      <c r="C68" s="28">
        <v>970.42464604096313</v>
      </c>
      <c r="D68">
        <v>7</v>
      </c>
      <c r="E68" s="28">
        <v>-0.74846859926802245</v>
      </c>
      <c r="F68">
        <v>7</v>
      </c>
      <c r="G68" s="28">
        <v>1248.6519098095941</v>
      </c>
    </row>
    <row r="69" spans="2:7" x14ac:dyDescent="0.3">
      <c r="B69">
        <v>8</v>
      </c>
      <c r="C69" s="28">
        <v>765.89572398433097</v>
      </c>
      <c r="D69">
        <v>8</v>
      </c>
      <c r="E69" s="28">
        <v>-2.1465775638353497</v>
      </c>
      <c r="F69">
        <v>8</v>
      </c>
      <c r="G69" s="28">
        <v>573.18064669742967</v>
      </c>
    </row>
    <row r="70" spans="2:7" x14ac:dyDescent="0.3">
      <c r="B70">
        <v>9</v>
      </c>
      <c r="C70" s="28">
        <v>1045.1448240414622</v>
      </c>
      <c r="D70">
        <v>9</v>
      </c>
      <c r="E70" s="28">
        <v>12.85068310538262</v>
      </c>
      <c r="F70">
        <v>9</v>
      </c>
      <c r="G70" s="28">
        <v>1207.6671897027977</v>
      </c>
    </row>
    <row r="71" spans="2:7" x14ac:dyDescent="0.3">
      <c r="B71">
        <v>10</v>
      </c>
      <c r="C71" s="28">
        <v>297.67818893100622</v>
      </c>
      <c r="D71">
        <v>10</v>
      </c>
      <c r="E71" s="28">
        <v>5.8517181437931409</v>
      </c>
      <c r="F71">
        <v>10</v>
      </c>
      <c r="G71" s="28">
        <v>893.11375352773416</v>
      </c>
    </row>
    <row r="72" spans="2:7" x14ac:dyDescent="0.3">
      <c r="B72">
        <v>11</v>
      </c>
      <c r="C72" s="28">
        <v>621.53540008377979</v>
      </c>
      <c r="D72">
        <v>11</v>
      </c>
      <c r="E72" s="28">
        <v>11.142027449716704</v>
      </c>
      <c r="F72">
        <v>11</v>
      </c>
      <c r="G72" s="28">
        <v>770.84921554058394</v>
      </c>
    </row>
    <row r="73" spans="2:7" x14ac:dyDescent="0.3">
      <c r="B73">
        <v>12</v>
      </c>
      <c r="C73" s="28">
        <v>1160.9528960704954</v>
      </c>
      <c r="D73">
        <v>12</v>
      </c>
      <c r="E73" s="28">
        <v>-16.652020010646815</v>
      </c>
      <c r="F73">
        <v>12</v>
      </c>
      <c r="G73" s="28">
        <v>1286.719852600047</v>
      </c>
    </row>
    <row r="74" spans="2:7" x14ac:dyDescent="0.3">
      <c r="B74">
        <v>13</v>
      </c>
      <c r="C74" s="28">
        <v>713.36884686256258</v>
      </c>
      <c r="D74">
        <v>13</v>
      </c>
      <c r="E74" s="28">
        <v>26.191839562363064</v>
      </c>
      <c r="F74">
        <v>13</v>
      </c>
      <c r="G74" s="28">
        <v>775.37480565169835</v>
      </c>
    </row>
    <row r="75" spans="2:7" x14ac:dyDescent="0.3">
      <c r="B75">
        <v>14</v>
      </c>
      <c r="C75" s="28">
        <v>814.88436800351133</v>
      </c>
      <c r="D75">
        <v>14</v>
      </c>
      <c r="E75" s="28">
        <v>28.278223628765851</v>
      </c>
      <c r="F75">
        <v>14</v>
      </c>
      <c r="G75" s="28">
        <v>1259.1213138958044</v>
      </c>
    </row>
    <row r="76" spans="2:7" x14ac:dyDescent="0.3">
      <c r="B76">
        <v>15</v>
      </c>
      <c r="C76" s="28">
        <v>423.24498170428825</v>
      </c>
      <c r="D76">
        <v>15</v>
      </c>
      <c r="E76" s="28">
        <v>23.073824382668942</v>
      </c>
      <c r="F76">
        <v>15</v>
      </c>
      <c r="G76" s="28">
        <v>1109.3906921420999</v>
      </c>
    </row>
    <row r="77" spans="2:7" x14ac:dyDescent="0.3">
      <c r="B77">
        <v>16</v>
      </c>
      <c r="C77" s="28">
        <v>698.69297249360511</v>
      </c>
      <c r="D77">
        <v>16</v>
      </c>
      <c r="E77" s="28">
        <v>18.358308792029913</v>
      </c>
      <c r="F77">
        <v>16</v>
      </c>
      <c r="G77" s="28">
        <v>1102.5197822700595</v>
      </c>
    </row>
    <row r="78" spans="2:7" x14ac:dyDescent="0.3">
      <c r="B78">
        <v>17</v>
      </c>
      <c r="C78" s="28">
        <v>1560.9395024172613</v>
      </c>
      <c r="D78">
        <v>17</v>
      </c>
      <c r="E78" s="28">
        <v>-7.2212207273079869</v>
      </c>
      <c r="F78">
        <v>17</v>
      </c>
      <c r="G78" s="28">
        <v>589.10257353793816</v>
      </c>
    </row>
    <row r="79" spans="2:7" x14ac:dyDescent="0.3">
      <c r="B79">
        <v>18</v>
      </c>
      <c r="C79" s="28">
        <v>286.73376257291</v>
      </c>
      <c r="D79">
        <v>18</v>
      </c>
      <c r="E79" s="28">
        <v>15.823000211505388</v>
      </c>
      <c r="F79">
        <v>18</v>
      </c>
      <c r="G79" s="28">
        <v>417.11855018845773</v>
      </c>
    </row>
    <row r="80" spans="2:7" x14ac:dyDescent="0.3">
      <c r="B80">
        <v>19</v>
      </c>
      <c r="C80" s="28">
        <v>905.16582355681965</v>
      </c>
      <c r="D80">
        <v>19</v>
      </c>
      <c r="E80" s="28">
        <v>-12.939889848677089</v>
      </c>
      <c r="F80">
        <v>19</v>
      </c>
      <c r="G80" s="28">
        <v>1082.7657399710206</v>
      </c>
    </row>
    <row r="81" spans="2:7" x14ac:dyDescent="0.3">
      <c r="B81">
        <v>20</v>
      </c>
      <c r="C81" s="28">
        <v>606.91991915364019</v>
      </c>
      <c r="D81">
        <v>20</v>
      </c>
      <c r="E81" s="28">
        <v>3.2125156705582171E-2</v>
      </c>
      <c r="F81">
        <v>20</v>
      </c>
      <c r="G81" s="28">
        <v>963.39690845986809</v>
      </c>
    </row>
    <row r="82" spans="2:7" x14ac:dyDescent="0.3">
      <c r="B82">
        <v>21</v>
      </c>
      <c r="C82" s="28">
        <v>1252.9835441593668</v>
      </c>
      <c r="D82">
        <v>21</v>
      </c>
      <c r="E82" s="28">
        <v>-5.271658761009399</v>
      </c>
      <c r="F82">
        <v>21</v>
      </c>
      <c r="G82" s="28">
        <v>511.86975921577277</v>
      </c>
    </row>
    <row r="83" spans="2:7" x14ac:dyDescent="0.3">
      <c r="B83">
        <v>22</v>
      </c>
      <c r="C83" s="28">
        <v>1123.5624883118485</v>
      </c>
      <c r="D83">
        <v>22</v>
      </c>
      <c r="E83" s="28">
        <v>17.47812057405924</v>
      </c>
      <c r="F83">
        <v>22</v>
      </c>
      <c r="G83" s="28">
        <v>1347.701518110702</v>
      </c>
    </row>
    <row r="84" spans="2:7" x14ac:dyDescent="0.3">
      <c r="B84">
        <v>23</v>
      </c>
      <c r="C84" s="28">
        <v>1045.1480783451134</v>
      </c>
      <c r="D84">
        <v>23</v>
      </c>
      <c r="E84" s="28">
        <v>52.333867276290349</v>
      </c>
      <c r="F84">
        <v>23</v>
      </c>
      <c r="G84" s="28">
        <v>874.80328329579845</v>
      </c>
    </row>
    <row r="85" spans="2:7" x14ac:dyDescent="0.3">
      <c r="B85">
        <v>24</v>
      </c>
      <c r="C85" s="28">
        <v>1159.0518537920084</v>
      </c>
      <c r="D85">
        <v>24</v>
      </c>
      <c r="E85" s="28">
        <v>-1.5271440948930397</v>
      </c>
      <c r="F85">
        <v>24</v>
      </c>
      <c r="G85" s="28">
        <v>1007.6394731746796</v>
      </c>
    </row>
    <row r="86" spans="2:7" x14ac:dyDescent="0.3">
      <c r="B86">
        <v>25</v>
      </c>
      <c r="C86" s="28">
        <v>34.013400811163521</v>
      </c>
      <c r="D86">
        <v>25</v>
      </c>
      <c r="E86" s="28">
        <v>6.182726181496343</v>
      </c>
      <c r="F86">
        <v>25</v>
      </c>
      <c r="G86" s="28">
        <v>1007.8068843170615</v>
      </c>
    </row>
    <row r="87" spans="2:7" x14ac:dyDescent="0.3">
      <c r="B87">
        <v>26</v>
      </c>
      <c r="C87" s="28">
        <v>788.94563987280651</v>
      </c>
      <c r="D87">
        <v>26</v>
      </c>
      <c r="E87" s="28">
        <v>44.484036889874154</v>
      </c>
      <c r="F87">
        <v>26</v>
      </c>
      <c r="G87" s="28">
        <v>1078.5849001911786</v>
      </c>
    </row>
    <row r="88" spans="2:7" x14ac:dyDescent="0.3">
      <c r="B88">
        <v>27</v>
      </c>
      <c r="C88" s="28">
        <v>599.68474565392819</v>
      </c>
      <c r="D88">
        <v>27</v>
      </c>
      <c r="E88" s="28">
        <v>-30.340515807822094</v>
      </c>
      <c r="F88">
        <v>27</v>
      </c>
      <c r="G88" s="28">
        <v>1477.8496304014911</v>
      </c>
    </row>
    <row r="89" spans="2:7" x14ac:dyDescent="0.3">
      <c r="B89">
        <v>28</v>
      </c>
      <c r="C89" s="28">
        <v>1169.5000831735251</v>
      </c>
      <c r="D89">
        <v>28</v>
      </c>
      <c r="E89" s="28">
        <v>10.179002972323875</v>
      </c>
      <c r="F89">
        <v>28</v>
      </c>
      <c r="G89" s="28">
        <v>1132.9667285154749</v>
      </c>
    </row>
    <row r="90" spans="2:7" x14ac:dyDescent="0.3">
      <c r="B90">
        <v>29</v>
      </c>
      <c r="C90" s="28">
        <v>1013.7907247905902</v>
      </c>
      <c r="D90">
        <v>29</v>
      </c>
      <c r="E90" s="28">
        <v>4.986508413220438</v>
      </c>
      <c r="F90">
        <v>29</v>
      </c>
      <c r="G90" s="28">
        <v>530.91165158429612</v>
      </c>
    </row>
    <row r="91" spans="2:7" x14ac:dyDescent="0.3">
      <c r="B91">
        <v>30</v>
      </c>
      <c r="C91" s="28">
        <v>975.16577964692533</v>
      </c>
      <c r="D91">
        <v>30</v>
      </c>
      <c r="E91" s="28">
        <v>-4.3672007942190012</v>
      </c>
      <c r="F91">
        <v>30</v>
      </c>
      <c r="G91" s="28">
        <v>958.62027426855661</v>
      </c>
    </row>
    <row r="92" spans="2:7" x14ac:dyDescent="0.3">
      <c r="B92">
        <v>31</v>
      </c>
      <c r="C92" s="28">
        <v>538.95436358488496</v>
      </c>
      <c r="D92">
        <v>31</v>
      </c>
      <c r="E92" s="28">
        <v>-22.199461134471651</v>
      </c>
      <c r="F92">
        <v>31</v>
      </c>
      <c r="G92" s="28">
        <v>410.19958490362376</v>
      </c>
    </row>
    <row r="93" spans="2:7" x14ac:dyDescent="0.3">
      <c r="B93">
        <v>32</v>
      </c>
      <c r="C93" s="28">
        <v>719.97377393017109</v>
      </c>
      <c r="D93">
        <v>32</v>
      </c>
      <c r="E93" s="28">
        <v>58.028415346810881</v>
      </c>
      <c r="F93">
        <v>32</v>
      </c>
      <c r="G93" s="28">
        <v>811.62159653039566</v>
      </c>
    </row>
    <row r="94" spans="2:7" x14ac:dyDescent="0.3">
      <c r="B94">
        <v>33</v>
      </c>
      <c r="C94" s="28">
        <v>467.47030583268651</v>
      </c>
      <c r="D94">
        <v>33</v>
      </c>
      <c r="E94" s="28">
        <v>23.427963572526366</v>
      </c>
      <c r="F94">
        <v>33</v>
      </c>
      <c r="G94" s="28">
        <v>984.07743547439952</v>
      </c>
    </row>
    <row r="95" spans="2:7" x14ac:dyDescent="0.3">
      <c r="B95">
        <v>34</v>
      </c>
      <c r="C95" s="28">
        <v>753.35013958090224</v>
      </c>
      <c r="D95">
        <v>34</v>
      </c>
      <c r="E95" s="28">
        <v>6.1511290247808956</v>
      </c>
      <c r="F95">
        <v>34</v>
      </c>
      <c r="G95" s="28">
        <v>428.90584141221973</v>
      </c>
    </row>
    <row r="96" spans="2:7" x14ac:dyDescent="0.3">
      <c r="B96">
        <v>35</v>
      </c>
      <c r="C96" s="28">
        <v>236.03672847336026</v>
      </c>
      <c r="D96">
        <v>35</v>
      </c>
      <c r="E96" s="28">
        <v>-27.801982580400498</v>
      </c>
      <c r="F96">
        <v>35</v>
      </c>
      <c r="G96" s="28">
        <v>750.53916882469082</v>
      </c>
    </row>
    <row r="97" spans="2:7" x14ac:dyDescent="0.3">
      <c r="B97">
        <v>36</v>
      </c>
      <c r="C97" s="28">
        <v>1046.1860157475128</v>
      </c>
      <c r="D97">
        <v>36</v>
      </c>
      <c r="E97" s="28">
        <v>-26.093830658683707</v>
      </c>
      <c r="F97">
        <v>36</v>
      </c>
      <c r="G97" s="28">
        <v>1243.8558778999468</v>
      </c>
    </row>
    <row r="98" spans="2:7" x14ac:dyDescent="0.3">
      <c r="B98">
        <v>37</v>
      </c>
      <c r="C98" s="28">
        <v>1046.4790835457409</v>
      </c>
      <c r="D98">
        <v>37</v>
      </c>
      <c r="E98" s="28">
        <v>39.610131633853641</v>
      </c>
      <c r="F98">
        <v>37</v>
      </c>
      <c r="G98" s="28">
        <v>769.94621022010426</v>
      </c>
    </row>
    <row r="99" spans="2:7" x14ac:dyDescent="0.3">
      <c r="B99">
        <v>38</v>
      </c>
      <c r="C99" s="28">
        <v>978.53409777626109</v>
      </c>
      <c r="D99">
        <v>38</v>
      </c>
      <c r="E99" s="28">
        <v>-1.5020251950172234</v>
      </c>
      <c r="F99">
        <v>38</v>
      </c>
      <c r="G99" s="28">
        <v>911.61368698537694</v>
      </c>
    </row>
    <row r="100" spans="2:7" x14ac:dyDescent="0.3">
      <c r="B100">
        <v>39</v>
      </c>
      <c r="C100" s="28">
        <v>1431.0530502377292</v>
      </c>
      <c r="D100">
        <v>39</v>
      </c>
      <c r="E100" s="28">
        <v>-13.91751397297736</v>
      </c>
      <c r="F100">
        <v>39</v>
      </c>
      <c r="G100" s="28">
        <v>1094.4544546678376</v>
      </c>
    </row>
    <row r="101" spans="2:7" x14ac:dyDescent="0.3">
      <c r="B101">
        <v>40</v>
      </c>
      <c r="C101" s="28">
        <v>1188.7860817015894</v>
      </c>
      <c r="D101">
        <v>40</v>
      </c>
      <c r="E101" s="28">
        <v>4.7223697552650492</v>
      </c>
      <c r="F101">
        <v>40</v>
      </c>
      <c r="G101" s="28">
        <v>1543.2838356297918</v>
      </c>
    </row>
    <row r="102" spans="2:7" x14ac:dyDescent="0.3">
      <c r="B102">
        <v>41</v>
      </c>
      <c r="C102" s="28">
        <v>461.43699853443286</v>
      </c>
      <c r="D102">
        <v>41</v>
      </c>
      <c r="E102" s="28">
        <v>3.2078910226128285</v>
      </c>
      <c r="F102">
        <v>41</v>
      </c>
      <c r="G102" s="28">
        <v>481.42293811182924</v>
      </c>
    </row>
    <row r="103" spans="2:7" x14ac:dyDescent="0.3">
      <c r="B103">
        <v>42</v>
      </c>
      <c r="C103" s="28">
        <v>824.89953870434022</v>
      </c>
      <c r="D103">
        <v>42</v>
      </c>
      <c r="E103" s="28">
        <v>37.632413793008922</v>
      </c>
      <c r="F103">
        <v>42</v>
      </c>
      <c r="G103" s="28">
        <v>1087.7707078160615</v>
      </c>
    </row>
    <row r="104" spans="2:7" x14ac:dyDescent="0.3">
      <c r="B104">
        <v>43</v>
      </c>
      <c r="C104" s="28">
        <v>419.37043427396111</v>
      </c>
      <c r="D104">
        <v>43</v>
      </c>
      <c r="E104" s="28">
        <v>-31.274279939977013</v>
      </c>
      <c r="F104">
        <v>43</v>
      </c>
      <c r="G104" s="28">
        <v>1032.9169954160213</v>
      </c>
    </row>
    <row r="105" spans="2:7" x14ac:dyDescent="0.3">
      <c r="B105">
        <v>44</v>
      </c>
      <c r="C105" s="28">
        <v>877.36913746310233</v>
      </c>
      <c r="D105">
        <v>44</v>
      </c>
      <c r="E105" s="28">
        <v>-3.2628595955235076</v>
      </c>
      <c r="F105">
        <v>44</v>
      </c>
      <c r="G105" s="28">
        <v>911.30957966572237</v>
      </c>
    </row>
    <row r="106" spans="2:7" x14ac:dyDescent="0.3">
      <c r="B106">
        <v>45</v>
      </c>
      <c r="C106" s="28">
        <v>328.94649609220698</v>
      </c>
      <c r="D106">
        <v>45</v>
      </c>
      <c r="E106" s="28">
        <v>-21.97835946076254</v>
      </c>
      <c r="F106">
        <v>45</v>
      </c>
      <c r="G106" s="28">
        <v>927.20709932002796</v>
      </c>
    </row>
    <row r="107" spans="2:7" x14ac:dyDescent="0.3">
      <c r="B107">
        <v>46</v>
      </c>
      <c r="C107" s="28">
        <v>642.96962092549609</v>
      </c>
      <c r="D107">
        <v>46</v>
      </c>
      <c r="E107" s="28">
        <v>-11.570557068316681</v>
      </c>
      <c r="F107">
        <v>46</v>
      </c>
      <c r="G107" s="28">
        <v>1279.4163143262053</v>
      </c>
    </row>
    <row r="108" spans="2:7" x14ac:dyDescent="0.3">
      <c r="B108">
        <v>47</v>
      </c>
      <c r="C108" s="28">
        <v>1333.7978261525809</v>
      </c>
      <c r="D108">
        <v>47</v>
      </c>
      <c r="E108" s="28">
        <v>-39.377194120075096</v>
      </c>
      <c r="F108">
        <v>47</v>
      </c>
      <c r="G108" s="28">
        <v>1389.107665404114</v>
      </c>
    </row>
    <row r="109" spans="2:7" x14ac:dyDescent="0.3">
      <c r="B109">
        <v>48</v>
      </c>
      <c r="C109" s="28">
        <v>294.42090598418037</v>
      </c>
      <c r="D109">
        <v>48</v>
      </c>
      <c r="E109" s="28">
        <v>-14.94406023332731</v>
      </c>
      <c r="F109">
        <v>48</v>
      </c>
      <c r="G109" s="28">
        <v>1268.4610612768847</v>
      </c>
    </row>
    <row r="110" spans="2:7" x14ac:dyDescent="0.3">
      <c r="B110">
        <v>49</v>
      </c>
      <c r="C110" s="28">
        <v>1023.6590627407168</v>
      </c>
      <c r="D110">
        <v>49</v>
      </c>
      <c r="E110" s="28">
        <v>-28.24147514540142</v>
      </c>
      <c r="F110">
        <v>49</v>
      </c>
      <c r="G110" s="28">
        <v>889.74228079746683</v>
      </c>
    </row>
    <row r="111" spans="2:7" x14ac:dyDescent="0.3">
      <c r="B111">
        <v>50</v>
      </c>
      <c r="C111" s="28">
        <v>912.32191664067466</v>
      </c>
      <c r="D111">
        <v>50</v>
      </c>
      <c r="E111" s="28">
        <v>45.307289173493949</v>
      </c>
      <c r="F111">
        <v>50</v>
      </c>
      <c r="G111" s="28">
        <v>720.41829789624342</v>
      </c>
    </row>
    <row r="112" spans="2:7" x14ac:dyDescent="0.3">
      <c r="B112">
        <v>51</v>
      </c>
      <c r="C112" s="28">
        <v>348.69212758274409</v>
      </c>
      <c r="D112">
        <v>51</v>
      </c>
      <c r="E112" s="28">
        <v>42.520076853708773</v>
      </c>
      <c r="F112">
        <v>51</v>
      </c>
      <c r="G112" s="28">
        <v>1268.3379056533829</v>
      </c>
    </row>
    <row r="113" spans="2:7" x14ac:dyDescent="0.3">
      <c r="B113">
        <v>52</v>
      </c>
      <c r="C113" s="28">
        <v>583.69876810785604</v>
      </c>
      <c r="D113">
        <v>52</v>
      </c>
      <c r="E113" s="28">
        <v>4.5214013061866298</v>
      </c>
      <c r="F113">
        <v>52</v>
      </c>
      <c r="G113" s="28">
        <v>959.67252650965804</v>
      </c>
    </row>
    <row r="114" spans="2:7" x14ac:dyDescent="0.3">
      <c r="B114">
        <v>53</v>
      </c>
      <c r="C114" s="28">
        <v>1277.7578192791289</v>
      </c>
      <c r="D114">
        <v>53</v>
      </c>
      <c r="E114" s="28">
        <v>-35.459300727677224</v>
      </c>
      <c r="F114">
        <v>53</v>
      </c>
      <c r="G114" s="28">
        <v>900.84061601182714</v>
      </c>
    </row>
    <row r="115" spans="2:7" x14ac:dyDescent="0.3">
      <c r="B115">
        <v>54</v>
      </c>
      <c r="C115" s="28">
        <v>1041.0287958395618</v>
      </c>
      <c r="D115">
        <v>54</v>
      </c>
      <c r="E115" s="28">
        <v>13.185278912284698</v>
      </c>
      <c r="F115">
        <v>54</v>
      </c>
      <c r="G115" s="28">
        <v>929.72572602681589</v>
      </c>
    </row>
    <row r="116" spans="2:7" x14ac:dyDescent="0.3">
      <c r="B116">
        <v>55</v>
      </c>
      <c r="C116" s="28">
        <v>911.2363849013276</v>
      </c>
      <c r="D116">
        <v>55</v>
      </c>
      <c r="E116" s="28">
        <v>21.937679276939182</v>
      </c>
      <c r="F116">
        <v>55</v>
      </c>
      <c r="G116" s="28">
        <v>1061.1921597240914</v>
      </c>
    </row>
    <row r="117" spans="2:7" x14ac:dyDescent="0.3">
      <c r="B117">
        <v>56</v>
      </c>
      <c r="C117" s="28">
        <v>930.02738146315494</v>
      </c>
      <c r="D117">
        <v>56</v>
      </c>
      <c r="E117" s="28">
        <v>43.542979839017647</v>
      </c>
      <c r="F117">
        <v>56</v>
      </c>
      <c r="G117" s="28">
        <v>791.51527281428548</v>
      </c>
    </row>
    <row r="118" spans="2:7" x14ac:dyDescent="0.3">
      <c r="B118">
        <v>57</v>
      </c>
      <c r="C118" s="28">
        <v>1090.9022848012487</v>
      </c>
      <c r="D118">
        <v>57</v>
      </c>
      <c r="E118" s="28">
        <v>15.080911354996852</v>
      </c>
      <c r="F118">
        <v>57</v>
      </c>
      <c r="G118" s="28">
        <v>949.85416191831007</v>
      </c>
    </row>
    <row r="119" spans="2:7" x14ac:dyDescent="0.3">
      <c r="B119">
        <v>58</v>
      </c>
      <c r="C119" s="28">
        <v>660.39489881287682</v>
      </c>
      <c r="D119">
        <v>58</v>
      </c>
      <c r="E119" s="28">
        <v>22.284518965557908</v>
      </c>
      <c r="F119">
        <v>58</v>
      </c>
      <c r="G119" s="28">
        <v>895.32881451976391</v>
      </c>
    </row>
    <row r="120" spans="2:7" x14ac:dyDescent="0.3">
      <c r="B120">
        <v>59</v>
      </c>
      <c r="C120" s="28">
        <v>397.0525675914518</v>
      </c>
      <c r="D120">
        <v>59</v>
      </c>
      <c r="E120" s="28">
        <v>18.268436377558814</v>
      </c>
      <c r="F120">
        <v>59</v>
      </c>
      <c r="G120" s="28">
        <v>1222.8329981421443</v>
      </c>
    </row>
    <row r="121" spans="2:7" x14ac:dyDescent="0.3">
      <c r="B121">
        <v>60</v>
      </c>
      <c r="C121" s="28">
        <v>1269.1479662135387</v>
      </c>
      <c r="D121">
        <v>60</v>
      </c>
      <c r="E121" s="28">
        <v>33.57607832879394</v>
      </c>
      <c r="F121">
        <v>60</v>
      </c>
      <c r="G121" s="28">
        <v>1107.6984581227139</v>
      </c>
    </row>
    <row r="122" spans="2:7" x14ac:dyDescent="0.3">
      <c r="B122">
        <v>61</v>
      </c>
      <c r="C122" s="28">
        <v>1306.187045984655</v>
      </c>
      <c r="D122">
        <v>61</v>
      </c>
      <c r="E122" s="28">
        <v>-51.603322339389123</v>
      </c>
      <c r="F122">
        <v>61</v>
      </c>
      <c r="G122" s="28">
        <v>870.1340337759857</v>
      </c>
    </row>
    <row r="123" spans="2:7" x14ac:dyDescent="0.3">
      <c r="B123">
        <v>62</v>
      </c>
      <c r="C123" s="28">
        <v>729.26852459372981</v>
      </c>
      <c r="D123">
        <v>62</v>
      </c>
      <c r="E123" s="28">
        <v>-22.640440639402364</v>
      </c>
      <c r="F123">
        <v>62</v>
      </c>
      <c r="G123" s="28">
        <v>518.06564418475637</v>
      </c>
    </row>
    <row r="124" spans="2:7" x14ac:dyDescent="0.3">
      <c r="B124">
        <v>63</v>
      </c>
      <c r="C124" s="28">
        <v>1026.2224535140379</v>
      </c>
      <c r="D124">
        <v>63</v>
      </c>
      <c r="E124" s="28">
        <v>-13.711856571175607</v>
      </c>
      <c r="F124">
        <v>63</v>
      </c>
      <c r="G124" s="28">
        <v>1263.6230378195198</v>
      </c>
    </row>
    <row r="125" spans="2:7" x14ac:dyDescent="0.3">
      <c r="B125">
        <v>64</v>
      </c>
      <c r="C125" s="28">
        <v>1257.6329390703534</v>
      </c>
      <c r="D125">
        <v>64</v>
      </c>
      <c r="E125" s="28">
        <v>4.2226476069631556</v>
      </c>
      <c r="F125">
        <v>64</v>
      </c>
      <c r="G125" s="28">
        <v>898.72678563516206</v>
      </c>
    </row>
    <row r="126" spans="2:7" x14ac:dyDescent="0.3">
      <c r="B126">
        <v>65</v>
      </c>
      <c r="C126" s="28">
        <v>316.07255762062118</v>
      </c>
      <c r="D126">
        <v>65</v>
      </c>
      <c r="E126" s="28">
        <v>31.655702712957456</v>
      </c>
      <c r="F126">
        <v>65</v>
      </c>
      <c r="G126" s="28">
        <v>1453.7504909448778</v>
      </c>
    </row>
    <row r="127" spans="2:7" x14ac:dyDescent="0.3">
      <c r="B127">
        <v>66</v>
      </c>
      <c r="C127" s="28">
        <v>486.8464269166393</v>
      </c>
      <c r="D127">
        <v>66</v>
      </c>
      <c r="E127" s="28">
        <v>-16.853448963239199</v>
      </c>
      <c r="F127">
        <v>66</v>
      </c>
      <c r="G127" s="28">
        <v>943.71116181476191</v>
      </c>
    </row>
    <row r="128" spans="2:7" x14ac:dyDescent="0.3">
      <c r="B128">
        <v>67</v>
      </c>
      <c r="C128" s="28">
        <v>965.90926252501208</v>
      </c>
      <c r="D128">
        <v>67</v>
      </c>
      <c r="E128" s="28">
        <v>15.896074699478936</v>
      </c>
      <c r="F128">
        <v>67</v>
      </c>
      <c r="G128" s="28">
        <v>1056.8856770548873</v>
      </c>
    </row>
    <row r="129" spans="2:7" x14ac:dyDescent="0.3">
      <c r="B129">
        <v>68</v>
      </c>
      <c r="C129" s="28">
        <v>1242.9899525974995</v>
      </c>
      <c r="D129">
        <v>68</v>
      </c>
      <c r="E129" s="28">
        <v>-0.92180267406494676</v>
      </c>
      <c r="F129">
        <v>68</v>
      </c>
      <c r="G129" s="28">
        <v>552.58342457053925</v>
      </c>
    </row>
    <row r="130" spans="2:7" x14ac:dyDescent="0.3">
      <c r="B130">
        <v>69</v>
      </c>
      <c r="C130" s="28">
        <v>558.67805307174808</v>
      </c>
      <c r="D130">
        <v>69</v>
      </c>
      <c r="E130" s="28">
        <v>8.4545603147304025</v>
      </c>
      <c r="F130">
        <v>69</v>
      </c>
      <c r="G130" s="28">
        <v>1166.0400174427782</v>
      </c>
    </row>
    <row r="131" spans="2:7" x14ac:dyDescent="0.3">
      <c r="B131">
        <v>70</v>
      </c>
      <c r="C131" s="28">
        <v>882.92822009754968</v>
      </c>
      <c r="D131">
        <v>70</v>
      </c>
      <c r="E131" s="28">
        <v>30.046609516314483</v>
      </c>
      <c r="F131">
        <v>70</v>
      </c>
      <c r="G131" s="28">
        <v>739.66230896097591</v>
      </c>
    </row>
    <row r="132" spans="2:7" x14ac:dyDescent="0.3">
      <c r="B132">
        <v>71</v>
      </c>
      <c r="C132" s="28">
        <v>560.48664839102389</v>
      </c>
      <c r="D132">
        <v>71</v>
      </c>
      <c r="E132" s="28">
        <v>37.952442893854503</v>
      </c>
      <c r="F132">
        <v>71</v>
      </c>
      <c r="G132" s="28">
        <v>1633.2151886961708</v>
      </c>
    </row>
    <row r="133" spans="2:7" x14ac:dyDescent="0.3">
      <c r="B133">
        <v>72</v>
      </c>
      <c r="C133" s="28">
        <v>590.04847669570529</v>
      </c>
      <c r="D133">
        <v>72</v>
      </c>
      <c r="E133" s="28">
        <v>25.133778302444401</v>
      </c>
      <c r="F133">
        <v>72</v>
      </c>
      <c r="G133" s="28">
        <v>927.54000004170371</v>
      </c>
    </row>
    <row r="134" spans="2:7" x14ac:dyDescent="0.3">
      <c r="B134">
        <v>73</v>
      </c>
      <c r="C134" s="28">
        <v>564.75536026989471</v>
      </c>
      <c r="D134">
        <v>73</v>
      </c>
      <c r="E134" s="28">
        <v>-1.7826781458193306</v>
      </c>
      <c r="F134">
        <v>73</v>
      </c>
      <c r="G134" s="28">
        <v>1018.4097290785136</v>
      </c>
    </row>
    <row r="135" spans="2:7" x14ac:dyDescent="0.3">
      <c r="B135">
        <v>74</v>
      </c>
      <c r="C135" s="28">
        <v>436.39760403664559</v>
      </c>
      <c r="D135">
        <v>74</v>
      </c>
      <c r="E135" s="28">
        <v>31.829785677594863</v>
      </c>
      <c r="F135">
        <v>74</v>
      </c>
      <c r="G135" s="28">
        <v>727.9646002941804</v>
      </c>
    </row>
    <row r="136" spans="2:7" x14ac:dyDescent="0.3">
      <c r="B136">
        <v>75</v>
      </c>
      <c r="C136" s="28">
        <v>1093.2835417263159</v>
      </c>
      <c r="D136">
        <v>75</v>
      </c>
      <c r="E136" s="28">
        <v>-6.6573307743284946</v>
      </c>
      <c r="F136">
        <v>75</v>
      </c>
      <c r="G136" s="28">
        <v>874.09146740353322</v>
      </c>
    </row>
    <row r="137" spans="2:7" x14ac:dyDescent="0.3">
      <c r="B137">
        <v>76</v>
      </c>
      <c r="C137" s="28">
        <v>716.81562104192801</v>
      </c>
      <c r="D137">
        <v>76</v>
      </c>
      <c r="E137" s="28">
        <v>8.9866472821337489</v>
      </c>
      <c r="F137">
        <v>76</v>
      </c>
      <c r="G137" s="28">
        <v>913.05298076358849</v>
      </c>
    </row>
    <row r="138" spans="2:7" x14ac:dyDescent="0.3">
      <c r="B138">
        <v>77</v>
      </c>
      <c r="C138" s="28">
        <v>662.30533503801439</v>
      </c>
      <c r="D138">
        <v>77</v>
      </c>
      <c r="E138" s="28">
        <v>55.177242548623518</v>
      </c>
      <c r="F138">
        <v>77</v>
      </c>
      <c r="G138" s="28">
        <v>1363.8122376609349</v>
      </c>
    </row>
    <row r="139" spans="2:7" x14ac:dyDescent="0.3">
      <c r="B139">
        <v>78</v>
      </c>
      <c r="C139" s="28">
        <v>1704.8365583528193</v>
      </c>
      <c r="D139">
        <v>78</v>
      </c>
      <c r="E139" s="28">
        <v>-29.124765022532394</v>
      </c>
      <c r="F139">
        <v>78</v>
      </c>
      <c r="G139" s="28">
        <v>705.79490714094277</v>
      </c>
    </row>
    <row r="140" spans="2:7" x14ac:dyDescent="0.3">
      <c r="B140">
        <v>79</v>
      </c>
      <c r="C140" s="28">
        <v>1322.3394218196524</v>
      </c>
      <c r="D140">
        <v>79</v>
      </c>
      <c r="E140" s="28">
        <v>-26.59968096464554</v>
      </c>
      <c r="F140">
        <v>79</v>
      </c>
      <c r="G140" s="28">
        <v>683.84916826658559</v>
      </c>
    </row>
    <row r="141" spans="2:7" x14ac:dyDescent="0.3">
      <c r="B141">
        <v>80</v>
      </c>
      <c r="C141" s="28">
        <v>729.65463254312658</v>
      </c>
      <c r="D141">
        <v>80</v>
      </c>
      <c r="E141" s="28">
        <v>3.6218047209608715</v>
      </c>
      <c r="F141">
        <v>80</v>
      </c>
      <c r="G141" s="28">
        <v>904.9029548712399</v>
      </c>
    </row>
    <row r="142" spans="2:7" x14ac:dyDescent="0.3">
      <c r="B142">
        <v>81</v>
      </c>
      <c r="C142" s="28">
        <v>613.0963517686456</v>
      </c>
      <c r="D142">
        <v>81</v>
      </c>
      <c r="E142" s="28">
        <v>-17.168461469623558</v>
      </c>
      <c r="F142">
        <v>81</v>
      </c>
      <c r="G142" s="28">
        <v>880.615332547555</v>
      </c>
    </row>
    <row r="143" spans="2:7" x14ac:dyDescent="0.3">
      <c r="B143">
        <v>82</v>
      </c>
      <c r="C143" s="28">
        <v>1049.9532287780969</v>
      </c>
      <c r="D143">
        <v>82</v>
      </c>
      <c r="E143" s="28">
        <v>-14.072455629219741</v>
      </c>
      <c r="F143">
        <v>82</v>
      </c>
      <c r="G143" s="28">
        <v>754.81709741515283</v>
      </c>
    </row>
    <row r="144" spans="2:7" x14ac:dyDescent="0.3">
      <c r="B144">
        <v>83</v>
      </c>
      <c r="C144" s="28">
        <v>981.82709330702835</v>
      </c>
      <c r="D144">
        <v>83</v>
      </c>
      <c r="E144" s="28">
        <v>20.80625612172015</v>
      </c>
      <c r="F144">
        <v>83</v>
      </c>
      <c r="G144" s="28">
        <v>892.73051919584509</v>
      </c>
    </row>
    <row r="145" spans="2:7" x14ac:dyDescent="0.3">
      <c r="B145">
        <v>84</v>
      </c>
      <c r="C145" s="28">
        <v>857.55776683705585</v>
      </c>
      <c r="D145">
        <v>84</v>
      </c>
      <c r="E145" s="28">
        <v>45.276743407343062</v>
      </c>
      <c r="F145">
        <v>84</v>
      </c>
      <c r="G145" s="28">
        <v>935.68677523423571</v>
      </c>
    </row>
    <row r="146" spans="2:7" x14ac:dyDescent="0.3">
      <c r="B146">
        <v>85</v>
      </c>
      <c r="C146" s="28">
        <v>755.92209452761995</v>
      </c>
      <c r="D146">
        <v>85</v>
      </c>
      <c r="E146" s="28">
        <v>23.539364779805112</v>
      </c>
      <c r="F146">
        <v>85</v>
      </c>
      <c r="G146" s="28">
        <v>1413.1520113612391</v>
      </c>
    </row>
    <row r="147" spans="2:7" x14ac:dyDescent="0.3">
      <c r="B147">
        <v>86</v>
      </c>
      <c r="C147" s="28">
        <v>773.70041648036556</v>
      </c>
      <c r="D147">
        <v>86</v>
      </c>
      <c r="E147" s="28">
        <v>20.29152677482897</v>
      </c>
      <c r="F147">
        <v>86</v>
      </c>
      <c r="G147" s="28">
        <v>1339.3000393685074</v>
      </c>
    </row>
    <row r="148" spans="2:7" x14ac:dyDescent="0.3">
      <c r="B148">
        <v>87</v>
      </c>
      <c r="C148" s="28">
        <v>1402.6567669816839</v>
      </c>
      <c r="D148">
        <v>87</v>
      </c>
      <c r="E148" s="28">
        <v>-27.731513969939602</v>
      </c>
      <c r="F148">
        <v>87</v>
      </c>
      <c r="G148" s="28">
        <v>1042.4844875543408</v>
      </c>
    </row>
    <row r="149" spans="2:7" x14ac:dyDescent="0.3">
      <c r="B149">
        <v>88</v>
      </c>
      <c r="C149" s="28">
        <v>1776.870770755221</v>
      </c>
      <c r="D149">
        <v>88</v>
      </c>
      <c r="E149" s="28">
        <v>49.402719295264987</v>
      </c>
      <c r="F149">
        <v>88</v>
      </c>
      <c r="G149" s="28">
        <v>1079.7772354262411</v>
      </c>
    </row>
    <row r="150" spans="2:7" x14ac:dyDescent="0.3">
      <c r="B150">
        <v>89</v>
      </c>
      <c r="C150" s="28">
        <v>1172.0480244652895</v>
      </c>
      <c r="D150">
        <v>89</v>
      </c>
      <c r="E150" s="28">
        <v>11.696667728807238</v>
      </c>
      <c r="F150">
        <v>89</v>
      </c>
      <c r="G150" s="28">
        <v>1108.8283607989774</v>
      </c>
    </row>
    <row r="151" spans="2:7" x14ac:dyDescent="0.3">
      <c r="B151">
        <v>90</v>
      </c>
      <c r="C151" s="28">
        <v>939.09537246821674</v>
      </c>
      <c r="D151">
        <v>90</v>
      </c>
      <c r="E151" s="28">
        <v>-10.231166948390252</v>
      </c>
      <c r="F151">
        <v>90</v>
      </c>
      <c r="G151" s="28">
        <v>851.16611058642047</v>
      </c>
    </row>
    <row r="152" spans="2:7" x14ac:dyDescent="0.3">
      <c r="B152">
        <v>91</v>
      </c>
      <c r="C152" s="28">
        <v>1236.9004759589297</v>
      </c>
      <c r="D152">
        <v>91</v>
      </c>
      <c r="E152" s="28">
        <v>47.177790129807313</v>
      </c>
      <c r="F152">
        <v>91</v>
      </c>
      <c r="G152" s="28">
        <v>1086.2302934727875</v>
      </c>
    </row>
    <row r="153" spans="2:7" x14ac:dyDescent="0.3">
      <c r="B153">
        <v>92</v>
      </c>
      <c r="C153" s="28">
        <v>1030.8820513853423</v>
      </c>
      <c r="D153">
        <v>92</v>
      </c>
      <c r="E153" s="28">
        <v>41.169039915279086</v>
      </c>
      <c r="F153">
        <v>92</v>
      </c>
      <c r="G153" s="28">
        <v>1159.8854141427425</v>
      </c>
    </row>
    <row r="154" spans="2:7" x14ac:dyDescent="0.3">
      <c r="B154">
        <v>93</v>
      </c>
      <c r="C154" s="28">
        <v>241.22395168736813</v>
      </c>
      <c r="D154">
        <v>93</v>
      </c>
      <c r="E154" s="28">
        <v>6.4711029569899328</v>
      </c>
      <c r="F154">
        <v>93</v>
      </c>
      <c r="G154" s="28">
        <v>728.90577710292007</v>
      </c>
    </row>
    <row r="155" spans="2:7" x14ac:dyDescent="0.3">
      <c r="B155">
        <v>94</v>
      </c>
      <c r="C155" s="28">
        <v>695.07453864293313</v>
      </c>
      <c r="D155">
        <v>94</v>
      </c>
      <c r="E155" s="28">
        <v>26.159840611542261</v>
      </c>
      <c r="F155">
        <v>94</v>
      </c>
      <c r="G155" s="28">
        <v>306.29464837775276</v>
      </c>
    </row>
    <row r="156" spans="2:7" x14ac:dyDescent="0.3">
      <c r="B156">
        <v>95</v>
      </c>
      <c r="C156" s="28">
        <v>772.46659248297055</v>
      </c>
      <c r="D156">
        <v>95</v>
      </c>
      <c r="E156" s="28">
        <v>43.385092986914884</v>
      </c>
      <c r="F156">
        <v>95</v>
      </c>
      <c r="G156" s="28">
        <v>558.37995666495203</v>
      </c>
    </row>
    <row r="157" spans="2:7" x14ac:dyDescent="0.3">
      <c r="B157">
        <v>96</v>
      </c>
      <c r="C157" s="28">
        <v>509.01768133477907</v>
      </c>
      <c r="D157">
        <v>96</v>
      </c>
      <c r="E157" s="28">
        <v>-24.317023463846915</v>
      </c>
      <c r="F157">
        <v>96</v>
      </c>
      <c r="G157" s="28">
        <v>824.23151293450064</v>
      </c>
    </row>
    <row r="158" spans="2:7" x14ac:dyDescent="0.3">
      <c r="B158">
        <v>97</v>
      </c>
      <c r="C158" s="28">
        <v>1282.50410207967</v>
      </c>
      <c r="D158">
        <v>97</v>
      </c>
      <c r="E158" s="28">
        <v>29.812048155944886</v>
      </c>
      <c r="F158">
        <v>97</v>
      </c>
      <c r="G158" s="28">
        <v>1065.8312466760285</v>
      </c>
    </row>
    <row r="159" spans="2:7" x14ac:dyDescent="0.3">
      <c r="B159">
        <v>98</v>
      </c>
      <c r="C159" s="28">
        <v>1145.2494003352406</v>
      </c>
      <c r="D159">
        <v>98</v>
      </c>
      <c r="E159" s="28">
        <v>-0.91858933051692804</v>
      </c>
      <c r="F159">
        <v>98</v>
      </c>
      <c r="G159" s="28">
        <v>1105.0022222414557</v>
      </c>
    </row>
    <row r="160" spans="2:7" x14ac:dyDescent="0.3">
      <c r="B160">
        <v>99</v>
      </c>
      <c r="C160" s="28">
        <v>919.69929185785691</v>
      </c>
      <c r="D160">
        <v>99</v>
      </c>
      <c r="E160" s="28">
        <v>10.905561358633644</v>
      </c>
      <c r="F160">
        <v>99</v>
      </c>
      <c r="G160" s="28">
        <v>742.50531014321803</v>
      </c>
    </row>
    <row r="161" spans="2:7" x14ac:dyDescent="0.3">
      <c r="B161">
        <v>100</v>
      </c>
      <c r="C161" s="28">
        <v>805.92206375180626</v>
      </c>
      <c r="D161">
        <v>100</v>
      </c>
      <c r="E161" s="28">
        <v>6.38767610138233</v>
      </c>
      <c r="F161">
        <v>100</v>
      </c>
      <c r="G161" s="28">
        <v>731.80134024623965</v>
      </c>
    </row>
    <row r="162" spans="2:7" x14ac:dyDescent="0.3">
      <c r="B162">
        <v>101</v>
      </c>
      <c r="C162" s="28">
        <v>808.37933043622252</v>
      </c>
      <c r="D162">
        <v>101</v>
      </c>
      <c r="E162" s="28">
        <v>41.233042632272529</v>
      </c>
      <c r="F162">
        <v>101</v>
      </c>
      <c r="G162" s="28">
        <v>758.96179981741147</v>
      </c>
    </row>
    <row r="163" spans="2:7" x14ac:dyDescent="0.3">
      <c r="B163">
        <v>102</v>
      </c>
      <c r="C163" s="28">
        <v>1173.1143646636349</v>
      </c>
      <c r="D163">
        <v>102</v>
      </c>
      <c r="E163" s="28">
        <v>-23.478234757162419</v>
      </c>
      <c r="F163">
        <v>102</v>
      </c>
      <c r="G163" s="28">
        <v>1591.496526976995</v>
      </c>
    </row>
    <row r="164" spans="2:7" x14ac:dyDescent="0.3">
      <c r="B164">
        <v>103</v>
      </c>
      <c r="C164" s="28">
        <v>645.21818629508266</v>
      </c>
      <c r="D164">
        <v>103</v>
      </c>
      <c r="E164" s="28">
        <v>30.730221926022246</v>
      </c>
      <c r="F164">
        <v>103</v>
      </c>
      <c r="G164" s="28">
        <v>937.01661113736225</v>
      </c>
    </row>
    <row r="165" spans="2:7" x14ac:dyDescent="0.3">
      <c r="B165">
        <v>104</v>
      </c>
      <c r="C165" s="28">
        <v>1293.6916318797471</v>
      </c>
      <c r="D165">
        <v>104</v>
      </c>
      <c r="E165" s="28">
        <v>8.8501715439391386</v>
      </c>
      <c r="F165">
        <v>104</v>
      </c>
      <c r="G165" s="28">
        <v>1266.9730771356765</v>
      </c>
    </row>
    <row r="166" spans="2:7" x14ac:dyDescent="0.3">
      <c r="B166">
        <v>105</v>
      </c>
      <c r="C166" s="28">
        <v>1170.9325318424349</v>
      </c>
      <c r="D166">
        <v>105</v>
      </c>
      <c r="E166" s="28">
        <v>-2.7882100669024807</v>
      </c>
      <c r="F166">
        <v>105</v>
      </c>
      <c r="G166" s="28">
        <v>690.024717454501</v>
      </c>
    </row>
    <row r="167" spans="2:7" x14ac:dyDescent="0.3">
      <c r="B167">
        <v>106</v>
      </c>
      <c r="C167" s="28">
        <v>758.27368830494697</v>
      </c>
      <c r="D167">
        <v>106</v>
      </c>
      <c r="E167" s="28">
        <v>2.9299840093161515</v>
      </c>
      <c r="F167">
        <v>106</v>
      </c>
      <c r="G167" s="28">
        <v>793.2753231306117</v>
      </c>
    </row>
    <row r="168" spans="2:7" x14ac:dyDescent="0.3">
      <c r="B168">
        <v>107</v>
      </c>
      <c r="C168" s="28">
        <v>905.3998950513253</v>
      </c>
      <c r="D168">
        <v>107</v>
      </c>
      <c r="E168" s="28">
        <v>11.868858799893571</v>
      </c>
      <c r="F168">
        <v>107</v>
      </c>
      <c r="G168" s="28">
        <v>1400.6279374991816</v>
      </c>
    </row>
    <row r="169" spans="2:7" x14ac:dyDescent="0.3">
      <c r="B169">
        <v>108</v>
      </c>
      <c r="C169" s="28">
        <v>349.76548830367915</v>
      </c>
      <c r="D169">
        <v>108</v>
      </c>
      <c r="E169" s="28">
        <v>17.842149727354816</v>
      </c>
      <c r="F169">
        <v>108</v>
      </c>
      <c r="G169" s="28">
        <v>1177.9631915311793</v>
      </c>
    </row>
    <row r="170" spans="2:7" x14ac:dyDescent="0.3">
      <c r="B170">
        <v>109</v>
      </c>
      <c r="C170" s="28">
        <v>-8.5633029032260648</v>
      </c>
      <c r="D170">
        <v>109</v>
      </c>
      <c r="E170" s="28">
        <v>-6.8651930395442431</v>
      </c>
      <c r="F170">
        <v>109</v>
      </c>
      <c r="G170" s="28">
        <v>1136.3557407694443</v>
      </c>
    </row>
    <row r="171" spans="2:7" x14ac:dyDescent="0.3">
      <c r="B171">
        <v>110</v>
      </c>
      <c r="C171" s="28">
        <v>1320.2972878043768</v>
      </c>
      <c r="D171">
        <v>110</v>
      </c>
      <c r="E171" s="28">
        <v>31.636672451893968</v>
      </c>
      <c r="F171">
        <v>110</v>
      </c>
      <c r="G171" s="28">
        <v>620.16573248276018</v>
      </c>
    </row>
    <row r="172" spans="2:7" x14ac:dyDescent="0.3">
      <c r="B172">
        <v>111</v>
      </c>
      <c r="C172" s="28">
        <v>740.53577109406262</v>
      </c>
      <c r="D172">
        <v>111</v>
      </c>
      <c r="E172" s="28">
        <v>-47.67744449463455</v>
      </c>
      <c r="F172">
        <v>111</v>
      </c>
      <c r="G172" s="28">
        <v>786.43354382144832</v>
      </c>
    </row>
    <row r="173" spans="2:7" x14ac:dyDescent="0.3">
      <c r="B173">
        <v>112</v>
      </c>
      <c r="C173" s="28">
        <v>1042.6998607551295</v>
      </c>
      <c r="D173">
        <v>112</v>
      </c>
      <c r="E173" s="28">
        <v>-23.765304667186061</v>
      </c>
      <c r="F173">
        <v>112</v>
      </c>
      <c r="G173" s="28">
        <v>856.88968151462359</v>
      </c>
    </row>
    <row r="174" spans="2:7" x14ac:dyDescent="0.3">
      <c r="B174">
        <v>113</v>
      </c>
      <c r="C174" s="28">
        <v>747.81619545145077</v>
      </c>
      <c r="D174">
        <v>113</v>
      </c>
      <c r="E174" s="28">
        <v>-27.885586775679759</v>
      </c>
      <c r="F174">
        <v>113</v>
      </c>
      <c r="G174" s="28">
        <v>603.0812784388927</v>
      </c>
    </row>
    <row r="175" spans="2:7" x14ac:dyDescent="0.3">
      <c r="B175">
        <v>114</v>
      </c>
      <c r="C175" s="28">
        <v>1096.9389020287219</v>
      </c>
      <c r="D175">
        <v>114</v>
      </c>
      <c r="E175" s="28">
        <v>15.696698858778461</v>
      </c>
      <c r="F175">
        <v>114</v>
      </c>
      <c r="G175" s="28">
        <v>1255.8120654319378</v>
      </c>
    </row>
    <row r="176" spans="2:7" x14ac:dyDescent="0.3">
      <c r="B176">
        <v>115</v>
      </c>
      <c r="C176" s="28">
        <v>889.17170981756794</v>
      </c>
      <c r="D176">
        <v>115</v>
      </c>
      <c r="E176" s="28">
        <v>-43.604335018251838</v>
      </c>
      <c r="F176">
        <v>115</v>
      </c>
      <c r="G176" s="28">
        <v>1091.1026598613348</v>
      </c>
    </row>
    <row r="177" spans="2:7" x14ac:dyDescent="0.3">
      <c r="B177">
        <v>116</v>
      </c>
      <c r="C177" s="28">
        <v>1059.7734137667569</v>
      </c>
      <c r="D177">
        <v>116</v>
      </c>
      <c r="E177" s="28">
        <v>-18.674423251687148</v>
      </c>
      <c r="F177">
        <v>116</v>
      </c>
      <c r="G177" s="28">
        <v>950.74803017236513</v>
      </c>
    </row>
    <row r="178" spans="2:7" x14ac:dyDescent="0.3">
      <c r="B178">
        <v>117</v>
      </c>
      <c r="C178" s="28">
        <v>1161.3618814557362</v>
      </c>
      <c r="D178">
        <v>117</v>
      </c>
      <c r="E178" s="28">
        <v>31.356003189548204</v>
      </c>
      <c r="F178">
        <v>117</v>
      </c>
      <c r="G178" s="28">
        <v>1021.589612633243</v>
      </c>
    </row>
    <row r="179" spans="2:7" x14ac:dyDescent="0.3">
      <c r="B179">
        <v>118</v>
      </c>
      <c r="C179" s="28">
        <v>973.17029044672108</v>
      </c>
      <c r="D179">
        <v>118</v>
      </c>
      <c r="E179" s="28">
        <v>33.14174758537655</v>
      </c>
      <c r="F179">
        <v>118</v>
      </c>
      <c r="G179" s="28">
        <v>1267.5519016001058</v>
      </c>
    </row>
    <row r="180" spans="2:7" x14ac:dyDescent="0.3">
      <c r="B180">
        <v>119</v>
      </c>
      <c r="C180" s="28">
        <v>394.51841880676312</v>
      </c>
      <c r="D180">
        <v>119</v>
      </c>
      <c r="E180" s="28">
        <v>60.371032746451718</v>
      </c>
      <c r="F180">
        <v>119</v>
      </c>
      <c r="G180" s="28">
        <v>1030.8685228440522</v>
      </c>
    </row>
    <row r="181" spans="2:7" x14ac:dyDescent="0.3">
      <c r="B181">
        <v>120</v>
      </c>
      <c r="C181" s="28">
        <v>1175.0906131612394</v>
      </c>
      <c r="D181">
        <v>120</v>
      </c>
      <c r="E181" s="28">
        <v>0.7812014591850025</v>
      </c>
      <c r="F181">
        <v>120</v>
      </c>
      <c r="G181" s="28">
        <v>1476.6717546722425</v>
      </c>
    </row>
    <row r="182" spans="2:7" x14ac:dyDescent="0.3">
      <c r="B182">
        <v>121</v>
      </c>
      <c r="C182" s="28">
        <v>790.98641140326799</v>
      </c>
      <c r="D182">
        <v>121</v>
      </c>
      <c r="E182" s="28">
        <v>53.07024483298725</v>
      </c>
      <c r="F182">
        <v>121</v>
      </c>
      <c r="G182" s="28">
        <v>1315.2808371713411</v>
      </c>
    </row>
    <row r="183" spans="2:7" x14ac:dyDescent="0.3">
      <c r="B183">
        <v>122</v>
      </c>
      <c r="C183" s="28">
        <v>1045.2894299211396</v>
      </c>
      <c r="D183">
        <v>122</v>
      </c>
      <c r="E183" s="28">
        <v>-27.272178579394385</v>
      </c>
      <c r="F183">
        <v>122</v>
      </c>
      <c r="G183" s="28">
        <v>709.66655755787986</v>
      </c>
    </row>
    <row r="184" spans="2:7" x14ac:dyDescent="0.3">
      <c r="B184">
        <v>123</v>
      </c>
      <c r="C184" s="28">
        <v>983.70925644060094</v>
      </c>
      <c r="D184">
        <v>123</v>
      </c>
      <c r="E184" s="28">
        <v>10.063837515567027</v>
      </c>
      <c r="F184">
        <v>123</v>
      </c>
      <c r="G184" s="28">
        <v>763.82387414198297</v>
      </c>
    </row>
    <row r="185" spans="2:7" x14ac:dyDescent="0.3">
      <c r="B185">
        <v>124</v>
      </c>
      <c r="C185" s="28">
        <v>891.10682406861656</v>
      </c>
      <c r="D185">
        <v>124</v>
      </c>
      <c r="E185" s="28">
        <v>1.2811414053857046</v>
      </c>
      <c r="F185">
        <v>124</v>
      </c>
      <c r="G185" s="28">
        <v>1248.4374293456385</v>
      </c>
    </row>
    <row r="186" spans="2:7" x14ac:dyDescent="0.3">
      <c r="B186">
        <v>125</v>
      </c>
      <c r="C186" s="28">
        <v>996.67132002342476</v>
      </c>
      <c r="D186">
        <v>125</v>
      </c>
      <c r="E186" s="28">
        <v>38.87076583142678</v>
      </c>
      <c r="F186">
        <v>125</v>
      </c>
      <c r="G186" s="28">
        <v>938.5980627949175</v>
      </c>
    </row>
    <row r="187" spans="2:7" x14ac:dyDescent="0.3">
      <c r="B187">
        <v>126</v>
      </c>
      <c r="C187" s="28">
        <v>355.57300000901779</v>
      </c>
      <c r="D187">
        <v>126</v>
      </c>
      <c r="E187" s="28">
        <v>-11.42921945317921</v>
      </c>
      <c r="F187">
        <v>126</v>
      </c>
      <c r="G187" s="28">
        <v>351.36060013867939</v>
      </c>
    </row>
    <row r="188" spans="2:7" x14ac:dyDescent="0.3">
      <c r="B188">
        <v>127</v>
      </c>
      <c r="C188" s="28">
        <v>1190.1968314173598</v>
      </c>
      <c r="D188">
        <v>127</v>
      </c>
      <c r="E188" s="28">
        <v>8.6916286381791696</v>
      </c>
      <c r="F188">
        <v>127</v>
      </c>
      <c r="G188" s="28">
        <v>750.94553404092517</v>
      </c>
    </row>
    <row r="189" spans="2:7" x14ac:dyDescent="0.3">
      <c r="B189">
        <v>128</v>
      </c>
      <c r="C189" s="28">
        <v>1257.7147184931887</v>
      </c>
      <c r="D189">
        <v>128</v>
      </c>
      <c r="E189" s="28">
        <v>33.582962970088985</v>
      </c>
      <c r="F189">
        <v>128</v>
      </c>
      <c r="G189" s="28">
        <v>1353.4334090404202</v>
      </c>
    </row>
    <row r="190" spans="2:7" x14ac:dyDescent="0.3">
      <c r="B190">
        <v>129</v>
      </c>
      <c r="C190" s="28">
        <v>418.72476730957703</v>
      </c>
      <c r="D190">
        <v>129</v>
      </c>
      <c r="E190" s="28">
        <v>45.053817810437991</v>
      </c>
      <c r="F190">
        <v>129</v>
      </c>
      <c r="G190" s="28">
        <v>737.39864453057987</v>
      </c>
    </row>
    <row r="191" spans="2:7" x14ac:dyDescent="0.3">
      <c r="B191">
        <v>130</v>
      </c>
      <c r="C191" s="28">
        <v>823.14630812604139</v>
      </c>
      <c r="D191">
        <v>130</v>
      </c>
      <c r="E191" s="28">
        <v>-27.018301499174793</v>
      </c>
      <c r="F191">
        <v>130</v>
      </c>
      <c r="G191" s="28">
        <v>1359.8208467023992</v>
      </c>
    </row>
    <row r="192" spans="2:7" x14ac:dyDescent="0.3">
      <c r="B192">
        <v>131</v>
      </c>
      <c r="C192" s="28">
        <v>894.77347991388046</v>
      </c>
      <c r="D192">
        <v>131</v>
      </c>
      <c r="E192" s="28">
        <v>62.117564560470008</v>
      </c>
      <c r="F192">
        <v>131</v>
      </c>
      <c r="G192" s="28">
        <v>918.19925302979448</v>
      </c>
    </row>
    <row r="193" spans="2:7" x14ac:dyDescent="0.3">
      <c r="B193">
        <v>132</v>
      </c>
      <c r="C193" s="28">
        <v>1032.6957246318241</v>
      </c>
      <c r="D193">
        <v>132</v>
      </c>
      <c r="E193" s="28">
        <v>-51.183045037651844</v>
      </c>
      <c r="F193">
        <v>132</v>
      </c>
      <c r="G193" s="28">
        <v>804.05420601997116</v>
      </c>
    </row>
    <row r="194" spans="2:7" x14ac:dyDescent="0.3">
      <c r="B194">
        <v>133</v>
      </c>
      <c r="C194" s="28">
        <v>1045.3969829518849</v>
      </c>
      <c r="D194">
        <v>133</v>
      </c>
      <c r="E194" s="28">
        <v>24.495332983798811</v>
      </c>
      <c r="F194">
        <v>133</v>
      </c>
      <c r="G194" s="28">
        <v>974.86758505477633</v>
      </c>
    </row>
    <row r="195" spans="2:7" x14ac:dyDescent="0.3">
      <c r="B195">
        <v>134</v>
      </c>
      <c r="C195" s="28">
        <v>477.6853447894735</v>
      </c>
      <c r="D195">
        <v>134</v>
      </c>
      <c r="E195" s="28">
        <v>-10.332776214267371</v>
      </c>
      <c r="F195">
        <v>134</v>
      </c>
      <c r="G195" s="28">
        <v>643.79071981884704</v>
      </c>
    </row>
    <row r="196" spans="2:7" x14ac:dyDescent="0.3">
      <c r="B196">
        <v>135</v>
      </c>
      <c r="C196" s="28">
        <v>964.22743923098938</v>
      </c>
      <c r="D196">
        <v>135</v>
      </c>
      <c r="E196" s="28">
        <v>50.353554532678181</v>
      </c>
      <c r="F196">
        <v>135</v>
      </c>
      <c r="G196" s="28">
        <v>922.98835938196385</v>
      </c>
    </row>
    <row r="197" spans="2:7" x14ac:dyDescent="0.3">
      <c r="B197">
        <v>136</v>
      </c>
      <c r="C197" s="28">
        <v>301.63516094785575</v>
      </c>
      <c r="D197">
        <v>136</v>
      </c>
      <c r="E197" s="28">
        <v>10.496132513304607</v>
      </c>
      <c r="F197">
        <v>136</v>
      </c>
      <c r="G197" s="28">
        <v>968.21942133593438</v>
      </c>
    </row>
    <row r="198" spans="2:7" x14ac:dyDescent="0.3">
      <c r="B198">
        <v>137</v>
      </c>
      <c r="C198" s="28">
        <v>1465.5065837192001</v>
      </c>
      <c r="D198">
        <v>137</v>
      </c>
      <c r="E198" s="28">
        <v>38.119723351501349</v>
      </c>
      <c r="F198">
        <v>137</v>
      </c>
      <c r="G198" s="28">
        <v>790.86252712241571</v>
      </c>
    </row>
    <row r="199" spans="2:7" x14ac:dyDescent="0.3">
      <c r="B199">
        <v>138</v>
      </c>
      <c r="C199" s="28">
        <v>952.30865222453087</v>
      </c>
      <c r="D199">
        <v>138</v>
      </c>
      <c r="E199" s="28">
        <v>40.337959224345056</v>
      </c>
      <c r="F199">
        <v>138</v>
      </c>
      <c r="G199" s="28">
        <v>757.28482947096734</v>
      </c>
    </row>
    <row r="200" spans="2:7" x14ac:dyDescent="0.3">
      <c r="B200">
        <v>139</v>
      </c>
      <c r="C200" s="28">
        <v>857.88495764324966</v>
      </c>
      <c r="D200">
        <v>139</v>
      </c>
      <c r="E200" s="28">
        <v>-33.980133678336543</v>
      </c>
      <c r="F200">
        <v>139</v>
      </c>
      <c r="G200" s="28">
        <v>1395.1301802295025</v>
      </c>
    </row>
    <row r="201" spans="2:7" x14ac:dyDescent="0.3">
      <c r="B201">
        <v>140</v>
      </c>
      <c r="C201" s="28">
        <v>1139.4075914665118</v>
      </c>
      <c r="D201">
        <v>140</v>
      </c>
      <c r="E201" s="28">
        <v>-22.09093646170723</v>
      </c>
      <c r="F201">
        <v>140</v>
      </c>
      <c r="G201" s="28">
        <v>973.24021916416223</v>
      </c>
    </row>
    <row r="202" spans="2:7" x14ac:dyDescent="0.3">
      <c r="B202">
        <v>141</v>
      </c>
      <c r="C202" s="28">
        <v>1123.0400800667837</v>
      </c>
      <c r="D202">
        <v>141</v>
      </c>
      <c r="E202" s="28">
        <v>-9.4204106452155152</v>
      </c>
      <c r="F202">
        <v>141</v>
      </c>
      <c r="G202" s="28">
        <v>781.73021054673484</v>
      </c>
    </row>
    <row r="203" spans="2:7" x14ac:dyDescent="0.3">
      <c r="B203">
        <v>142</v>
      </c>
      <c r="C203" s="28">
        <v>712.66138843117915</v>
      </c>
      <c r="D203">
        <v>142</v>
      </c>
      <c r="E203" s="28">
        <v>-10.335096897745183</v>
      </c>
      <c r="F203">
        <v>142</v>
      </c>
      <c r="G203" s="28">
        <v>654.92512790178239</v>
      </c>
    </row>
    <row r="204" spans="2:7" x14ac:dyDescent="0.3">
      <c r="B204">
        <v>143</v>
      </c>
      <c r="C204" s="28">
        <v>902.25452504982093</v>
      </c>
      <c r="D204">
        <v>143</v>
      </c>
      <c r="E204" s="28">
        <v>-21.462487402084601</v>
      </c>
      <c r="F204">
        <v>143</v>
      </c>
      <c r="G204" s="28">
        <v>1300.0706467767534</v>
      </c>
    </row>
    <row r="205" spans="2:7" x14ac:dyDescent="0.3">
      <c r="B205">
        <v>144</v>
      </c>
      <c r="C205" s="28">
        <v>1205.7295145615167</v>
      </c>
      <c r="D205">
        <v>144</v>
      </c>
      <c r="E205" s="28">
        <v>22.555674094629165</v>
      </c>
      <c r="F205">
        <v>144</v>
      </c>
      <c r="G205" s="28">
        <v>847.45406147310985</v>
      </c>
    </row>
    <row r="206" spans="2:7" x14ac:dyDescent="0.3">
      <c r="B206">
        <v>145</v>
      </c>
      <c r="C206" s="28">
        <v>1087.5801236374114</v>
      </c>
      <c r="D206">
        <v>145</v>
      </c>
      <c r="E206" s="28">
        <v>-8.2761872109049417</v>
      </c>
      <c r="F206">
        <v>145</v>
      </c>
      <c r="G206" s="28">
        <v>982.31810333943179</v>
      </c>
    </row>
    <row r="207" spans="2:7" x14ac:dyDescent="0.3">
      <c r="B207">
        <v>146</v>
      </c>
      <c r="C207" s="28">
        <v>470.47854043688295</v>
      </c>
      <c r="D207">
        <v>146</v>
      </c>
      <c r="E207" s="28">
        <v>-43.340202918787817</v>
      </c>
      <c r="F207">
        <v>146</v>
      </c>
      <c r="G207" s="28">
        <v>956.67420245161395</v>
      </c>
    </row>
    <row r="208" spans="2:7" x14ac:dyDescent="0.3">
      <c r="B208">
        <v>147</v>
      </c>
      <c r="C208" s="28">
        <v>1188.5024908318603</v>
      </c>
      <c r="D208">
        <v>147</v>
      </c>
      <c r="E208" s="28">
        <v>39.62867673637566</v>
      </c>
      <c r="F208">
        <v>147</v>
      </c>
      <c r="G208" s="28">
        <v>826.28227793721396</v>
      </c>
    </row>
    <row r="209" spans="2:7" x14ac:dyDescent="0.3">
      <c r="B209">
        <v>148</v>
      </c>
      <c r="C209" s="28">
        <v>1077.8019870728776</v>
      </c>
      <c r="D209">
        <v>148</v>
      </c>
      <c r="E209" s="28">
        <v>-18.319573702222876</v>
      </c>
      <c r="F209">
        <v>148</v>
      </c>
      <c r="G209" s="28">
        <v>1422.1453943557133</v>
      </c>
    </row>
    <row r="210" spans="2:7" x14ac:dyDescent="0.3">
      <c r="B210">
        <v>149</v>
      </c>
      <c r="C210" s="28">
        <v>671.68905530861446</v>
      </c>
      <c r="D210">
        <v>149</v>
      </c>
      <c r="E210" s="28">
        <v>-1.2339658297549554</v>
      </c>
      <c r="F210">
        <v>149</v>
      </c>
      <c r="G210" s="28">
        <v>1082.7129464972777</v>
      </c>
    </row>
    <row r="211" spans="2:7" x14ac:dyDescent="0.3">
      <c r="B211">
        <v>150</v>
      </c>
      <c r="C211" s="28">
        <v>1210.275003260637</v>
      </c>
      <c r="D211">
        <v>150</v>
      </c>
      <c r="E211" s="28">
        <v>29.885049868480497</v>
      </c>
      <c r="F211">
        <v>150</v>
      </c>
      <c r="G211" s="28">
        <v>1094.9817908614932</v>
      </c>
    </row>
    <row r="212" spans="2:7" x14ac:dyDescent="0.3">
      <c r="B212">
        <v>151</v>
      </c>
      <c r="C212" s="28">
        <v>512.1040133789802</v>
      </c>
      <c r="D212">
        <v>151</v>
      </c>
      <c r="E212" s="28">
        <v>25.851834798608781</v>
      </c>
      <c r="F212">
        <v>151</v>
      </c>
      <c r="G212" s="28">
        <v>786.17009169717949</v>
      </c>
    </row>
    <row r="213" spans="2:7" x14ac:dyDescent="0.3">
      <c r="B213">
        <v>152</v>
      </c>
      <c r="C213" s="28">
        <v>952.77353855297008</v>
      </c>
      <c r="D213">
        <v>152</v>
      </c>
      <c r="E213" s="28">
        <v>-11.156528397885257</v>
      </c>
      <c r="F213">
        <v>152</v>
      </c>
      <c r="G213" s="28">
        <v>1006.3403548256156</v>
      </c>
    </row>
    <row r="214" spans="2:7" x14ac:dyDescent="0.3">
      <c r="B214">
        <v>153</v>
      </c>
      <c r="C214" s="28">
        <v>753.56726895527527</v>
      </c>
      <c r="D214">
        <v>153</v>
      </c>
      <c r="E214" s="28">
        <v>21.131433873928895</v>
      </c>
      <c r="F214">
        <v>153</v>
      </c>
      <c r="G214" s="28">
        <v>456.52925030941816</v>
      </c>
    </row>
    <row r="215" spans="2:7" x14ac:dyDescent="0.3">
      <c r="B215">
        <v>154</v>
      </c>
      <c r="C215" s="28">
        <v>1140.7512894352201</v>
      </c>
      <c r="D215">
        <v>154</v>
      </c>
      <c r="E215" s="28">
        <v>5.3316365707988869</v>
      </c>
      <c r="F215">
        <v>154</v>
      </c>
      <c r="G215" s="28">
        <v>1665.3403240374064</v>
      </c>
    </row>
    <row r="216" spans="2:7" x14ac:dyDescent="0.3">
      <c r="B216">
        <v>155</v>
      </c>
      <c r="C216" s="28">
        <v>1049.2131293522009</v>
      </c>
      <c r="D216">
        <v>155</v>
      </c>
      <c r="E216" s="28">
        <v>-2.0263745827071693</v>
      </c>
      <c r="F216">
        <v>155</v>
      </c>
      <c r="G216" s="28">
        <v>1021.6586507009475</v>
      </c>
    </row>
    <row r="217" spans="2:7" x14ac:dyDescent="0.3">
      <c r="B217">
        <v>156</v>
      </c>
      <c r="C217" s="28">
        <v>1605.8126470226284</v>
      </c>
      <c r="D217">
        <v>156</v>
      </c>
      <c r="E217" s="28">
        <v>47.607619512115299</v>
      </c>
      <c r="F217">
        <v>156</v>
      </c>
      <c r="G217" s="28">
        <v>1162.051994355101</v>
      </c>
    </row>
    <row r="218" spans="2:7" x14ac:dyDescent="0.3">
      <c r="B218">
        <v>157</v>
      </c>
      <c r="C218" s="28">
        <v>564.54379112040272</v>
      </c>
      <c r="D218">
        <v>157</v>
      </c>
      <c r="E218" s="28">
        <v>4.7594129522201722</v>
      </c>
      <c r="F218">
        <v>157</v>
      </c>
      <c r="G218" s="28">
        <v>710.04333771112147</v>
      </c>
    </row>
    <row r="219" spans="2:7" x14ac:dyDescent="0.3">
      <c r="B219">
        <v>158</v>
      </c>
      <c r="C219" s="28">
        <v>1184.684831315798</v>
      </c>
      <c r="D219">
        <v>158</v>
      </c>
      <c r="E219" s="28">
        <v>48.006434754820717</v>
      </c>
      <c r="F219">
        <v>158</v>
      </c>
      <c r="G219" s="28">
        <v>475.75182201995767</v>
      </c>
    </row>
    <row r="220" spans="2:7" x14ac:dyDescent="0.3">
      <c r="B220">
        <v>159</v>
      </c>
      <c r="C220" s="28">
        <v>1318.5226139475537</v>
      </c>
      <c r="D220">
        <v>159</v>
      </c>
      <c r="E220" s="28">
        <v>-32.640461128774191</v>
      </c>
      <c r="F220">
        <v>159</v>
      </c>
      <c r="G220" s="28">
        <v>887.99904024206717</v>
      </c>
    </row>
    <row r="221" spans="2:7" x14ac:dyDescent="0.3">
      <c r="B221">
        <v>160</v>
      </c>
      <c r="C221" s="28">
        <v>732.9318550229757</v>
      </c>
      <c r="D221">
        <v>160</v>
      </c>
      <c r="E221" s="28">
        <v>-52.114841678631478</v>
      </c>
      <c r="F221">
        <v>160</v>
      </c>
      <c r="G221" s="28">
        <v>1563.5895990007641</v>
      </c>
    </row>
    <row r="222" spans="2:7" x14ac:dyDescent="0.3">
      <c r="B222">
        <v>161</v>
      </c>
      <c r="C222" s="28">
        <v>1217.0644101142061</v>
      </c>
      <c r="D222">
        <v>161</v>
      </c>
      <c r="E222" s="28">
        <v>6.2757270518299055</v>
      </c>
      <c r="F222">
        <v>161</v>
      </c>
      <c r="G222" s="28">
        <v>940.35257536043923</v>
      </c>
    </row>
    <row r="223" spans="2:7" x14ac:dyDescent="0.3">
      <c r="B223">
        <v>162</v>
      </c>
      <c r="C223" s="28">
        <v>1056.8888169311781</v>
      </c>
      <c r="D223">
        <v>162</v>
      </c>
      <c r="E223" s="28">
        <v>14.535416660935663</v>
      </c>
      <c r="F223">
        <v>162</v>
      </c>
      <c r="G223" s="28">
        <v>1031.2083549822296</v>
      </c>
    </row>
    <row r="224" spans="2:7" x14ac:dyDescent="0.3">
      <c r="B224">
        <v>163</v>
      </c>
      <c r="C224" s="28">
        <v>1108.3450777610765</v>
      </c>
      <c r="D224">
        <v>163</v>
      </c>
      <c r="E224" s="28">
        <v>-18.123208865735855</v>
      </c>
      <c r="F224">
        <v>163</v>
      </c>
      <c r="G224" s="28">
        <v>1331.0287332907317</v>
      </c>
    </row>
    <row r="225" spans="2:7" x14ac:dyDescent="0.3">
      <c r="B225">
        <v>164</v>
      </c>
      <c r="C225" s="28">
        <v>1023.2247054524329</v>
      </c>
      <c r="D225">
        <v>164</v>
      </c>
      <c r="E225" s="28">
        <v>17.059193615226775</v>
      </c>
      <c r="F225">
        <v>164</v>
      </c>
      <c r="G225" s="28">
        <v>631.5761509535929</v>
      </c>
    </row>
    <row r="226" spans="2:7" x14ac:dyDescent="0.3">
      <c r="B226">
        <v>165</v>
      </c>
      <c r="C226" s="28">
        <v>1012.4663745110216</v>
      </c>
      <c r="D226">
        <v>165</v>
      </c>
      <c r="E226" s="28">
        <v>19.037423770584589</v>
      </c>
      <c r="F226">
        <v>165</v>
      </c>
      <c r="G226" s="28">
        <v>1061.9939730178123</v>
      </c>
    </row>
    <row r="227" spans="2:7" x14ac:dyDescent="0.3">
      <c r="B227">
        <v>166</v>
      </c>
      <c r="C227" s="28">
        <v>744.2241033159745</v>
      </c>
      <c r="D227">
        <v>166</v>
      </c>
      <c r="E227" s="28">
        <v>22.592627698524481</v>
      </c>
      <c r="F227">
        <v>166</v>
      </c>
      <c r="G227" s="28">
        <v>942.46869148550559</v>
      </c>
    </row>
    <row r="228" spans="2:7" x14ac:dyDescent="0.3">
      <c r="B228">
        <v>167</v>
      </c>
      <c r="C228" s="28">
        <v>764.12915111297752</v>
      </c>
      <c r="D228">
        <v>167</v>
      </c>
      <c r="E228" s="28">
        <v>-8.2374628078641017</v>
      </c>
      <c r="F228">
        <v>167</v>
      </c>
      <c r="G228" s="28">
        <v>895.18815861815222</v>
      </c>
    </row>
    <row r="229" spans="2:7" x14ac:dyDescent="0.3">
      <c r="B229">
        <v>168</v>
      </c>
      <c r="C229" s="28">
        <v>916.88003455575017</v>
      </c>
      <c r="D229">
        <v>168</v>
      </c>
      <c r="E229" s="28">
        <v>-1.7221162563083172</v>
      </c>
      <c r="F229">
        <v>168</v>
      </c>
      <c r="G229" s="28">
        <v>714.24298331960608</v>
      </c>
    </row>
    <row r="230" spans="2:7" x14ac:dyDescent="0.3">
      <c r="B230">
        <v>169</v>
      </c>
      <c r="C230" s="28">
        <v>1572.3855215385408</v>
      </c>
      <c r="D230">
        <v>169</v>
      </c>
      <c r="E230" s="28">
        <v>-26.114265697402139</v>
      </c>
      <c r="F230">
        <v>169</v>
      </c>
      <c r="G230" s="28">
        <v>996.76597280864223</v>
      </c>
    </row>
    <row r="231" spans="2:7" x14ac:dyDescent="0.3">
      <c r="B231">
        <v>170</v>
      </c>
      <c r="C231" s="28">
        <v>826.60531698401587</v>
      </c>
      <c r="D231">
        <v>170</v>
      </c>
      <c r="E231" s="28">
        <v>7.9127159649592</v>
      </c>
      <c r="F231">
        <v>170</v>
      </c>
      <c r="G231" s="28">
        <v>691.58399413514439</v>
      </c>
    </row>
    <row r="232" spans="2:7" x14ac:dyDescent="0.3">
      <c r="B232">
        <v>171</v>
      </c>
      <c r="C232" s="28">
        <v>1012.5666689242611</v>
      </c>
      <c r="D232">
        <v>171</v>
      </c>
      <c r="E232" s="28">
        <v>-13.679555197842683</v>
      </c>
      <c r="F232">
        <v>171</v>
      </c>
      <c r="G232" s="28">
        <v>1217.3611558921507</v>
      </c>
    </row>
    <row r="233" spans="2:7" x14ac:dyDescent="0.3">
      <c r="B233">
        <v>172</v>
      </c>
      <c r="C233" s="28">
        <v>675.79223097591455</v>
      </c>
      <c r="D233">
        <v>172</v>
      </c>
      <c r="E233" s="28">
        <v>-6.9167442951269553</v>
      </c>
      <c r="F233">
        <v>172</v>
      </c>
      <c r="G233" s="28">
        <v>890.51227218690622</v>
      </c>
    </row>
    <row r="234" spans="2:7" x14ac:dyDescent="0.3">
      <c r="B234">
        <v>173</v>
      </c>
      <c r="C234" s="28">
        <v>949.81679704828241</v>
      </c>
      <c r="D234">
        <v>173</v>
      </c>
      <c r="E234" s="28">
        <v>12.923333947031768</v>
      </c>
      <c r="F234">
        <v>173</v>
      </c>
      <c r="G234" s="28">
        <v>1525.5246361611994</v>
      </c>
    </row>
    <row r="235" spans="2:7" x14ac:dyDescent="0.3">
      <c r="B235">
        <v>174</v>
      </c>
      <c r="C235" s="28">
        <v>830.67578276608219</v>
      </c>
      <c r="D235">
        <v>174</v>
      </c>
      <c r="E235" s="28">
        <v>14.360104073421681</v>
      </c>
      <c r="F235">
        <v>174</v>
      </c>
      <c r="G235" s="28">
        <v>842.24483605630428</v>
      </c>
    </row>
    <row r="236" spans="2:7" x14ac:dyDescent="0.3">
      <c r="B236">
        <v>175</v>
      </c>
      <c r="C236" s="28">
        <v>1043.6597833636165</v>
      </c>
      <c r="D236">
        <v>175</v>
      </c>
      <c r="E236" s="28">
        <v>17.600550550950445</v>
      </c>
      <c r="F236">
        <v>175</v>
      </c>
      <c r="G236" s="28">
        <v>893.23613943848045</v>
      </c>
    </row>
    <row r="237" spans="2:7" x14ac:dyDescent="0.3">
      <c r="B237">
        <v>176</v>
      </c>
      <c r="C237" s="28">
        <v>935.95764284009203</v>
      </c>
      <c r="D237">
        <v>176</v>
      </c>
      <c r="E237" s="28">
        <v>-2.3666182798288782</v>
      </c>
      <c r="F237">
        <v>176</v>
      </c>
      <c r="G237" s="28">
        <v>720.46514515111551</v>
      </c>
    </row>
    <row r="238" spans="2:7" x14ac:dyDescent="0.3">
      <c r="B238">
        <v>177</v>
      </c>
      <c r="C238" s="28">
        <v>587.18026967216224</v>
      </c>
      <c r="D238">
        <v>177</v>
      </c>
      <c r="E238" s="28">
        <v>15.539156094777059</v>
      </c>
      <c r="F238">
        <v>177</v>
      </c>
      <c r="G238" s="28">
        <v>958.18245746346815</v>
      </c>
    </row>
    <row r="239" spans="2:7" x14ac:dyDescent="0.3">
      <c r="B239">
        <v>178</v>
      </c>
      <c r="C239" s="28">
        <v>914.1774519226459</v>
      </c>
      <c r="D239">
        <v>178</v>
      </c>
      <c r="E239" s="28">
        <v>22.801044139109699</v>
      </c>
      <c r="F239">
        <v>178</v>
      </c>
      <c r="G239" s="28">
        <v>533.26746548671861</v>
      </c>
    </row>
    <row r="240" spans="2:7" x14ac:dyDescent="0.3">
      <c r="B240">
        <v>179</v>
      </c>
      <c r="C240" s="28">
        <v>1394.2575367136826</v>
      </c>
      <c r="D240">
        <v>179</v>
      </c>
      <c r="E240" s="28">
        <v>63.282671439644709</v>
      </c>
      <c r="F240">
        <v>179</v>
      </c>
      <c r="G240" s="28">
        <v>517.6902887652767</v>
      </c>
    </row>
    <row r="241" spans="2:7" x14ac:dyDescent="0.3">
      <c r="B241">
        <v>180</v>
      </c>
      <c r="C241" s="28">
        <v>522.42825340156639</v>
      </c>
      <c r="D241">
        <v>180</v>
      </c>
      <c r="E241" s="28">
        <v>-5.7835531876268016</v>
      </c>
      <c r="F241">
        <v>180</v>
      </c>
      <c r="G241" s="28">
        <v>862.70791793240551</v>
      </c>
    </row>
    <row r="242" spans="2:7" x14ac:dyDescent="0.3">
      <c r="B242">
        <v>181</v>
      </c>
      <c r="C242" s="28">
        <v>1339.4034165736673</v>
      </c>
      <c r="D242">
        <v>181</v>
      </c>
      <c r="E242" s="28">
        <v>-50.724919437816531</v>
      </c>
      <c r="F242">
        <v>181</v>
      </c>
      <c r="G242" s="28">
        <v>823.62284921790888</v>
      </c>
    </row>
    <row r="243" spans="2:7" x14ac:dyDescent="0.3">
      <c r="B243">
        <v>182</v>
      </c>
      <c r="C243" s="28">
        <v>1361.7000734977262</v>
      </c>
      <c r="D243">
        <v>182</v>
      </c>
      <c r="E243" s="28">
        <v>-46.947532615903597</v>
      </c>
      <c r="F243">
        <v>182</v>
      </c>
      <c r="G243" s="28">
        <v>867.73158528537283</v>
      </c>
    </row>
    <row r="244" spans="2:7" x14ac:dyDescent="0.3">
      <c r="B244">
        <v>183</v>
      </c>
      <c r="C244" s="28">
        <v>1179.0653351436208</v>
      </c>
      <c r="D244">
        <v>183</v>
      </c>
      <c r="E244" s="28">
        <v>44.599915771269721</v>
      </c>
      <c r="F244">
        <v>183</v>
      </c>
      <c r="G244" s="28">
        <v>1349.9946331802651</v>
      </c>
    </row>
    <row r="245" spans="2:7" x14ac:dyDescent="0.3">
      <c r="B245">
        <v>184</v>
      </c>
      <c r="C245" s="28">
        <v>615.24590258860746</v>
      </c>
      <c r="D245">
        <v>184</v>
      </c>
      <c r="E245" s="28">
        <v>-24.733771717977664</v>
      </c>
      <c r="F245">
        <v>184</v>
      </c>
      <c r="G245" s="28">
        <v>918.88528450185709</v>
      </c>
    </row>
    <row r="246" spans="2:7" x14ac:dyDescent="0.3">
      <c r="B246">
        <v>185</v>
      </c>
      <c r="C246" s="28">
        <v>1095.5201335463621</v>
      </c>
      <c r="D246">
        <v>185</v>
      </c>
      <c r="E246" s="28">
        <v>-2.5646987814688682</v>
      </c>
      <c r="F246">
        <v>185</v>
      </c>
      <c r="G246" s="28">
        <v>962.33718542751672</v>
      </c>
    </row>
    <row r="247" spans="2:7" x14ac:dyDescent="0.3">
      <c r="B247">
        <v>186</v>
      </c>
      <c r="C247" s="28">
        <v>589.92612609020011</v>
      </c>
      <c r="D247">
        <v>186</v>
      </c>
      <c r="E247" s="28">
        <v>-33.944456339229831</v>
      </c>
      <c r="F247">
        <v>186</v>
      </c>
      <c r="G247" s="28">
        <v>716.12138448345445</v>
      </c>
    </row>
    <row r="248" spans="2:7" x14ac:dyDescent="0.3">
      <c r="B248">
        <v>187</v>
      </c>
      <c r="C248" s="28">
        <v>1041.3119721473636</v>
      </c>
      <c r="D248">
        <v>187</v>
      </c>
      <c r="E248" s="28">
        <v>13.920129088445909</v>
      </c>
      <c r="F248">
        <v>187</v>
      </c>
      <c r="G248" s="28">
        <v>1393.4795974067317</v>
      </c>
    </row>
    <row r="249" spans="2:7" x14ac:dyDescent="0.3">
      <c r="B249">
        <v>188</v>
      </c>
      <c r="C249" s="28">
        <v>922.56117664473618</v>
      </c>
      <c r="D249">
        <v>188</v>
      </c>
      <c r="E249" s="28">
        <v>15.283077484852573</v>
      </c>
      <c r="F249">
        <v>188</v>
      </c>
      <c r="G249" s="28">
        <v>744.06943813841076</v>
      </c>
    </row>
    <row r="250" spans="2:7" x14ac:dyDescent="0.3">
      <c r="B250">
        <v>189</v>
      </c>
      <c r="C250" s="28">
        <v>1350.3624750969993</v>
      </c>
      <c r="D250">
        <v>189</v>
      </c>
      <c r="E250" s="28">
        <v>55.20004213862147</v>
      </c>
      <c r="F250">
        <v>189</v>
      </c>
      <c r="G250" s="28">
        <v>1265.9497310738413</v>
      </c>
    </row>
    <row r="251" spans="2:7" x14ac:dyDescent="0.3">
      <c r="B251">
        <v>190</v>
      </c>
      <c r="C251" s="28">
        <v>543.23131377482196</v>
      </c>
      <c r="D251">
        <v>190</v>
      </c>
      <c r="E251" s="28">
        <v>-2.514893994063069</v>
      </c>
      <c r="F251">
        <v>190</v>
      </c>
      <c r="G251" s="28">
        <v>1093.2143843505105</v>
      </c>
    </row>
    <row r="252" spans="2:7" x14ac:dyDescent="0.3">
      <c r="B252">
        <v>191</v>
      </c>
      <c r="C252" s="28">
        <v>1131.6850201171796</v>
      </c>
      <c r="D252">
        <v>191</v>
      </c>
      <c r="E252" s="28">
        <v>7.1221707309011579</v>
      </c>
      <c r="F252">
        <v>191</v>
      </c>
      <c r="G252" s="28">
        <v>927.7600291502149</v>
      </c>
    </row>
    <row r="253" spans="2:7" x14ac:dyDescent="0.3">
      <c r="B253">
        <v>192</v>
      </c>
      <c r="C253" s="28">
        <v>655.00305899558293</v>
      </c>
      <c r="D253">
        <v>192</v>
      </c>
      <c r="E253" s="28">
        <v>29.352120428827345</v>
      </c>
      <c r="F253">
        <v>192</v>
      </c>
      <c r="G253" s="28">
        <v>1134.9469374660152</v>
      </c>
    </row>
    <row r="254" spans="2:7" x14ac:dyDescent="0.3">
      <c r="B254">
        <v>193</v>
      </c>
      <c r="C254" s="28">
        <v>1217.0400748411982</v>
      </c>
      <c r="D254">
        <v>193</v>
      </c>
      <c r="E254" s="28">
        <v>-10.712570199631973</v>
      </c>
      <c r="F254">
        <v>193</v>
      </c>
      <c r="G254" s="28">
        <v>1417.7985618397529</v>
      </c>
    </row>
    <row r="255" spans="2:7" x14ac:dyDescent="0.3">
      <c r="B255">
        <v>194</v>
      </c>
      <c r="C255" s="28">
        <v>503.02353416494361</v>
      </c>
      <c r="D255">
        <v>194</v>
      </c>
      <c r="E255" s="28">
        <v>7.1926842291931141</v>
      </c>
      <c r="F255">
        <v>194</v>
      </c>
      <c r="G255" s="28">
        <v>1156.8450454054341</v>
      </c>
    </row>
    <row r="256" spans="2:7" x14ac:dyDescent="0.3">
      <c r="B256">
        <v>195</v>
      </c>
      <c r="C256" s="28">
        <v>1050.3490788530501</v>
      </c>
      <c r="D256">
        <v>195</v>
      </c>
      <c r="E256" s="28">
        <v>-21.888090472632037</v>
      </c>
      <c r="F256">
        <v>195</v>
      </c>
      <c r="G256" s="28">
        <v>1096.3827051041442</v>
      </c>
    </row>
    <row r="257" spans="2:7" x14ac:dyDescent="0.3">
      <c r="B257">
        <v>196</v>
      </c>
      <c r="C257" s="28">
        <v>1174.9869986406104</v>
      </c>
      <c r="D257">
        <v>196</v>
      </c>
      <c r="E257" s="28">
        <v>4.9115319175844556</v>
      </c>
      <c r="F257">
        <v>196</v>
      </c>
      <c r="G257" s="28">
        <v>1158.84628289291</v>
      </c>
    </row>
    <row r="258" spans="2:7" x14ac:dyDescent="0.3">
      <c r="B258">
        <v>197</v>
      </c>
      <c r="C258" s="28">
        <v>698.60838799701901</v>
      </c>
      <c r="D258">
        <v>197</v>
      </c>
      <c r="E258" s="28">
        <v>26.848040904706618</v>
      </c>
      <c r="F258">
        <v>197</v>
      </c>
      <c r="G258" s="28">
        <v>1301.7768360093023</v>
      </c>
    </row>
    <row r="259" spans="2:7" x14ac:dyDescent="0.3">
      <c r="B259">
        <v>198</v>
      </c>
      <c r="C259" s="28">
        <v>593.70611100432939</v>
      </c>
      <c r="D259">
        <v>198</v>
      </c>
      <c r="E259" s="28">
        <v>7.9897915236069208</v>
      </c>
      <c r="F259">
        <v>198</v>
      </c>
      <c r="G259" s="28">
        <v>634.11767403439637</v>
      </c>
    </row>
    <row r="260" spans="2:7" x14ac:dyDescent="0.3">
      <c r="B260">
        <v>199</v>
      </c>
      <c r="C260" s="28">
        <v>747.88069948521286</v>
      </c>
      <c r="D260">
        <v>199</v>
      </c>
      <c r="E260" s="28">
        <v>18.080510907404438</v>
      </c>
      <c r="F260">
        <v>199</v>
      </c>
      <c r="G260" s="28">
        <v>451.37466955084409</v>
      </c>
    </row>
    <row r="261" spans="2:7" x14ac:dyDescent="0.3">
      <c r="B261">
        <v>200</v>
      </c>
      <c r="C261" s="28">
        <v>786.47800439125081</v>
      </c>
      <c r="D261">
        <v>200</v>
      </c>
      <c r="E261" s="28">
        <v>1.4986516647765642</v>
      </c>
      <c r="F261">
        <v>200</v>
      </c>
      <c r="G261" s="28">
        <v>1019.4060469624977</v>
      </c>
    </row>
    <row r="262" spans="2:7" x14ac:dyDescent="0.3">
      <c r="B262">
        <v>201</v>
      </c>
      <c r="C262" s="28">
        <v>1455.4648031902318</v>
      </c>
      <c r="D262">
        <v>201</v>
      </c>
      <c r="E262" s="28">
        <v>22.720315849374167</v>
      </c>
      <c r="F262">
        <v>201</v>
      </c>
      <c r="G262" s="28">
        <v>870.85781640198854</v>
      </c>
    </row>
    <row r="263" spans="2:7" x14ac:dyDescent="0.3">
      <c r="B263">
        <v>202</v>
      </c>
      <c r="C263" s="28">
        <v>1356.4637120952289</v>
      </c>
      <c r="D263">
        <v>202</v>
      </c>
      <c r="E263" s="28">
        <v>38.47228043961168</v>
      </c>
      <c r="F263">
        <v>202</v>
      </c>
      <c r="G263" s="28">
        <v>1053.7695674349748</v>
      </c>
    </row>
    <row r="264" spans="2:7" x14ac:dyDescent="0.3">
      <c r="B264">
        <v>203</v>
      </c>
      <c r="C264" s="28">
        <v>781.9755343044842</v>
      </c>
      <c r="D264">
        <v>203</v>
      </c>
      <c r="E264" s="28">
        <v>-5.7857267182640969E-2</v>
      </c>
      <c r="F264">
        <v>203</v>
      </c>
      <c r="G264" s="28">
        <v>1191.9881775692879</v>
      </c>
    </row>
    <row r="265" spans="2:7" x14ac:dyDescent="0.3">
      <c r="B265">
        <v>204</v>
      </c>
      <c r="C265" s="28">
        <v>881.17253381668274</v>
      </c>
      <c r="D265">
        <v>204</v>
      </c>
      <c r="E265" s="28">
        <v>32.237529986110509</v>
      </c>
      <c r="F265">
        <v>204</v>
      </c>
      <c r="G265" s="28">
        <v>992.76514360895123</v>
      </c>
    </row>
    <row r="266" spans="2:7" x14ac:dyDescent="0.3">
      <c r="B266">
        <v>205</v>
      </c>
      <c r="C266" s="28">
        <v>693.59764607990087</v>
      </c>
      <c r="D266">
        <v>205</v>
      </c>
      <c r="E266" s="28">
        <v>-15.007152405022959</v>
      </c>
      <c r="F266">
        <v>205</v>
      </c>
      <c r="G266" s="28">
        <v>584.1388537152452</v>
      </c>
    </row>
    <row r="267" spans="2:7" x14ac:dyDescent="0.3">
      <c r="B267">
        <v>206</v>
      </c>
      <c r="C267" s="28">
        <v>1115.357183781884</v>
      </c>
      <c r="D267">
        <v>206</v>
      </c>
      <c r="E267" s="28">
        <v>49.659650958015249</v>
      </c>
      <c r="F267">
        <v>206</v>
      </c>
      <c r="G267" s="28">
        <v>1154.0309367271309</v>
      </c>
    </row>
    <row r="268" spans="2:7" x14ac:dyDescent="0.3">
      <c r="B268">
        <v>207</v>
      </c>
      <c r="C268" s="28">
        <v>466.23592056475263</v>
      </c>
      <c r="D268">
        <v>207</v>
      </c>
      <c r="E268" s="28">
        <v>44.474286068027773</v>
      </c>
      <c r="F268">
        <v>207</v>
      </c>
      <c r="G268" s="28">
        <v>802.36989853470527</v>
      </c>
    </row>
    <row r="269" spans="2:7" x14ac:dyDescent="0.3">
      <c r="B269">
        <v>208</v>
      </c>
      <c r="C269" s="28">
        <v>1046.0282331584713</v>
      </c>
      <c r="D269">
        <v>208</v>
      </c>
      <c r="E269" s="28">
        <v>23.243689535119255</v>
      </c>
      <c r="F269">
        <v>208</v>
      </c>
      <c r="G269" s="28">
        <v>1019.4341495897021</v>
      </c>
    </row>
    <row r="270" spans="2:7" x14ac:dyDescent="0.3">
      <c r="B270">
        <v>209</v>
      </c>
      <c r="C270" s="28">
        <v>524.79816427434582</v>
      </c>
      <c r="D270">
        <v>209</v>
      </c>
      <c r="E270" s="28">
        <v>22.306924279712991</v>
      </c>
      <c r="F270">
        <v>209</v>
      </c>
      <c r="G270" s="28">
        <v>1117.8903846977528</v>
      </c>
    </row>
    <row r="271" spans="2:7" x14ac:dyDescent="0.3">
      <c r="B271">
        <v>210</v>
      </c>
      <c r="C271" s="28">
        <v>748.19693521786758</v>
      </c>
      <c r="D271">
        <v>210</v>
      </c>
      <c r="E271" s="28">
        <v>0.75749505808141848</v>
      </c>
      <c r="F271">
        <v>210</v>
      </c>
      <c r="G271" s="28">
        <v>1294.861039758443</v>
      </c>
    </row>
    <row r="272" spans="2:7" x14ac:dyDescent="0.3">
      <c r="B272">
        <v>211</v>
      </c>
      <c r="C272" s="28">
        <v>1088.9102377943193</v>
      </c>
      <c r="D272">
        <v>211</v>
      </c>
      <c r="E272" s="28">
        <v>-6.3913884887329795</v>
      </c>
      <c r="F272">
        <v>211</v>
      </c>
      <c r="G272" s="28">
        <v>787.42067094960782</v>
      </c>
    </row>
    <row r="273" spans="2:7" x14ac:dyDescent="0.3">
      <c r="B273">
        <v>212</v>
      </c>
      <c r="C273" s="28">
        <v>1149.8293903365779</v>
      </c>
      <c r="D273">
        <v>212</v>
      </c>
      <c r="E273" s="28">
        <v>36.317473640441015</v>
      </c>
      <c r="F273">
        <v>212</v>
      </c>
      <c r="G273" s="28">
        <v>548.14002022388979</v>
      </c>
    </row>
    <row r="274" spans="2:7" x14ac:dyDescent="0.3">
      <c r="B274">
        <v>213</v>
      </c>
      <c r="C274" s="28">
        <v>666.20237172203895</v>
      </c>
      <c r="D274">
        <v>213</v>
      </c>
      <c r="E274" s="28">
        <v>4.166513822884804</v>
      </c>
      <c r="F274">
        <v>213</v>
      </c>
      <c r="G274" s="28">
        <v>878.43763168970634</v>
      </c>
    </row>
    <row r="275" spans="2:7" x14ac:dyDescent="0.3">
      <c r="B275">
        <v>214</v>
      </c>
      <c r="C275" s="28">
        <v>656.91387947431713</v>
      </c>
      <c r="D275">
        <v>214</v>
      </c>
      <c r="E275" s="28">
        <v>25.464577593312374</v>
      </c>
      <c r="F275">
        <v>214</v>
      </c>
      <c r="G275" s="28">
        <v>847.11078594111791</v>
      </c>
    </row>
    <row r="276" spans="2:7" x14ac:dyDescent="0.3">
      <c r="B276">
        <v>215</v>
      </c>
      <c r="C276" s="28">
        <v>861.20242712034849</v>
      </c>
      <c r="D276">
        <v>215</v>
      </c>
      <c r="E276" s="28">
        <v>15.250761902317667</v>
      </c>
      <c r="F276">
        <v>215</v>
      </c>
      <c r="G276" s="28">
        <v>915.93688532331635</v>
      </c>
    </row>
    <row r="277" spans="2:7" x14ac:dyDescent="0.3">
      <c r="B277">
        <v>216</v>
      </c>
      <c r="C277" s="28">
        <v>1294.1259053158105</v>
      </c>
      <c r="D277">
        <v>216</v>
      </c>
      <c r="E277" s="28">
        <v>59.950903436961269</v>
      </c>
      <c r="F277">
        <v>216</v>
      </c>
      <c r="G277" s="28">
        <v>1499.4372795829468</v>
      </c>
    </row>
    <row r="278" spans="2:7" x14ac:dyDescent="0.3">
      <c r="B278">
        <v>217</v>
      </c>
      <c r="C278" s="28">
        <v>367.99648652188455</v>
      </c>
      <c r="D278">
        <v>217</v>
      </c>
      <c r="E278" s="28">
        <v>-8.3735218233470761</v>
      </c>
      <c r="F278">
        <v>217</v>
      </c>
      <c r="G278" s="28">
        <v>875.27436731475041</v>
      </c>
    </row>
    <row r="279" spans="2:7" x14ac:dyDescent="0.3">
      <c r="B279">
        <v>218</v>
      </c>
      <c r="C279" s="28">
        <v>556.0460019699733</v>
      </c>
      <c r="D279">
        <v>218</v>
      </c>
      <c r="E279" s="28">
        <v>18.858070139172348</v>
      </c>
      <c r="F279">
        <v>218</v>
      </c>
      <c r="G279" s="28">
        <v>1111.3968949957712</v>
      </c>
    </row>
    <row r="280" spans="2:7" x14ac:dyDescent="0.3">
      <c r="B280">
        <v>219</v>
      </c>
      <c r="C280" s="28">
        <v>713.04063969470417</v>
      </c>
      <c r="D280">
        <v>219</v>
      </c>
      <c r="E280" s="28">
        <v>8.1469402842614151</v>
      </c>
      <c r="F280">
        <v>219</v>
      </c>
      <c r="G280" s="28">
        <v>980.54165200580371</v>
      </c>
    </row>
    <row r="281" spans="2:7" x14ac:dyDescent="0.3">
      <c r="B281">
        <v>220</v>
      </c>
      <c r="C281" s="28">
        <v>917.04422523753817</v>
      </c>
      <c r="D281">
        <v>220</v>
      </c>
      <c r="E281" s="28">
        <v>55.351027796821825</v>
      </c>
      <c r="F281">
        <v>220</v>
      </c>
      <c r="G281" s="28">
        <v>687.3046959912034</v>
      </c>
    </row>
    <row r="282" spans="2:7" x14ac:dyDescent="0.3">
      <c r="B282">
        <v>221</v>
      </c>
      <c r="C282" s="28">
        <v>1210.190197135955</v>
      </c>
      <c r="D282">
        <v>221</v>
      </c>
      <c r="E282" s="28">
        <v>-5.4671494531446125</v>
      </c>
      <c r="F282">
        <v>221</v>
      </c>
      <c r="G282" s="28">
        <v>1136.0266473944728</v>
      </c>
    </row>
    <row r="283" spans="2:7" x14ac:dyDescent="0.3">
      <c r="B283">
        <v>222</v>
      </c>
      <c r="C283" s="28">
        <v>995.32132464983647</v>
      </c>
      <c r="D283">
        <v>222</v>
      </c>
      <c r="E283" s="28">
        <v>-2.9956222862210384</v>
      </c>
      <c r="F283">
        <v>222</v>
      </c>
      <c r="G283" s="28">
        <v>1283.5406768606038</v>
      </c>
    </row>
    <row r="284" spans="2:7" x14ac:dyDescent="0.3">
      <c r="B284">
        <v>223</v>
      </c>
      <c r="C284" s="28">
        <v>1005.6750185240328</v>
      </c>
      <c r="D284">
        <v>223</v>
      </c>
      <c r="E284" s="28">
        <v>-26.644919045925509</v>
      </c>
      <c r="F284">
        <v>223</v>
      </c>
      <c r="G284" s="28">
        <v>1277.7393505850039</v>
      </c>
    </row>
    <row r="285" spans="2:7" x14ac:dyDescent="0.3">
      <c r="B285">
        <v>224</v>
      </c>
      <c r="C285" s="28">
        <v>751.33812511262784</v>
      </c>
      <c r="D285">
        <v>224</v>
      </c>
      <c r="E285" s="28">
        <v>28.513882317922061</v>
      </c>
      <c r="F285">
        <v>224</v>
      </c>
      <c r="G285" s="28">
        <v>1214.4038432696307</v>
      </c>
    </row>
    <row r="286" spans="2:7" x14ac:dyDescent="0.3">
      <c r="B286">
        <v>225</v>
      </c>
      <c r="C286" s="28">
        <v>575.43585624127354</v>
      </c>
      <c r="D286">
        <v>225</v>
      </c>
      <c r="E286" s="28">
        <v>18.108035427455039</v>
      </c>
      <c r="F286">
        <v>225</v>
      </c>
      <c r="G286" s="28">
        <v>1077.5247866972591</v>
      </c>
    </row>
    <row r="287" spans="2:7" x14ac:dyDescent="0.3">
      <c r="B287">
        <v>226</v>
      </c>
      <c r="C287" s="28">
        <v>881.91887876466808</v>
      </c>
      <c r="D287">
        <v>226</v>
      </c>
      <c r="E287" s="28">
        <v>2.9311484916492225</v>
      </c>
      <c r="F287">
        <v>226</v>
      </c>
      <c r="G287" s="28">
        <v>399.89936853699191</v>
      </c>
    </row>
    <row r="288" spans="2:7" x14ac:dyDescent="0.3">
      <c r="B288">
        <v>227</v>
      </c>
      <c r="C288" s="28">
        <v>928.72029408058609</v>
      </c>
      <c r="D288">
        <v>227</v>
      </c>
      <c r="E288" s="28">
        <v>-5.9630807194512929</v>
      </c>
      <c r="F288">
        <v>227</v>
      </c>
      <c r="G288" s="28">
        <v>919.24871132050464</v>
      </c>
    </row>
    <row r="289" spans="2:7" x14ac:dyDescent="0.3">
      <c r="B289">
        <v>228</v>
      </c>
      <c r="C289" s="28">
        <v>1035.5753093399769</v>
      </c>
      <c r="D289">
        <v>228</v>
      </c>
      <c r="E289" s="28">
        <v>1.3791048416318465</v>
      </c>
      <c r="F289">
        <v>228</v>
      </c>
      <c r="G289" s="28">
        <v>1087.9778486951705</v>
      </c>
    </row>
    <row r="290" spans="2:7" x14ac:dyDescent="0.3">
      <c r="B290">
        <v>229</v>
      </c>
      <c r="C290" s="28">
        <v>697.93560190165783</v>
      </c>
      <c r="D290">
        <v>229</v>
      </c>
      <c r="E290" s="28">
        <v>-7.3600629842511962</v>
      </c>
      <c r="F290">
        <v>229</v>
      </c>
      <c r="G290" s="28">
        <v>1523.2653274128013</v>
      </c>
    </row>
    <row r="291" spans="2:7" x14ac:dyDescent="0.3">
      <c r="B291">
        <v>230</v>
      </c>
      <c r="C291" s="28">
        <v>956.23476327620415</v>
      </c>
      <c r="D291">
        <v>230</v>
      </c>
      <c r="E291" s="28">
        <v>57.599498683712056</v>
      </c>
      <c r="F291">
        <v>230</v>
      </c>
      <c r="G291" s="28">
        <v>950.2722745122486</v>
      </c>
    </row>
    <row r="292" spans="2:7" x14ac:dyDescent="0.3">
      <c r="B292">
        <v>231</v>
      </c>
      <c r="C292" s="28">
        <v>327.90233519318571</v>
      </c>
      <c r="D292">
        <v>231</v>
      </c>
      <c r="E292" s="28">
        <v>14.980738735899177</v>
      </c>
      <c r="F292">
        <v>231</v>
      </c>
      <c r="G292" s="28">
        <v>1221.5792911593906</v>
      </c>
    </row>
    <row r="293" spans="2:7" x14ac:dyDescent="0.3">
      <c r="B293">
        <v>232</v>
      </c>
      <c r="C293" s="28">
        <v>455.38951086498048</v>
      </c>
      <c r="D293">
        <v>232</v>
      </c>
      <c r="E293" s="28">
        <v>-23.158585082729509</v>
      </c>
      <c r="F293">
        <v>232</v>
      </c>
      <c r="G293" s="28">
        <v>1333.8667958063061</v>
      </c>
    </row>
    <row r="294" spans="2:7" x14ac:dyDescent="0.3">
      <c r="B294">
        <v>233</v>
      </c>
      <c r="C294" s="28">
        <v>813.57055221500241</v>
      </c>
      <c r="D294">
        <v>233</v>
      </c>
      <c r="E294" s="28">
        <v>7.9471108138395934</v>
      </c>
      <c r="F294">
        <v>233</v>
      </c>
      <c r="G294" s="28">
        <v>875.8401063190513</v>
      </c>
    </row>
    <row r="295" spans="2:7" x14ac:dyDescent="0.3">
      <c r="B295">
        <v>234</v>
      </c>
      <c r="C295" s="28">
        <v>727.77903731388346</v>
      </c>
      <c r="D295">
        <v>234</v>
      </c>
      <c r="E295" s="28">
        <v>-5.808444584737801</v>
      </c>
      <c r="F295">
        <v>234</v>
      </c>
      <c r="G295" s="28">
        <v>642.59036297538535</v>
      </c>
    </row>
    <row r="296" spans="2:7" x14ac:dyDescent="0.3">
      <c r="B296">
        <v>235</v>
      </c>
      <c r="C296" s="28">
        <v>226.14677074788693</v>
      </c>
      <c r="D296">
        <v>235</v>
      </c>
      <c r="E296" s="28">
        <v>-34.734769358448915</v>
      </c>
      <c r="F296">
        <v>235</v>
      </c>
      <c r="G296" s="28">
        <v>694.43034766385199</v>
      </c>
    </row>
    <row r="297" spans="2:7" x14ac:dyDescent="0.3">
      <c r="B297">
        <v>236</v>
      </c>
      <c r="C297" s="28">
        <v>103.72740283636037</v>
      </c>
      <c r="D297">
        <v>236</v>
      </c>
      <c r="E297" s="28">
        <v>-0.1394955433039835</v>
      </c>
      <c r="F297">
        <v>236</v>
      </c>
      <c r="G297" s="28">
        <v>775.75061296537353</v>
      </c>
    </row>
    <row r="298" spans="2:7" x14ac:dyDescent="0.3">
      <c r="B298">
        <v>237</v>
      </c>
      <c r="C298" s="28">
        <v>1105.6490605088941</v>
      </c>
      <c r="D298">
        <v>237</v>
      </c>
      <c r="E298" s="28">
        <v>14.361180184967631</v>
      </c>
      <c r="F298">
        <v>237</v>
      </c>
      <c r="G298" s="28">
        <v>1236.2553953943902</v>
      </c>
    </row>
    <row r="299" spans="2:7" x14ac:dyDescent="0.3">
      <c r="B299">
        <v>238</v>
      </c>
      <c r="C299" s="28">
        <v>1762.565629431454</v>
      </c>
      <c r="D299">
        <v>238</v>
      </c>
      <c r="E299" s="28">
        <v>-4.4137022322514401</v>
      </c>
      <c r="F299">
        <v>238</v>
      </c>
      <c r="G299" s="28">
        <v>741.93158762021687</v>
      </c>
    </row>
    <row r="300" spans="2:7" x14ac:dyDescent="0.3">
      <c r="B300">
        <v>239</v>
      </c>
      <c r="C300" s="28">
        <v>1432.7609369860265</v>
      </c>
      <c r="D300">
        <v>239</v>
      </c>
      <c r="E300" s="28">
        <v>8.9063635415719169</v>
      </c>
      <c r="F300">
        <v>239</v>
      </c>
      <c r="G300" s="28">
        <v>1392.2823426970376</v>
      </c>
    </row>
    <row r="301" spans="2:7" x14ac:dyDescent="0.3">
      <c r="B301">
        <v>240</v>
      </c>
      <c r="C301" s="28">
        <v>672.67820547888027</v>
      </c>
      <c r="D301">
        <v>240</v>
      </c>
      <c r="E301" s="28">
        <v>13.582058402694722</v>
      </c>
      <c r="F301">
        <v>240</v>
      </c>
      <c r="G301" s="28">
        <v>1402.8663470117899</v>
      </c>
    </row>
    <row r="302" spans="2:7" x14ac:dyDescent="0.3">
      <c r="B302">
        <v>241</v>
      </c>
      <c r="C302" s="28">
        <v>695.34812761961746</v>
      </c>
      <c r="D302">
        <v>241</v>
      </c>
      <c r="E302" s="28">
        <v>-8.3875141360881731</v>
      </c>
      <c r="F302">
        <v>241</v>
      </c>
      <c r="G302" s="28">
        <v>1046.908035256972</v>
      </c>
    </row>
    <row r="303" spans="2:7" x14ac:dyDescent="0.3">
      <c r="B303">
        <v>242</v>
      </c>
      <c r="C303" s="28">
        <v>581.79100619099222</v>
      </c>
      <c r="D303">
        <v>242</v>
      </c>
      <c r="E303" s="28">
        <v>-31.047828292888425</v>
      </c>
      <c r="F303">
        <v>242</v>
      </c>
      <c r="G303" s="28">
        <v>929.97011396489177</v>
      </c>
    </row>
    <row r="304" spans="2:7" x14ac:dyDescent="0.3">
      <c r="B304">
        <v>243</v>
      </c>
      <c r="C304" s="28">
        <v>513.86120542666617</v>
      </c>
      <c r="D304">
        <v>243</v>
      </c>
      <c r="E304" s="28">
        <v>23.146146531568597</v>
      </c>
      <c r="F304">
        <v>243</v>
      </c>
      <c r="G304" s="28">
        <v>1387.2940620026859</v>
      </c>
    </row>
    <row r="305" spans="2:7" x14ac:dyDescent="0.3">
      <c r="B305">
        <v>244</v>
      </c>
      <c r="C305" s="28">
        <v>909.67346156338385</v>
      </c>
      <c r="D305">
        <v>244</v>
      </c>
      <c r="E305" s="28">
        <v>24.651013118294813</v>
      </c>
      <c r="F305">
        <v>244</v>
      </c>
      <c r="G305" s="28">
        <v>814.25639628896022</v>
      </c>
    </row>
    <row r="306" spans="2:7" x14ac:dyDescent="0.3">
      <c r="B306">
        <v>245</v>
      </c>
      <c r="C306" s="28">
        <v>1181.3320471606494</v>
      </c>
      <c r="D306">
        <v>245</v>
      </c>
      <c r="E306" s="28">
        <v>-21.133610768960136</v>
      </c>
      <c r="F306">
        <v>245</v>
      </c>
      <c r="G306" s="28">
        <v>739.04096492105759</v>
      </c>
    </row>
    <row r="307" spans="2:7" x14ac:dyDescent="0.3">
      <c r="B307">
        <v>246</v>
      </c>
      <c r="C307" s="28">
        <v>1213.7179497387701</v>
      </c>
      <c r="D307">
        <v>246</v>
      </c>
      <c r="E307" s="28">
        <v>26.024027885245562</v>
      </c>
      <c r="F307">
        <v>246</v>
      </c>
      <c r="G307" s="28">
        <v>606.1155368800022</v>
      </c>
    </row>
    <row r="308" spans="2:7" x14ac:dyDescent="0.3">
      <c r="B308">
        <v>247</v>
      </c>
      <c r="C308" s="28">
        <v>529.7897359258393</v>
      </c>
      <c r="D308">
        <v>247</v>
      </c>
      <c r="E308" s="28">
        <v>-8.6724312899833791</v>
      </c>
      <c r="F308">
        <v>247</v>
      </c>
      <c r="G308" s="28">
        <v>892.89678749398774</v>
      </c>
    </row>
    <row r="309" spans="2:7" x14ac:dyDescent="0.3">
      <c r="B309">
        <v>248</v>
      </c>
      <c r="C309" s="28">
        <v>990.10069149255798</v>
      </c>
      <c r="D309">
        <v>248</v>
      </c>
      <c r="E309" s="28">
        <v>-8.7815898864608606</v>
      </c>
      <c r="F309">
        <v>248</v>
      </c>
      <c r="G309" s="28">
        <v>939.28931214216448</v>
      </c>
    </row>
    <row r="310" spans="2:7" x14ac:dyDescent="0.3">
      <c r="B310">
        <v>249</v>
      </c>
      <c r="C310" s="28">
        <v>1054.9965095284072</v>
      </c>
      <c r="D310">
        <v>249</v>
      </c>
      <c r="E310" s="28">
        <v>43.570257622040458</v>
      </c>
      <c r="F310">
        <v>249</v>
      </c>
      <c r="G310" s="28">
        <v>1054.600772743903</v>
      </c>
    </row>
    <row r="311" spans="2:7" x14ac:dyDescent="0.3">
      <c r="B311">
        <v>250</v>
      </c>
      <c r="C311" s="28">
        <v>814.37484913385811</v>
      </c>
      <c r="D311">
        <v>250</v>
      </c>
      <c r="E311" s="28">
        <v>-0.20000032871488321</v>
      </c>
      <c r="F311">
        <v>250</v>
      </c>
      <c r="G311" s="28">
        <v>1171.1802507748284</v>
      </c>
    </row>
    <row r="312" spans="2:7" x14ac:dyDescent="0.3">
      <c r="B312">
        <v>251</v>
      </c>
      <c r="C312" s="28">
        <v>1279.851039612659</v>
      </c>
      <c r="D312">
        <v>251</v>
      </c>
      <c r="E312" s="28">
        <v>30.644282784271876</v>
      </c>
      <c r="F312">
        <v>251</v>
      </c>
      <c r="G312" s="28">
        <v>947.95784730383127</v>
      </c>
    </row>
    <row r="313" spans="2:7" x14ac:dyDescent="0.3">
      <c r="B313">
        <v>252</v>
      </c>
      <c r="C313" s="28">
        <v>1754.4004955120272</v>
      </c>
      <c r="D313">
        <v>252</v>
      </c>
      <c r="E313" s="28">
        <v>-17.338554677867748</v>
      </c>
      <c r="F313">
        <v>252</v>
      </c>
      <c r="G313" s="28">
        <v>1220.6411751927672</v>
      </c>
    </row>
    <row r="314" spans="2:7" x14ac:dyDescent="0.3">
      <c r="B314">
        <v>253</v>
      </c>
      <c r="C314" s="28">
        <v>581.02387098427312</v>
      </c>
      <c r="D314">
        <v>253</v>
      </c>
      <c r="E314" s="28">
        <v>21.628019337938582</v>
      </c>
      <c r="F314">
        <v>253</v>
      </c>
      <c r="G314" s="28">
        <v>1122.306937842071</v>
      </c>
    </row>
    <row r="315" spans="2:7" x14ac:dyDescent="0.3">
      <c r="B315">
        <v>254</v>
      </c>
      <c r="C315" s="28">
        <v>1436.5030629868465</v>
      </c>
      <c r="D315">
        <v>254</v>
      </c>
      <c r="E315" s="28">
        <v>-16.157340008917625</v>
      </c>
      <c r="F315">
        <v>254</v>
      </c>
      <c r="G315" s="28">
        <v>1525.8870450543116</v>
      </c>
    </row>
    <row r="316" spans="2:7" x14ac:dyDescent="0.3">
      <c r="B316">
        <v>255</v>
      </c>
      <c r="C316" s="28">
        <v>1327.6870454658617</v>
      </c>
      <c r="D316">
        <v>255</v>
      </c>
      <c r="E316" s="28">
        <v>1.9476987986154621</v>
      </c>
      <c r="F316">
        <v>255</v>
      </c>
      <c r="G316" s="28">
        <v>747.02014634625243</v>
      </c>
    </row>
    <row r="317" spans="2:7" x14ac:dyDescent="0.3">
      <c r="B317">
        <v>256</v>
      </c>
      <c r="C317" s="28">
        <v>321.86732539669163</v>
      </c>
      <c r="D317">
        <v>256</v>
      </c>
      <c r="E317" s="28">
        <v>-65.987792789089028</v>
      </c>
      <c r="F317">
        <v>256</v>
      </c>
      <c r="G317" s="28">
        <v>352.76413752200108</v>
      </c>
    </row>
    <row r="318" spans="2:7" x14ac:dyDescent="0.3">
      <c r="B318">
        <v>257</v>
      </c>
      <c r="C318" s="28">
        <v>1018.4701445594983</v>
      </c>
      <c r="D318">
        <v>257</v>
      </c>
      <c r="E318" s="28">
        <v>14.018315425942513</v>
      </c>
      <c r="F318">
        <v>257</v>
      </c>
      <c r="G318" s="28">
        <v>902.24737572161325</v>
      </c>
    </row>
    <row r="319" spans="2:7" x14ac:dyDescent="0.3">
      <c r="B319">
        <v>258</v>
      </c>
      <c r="C319" s="28">
        <v>666.11354202114342</v>
      </c>
      <c r="D319">
        <v>258</v>
      </c>
      <c r="E319" s="28">
        <v>88.877554704209516</v>
      </c>
      <c r="F319">
        <v>258</v>
      </c>
      <c r="G319" s="28">
        <v>1334.4657954566214</v>
      </c>
    </row>
    <row r="320" spans="2:7" x14ac:dyDescent="0.3">
      <c r="B320">
        <v>259</v>
      </c>
      <c r="C320" s="28">
        <v>1371.0419729754572</v>
      </c>
      <c r="D320">
        <v>259</v>
      </c>
      <c r="E320" s="28">
        <v>0.6807877282393634</v>
      </c>
      <c r="F320">
        <v>259</v>
      </c>
      <c r="G320" s="28">
        <v>1185.4918508599144</v>
      </c>
    </row>
    <row r="321" spans="2:7" x14ac:dyDescent="0.3">
      <c r="B321">
        <v>260</v>
      </c>
      <c r="C321" s="28">
        <v>1425.0886812524548</v>
      </c>
      <c r="D321">
        <v>260</v>
      </c>
      <c r="E321" s="28">
        <v>9.6315218648754026</v>
      </c>
      <c r="F321">
        <v>260</v>
      </c>
      <c r="G321" s="28">
        <v>907.68587806634628</v>
      </c>
    </row>
    <row r="322" spans="2:7" x14ac:dyDescent="0.3">
      <c r="B322">
        <v>261</v>
      </c>
      <c r="C322" s="28">
        <v>953.99992103924046</v>
      </c>
      <c r="D322">
        <v>261</v>
      </c>
      <c r="E322" s="28">
        <v>-14.713743667722463</v>
      </c>
      <c r="F322">
        <v>261</v>
      </c>
      <c r="G322" s="28">
        <v>1244.4100014589517</v>
      </c>
    </row>
    <row r="323" spans="2:7" x14ac:dyDescent="0.3">
      <c r="B323">
        <v>262</v>
      </c>
      <c r="C323" s="28">
        <v>978.8183805923361</v>
      </c>
      <c r="D323">
        <v>262</v>
      </c>
      <c r="E323" s="28">
        <v>17.388152263278609</v>
      </c>
      <c r="F323">
        <v>262</v>
      </c>
      <c r="G323" s="28">
        <v>738.7188537675288</v>
      </c>
    </row>
    <row r="324" spans="2:7" x14ac:dyDescent="0.3">
      <c r="B324">
        <v>263</v>
      </c>
      <c r="C324" s="28">
        <v>117.91825062082323</v>
      </c>
      <c r="D324">
        <v>263</v>
      </c>
      <c r="E324" s="28">
        <v>4.2742521924533312</v>
      </c>
      <c r="F324">
        <v>263</v>
      </c>
      <c r="G324" s="28">
        <v>1035.2498785912628</v>
      </c>
    </row>
    <row r="325" spans="2:7" x14ac:dyDescent="0.3">
      <c r="B325">
        <v>264</v>
      </c>
      <c r="C325" s="28">
        <v>756.88562064530424</v>
      </c>
      <c r="D325">
        <v>264</v>
      </c>
      <c r="E325" s="28">
        <v>-6.6494709749864809</v>
      </c>
      <c r="F325">
        <v>264</v>
      </c>
      <c r="G325" s="28">
        <v>955.87381424624834</v>
      </c>
    </row>
    <row r="326" spans="2:7" x14ac:dyDescent="0.3">
      <c r="B326">
        <v>265</v>
      </c>
      <c r="C326" s="28">
        <v>724.39919775225735</v>
      </c>
      <c r="D326">
        <v>265</v>
      </c>
      <c r="E326" s="28">
        <v>-3.3536099879360384</v>
      </c>
      <c r="F326">
        <v>265</v>
      </c>
      <c r="G326" s="28">
        <v>884.01120170161812</v>
      </c>
    </row>
    <row r="327" spans="2:7" x14ac:dyDescent="0.3">
      <c r="B327">
        <v>266</v>
      </c>
      <c r="C327" s="28">
        <v>837.01243283138569</v>
      </c>
      <c r="D327">
        <v>266</v>
      </c>
      <c r="E327" s="28">
        <v>-18.229434065091816</v>
      </c>
      <c r="F327">
        <v>266</v>
      </c>
      <c r="G327" s="28">
        <v>747.56862209518124</v>
      </c>
    </row>
    <row r="328" spans="2:7" x14ac:dyDescent="0.3">
      <c r="B328">
        <v>267</v>
      </c>
      <c r="C328" s="28">
        <v>854.89599728780399</v>
      </c>
      <c r="D328">
        <v>267</v>
      </c>
      <c r="E328" s="28">
        <v>3.7469944563588919</v>
      </c>
      <c r="F328">
        <v>267</v>
      </c>
      <c r="G328" s="28">
        <v>1100.2387775300654</v>
      </c>
    </row>
    <row r="329" spans="2:7" x14ac:dyDescent="0.3">
      <c r="B329">
        <v>268</v>
      </c>
      <c r="C329" s="28">
        <v>917.36294917536202</v>
      </c>
      <c r="D329">
        <v>268</v>
      </c>
      <c r="E329" s="28">
        <v>0.98799341910290583</v>
      </c>
      <c r="F329">
        <v>268</v>
      </c>
      <c r="G329" s="28">
        <v>1273.0374515825754</v>
      </c>
    </row>
    <row r="330" spans="2:7" x14ac:dyDescent="0.3">
      <c r="B330">
        <v>269</v>
      </c>
      <c r="C330" s="28">
        <v>671.92781683168744</v>
      </c>
      <c r="D330">
        <v>269</v>
      </c>
      <c r="E330" s="28">
        <v>-18.210693150275244</v>
      </c>
      <c r="F330">
        <v>269</v>
      </c>
      <c r="G330" s="28">
        <v>1003.1706107592263</v>
      </c>
    </row>
    <row r="331" spans="2:7" x14ac:dyDescent="0.3">
      <c r="B331">
        <v>270</v>
      </c>
      <c r="C331" s="28">
        <v>1028.2708189525733</v>
      </c>
      <c r="D331">
        <v>270</v>
      </c>
      <c r="E331" s="28">
        <v>-23.164312975829326</v>
      </c>
      <c r="F331">
        <v>270</v>
      </c>
      <c r="G331" s="28">
        <v>964.39090449997605</v>
      </c>
    </row>
    <row r="332" spans="2:7" x14ac:dyDescent="0.3">
      <c r="B332">
        <v>271</v>
      </c>
      <c r="C332" s="28">
        <v>1065.2007129497451</v>
      </c>
      <c r="D332">
        <v>271</v>
      </c>
      <c r="E332" s="28">
        <v>29.919450788737475</v>
      </c>
      <c r="F332">
        <v>271</v>
      </c>
      <c r="G332" s="28">
        <v>1076.6301473338594</v>
      </c>
    </row>
    <row r="333" spans="2:7" x14ac:dyDescent="0.3">
      <c r="B333">
        <v>272</v>
      </c>
      <c r="C333" s="28">
        <v>1003.731732419886</v>
      </c>
      <c r="D333">
        <v>272</v>
      </c>
      <c r="E333" s="28">
        <v>48.857191914923426</v>
      </c>
      <c r="F333">
        <v>272</v>
      </c>
      <c r="G333" s="28">
        <v>1125.1423338211869</v>
      </c>
    </row>
    <row r="334" spans="2:7" x14ac:dyDescent="0.3">
      <c r="B334">
        <v>273</v>
      </c>
      <c r="C334" s="28">
        <v>434.10064371704436</v>
      </c>
      <c r="D334">
        <v>273</v>
      </c>
      <c r="E334" s="28">
        <v>9.4246683693367892</v>
      </c>
      <c r="F334">
        <v>273</v>
      </c>
      <c r="G334" s="28">
        <v>1298.8527259169307</v>
      </c>
    </row>
    <row r="335" spans="2:7" x14ac:dyDescent="0.3">
      <c r="B335">
        <v>274</v>
      </c>
      <c r="C335" s="28">
        <v>721.66626644715984</v>
      </c>
      <c r="D335">
        <v>274</v>
      </c>
      <c r="E335" s="28">
        <v>15.515685071972612</v>
      </c>
      <c r="F335">
        <v>274</v>
      </c>
      <c r="G335" s="28">
        <v>837.75511715595144</v>
      </c>
    </row>
    <row r="336" spans="2:7" x14ac:dyDescent="0.3">
      <c r="B336">
        <v>275</v>
      </c>
      <c r="C336" s="28">
        <v>1022.6032617908759</v>
      </c>
      <c r="D336">
        <v>275</v>
      </c>
      <c r="E336" s="28">
        <v>11.843775831578787</v>
      </c>
      <c r="F336">
        <v>275</v>
      </c>
      <c r="G336" s="28">
        <v>701.01845324173632</v>
      </c>
    </row>
    <row r="337" spans="2:7" x14ac:dyDescent="0.3">
      <c r="B337">
        <v>276</v>
      </c>
      <c r="C337" s="28">
        <v>765.00141876125429</v>
      </c>
      <c r="D337">
        <v>276</v>
      </c>
      <c r="E337" s="28">
        <v>2.3978885875188962</v>
      </c>
      <c r="F337">
        <v>276</v>
      </c>
      <c r="G337" s="28">
        <v>1713.4415663249638</v>
      </c>
    </row>
    <row r="338" spans="2:7" x14ac:dyDescent="0.3">
      <c r="B338">
        <v>277</v>
      </c>
      <c r="C338" s="28">
        <v>1283.9937298769996</v>
      </c>
      <c r="D338">
        <v>277</v>
      </c>
      <c r="E338" s="28">
        <v>-2.9946886798818491</v>
      </c>
      <c r="F338">
        <v>277</v>
      </c>
      <c r="G338" s="28">
        <v>844.4658234816095</v>
      </c>
    </row>
    <row r="339" spans="2:7" x14ac:dyDescent="0.3">
      <c r="B339">
        <v>278</v>
      </c>
      <c r="C339" s="28">
        <v>1157.0654894284864</v>
      </c>
      <c r="D339">
        <v>278</v>
      </c>
      <c r="E339" s="28">
        <v>5.006109436828206</v>
      </c>
      <c r="F339">
        <v>278</v>
      </c>
      <c r="G339" s="28">
        <v>939.11330160760485</v>
      </c>
    </row>
    <row r="340" spans="2:7" x14ac:dyDescent="0.3">
      <c r="B340">
        <v>279</v>
      </c>
      <c r="C340" s="28">
        <v>655.80216799857328</v>
      </c>
      <c r="D340">
        <v>279</v>
      </c>
      <c r="E340" s="28">
        <v>-24.144075823159341</v>
      </c>
      <c r="F340">
        <v>279</v>
      </c>
      <c r="G340" s="28">
        <v>687.81526994349406</v>
      </c>
    </row>
    <row r="341" spans="2:7" x14ac:dyDescent="0.3">
      <c r="B341">
        <v>280</v>
      </c>
      <c r="C341" s="28">
        <v>972.58764268622508</v>
      </c>
      <c r="D341">
        <v>280</v>
      </c>
      <c r="E341" s="28">
        <v>-0.27369796188484441</v>
      </c>
      <c r="F341">
        <v>280</v>
      </c>
      <c r="G341" s="28">
        <v>846.94834470411752</v>
      </c>
    </row>
    <row r="342" spans="2:7" x14ac:dyDescent="0.3">
      <c r="B342">
        <v>281</v>
      </c>
      <c r="C342" s="28">
        <v>1123.462979640638</v>
      </c>
      <c r="D342">
        <v>281</v>
      </c>
      <c r="E342" s="28">
        <v>26.068601125995873</v>
      </c>
      <c r="F342">
        <v>281</v>
      </c>
      <c r="G342" s="28">
        <v>818.23649909865981</v>
      </c>
    </row>
    <row r="343" spans="2:7" x14ac:dyDescent="0.3">
      <c r="B343">
        <v>282</v>
      </c>
      <c r="C343" s="28">
        <v>1197.207346787045</v>
      </c>
      <c r="D343">
        <v>282</v>
      </c>
      <c r="E343" s="28">
        <v>38.345925691393305</v>
      </c>
      <c r="F343">
        <v>282</v>
      </c>
      <c r="G343" s="28">
        <v>1003.6392749981827</v>
      </c>
    </row>
    <row r="344" spans="2:7" x14ac:dyDescent="0.3">
      <c r="B344">
        <v>283</v>
      </c>
      <c r="C344" s="28">
        <v>575.29743270033725</v>
      </c>
      <c r="D344">
        <v>283</v>
      </c>
      <c r="E344" s="28">
        <v>-3.321467089956573</v>
      </c>
      <c r="F344">
        <v>283</v>
      </c>
      <c r="G344" s="28">
        <v>795.08888497146086</v>
      </c>
    </row>
    <row r="345" spans="2:7" x14ac:dyDescent="0.3">
      <c r="B345">
        <v>284</v>
      </c>
      <c r="C345" s="28">
        <v>747.25303417354223</v>
      </c>
      <c r="D345">
        <v>284</v>
      </c>
      <c r="E345" s="28">
        <v>34.344693933980125</v>
      </c>
      <c r="F345">
        <v>284</v>
      </c>
      <c r="G345" s="28">
        <v>1021.2056163903029</v>
      </c>
    </row>
    <row r="346" spans="2:7" x14ac:dyDescent="0.3">
      <c r="B346">
        <v>285</v>
      </c>
      <c r="C346" s="28">
        <v>543.06220953924412</v>
      </c>
      <c r="D346">
        <v>285</v>
      </c>
      <c r="E346" s="28">
        <v>8.4435317846856854</v>
      </c>
      <c r="F346">
        <v>285</v>
      </c>
      <c r="G346" s="28">
        <v>737.34778831125391</v>
      </c>
    </row>
    <row r="347" spans="2:7" x14ac:dyDescent="0.3">
      <c r="B347">
        <v>286</v>
      </c>
      <c r="C347" s="28">
        <v>954.90748055862332</v>
      </c>
      <c r="D347">
        <v>286</v>
      </c>
      <c r="E347" s="28">
        <v>15.270514996880788</v>
      </c>
      <c r="F347">
        <v>286</v>
      </c>
      <c r="G347" s="28">
        <v>1181.9040229969673</v>
      </c>
    </row>
    <row r="348" spans="2:7" x14ac:dyDescent="0.3">
      <c r="B348">
        <v>287</v>
      </c>
      <c r="C348" s="28">
        <v>1002.0522413371758</v>
      </c>
      <c r="D348">
        <v>287</v>
      </c>
      <c r="E348" s="28">
        <v>26.992858701672294</v>
      </c>
      <c r="F348">
        <v>287</v>
      </c>
      <c r="G348" s="28">
        <v>1193.1767603683704</v>
      </c>
    </row>
    <row r="349" spans="2:7" x14ac:dyDescent="0.3">
      <c r="B349">
        <v>288</v>
      </c>
      <c r="C349" s="28">
        <v>845.88159647396094</v>
      </c>
      <c r="D349">
        <v>288</v>
      </c>
      <c r="E349" s="28">
        <v>48.699260264232933</v>
      </c>
      <c r="F349">
        <v>288</v>
      </c>
      <c r="G349" s="28">
        <v>898.25562791336984</v>
      </c>
    </row>
    <row r="350" spans="2:7" x14ac:dyDescent="0.3">
      <c r="B350">
        <v>289</v>
      </c>
      <c r="C350" s="28">
        <v>807.66911735432757</v>
      </c>
      <c r="D350">
        <v>289</v>
      </c>
      <c r="E350" s="28">
        <v>34.161093155253738</v>
      </c>
      <c r="F350">
        <v>289</v>
      </c>
      <c r="G350" s="28">
        <v>737.94536007881231</v>
      </c>
    </row>
    <row r="351" spans="2:7" x14ac:dyDescent="0.3">
      <c r="B351">
        <v>290</v>
      </c>
      <c r="C351" s="28">
        <v>938.25442278707669</v>
      </c>
      <c r="D351">
        <v>290</v>
      </c>
      <c r="E351" s="28">
        <v>-25.432802338440784</v>
      </c>
      <c r="F351">
        <v>290</v>
      </c>
      <c r="G351" s="28">
        <v>127.79017867209703</v>
      </c>
    </row>
    <row r="352" spans="2:7" x14ac:dyDescent="0.3">
      <c r="B352">
        <v>291</v>
      </c>
      <c r="C352" s="28">
        <v>645.01411738818115</v>
      </c>
      <c r="D352">
        <v>291</v>
      </c>
      <c r="E352" s="28">
        <v>9.1747458329842839</v>
      </c>
      <c r="F352">
        <v>291</v>
      </c>
      <c r="G352" s="28">
        <v>940.59274690552559</v>
      </c>
    </row>
    <row r="353" spans="2:7" x14ac:dyDescent="0.3">
      <c r="B353">
        <v>292</v>
      </c>
      <c r="C353" s="28">
        <v>663.52052713689613</v>
      </c>
      <c r="D353">
        <v>292</v>
      </c>
      <c r="E353" s="28">
        <v>5.4875463165564256</v>
      </c>
      <c r="F353">
        <v>292</v>
      </c>
      <c r="G353" s="28">
        <v>1127.2663017734535</v>
      </c>
    </row>
    <row r="354" spans="2:7" x14ac:dyDescent="0.3">
      <c r="B354">
        <v>293</v>
      </c>
      <c r="C354" s="28">
        <v>968.67404189515491</v>
      </c>
      <c r="D354">
        <v>293</v>
      </c>
      <c r="E354" s="28">
        <v>-2.7608094476026488</v>
      </c>
      <c r="F354">
        <v>293</v>
      </c>
      <c r="G354" s="28">
        <v>972.57858714219219</v>
      </c>
    </row>
    <row r="355" spans="2:7" x14ac:dyDescent="0.3">
      <c r="B355">
        <v>294</v>
      </c>
      <c r="C355" s="28">
        <v>606.29682993070844</v>
      </c>
      <c r="D355">
        <v>294</v>
      </c>
      <c r="E355" s="28">
        <v>-33.038153671599808</v>
      </c>
      <c r="F355">
        <v>294</v>
      </c>
      <c r="G355" s="28">
        <v>1316.2264005190091</v>
      </c>
    </row>
    <row r="356" spans="2:7" x14ac:dyDescent="0.3">
      <c r="B356">
        <v>295</v>
      </c>
      <c r="C356" s="28">
        <v>1016.5780853214212</v>
      </c>
      <c r="D356">
        <v>295</v>
      </c>
      <c r="E356" s="28">
        <v>6.5866762288354348</v>
      </c>
      <c r="F356">
        <v>295</v>
      </c>
      <c r="G356" s="28">
        <v>1148.9419984544809</v>
      </c>
    </row>
    <row r="357" spans="2:7" x14ac:dyDescent="0.3">
      <c r="B357">
        <v>296</v>
      </c>
      <c r="C357" s="28">
        <v>954.42800478746392</v>
      </c>
      <c r="D357">
        <v>296</v>
      </c>
      <c r="E357" s="28">
        <v>4.1242721364934116</v>
      </c>
      <c r="F357">
        <v>296</v>
      </c>
      <c r="G357" s="28">
        <v>207.0475728904118</v>
      </c>
    </row>
    <row r="358" spans="2:7" x14ac:dyDescent="0.3">
      <c r="B358">
        <v>297</v>
      </c>
      <c r="C358" s="28">
        <v>583.24961308362231</v>
      </c>
      <c r="D358">
        <v>297</v>
      </c>
      <c r="E358" s="28">
        <v>0.31927492494853854</v>
      </c>
      <c r="F358">
        <v>297</v>
      </c>
      <c r="G358" s="28">
        <v>1062.718782954435</v>
      </c>
    </row>
    <row r="359" spans="2:7" x14ac:dyDescent="0.3">
      <c r="B359">
        <v>298</v>
      </c>
      <c r="C359" s="28">
        <v>718.26408681804912</v>
      </c>
      <c r="D359">
        <v>298</v>
      </c>
      <c r="E359" s="28">
        <v>-7.0494859465205497</v>
      </c>
      <c r="F359">
        <v>298</v>
      </c>
      <c r="G359" s="28">
        <v>909.68918804889631</v>
      </c>
    </row>
    <row r="360" spans="2:7" x14ac:dyDescent="0.3">
      <c r="B360">
        <v>299</v>
      </c>
      <c r="C360" s="28">
        <v>855.79184729426174</v>
      </c>
      <c r="D360">
        <v>299</v>
      </c>
      <c r="E360" s="28">
        <v>-14.656404947889882</v>
      </c>
      <c r="F360">
        <v>299</v>
      </c>
      <c r="G360" s="28">
        <v>801.75860331099716</v>
      </c>
    </row>
    <row r="361" spans="2:7" x14ac:dyDescent="0.3">
      <c r="B361">
        <v>300</v>
      </c>
      <c r="C361" s="28">
        <v>683.02096563183318</v>
      </c>
      <c r="D361">
        <v>300</v>
      </c>
      <c r="E361" s="28">
        <v>3.4049942946504723</v>
      </c>
      <c r="F361">
        <v>300</v>
      </c>
      <c r="G361" s="28">
        <v>787.39936306142931</v>
      </c>
    </row>
    <row r="362" spans="2:7" x14ac:dyDescent="0.3">
      <c r="B362">
        <v>301</v>
      </c>
      <c r="C362" s="28">
        <v>977.41411118397605</v>
      </c>
      <c r="D362">
        <v>301</v>
      </c>
      <c r="E362" s="28">
        <v>7.8473368465575319</v>
      </c>
      <c r="F362">
        <v>301</v>
      </c>
      <c r="G362" s="28">
        <v>1082.8039323181642</v>
      </c>
    </row>
    <row r="363" spans="2:7" x14ac:dyDescent="0.3">
      <c r="B363">
        <v>302</v>
      </c>
      <c r="C363" s="28">
        <v>1104.0722314771976</v>
      </c>
      <c r="D363">
        <v>302</v>
      </c>
      <c r="E363" s="28">
        <v>3.9318538775925966</v>
      </c>
      <c r="F363">
        <v>302</v>
      </c>
      <c r="G363" s="28">
        <v>1185.3234558983088</v>
      </c>
    </row>
    <row r="364" spans="2:7" x14ac:dyDescent="0.3">
      <c r="B364">
        <v>303</v>
      </c>
      <c r="C364" s="28">
        <v>785.7358352574538</v>
      </c>
      <c r="D364">
        <v>303</v>
      </c>
      <c r="E364" s="28">
        <v>-17.791964562499729</v>
      </c>
      <c r="F364">
        <v>303</v>
      </c>
      <c r="G364" s="28">
        <v>1037.183623777581</v>
      </c>
    </row>
    <row r="365" spans="2:7" x14ac:dyDescent="0.3">
      <c r="B365">
        <v>304</v>
      </c>
      <c r="C365" s="28">
        <v>977.65953508125108</v>
      </c>
      <c r="D365">
        <v>304</v>
      </c>
      <c r="E365" s="28">
        <v>1.3584580446812562E-2</v>
      </c>
      <c r="F365">
        <v>304</v>
      </c>
      <c r="G365" s="28">
        <v>1494.2015986979045</v>
      </c>
    </row>
    <row r="366" spans="2:7" x14ac:dyDescent="0.3">
      <c r="B366">
        <v>305</v>
      </c>
      <c r="C366" s="28">
        <v>1481.8958223464404</v>
      </c>
      <c r="D366">
        <v>305</v>
      </c>
      <c r="E366" s="28">
        <v>-4.3373050478433814</v>
      </c>
      <c r="F366">
        <v>305</v>
      </c>
      <c r="G366" s="28">
        <v>910.608460669078</v>
      </c>
    </row>
    <row r="367" spans="2:7" x14ac:dyDescent="0.3">
      <c r="B367">
        <v>306</v>
      </c>
      <c r="C367" s="28">
        <v>1116.5532600437923</v>
      </c>
      <c r="D367">
        <v>306</v>
      </c>
      <c r="E367" s="28">
        <v>60.329786456413686</v>
      </c>
      <c r="F367">
        <v>306</v>
      </c>
      <c r="G367" s="28">
        <v>986.38900500056059</v>
      </c>
    </row>
    <row r="368" spans="2:7" x14ac:dyDescent="0.3">
      <c r="B368">
        <v>307</v>
      </c>
      <c r="C368" s="28">
        <v>312.40519876073279</v>
      </c>
      <c r="D368">
        <v>307</v>
      </c>
      <c r="E368" s="28">
        <v>-14.700249489655599</v>
      </c>
      <c r="F368">
        <v>307</v>
      </c>
      <c r="G368" s="28">
        <v>582.93237832022419</v>
      </c>
    </row>
    <row r="369" spans="2:7" x14ac:dyDescent="0.3">
      <c r="B369">
        <v>308</v>
      </c>
      <c r="C369" s="28">
        <v>723.50990938465156</v>
      </c>
      <c r="D369">
        <v>308</v>
      </c>
      <c r="E369" s="28">
        <v>-4.276104654132495</v>
      </c>
      <c r="F369">
        <v>308</v>
      </c>
      <c r="G369" s="28">
        <v>718.1382600575995</v>
      </c>
    </row>
    <row r="370" spans="2:7" x14ac:dyDescent="0.3">
      <c r="B370">
        <v>309</v>
      </c>
      <c r="C370" s="28">
        <v>1184.9868274412727</v>
      </c>
      <c r="D370">
        <v>309</v>
      </c>
      <c r="E370" s="28">
        <v>49.03819159558153</v>
      </c>
      <c r="F370">
        <v>309</v>
      </c>
      <c r="G370" s="28">
        <v>1049.0735901513165</v>
      </c>
    </row>
    <row r="371" spans="2:7" x14ac:dyDescent="0.3">
      <c r="B371">
        <v>310</v>
      </c>
      <c r="C371" s="28">
        <v>742.02782715910166</v>
      </c>
      <c r="D371">
        <v>310</v>
      </c>
      <c r="E371" s="28">
        <v>30.989400914436793</v>
      </c>
      <c r="F371">
        <v>310</v>
      </c>
      <c r="G371" s="28">
        <v>1338.1660524673111</v>
      </c>
    </row>
    <row r="372" spans="2:7" x14ac:dyDescent="0.3">
      <c r="B372">
        <v>311</v>
      </c>
      <c r="C372" s="28">
        <v>966.55581755353558</v>
      </c>
      <c r="D372">
        <v>311</v>
      </c>
      <c r="E372" s="28">
        <v>1.013978365550281</v>
      </c>
      <c r="F372">
        <v>311</v>
      </c>
      <c r="G372" s="28">
        <v>833.74135513482815</v>
      </c>
    </row>
    <row r="373" spans="2:7" x14ac:dyDescent="0.3">
      <c r="B373">
        <v>312</v>
      </c>
      <c r="C373" s="28">
        <v>840.85112503667665</v>
      </c>
      <c r="D373">
        <v>312</v>
      </c>
      <c r="E373" s="28">
        <v>-12.211506596385393</v>
      </c>
      <c r="F373">
        <v>312</v>
      </c>
      <c r="G373" s="28">
        <v>442.20575173095841</v>
      </c>
    </row>
    <row r="374" spans="2:7" x14ac:dyDescent="0.3">
      <c r="B374">
        <v>313</v>
      </c>
      <c r="C374" s="28">
        <v>481.10684495988772</v>
      </c>
      <c r="D374">
        <v>313</v>
      </c>
      <c r="E374" s="28">
        <v>19.760708292321137</v>
      </c>
      <c r="F374">
        <v>313</v>
      </c>
      <c r="G374" s="28">
        <v>984.69799365052313</v>
      </c>
    </row>
    <row r="375" spans="2:7" x14ac:dyDescent="0.3">
      <c r="B375">
        <v>314</v>
      </c>
      <c r="C375" s="28">
        <v>624.42646107182077</v>
      </c>
      <c r="D375">
        <v>314</v>
      </c>
      <c r="E375" s="28">
        <v>26.488140004011861</v>
      </c>
      <c r="F375">
        <v>314</v>
      </c>
      <c r="G375" s="28">
        <v>1072.1621092277089</v>
      </c>
    </row>
    <row r="376" spans="2:7" x14ac:dyDescent="0.3">
      <c r="B376">
        <v>315</v>
      </c>
      <c r="C376" s="28">
        <v>1050.6494654315838</v>
      </c>
      <c r="D376">
        <v>315</v>
      </c>
      <c r="E376" s="28">
        <v>7.3029886198753404</v>
      </c>
      <c r="F376">
        <v>315</v>
      </c>
      <c r="G376" s="28">
        <v>938.8198126512583</v>
      </c>
    </row>
    <row r="377" spans="2:7" x14ac:dyDescent="0.3">
      <c r="B377">
        <v>316</v>
      </c>
      <c r="C377" s="28">
        <v>1336.2902050678777</v>
      </c>
      <c r="D377">
        <v>316</v>
      </c>
      <c r="E377" s="28">
        <v>31.585016878741577</v>
      </c>
      <c r="F377">
        <v>316</v>
      </c>
      <c r="G377" s="28">
        <v>1226.2168508088046</v>
      </c>
    </row>
    <row r="378" spans="2:7" x14ac:dyDescent="0.3">
      <c r="B378">
        <v>317</v>
      </c>
      <c r="C378" s="28">
        <v>1322.6002722826611</v>
      </c>
      <c r="D378">
        <v>317</v>
      </c>
      <c r="E378" s="28">
        <v>-29.447097881786704</v>
      </c>
      <c r="F378">
        <v>317</v>
      </c>
      <c r="G378" s="28">
        <v>1347.3036695902183</v>
      </c>
    </row>
    <row r="379" spans="2:7" x14ac:dyDescent="0.3">
      <c r="B379">
        <v>318</v>
      </c>
      <c r="C379" s="28">
        <v>1015.1595666380347</v>
      </c>
      <c r="D379">
        <v>318</v>
      </c>
      <c r="E379" s="28">
        <v>-14.969239092492469</v>
      </c>
      <c r="F379">
        <v>318</v>
      </c>
      <c r="G379" s="28">
        <v>601.17421979478763</v>
      </c>
    </row>
    <row r="380" spans="2:7" x14ac:dyDescent="0.3">
      <c r="B380">
        <v>319</v>
      </c>
      <c r="C380" s="28">
        <v>1332.1116714826526</v>
      </c>
      <c r="D380">
        <v>319</v>
      </c>
      <c r="E380" s="28">
        <v>35.66057551906276</v>
      </c>
      <c r="F380">
        <v>319</v>
      </c>
      <c r="G380" s="28">
        <v>958.48152025341119</v>
      </c>
    </row>
    <row r="381" spans="2:7" x14ac:dyDescent="0.3">
      <c r="B381">
        <v>320</v>
      </c>
      <c r="C381" s="28">
        <v>703.18021864260868</v>
      </c>
      <c r="D381">
        <v>320</v>
      </c>
      <c r="E381" s="28">
        <v>47.188526977163072</v>
      </c>
      <c r="F381">
        <v>320</v>
      </c>
      <c r="G381" s="28">
        <v>696.84213151462825</v>
      </c>
    </row>
    <row r="382" spans="2:7" x14ac:dyDescent="0.3">
      <c r="B382">
        <v>321</v>
      </c>
      <c r="C382" s="28">
        <v>635.12628696993283</v>
      </c>
      <c r="D382">
        <v>321</v>
      </c>
      <c r="E382" s="28">
        <v>-34.741217147789513</v>
      </c>
      <c r="F382">
        <v>321</v>
      </c>
      <c r="G382" s="28">
        <v>1050.4864615149966</v>
      </c>
    </row>
    <row r="383" spans="2:7" x14ac:dyDescent="0.3">
      <c r="B383">
        <v>322</v>
      </c>
      <c r="C383" s="28">
        <v>912.66387922489434</v>
      </c>
      <c r="D383">
        <v>322</v>
      </c>
      <c r="E383" s="28">
        <v>16.459045690327549</v>
      </c>
      <c r="F383">
        <v>322</v>
      </c>
      <c r="G383" s="28">
        <v>727.70945149766999</v>
      </c>
    </row>
    <row r="384" spans="2:7" x14ac:dyDescent="0.3">
      <c r="B384">
        <v>323</v>
      </c>
      <c r="C384" s="28">
        <v>1074.5115595896571</v>
      </c>
      <c r="D384">
        <v>323</v>
      </c>
      <c r="E384" s="28">
        <v>4.1243371001944835</v>
      </c>
      <c r="F384">
        <v>323</v>
      </c>
      <c r="G384" s="28">
        <v>529.9453340433322</v>
      </c>
    </row>
    <row r="385" spans="2:7" x14ac:dyDescent="0.3">
      <c r="B385">
        <v>324</v>
      </c>
      <c r="C385" s="28">
        <v>1366.608558823857</v>
      </c>
      <c r="D385">
        <v>324</v>
      </c>
      <c r="E385" s="28">
        <v>19.490568749541584</v>
      </c>
      <c r="F385">
        <v>324</v>
      </c>
      <c r="G385" s="28">
        <v>740.13433667137269</v>
      </c>
    </row>
    <row r="386" spans="2:7" x14ac:dyDescent="0.3">
      <c r="B386">
        <v>325</v>
      </c>
      <c r="C386" s="28">
        <v>1119.7545282271565</v>
      </c>
      <c r="D386">
        <v>325</v>
      </c>
      <c r="E386" s="28">
        <v>-38.113511858897667</v>
      </c>
      <c r="F386">
        <v>325</v>
      </c>
      <c r="G386" s="28">
        <v>412.30148019313174</v>
      </c>
    </row>
    <row r="387" spans="2:7" x14ac:dyDescent="0.3">
      <c r="B387">
        <v>326</v>
      </c>
      <c r="C387" s="28">
        <v>1120.1408076847765</v>
      </c>
      <c r="D387">
        <v>326</v>
      </c>
      <c r="E387" s="28">
        <v>33.384673122386452</v>
      </c>
      <c r="F387">
        <v>326</v>
      </c>
      <c r="G387" s="28">
        <v>472.25271554674356</v>
      </c>
    </row>
    <row r="388" spans="2:7" x14ac:dyDescent="0.3">
      <c r="B388">
        <v>327</v>
      </c>
      <c r="C388" s="28">
        <v>851.50034020701491</v>
      </c>
      <c r="D388">
        <v>327</v>
      </c>
      <c r="E388" s="28">
        <v>-3.2663725176676124</v>
      </c>
      <c r="F388">
        <v>327</v>
      </c>
      <c r="G388" s="28">
        <v>925.71079448190699</v>
      </c>
    </row>
    <row r="389" spans="2:7" x14ac:dyDescent="0.3">
      <c r="B389">
        <v>328</v>
      </c>
      <c r="C389" s="28">
        <v>435.53202633678757</v>
      </c>
      <c r="D389">
        <v>328</v>
      </c>
      <c r="E389" s="28">
        <v>33.869655501113421</v>
      </c>
      <c r="F389">
        <v>328</v>
      </c>
      <c r="G389" s="28">
        <v>1149.2515998702013</v>
      </c>
    </row>
    <row r="390" spans="2:7" x14ac:dyDescent="0.3">
      <c r="B390">
        <v>329</v>
      </c>
      <c r="C390" s="28">
        <v>918.13555703142151</v>
      </c>
      <c r="D390">
        <v>329</v>
      </c>
      <c r="E390" s="28">
        <v>6.7638488400255028</v>
      </c>
      <c r="F390">
        <v>329</v>
      </c>
      <c r="G390" s="28">
        <v>1310.2162354876286</v>
      </c>
    </row>
    <row r="391" spans="2:7" x14ac:dyDescent="0.3">
      <c r="B391">
        <v>330</v>
      </c>
      <c r="C391" s="28">
        <v>1057.6133290026037</v>
      </c>
      <c r="D391">
        <v>330</v>
      </c>
      <c r="E391" s="28">
        <v>35.694658703852205</v>
      </c>
      <c r="F391">
        <v>330</v>
      </c>
      <c r="G391" s="28">
        <v>908.20899614960547</v>
      </c>
    </row>
    <row r="392" spans="2:7" x14ac:dyDescent="0.3">
      <c r="B392">
        <v>331</v>
      </c>
      <c r="C392" s="28">
        <v>1011.7433525252811</v>
      </c>
      <c r="D392">
        <v>331</v>
      </c>
      <c r="E392" s="28">
        <v>17.079115770428327</v>
      </c>
      <c r="F392">
        <v>331</v>
      </c>
      <c r="G392" s="28">
        <v>460.21488816372386</v>
      </c>
    </row>
    <row r="393" spans="2:7" x14ac:dyDescent="0.3">
      <c r="B393">
        <v>332</v>
      </c>
      <c r="C393" s="28">
        <v>1133.9869734159884</v>
      </c>
      <c r="D393">
        <v>332</v>
      </c>
      <c r="E393" s="28">
        <v>22.617926644886417</v>
      </c>
      <c r="F393">
        <v>332</v>
      </c>
      <c r="G393" s="28">
        <v>1182.2911371687273</v>
      </c>
    </row>
    <row r="394" spans="2:7" x14ac:dyDescent="0.3">
      <c r="B394">
        <v>333</v>
      </c>
      <c r="C394" s="28">
        <v>783.87562133020344</v>
      </c>
      <c r="D394">
        <v>333</v>
      </c>
      <c r="E394" s="28">
        <v>3.7761215248929005</v>
      </c>
      <c r="F394">
        <v>333</v>
      </c>
      <c r="G394" s="28">
        <v>797.95927494750754</v>
      </c>
    </row>
    <row r="395" spans="2:7" x14ac:dyDescent="0.3">
      <c r="B395">
        <v>334</v>
      </c>
      <c r="C395" s="28">
        <v>840.85092079100764</v>
      </c>
      <c r="D395">
        <v>334</v>
      </c>
      <c r="E395" s="28">
        <v>-30.04168970951228</v>
      </c>
      <c r="F395">
        <v>334</v>
      </c>
      <c r="G395" s="28">
        <v>1143.6452559641461</v>
      </c>
    </row>
    <row r="396" spans="2:7" x14ac:dyDescent="0.3">
      <c r="B396">
        <v>335</v>
      </c>
      <c r="C396" s="28">
        <v>719.11792474851097</v>
      </c>
      <c r="D396">
        <v>335</v>
      </c>
      <c r="E396" s="28">
        <v>-15.724363464566389</v>
      </c>
      <c r="F396">
        <v>335</v>
      </c>
      <c r="G396" s="28">
        <v>766.1926127697302</v>
      </c>
    </row>
    <row r="397" spans="2:7" x14ac:dyDescent="0.3">
      <c r="B397">
        <v>336</v>
      </c>
      <c r="C397" s="28">
        <v>1323.0800301654608</v>
      </c>
      <c r="D397">
        <v>336</v>
      </c>
      <c r="E397" s="28">
        <v>19.461644340694427</v>
      </c>
      <c r="F397">
        <v>336</v>
      </c>
      <c r="G397" s="28">
        <v>616.45272929209398</v>
      </c>
    </row>
    <row r="398" spans="2:7" x14ac:dyDescent="0.3">
      <c r="B398">
        <v>337</v>
      </c>
      <c r="C398" s="28">
        <v>1289.5681811232639</v>
      </c>
      <c r="D398">
        <v>337</v>
      </c>
      <c r="E398" s="28">
        <v>-29.479001153379023</v>
      </c>
      <c r="F398">
        <v>337</v>
      </c>
      <c r="G398" s="28">
        <v>808.38369760989087</v>
      </c>
    </row>
    <row r="399" spans="2:7" x14ac:dyDescent="0.3">
      <c r="B399">
        <v>338</v>
      </c>
      <c r="C399" s="28">
        <v>1009.5493171553074</v>
      </c>
      <c r="D399">
        <v>338</v>
      </c>
      <c r="E399" s="28">
        <v>8.7969020303172876</v>
      </c>
      <c r="F399">
        <v>338</v>
      </c>
      <c r="G399" s="28">
        <v>793.20576596469812</v>
      </c>
    </row>
    <row r="400" spans="2:7" x14ac:dyDescent="0.3">
      <c r="B400">
        <v>339</v>
      </c>
      <c r="C400" s="28">
        <v>1338.0482847900396</v>
      </c>
      <c r="D400">
        <v>339</v>
      </c>
      <c r="E400" s="28">
        <v>5.7244885546478681</v>
      </c>
      <c r="F400">
        <v>339</v>
      </c>
      <c r="G400" s="28">
        <v>973.48367512225491</v>
      </c>
    </row>
    <row r="401" spans="2:7" x14ac:dyDescent="0.3">
      <c r="B401">
        <v>340</v>
      </c>
      <c r="C401" s="28">
        <v>1024.5356254379853</v>
      </c>
      <c r="D401">
        <v>340</v>
      </c>
      <c r="E401" s="28">
        <v>-19.289979859118624</v>
      </c>
      <c r="F401">
        <v>340</v>
      </c>
      <c r="G401" s="28">
        <v>905.77259965694373</v>
      </c>
    </row>
    <row r="402" spans="2:7" x14ac:dyDescent="0.3">
      <c r="B402">
        <v>341</v>
      </c>
      <c r="C402" s="28">
        <v>933.23378335613347</v>
      </c>
      <c r="D402">
        <v>341</v>
      </c>
      <c r="E402" s="28">
        <v>15.12325026282474</v>
      </c>
      <c r="F402">
        <v>341</v>
      </c>
      <c r="G402" s="28">
        <v>1192.3424178789908</v>
      </c>
    </row>
    <row r="403" spans="2:7" x14ac:dyDescent="0.3">
      <c r="B403">
        <v>342</v>
      </c>
      <c r="C403" s="28">
        <v>1028.4500477002298</v>
      </c>
      <c r="D403">
        <v>342</v>
      </c>
      <c r="E403" s="28">
        <v>3.1914963236668656</v>
      </c>
      <c r="F403">
        <v>342</v>
      </c>
      <c r="G403" s="28">
        <v>937.09332258928703</v>
      </c>
    </row>
    <row r="404" spans="2:7" x14ac:dyDescent="0.3">
      <c r="B404">
        <v>343</v>
      </c>
      <c r="C404" s="28">
        <v>1365.0913900175553</v>
      </c>
      <c r="D404">
        <v>343</v>
      </c>
      <c r="E404" s="28">
        <v>-6.186598033326284</v>
      </c>
      <c r="F404">
        <v>343</v>
      </c>
      <c r="G404" s="28">
        <v>1007.1940480000123</v>
      </c>
    </row>
    <row r="405" spans="2:7" x14ac:dyDescent="0.3">
      <c r="B405">
        <v>344</v>
      </c>
      <c r="C405" s="28">
        <v>1135.494101467832</v>
      </c>
      <c r="D405">
        <v>344</v>
      </c>
      <c r="E405" s="28">
        <v>-8.3477743279622452</v>
      </c>
      <c r="F405">
        <v>344</v>
      </c>
      <c r="G405" s="28">
        <v>794.53169294733937</v>
      </c>
    </row>
    <row r="406" spans="2:7" x14ac:dyDescent="0.3">
      <c r="B406">
        <v>345</v>
      </c>
      <c r="C406" s="28">
        <v>800.9533417649061</v>
      </c>
      <c r="D406">
        <v>345</v>
      </c>
      <c r="E406" s="28">
        <v>-41.296252295134572</v>
      </c>
      <c r="F406">
        <v>345</v>
      </c>
      <c r="G406" s="28">
        <v>1237.0231870272059</v>
      </c>
    </row>
    <row r="407" spans="2:7" x14ac:dyDescent="0.3">
      <c r="B407">
        <v>346</v>
      </c>
      <c r="C407" s="28">
        <v>1197.2066903459097</v>
      </c>
      <c r="D407">
        <v>346</v>
      </c>
      <c r="E407" s="28">
        <v>12.256265109255889</v>
      </c>
      <c r="F407">
        <v>346</v>
      </c>
      <c r="G407" s="28">
        <v>381.74769258406582</v>
      </c>
    </row>
    <row r="408" spans="2:7" x14ac:dyDescent="0.3">
      <c r="B408">
        <v>347</v>
      </c>
      <c r="C408" s="28">
        <v>828.04015127668731</v>
      </c>
      <c r="D408">
        <v>347</v>
      </c>
      <c r="E408" s="28">
        <v>-53.110021707305634</v>
      </c>
      <c r="F408">
        <v>347</v>
      </c>
      <c r="G408" s="28">
        <v>1591.2260355621315</v>
      </c>
    </row>
    <row r="409" spans="2:7" x14ac:dyDescent="0.3">
      <c r="B409">
        <v>348</v>
      </c>
      <c r="C409" s="28">
        <v>1018.4055639727367</v>
      </c>
      <c r="D409">
        <v>348</v>
      </c>
      <c r="E409" s="28">
        <v>67.210807390084682</v>
      </c>
      <c r="F409">
        <v>348</v>
      </c>
      <c r="G409" s="28">
        <v>1025.8801540507154</v>
      </c>
    </row>
    <row r="410" spans="2:7" x14ac:dyDescent="0.3">
      <c r="B410">
        <v>349</v>
      </c>
      <c r="C410" s="28">
        <v>1087.5857671621002</v>
      </c>
      <c r="D410">
        <v>349</v>
      </c>
      <c r="E410" s="28">
        <v>9.7057882415468963</v>
      </c>
      <c r="F410">
        <v>349</v>
      </c>
      <c r="G410" s="28">
        <v>643.32711090111729</v>
      </c>
    </row>
    <row r="411" spans="2:7" x14ac:dyDescent="0.3">
      <c r="B411">
        <v>350</v>
      </c>
      <c r="C411" s="28">
        <v>1020.9876313394591</v>
      </c>
      <c r="D411">
        <v>350</v>
      </c>
      <c r="E411" s="28">
        <v>53.373762698501608</v>
      </c>
      <c r="F411">
        <v>350</v>
      </c>
      <c r="G411" s="28">
        <v>670.49505969033203</v>
      </c>
    </row>
    <row r="412" spans="2:7" x14ac:dyDescent="0.3">
      <c r="B412">
        <v>351</v>
      </c>
      <c r="C412" s="28">
        <v>849.2801418934996</v>
      </c>
      <c r="D412">
        <v>351</v>
      </c>
      <c r="E412" s="28">
        <v>10.182763594833032</v>
      </c>
      <c r="F412">
        <v>351</v>
      </c>
      <c r="G412" s="28">
        <v>379.52875347539526</v>
      </c>
    </row>
    <row r="413" spans="2:7" x14ac:dyDescent="0.3">
      <c r="B413">
        <v>352</v>
      </c>
      <c r="C413" s="28">
        <v>861.94925347973208</v>
      </c>
      <c r="D413">
        <v>352</v>
      </c>
      <c r="E413" s="28">
        <v>-5.4900490857163433</v>
      </c>
      <c r="F413">
        <v>352</v>
      </c>
      <c r="G413" s="28">
        <v>939.07783410450759</v>
      </c>
    </row>
    <row r="414" spans="2:7" x14ac:dyDescent="0.3">
      <c r="B414">
        <v>353</v>
      </c>
      <c r="C414" s="28">
        <v>1021.8761287778941</v>
      </c>
      <c r="D414">
        <v>353</v>
      </c>
      <c r="E414" s="28">
        <v>19.416658454710706</v>
      </c>
      <c r="F414">
        <v>353</v>
      </c>
      <c r="G414" s="28">
        <v>986.84792629566675</v>
      </c>
    </row>
    <row r="415" spans="2:7" x14ac:dyDescent="0.3">
      <c r="B415">
        <v>354</v>
      </c>
      <c r="C415" s="28">
        <v>615.98513190658821</v>
      </c>
      <c r="D415">
        <v>354</v>
      </c>
      <c r="E415" s="28">
        <v>-23.187075687013145</v>
      </c>
      <c r="F415">
        <v>354</v>
      </c>
      <c r="G415" s="28">
        <v>792.18598718794613</v>
      </c>
    </row>
    <row r="416" spans="2:7" x14ac:dyDescent="0.3">
      <c r="B416">
        <v>355</v>
      </c>
      <c r="C416" s="28">
        <v>1163.6554847862321</v>
      </c>
      <c r="D416">
        <v>355</v>
      </c>
      <c r="E416" s="28">
        <v>7.7614684429864509</v>
      </c>
      <c r="F416">
        <v>355</v>
      </c>
      <c r="G416" s="28">
        <v>1220.7290620850563</v>
      </c>
    </row>
    <row r="417" spans="2:7" x14ac:dyDescent="0.3">
      <c r="B417">
        <v>356</v>
      </c>
      <c r="C417" s="28">
        <v>666.86041071286024</v>
      </c>
      <c r="D417">
        <v>356</v>
      </c>
      <c r="E417" s="28">
        <v>-40.452268990503391</v>
      </c>
      <c r="F417">
        <v>356</v>
      </c>
      <c r="G417" s="28">
        <v>720.46421307314108</v>
      </c>
    </row>
    <row r="418" spans="2:7" x14ac:dyDescent="0.3">
      <c r="B418">
        <v>357</v>
      </c>
      <c r="C418" s="28">
        <v>1078.9814193767838</v>
      </c>
      <c r="D418">
        <v>357</v>
      </c>
      <c r="E418" s="28">
        <v>5.7959198574351323</v>
      </c>
      <c r="F418">
        <v>357</v>
      </c>
      <c r="G418" s="28">
        <v>1374.2105176505345</v>
      </c>
    </row>
    <row r="419" spans="2:7" x14ac:dyDescent="0.3">
      <c r="B419">
        <v>358</v>
      </c>
      <c r="C419" s="28">
        <v>1064.4908302998358</v>
      </c>
      <c r="D419">
        <v>358</v>
      </c>
      <c r="E419" s="28">
        <v>16.278058616060022</v>
      </c>
      <c r="F419">
        <v>358</v>
      </c>
      <c r="G419" s="28">
        <v>738.35597399574806</v>
      </c>
    </row>
    <row r="420" spans="2:7" x14ac:dyDescent="0.3">
      <c r="B420">
        <v>359</v>
      </c>
      <c r="C420" s="28">
        <v>466.98755830065403</v>
      </c>
      <c r="D420">
        <v>359</v>
      </c>
      <c r="E420" s="28">
        <v>43.027001031603632</v>
      </c>
      <c r="F420">
        <v>359</v>
      </c>
      <c r="G420" s="28">
        <v>1423.7334309191194</v>
      </c>
    </row>
    <row r="421" spans="2:7" x14ac:dyDescent="0.3">
      <c r="B421">
        <v>360</v>
      </c>
      <c r="C421" s="28">
        <v>447.30438146603137</v>
      </c>
      <c r="D421">
        <v>360</v>
      </c>
      <c r="E421" s="28">
        <v>-6.8606412759091224</v>
      </c>
      <c r="F421">
        <v>360</v>
      </c>
      <c r="G421" s="28">
        <v>585.75629645901518</v>
      </c>
    </row>
    <row r="422" spans="2:7" x14ac:dyDescent="0.3">
      <c r="B422">
        <v>361</v>
      </c>
      <c r="C422" s="28">
        <v>955.79903234830579</v>
      </c>
      <c r="D422">
        <v>361</v>
      </c>
      <c r="E422" s="28">
        <v>1.8780514360899065</v>
      </c>
      <c r="F422">
        <v>361</v>
      </c>
      <c r="G422" s="28">
        <v>537.19789456918181</v>
      </c>
    </row>
    <row r="423" spans="2:7" x14ac:dyDescent="0.3">
      <c r="B423">
        <v>362</v>
      </c>
      <c r="C423" s="28">
        <v>819.6639358441455</v>
      </c>
      <c r="D423">
        <v>362</v>
      </c>
      <c r="E423" s="28">
        <v>6.7393176198904472</v>
      </c>
      <c r="F423">
        <v>362</v>
      </c>
      <c r="G423" s="28">
        <v>993.62822183131573</v>
      </c>
    </row>
    <row r="424" spans="2:7" x14ac:dyDescent="0.3">
      <c r="B424">
        <v>363</v>
      </c>
      <c r="C424" s="28">
        <v>1202.7141570801439</v>
      </c>
      <c r="D424">
        <v>363</v>
      </c>
      <c r="E424" s="28">
        <v>0.1783875567163003</v>
      </c>
      <c r="F424">
        <v>363</v>
      </c>
      <c r="G424" s="28">
        <v>1220.219635658083</v>
      </c>
    </row>
    <row r="425" spans="2:7" x14ac:dyDescent="0.3">
      <c r="B425">
        <v>364</v>
      </c>
      <c r="C425" s="28">
        <v>574.37857745775079</v>
      </c>
      <c r="D425">
        <v>364</v>
      </c>
      <c r="E425" s="28">
        <v>-19.278399137614365</v>
      </c>
      <c r="F425">
        <v>364</v>
      </c>
      <c r="G425" s="28">
        <v>558.13548128685113</v>
      </c>
    </row>
    <row r="426" spans="2:7" x14ac:dyDescent="0.3">
      <c r="B426">
        <v>365</v>
      </c>
      <c r="C426" s="28">
        <v>1300.9569694453908</v>
      </c>
      <c r="D426">
        <v>365</v>
      </c>
      <c r="E426" s="28">
        <v>4.292491514844972</v>
      </c>
      <c r="F426">
        <v>365</v>
      </c>
      <c r="G426" s="28">
        <v>741.3822207496487</v>
      </c>
    </row>
    <row r="427" spans="2:7" x14ac:dyDescent="0.3">
      <c r="B427">
        <v>366</v>
      </c>
      <c r="C427" s="28">
        <v>882.98367019517536</v>
      </c>
      <c r="D427">
        <v>366</v>
      </c>
      <c r="E427" s="28">
        <v>5.8525514341258766</v>
      </c>
      <c r="F427">
        <v>366</v>
      </c>
      <c r="G427" s="28">
        <v>838.62365324909001</v>
      </c>
    </row>
    <row r="428" spans="2:7" x14ac:dyDescent="0.3">
      <c r="B428">
        <v>367</v>
      </c>
      <c r="C428" s="28">
        <v>1092.3992568525314</v>
      </c>
      <c r="D428">
        <v>367</v>
      </c>
      <c r="E428" s="28">
        <v>5.3896802913419153</v>
      </c>
      <c r="F428">
        <v>367</v>
      </c>
      <c r="G428" s="28">
        <v>1331.7685637584784</v>
      </c>
    </row>
    <row r="429" spans="2:7" x14ac:dyDescent="0.3">
      <c r="B429">
        <v>368</v>
      </c>
      <c r="C429" s="28">
        <v>660.53669304319021</v>
      </c>
      <c r="D429">
        <v>368</v>
      </c>
      <c r="E429" s="28">
        <v>-35.847622460230809</v>
      </c>
      <c r="F429">
        <v>368</v>
      </c>
      <c r="G429" s="28">
        <v>847.52264923912207</v>
      </c>
    </row>
    <row r="430" spans="2:7" x14ac:dyDescent="0.3">
      <c r="B430">
        <v>369</v>
      </c>
      <c r="C430" s="28">
        <v>655.9631809184358</v>
      </c>
      <c r="D430">
        <v>369</v>
      </c>
      <c r="E430" s="28">
        <v>-1.2182406903864611</v>
      </c>
      <c r="F430">
        <v>369</v>
      </c>
      <c r="G430" s="28">
        <v>514.16208724656906</v>
      </c>
    </row>
    <row r="431" spans="2:7" x14ac:dyDescent="0.3">
      <c r="B431">
        <v>370</v>
      </c>
      <c r="C431" s="28">
        <v>1171.5297441109556</v>
      </c>
      <c r="D431">
        <v>370</v>
      </c>
      <c r="E431" s="28">
        <v>-27.961471151506299</v>
      </c>
      <c r="F431">
        <v>370</v>
      </c>
      <c r="G431" s="28">
        <v>1206.7967954722722</v>
      </c>
    </row>
    <row r="432" spans="2:7" x14ac:dyDescent="0.3">
      <c r="B432">
        <v>371</v>
      </c>
      <c r="C432" s="28">
        <v>1028.1810708937849</v>
      </c>
      <c r="D432">
        <v>371</v>
      </c>
      <c r="E432" s="28">
        <v>-6.2198111483859808</v>
      </c>
      <c r="F432">
        <v>371</v>
      </c>
      <c r="G432" s="28">
        <v>503.54736695477811</v>
      </c>
    </row>
    <row r="433" spans="2:7" x14ac:dyDescent="0.3">
      <c r="B433">
        <v>372</v>
      </c>
      <c r="C433" s="28">
        <v>409.78482941714356</v>
      </c>
      <c r="D433">
        <v>372</v>
      </c>
      <c r="E433" s="28">
        <v>33.606437257288192</v>
      </c>
      <c r="F433">
        <v>372</v>
      </c>
      <c r="G433" s="28">
        <v>868.37580430314608</v>
      </c>
    </row>
    <row r="434" spans="2:7" x14ac:dyDescent="0.3">
      <c r="B434">
        <v>373</v>
      </c>
      <c r="C434" s="28">
        <v>1342.0353602467367</v>
      </c>
      <c r="D434">
        <v>373</v>
      </c>
      <c r="E434" s="28">
        <v>66.176911869056369</v>
      </c>
      <c r="F434">
        <v>373</v>
      </c>
      <c r="G434" s="28">
        <v>666.36447965658499</v>
      </c>
    </row>
    <row r="435" spans="2:7" x14ac:dyDescent="0.3">
      <c r="B435">
        <v>374</v>
      </c>
      <c r="C435" s="28">
        <v>1143.9507541191172</v>
      </c>
      <c r="D435">
        <v>374</v>
      </c>
      <c r="E435" s="28">
        <v>64.387353730747051</v>
      </c>
      <c r="F435">
        <v>374</v>
      </c>
      <c r="G435" s="28">
        <v>913.4499537790349</v>
      </c>
    </row>
    <row r="436" spans="2:7" x14ac:dyDescent="0.3">
      <c r="B436">
        <v>375</v>
      </c>
      <c r="C436" s="28">
        <v>1199.4991275555824</v>
      </c>
      <c r="D436">
        <v>375</v>
      </c>
      <c r="E436" s="28">
        <v>-37.720299250096687</v>
      </c>
      <c r="F436">
        <v>375</v>
      </c>
      <c r="G436" s="28">
        <v>670.39969166213427</v>
      </c>
    </row>
    <row r="437" spans="2:7" x14ac:dyDescent="0.3">
      <c r="B437">
        <v>376</v>
      </c>
      <c r="C437" s="28">
        <v>1329.0518992608809</v>
      </c>
      <c r="D437">
        <v>376</v>
      </c>
      <c r="E437" s="28">
        <v>39.879276333369987</v>
      </c>
      <c r="F437">
        <v>376</v>
      </c>
      <c r="G437" s="28">
        <v>524.42343990546794</v>
      </c>
    </row>
    <row r="438" spans="2:7" x14ac:dyDescent="0.3">
      <c r="B438">
        <v>377</v>
      </c>
      <c r="C438" s="28">
        <v>959.63183414880552</v>
      </c>
      <c r="D438">
        <v>377</v>
      </c>
      <c r="E438" s="28">
        <v>-9.3117197994144583</v>
      </c>
      <c r="F438">
        <v>377</v>
      </c>
      <c r="G438" s="28">
        <v>1008.2249761061942</v>
      </c>
    </row>
    <row r="439" spans="2:7" x14ac:dyDescent="0.3">
      <c r="B439">
        <v>378</v>
      </c>
      <c r="C439" s="28">
        <v>1046.0096467069193</v>
      </c>
      <c r="D439">
        <v>378</v>
      </c>
      <c r="E439" s="28">
        <v>-5.2096189479323227</v>
      </c>
      <c r="F439">
        <v>378</v>
      </c>
      <c r="G439" s="28">
        <v>707.94868016118357</v>
      </c>
    </row>
    <row r="440" spans="2:7" x14ac:dyDescent="0.3">
      <c r="B440">
        <v>379</v>
      </c>
      <c r="C440" s="28">
        <v>763.77831887523985</v>
      </c>
      <c r="D440">
        <v>379</v>
      </c>
      <c r="E440" s="28">
        <v>16.118338996315789</v>
      </c>
      <c r="F440">
        <v>379</v>
      </c>
      <c r="G440" s="28">
        <v>624.89502594276928</v>
      </c>
    </row>
    <row r="441" spans="2:7" x14ac:dyDescent="0.3">
      <c r="B441">
        <v>380</v>
      </c>
      <c r="C441" s="28">
        <v>1130.4418539916471</v>
      </c>
      <c r="D441">
        <v>380</v>
      </c>
      <c r="E441" s="28">
        <v>-7.8008988706276883</v>
      </c>
      <c r="F441">
        <v>380</v>
      </c>
      <c r="G441" s="28">
        <v>706.78466267634099</v>
      </c>
    </row>
    <row r="442" spans="2:7" x14ac:dyDescent="0.3">
      <c r="B442">
        <v>381</v>
      </c>
      <c r="C442" s="28">
        <v>661.04020480018187</v>
      </c>
      <c r="D442">
        <v>381</v>
      </c>
      <c r="E442" s="28">
        <v>-48.864293901862503</v>
      </c>
      <c r="F442">
        <v>381</v>
      </c>
      <c r="G442" s="28">
        <v>777.87226105161881</v>
      </c>
    </row>
    <row r="443" spans="2:7" x14ac:dyDescent="0.3">
      <c r="B443">
        <v>382</v>
      </c>
      <c r="C443" s="28">
        <v>537.67817588001787</v>
      </c>
      <c r="D443">
        <v>382</v>
      </c>
      <c r="E443" s="28">
        <v>-10.60553629859862</v>
      </c>
      <c r="F443">
        <v>382</v>
      </c>
      <c r="G443" s="28">
        <v>720.4032543085159</v>
      </c>
    </row>
    <row r="444" spans="2:7" x14ac:dyDescent="0.3">
      <c r="B444">
        <v>383</v>
      </c>
      <c r="C444" s="28">
        <v>906.64487066412823</v>
      </c>
      <c r="D444">
        <v>383</v>
      </c>
      <c r="E444" s="28">
        <v>30.307432883283035</v>
      </c>
      <c r="F444">
        <v>383</v>
      </c>
      <c r="G444" s="28">
        <v>1338.732472102321</v>
      </c>
    </row>
    <row r="445" spans="2:7" x14ac:dyDescent="0.3">
      <c r="B445">
        <v>384</v>
      </c>
      <c r="C445" s="28">
        <v>1502.5415646600181</v>
      </c>
      <c r="D445">
        <v>384</v>
      </c>
      <c r="E445" s="28">
        <v>0.77247737646574832</v>
      </c>
      <c r="F445">
        <v>384</v>
      </c>
      <c r="G445" s="28">
        <v>870.41430115398884</v>
      </c>
    </row>
    <row r="446" spans="2:7" x14ac:dyDescent="0.3">
      <c r="B446">
        <v>385</v>
      </c>
      <c r="C446" s="28">
        <v>522.03845748150093</v>
      </c>
      <c r="D446">
        <v>385</v>
      </c>
      <c r="E446" s="28">
        <v>37.386261790275768</v>
      </c>
      <c r="F446">
        <v>385</v>
      </c>
      <c r="G446" s="28">
        <v>970.24516760302072</v>
      </c>
    </row>
    <row r="447" spans="2:7" x14ac:dyDescent="0.3">
      <c r="B447">
        <v>386</v>
      </c>
      <c r="C447" s="28">
        <v>654.23545262686025</v>
      </c>
      <c r="D447">
        <v>386</v>
      </c>
      <c r="E447" s="28">
        <v>-3.5772530752698466</v>
      </c>
      <c r="F447">
        <v>386</v>
      </c>
      <c r="G447" s="28">
        <v>531.29556925692873</v>
      </c>
    </row>
    <row r="448" spans="2:7" x14ac:dyDescent="0.3">
      <c r="B448">
        <v>387</v>
      </c>
      <c r="C448" s="28">
        <v>1277.3287259760732</v>
      </c>
      <c r="D448">
        <v>387</v>
      </c>
      <c r="E448" s="28">
        <v>5.0767914321862913</v>
      </c>
      <c r="F448">
        <v>387</v>
      </c>
      <c r="G448" s="28">
        <v>1110.0849386205866</v>
      </c>
    </row>
    <row r="449" spans="2:7" x14ac:dyDescent="0.3">
      <c r="B449">
        <v>388</v>
      </c>
      <c r="C449" s="28">
        <v>540.76911180057414</v>
      </c>
      <c r="D449">
        <v>388</v>
      </c>
      <c r="E449" s="28">
        <v>25.803932042692214</v>
      </c>
      <c r="F449">
        <v>388</v>
      </c>
      <c r="G449" s="28">
        <v>1441.4804415540145</v>
      </c>
    </row>
    <row r="450" spans="2:7" x14ac:dyDescent="0.3">
      <c r="B450">
        <v>389</v>
      </c>
      <c r="C450" s="28">
        <v>893.06008696126196</v>
      </c>
      <c r="D450">
        <v>389</v>
      </c>
      <c r="E450" s="28">
        <v>-5.388021178924518</v>
      </c>
      <c r="F450">
        <v>389</v>
      </c>
      <c r="G450" s="28">
        <v>908.56472000465237</v>
      </c>
    </row>
    <row r="451" spans="2:7" x14ac:dyDescent="0.3">
      <c r="B451">
        <v>390</v>
      </c>
      <c r="C451" s="28">
        <v>1436.6096401119544</v>
      </c>
      <c r="D451">
        <v>390</v>
      </c>
      <c r="E451" s="28">
        <v>16.816571026901634</v>
      </c>
      <c r="F451">
        <v>390</v>
      </c>
      <c r="G451" s="28">
        <v>261.20498689246267</v>
      </c>
    </row>
    <row r="452" spans="2:7" x14ac:dyDescent="0.3">
      <c r="B452">
        <v>391</v>
      </c>
      <c r="C452" s="28">
        <v>535.69154580167526</v>
      </c>
      <c r="D452">
        <v>391</v>
      </c>
      <c r="E452" s="28">
        <v>-2.7878710200993515</v>
      </c>
      <c r="F452">
        <v>391</v>
      </c>
      <c r="G452" s="28">
        <v>1428.5853117630054</v>
      </c>
    </row>
    <row r="453" spans="2:7" x14ac:dyDescent="0.3">
      <c r="B453">
        <v>392</v>
      </c>
      <c r="C453" s="28">
        <v>1090.6287923988407</v>
      </c>
      <c r="D453">
        <v>392</v>
      </c>
      <c r="E453" s="28">
        <v>50.283628094363507</v>
      </c>
      <c r="F453">
        <v>392</v>
      </c>
      <c r="G453" s="28">
        <v>1216.7962055330806</v>
      </c>
    </row>
    <row r="454" spans="2:7" x14ac:dyDescent="0.3">
      <c r="B454">
        <v>393</v>
      </c>
      <c r="C454" s="28">
        <v>854.43223223549899</v>
      </c>
      <c r="D454">
        <v>393</v>
      </c>
      <c r="E454" s="28">
        <v>-38.162468831530823</v>
      </c>
      <c r="F454">
        <v>393</v>
      </c>
      <c r="G454" s="28">
        <v>886.58511968702419</v>
      </c>
    </row>
    <row r="455" spans="2:7" x14ac:dyDescent="0.3">
      <c r="B455">
        <v>394</v>
      </c>
      <c r="C455" s="28">
        <v>937.36731248965862</v>
      </c>
      <c r="D455">
        <v>394</v>
      </c>
      <c r="E455" s="28">
        <v>63.057760866063475</v>
      </c>
      <c r="F455">
        <v>394</v>
      </c>
      <c r="G455" s="28">
        <v>947.03665828692169</v>
      </c>
    </row>
    <row r="456" spans="2:7" x14ac:dyDescent="0.3">
      <c r="B456">
        <v>395</v>
      </c>
      <c r="C456" s="28">
        <v>787.90207586740041</v>
      </c>
      <c r="D456">
        <v>395</v>
      </c>
      <c r="E456" s="28">
        <v>33.819482467993744</v>
      </c>
      <c r="F456">
        <v>395</v>
      </c>
      <c r="G456" s="28">
        <v>873.39427148443372</v>
      </c>
    </row>
    <row r="457" spans="2:7" x14ac:dyDescent="0.3">
      <c r="B457">
        <v>396</v>
      </c>
      <c r="C457" s="28">
        <v>795.20283808142392</v>
      </c>
      <c r="D457">
        <v>396</v>
      </c>
      <c r="E457" s="28">
        <v>65.944029974697173</v>
      </c>
      <c r="F457">
        <v>396</v>
      </c>
      <c r="G457" s="28">
        <v>1038.2232552842268</v>
      </c>
    </row>
    <row r="458" spans="2:7" x14ac:dyDescent="0.3">
      <c r="B458">
        <v>397</v>
      </c>
      <c r="C458" s="28">
        <v>681.74782657672188</v>
      </c>
      <c r="D458">
        <v>397</v>
      </c>
      <c r="E458" s="28">
        <v>20.710909770442523</v>
      </c>
      <c r="F458">
        <v>397</v>
      </c>
      <c r="G458" s="28">
        <v>1430.4174377080876</v>
      </c>
    </row>
    <row r="459" spans="2:7" x14ac:dyDescent="0.3">
      <c r="B459">
        <v>398</v>
      </c>
      <c r="C459" s="28">
        <v>553.55937288238579</v>
      </c>
      <c r="D459">
        <v>398</v>
      </c>
      <c r="E459" s="28">
        <v>-44.554962912578276</v>
      </c>
      <c r="F459">
        <v>398</v>
      </c>
      <c r="G459" s="28">
        <v>558.31244633399569</v>
      </c>
    </row>
    <row r="460" spans="2:7" x14ac:dyDescent="0.3">
      <c r="B460">
        <v>399</v>
      </c>
      <c r="C460" s="28">
        <v>378.93399126888204</v>
      </c>
      <c r="D460">
        <v>399</v>
      </c>
      <c r="E460" s="28">
        <v>-16.183638238967529</v>
      </c>
      <c r="F460">
        <v>399</v>
      </c>
      <c r="G460" s="28">
        <v>1213.7272676851705</v>
      </c>
    </row>
    <row r="461" spans="2:7" x14ac:dyDescent="0.3">
      <c r="B461">
        <v>400</v>
      </c>
      <c r="C461" s="28">
        <v>1532.2261507128828</v>
      </c>
      <c r="D461">
        <v>400</v>
      </c>
      <c r="E461" s="28">
        <v>-0.26982986288458705</v>
      </c>
      <c r="F461">
        <v>400</v>
      </c>
      <c r="G461" s="28">
        <v>1061.2475749204827</v>
      </c>
    </row>
    <row r="462" spans="2:7" x14ac:dyDescent="0.3">
      <c r="B462">
        <v>401</v>
      </c>
      <c r="C462" s="28">
        <v>1066.4151170401094</v>
      </c>
      <c r="D462">
        <v>401</v>
      </c>
      <c r="E462" s="28">
        <v>20.093154549260724</v>
      </c>
      <c r="F462">
        <v>401</v>
      </c>
      <c r="G462" s="28">
        <v>1033.1437923930685</v>
      </c>
    </row>
    <row r="463" spans="2:7" x14ac:dyDescent="0.3">
      <c r="B463">
        <v>402</v>
      </c>
      <c r="C463" s="28">
        <v>678.5607720806313</v>
      </c>
      <c r="D463">
        <v>402</v>
      </c>
      <c r="E463" s="28">
        <v>-28.724770633051502</v>
      </c>
      <c r="F463">
        <v>402</v>
      </c>
      <c r="G463" s="28">
        <v>1004.543722173479</v>
      </c>
    </row>
    <row r="464" spans="2:7" x14ac:dyDescent="0.3">
      <c r="B464">
        <v>403</v>
      </c>
      <c r="C464" s="28">
        <v>1021.7135414195172</v>
      </c>
      <c r="D464">
        <v>403</v>
      </c>
      <c r="E464" s="28">
        <v>-2.4778383431650655</v>
      </c>
      <c r="F464">
        <v>403</v>
      </c>
      <c r="G464" s="28">
        <v>957.59092999757979</v>
      </c>
    </row>
    <row r="465" spans="2:7" x14ac:dyDescent="0.3">
      <c r="B465">
        <v>404</v>
      </c>
      <c r="C465" s="28">
        <v>1164.3073131775345</v>
      </c>
      <c r="D465">
        <v>404</v>
      </c>
      <c r="E465" s="28">
        <v>-30.305822996591708</v>
      </c>
      <c r="F465">
        <v>404</v>
      </c>
      <c r="G465" s="28">
        <v>1164.0044255669682</v>
      </c>
    </row>
    <row r="466" spans="2:7" x14ac:dyDescent="0.3">
      <c r="B466">
        <v>405</v>
      </c>
      <c r="C466" s="28">
        <v>650.3164480372169</v>
      </c>
      <c r="D466">
        <v>405</v>
      </c>
      <c r="E466" s="28">
        <v>19.07464059714907</v>
      </c>
      <c r="F466">
        <v>405</v>
      </c>
      <c r="G466" s="28">
        <v>897.37273278434952</v>
      </c>
    </row>
    <row r="467" spans="2:7" x14ac:dyDescent="0.3">
      <c r="B467">
        <v>406</v>
      </c>
      <c r="C467" s="28">
        <v>483.98645089156327</v>
      </c>
      <c r="D467">
        <v>406</v>
      </c>
      <c r="E467" s="28">
        <v>-51.820177574479793</v>
      </c>
      <c r="F467">
        <v>406</v>
      </c>
      <c r="G467" s="28">
        <v>830.86920386116924</v>
      </c>
    </row>
    <row r="468" spans="2:7" x14ac:dyDescent="0.3">
      <c r="B468">
        <v>407</v>
      </c>
      <c r="C468" s="28">
        <v>1130.1869700694592</v>
      </c>
      <c r="D468">
        <v>407</v>
      </c>
      <c r="E468" s="28">
        <v>17.181326141803172</v>
      </c>
      <c r="F468">
        <v>407</v>
      </c>
      <c r="G468" s="28">
        <v>524.71784165093436</v>
      </c>
    </row>
    <row r="469" spans="2:7" x14ac:dyDescent="0.3">
      <c r="B469">
        <v>408</v>
      </c>
      <c r="C469" s="28">
        <v>1415.3824087324215</v>
      </c>
      <c r="D469">
        <v>408</v>
      </c>
      <c r="E469" s="28">
        <v>-26.08892165064816</v>
      </c>
      <c r="F469">
        <v>408</v>
      </c>
      <c r="G469" s="28">
        <v>791.93850380483934</v>
      </c>
    </row>
    <row r="470" spans="2:7" x14ac:dyDescent="0.3">
      <c r="B470">
        <v>409</v>
      </c>
      <c r="C470" s="28">
        <v>13.014600527460425</v>
      </c>
      <c r="D470">
        <v>409</v>
      </c>
      <c r="E470" s="28">
        <v>-42.283051970960976</v>
      </c>
      <c r="F470">
        <v>409</v>
      </c>
      <c r="G470" s="28">
        <v>361.41116082450725</v>
      </c>
    </row>
    <row r="471" spans="2:7" x14ac:dyDescent="0.3">
      <c r="B471">
        <v>410</v>
      </c>
      <c r="C471" s="28">
        <v>834.76974853969875</v>
      </c>
      <c r="D471">
        <v>410</v>
      </c>
      <c r="E471" s="28">
        <v>-39.501056155906006</v>
      </c>
      <c r="F471">
        <v>410</v>
      </c>
      <c r="G471" s="28">
        <v>971.12289907051104</v>
      </c>
    </row>
    <row r="472" spans="2:7" x14ac:dyDescent="0.3">
      <c r="B472">
        <v>411</v>
      </c>
      <c r="C472" s="28">
        <v>1449.0753021782043</v>
      </c>
      <c r="D472">
        <v>411</v>
      </c>
      <c r="E472" s="28">
        <v>20.595379192937227</v>
      </c>
      <c r="F472">
        <v>411</v>
      </c>
      <c r="G472" s="28">
        <v>550.66398048639689</v>
      </c>
    </row>
    <row r="473" spans="2:7" x14ac:dyDescent="0.3">
      <c r="B473">
        <v>412</v>
      </c>
      <c r="C473" s="28">
        <v>1007.2931189039131</v>
      </c>
      <c r="D473">
        <v>412</v>
      </c>
      <c r="E473" s="28">
        <v>29.875096302463334</v>
      </c>
      <c r="F473">
        <v>412</v>
      </c>
      <c r="G473" s="28">
        <v>697.67946187089831</v>
      </c>
    </row>
    <row r="474" spans="2:7" x14ac:dyDescent="0.3">
      <c r="B474">
        <v>413</v>
      </c>
      <c r="C474" s="28">
        <v>815.65687094760301</v>
      </c>
      <c r="D474">
        <v>413</v>
      </c>
      <c r="E474" s="28">
        <v>-17.892159065494965</v>
      </c>
      <c r="F474">
        <v>413</v>
      </c>
      <c r="G474" s="28">
        <v>1210.1672503687382</v>
      </c>
    </row>
    <row r="475" spans="2:7" x14ac:dyDescent="0.3">
      <c r="B475">
        <v>414</v>
      </c>
      <c r="C475" s="28">
        <v>802.27879339498736</v>
      </c>
      <c r="D475">
        <v>414</v>
      </c>
      <c r="E475" s="28">
        <v>-10.688368869960453</v>
      </c>
      <c r="F475">
        <v>414</v>
      </c>
      <c r="G475" s="28">
        <v>694.23422602878691</v>
      </c>
    </row>
    <row r="476" spans="2:7" x14ac:dyDescent="0.3">
      <c r="B476">
        <v>415</v>
      </c>
      <c r="C476" s="28">
        <v>978.63385944607523</v>
      </c>
      <c r="D476">
        <v>415</v>
      </c>
      <c r="E476" s="28">
        <v>26.197384134754067</v>
      </c>
      <c r="F476">
        <v>415</v>
      </c>
      <c r="G476" s="28">
        <v>1117.6554975075346</v>
      </c>
    </row>
    <row r="477" spans="2:7" x14ac:dyDescent="0.3">
      <c r="B477">
        <v>416</v>
      </c>
      <c r="C477" s="28">
        <v>788.56016792085143</v>
      </c>
      <c r="D477">
        <v>416</v>
      </c>
      <c r="E477" s="28">
        <v>23.039666021620739</v>
      </c>
      <c r="F477">
        <v>416</v>
      </c>
      <c r="G477" s="28">
        <v>1157.9313836367405</v>
      </c>
    </row>
    <row r="478" spans="2:7" x14ac:dyDescent="0.3">
      <c r="B478">
        <v>417</v>
      </c>
      <c r="C478" s="28">
        <v>623.47569432094224</v>
      </c>
      <c r="D478">
        <v>417</v>
      </c>
      <c r="E478" s="28">
        <v>66.460774178304661</v>
      </c>
      <c r="F478">
        <v>417</v>
      </c>
      <c r="G478" s="28">
        <v>723.64404073504795</v>
      </c>
    </row>
    <row r="479" spans="2:7" x14ac:dyDescent="0.3">
      <c r="B479">
        <v>418</v>
      </c>
      <c r="C479" s="28">
        <v>963.84980793223554</v>
      </c>
      <c r="D479">
        <v>418</v>
      </c>
      <c r="E479" s="28">
        <v>34.467374152564545</v>
      </c>
      <c r="F479">
        <v>418</v>
      </c>
      <c r="G479" s="28">
        <v>511.61614981491073</v>
      </c>
    </row>
    <row r="480" spans="2:7" x14ac:dyDescent="0.3">
      <c r="B480">
        <v>419</v>
      </c>
      <c r="C480" s="28">
        <v>1365.2807722171322</v>
      </c>
      <c r="D480">
        <v>419</v>
      </c>
      <c r="E480" s="28">
        <v>-26.537879796246862</v>
      </c>
      <c r="F480">
        <v>419</v>
      </c>
      <c r="G480" s="28">
        <v>1129.0444691016187</v>
      </c>
    </row>
    <row r="481" spans="2:7" x14ac:dyDescent="0.3">
      <c r="B481">
        <v>420</v>
      </c>
      <c r="C481" s="28">
        <v>1012.6365328481285</v>
      </c>
      <c r="D481">
        <v>420</v>
      </c>
      <c r="E481" s="28">
        <v>8.9235752147094747</v>
      </c>
      <c r="F481">
        <v>420</v>
      </c>
      <c r="G481" s="28">
        <v>1213.2792236048465</v>
      </c>
    </row>
    <row r="482" spans="2:7" x14ac:dyDescent="0.3">
      <c r="B482">
        <v>421</v>
      </c>
      <c r="C482" s="28">
        <v>1167.730865536661</v>
      </c>
      <c r="D482">
        <v>421</v>
      </c>
      <c r="E482" s="28">
        <v>17.622167299661832</v>
      </c>
      <c r="F482">
        <v>421</v>
      </c>
      <c r="G482" s="28">
        <v>907.0452471600305</v>
      </c>
    </row>
    <row r="483" spans="2:7" x14ac:dyDescent="0.3">
      <c r="B483">
        <v>422</v>
      </c>
      <c r="C483" s="28">
        <v>399.88352379767844</v>
      </c>
      <c r="D483">
        <v>422</v>
      </c>
      <c r="E483" s="28">
        <v>-15.896982393529072</v>
      </c>
      <c r="F483">
        <v>422</v>
      </c>
      <c r="G483" s="28">
        <v>1090.2449187025024</v>
      </c>
    </row>
    <row r="484" spans="2:7" x14ac:dyDescent="0.3">
      <c r="B484">
        <v>423</v>
      </c>
      <c r="C484" s="28">
        <v>686.46089564034878</v>
      </c>
      <c r="D484">
        <v>423</v>
      </c>
      <c r="E484" s="28">
        <v>-35.213972187189711</v>
      </c>
      <c r="F484">
        <v>423</v>
      </c>
      <c r="G484" s="28">
        <v>1269.0328959532535</v>
      </c>
    </row>
    <row r="485" spans="2:7" x14ac:dyDescent="0.3">
      <c r="B485">
        <v>424</v>
      </c>
      <c r="C485" s="28">
        <v>775.53058317016325</v>
      </c>
      <c r="D485">
        <v>424</v>
      </c>
      <c r="E485" s="28">
        <v>34.196761133577013</v>
      </c>
      <c r="F485">
        <v>424</v>
      </c>
      <c r="G485" s="28">
        <v>1057.5599867573269</v>
      </c>
    </row>
    <row r="486" spans="2:7" x14ac:dyDescent="0.3">
      <c r="B486">
        <v>425</v>
      </c>
      <c r="C486" s="28">
        <v>1132.8923875395262</v>
      </c>
      <c r="D486">
        <v>425</v>
      </c>
      <c r="E486" s="28">
        <v>-24.158715123382656</v>
      </c>
      <c r="F486">
        <v>425</v>
      </c>
      <c r="G486" s="28">
        <v>1013.0681567784359</v>
      </c>
    </row>
    <row r="487" spans="2:7" x14ac:dyDescent="0.3">
      <c r="B487">
        <v>426</v>
      </c>
      <c r="C487" s="28">
        <v>706.40069265631951</v>
      </c>
      <c r="D487">
        <v>426</v>
      </c>
      <c r="E487" s="28">
        <v>-16.689321461964823</v>
      </c>
      <c r="F487">
        <v>426</v>
      </c>
      <c r="G487" s="28">
        <v>642.98744922770868</v>
      </c>
    </row>
    <row r="488" spans="2:7" x14ac:dyDescent="0.3">
      <c r="B488">
        <v>427</v>
      </c>
      <c r="C488" s="28">
        <v>658.2895410648299</v>
      </c>
      <c r="D488">
        <v>427</v>
      </c>
      <c r="E488" s="28">
        <v>37.090724384013377</v>
      </c>
      <c r="F488">
        <v>427</v>
      </c>
      <c r="G488" s="28">
        <v>608.99802033157994</v>
      </c>
    </row>
    <row r="489" spans="2:7" x14ac:dyDescent="0.3">
      <c r="B489">
        <v>428</v>
      </c>
      <c r="C489" s="28">
        <v>1142.9084193687504</v>
      </c>
      <c r="D489">
        <v>428</v>
      </c>
      <c r="E489" s="28">
        <v>53.255320357038308</v>
      </c>
      <c r="F489">
        <v>428</v>
      </c>
      <c r="G489" s="28">
        <v>1044.2739136076043</v>
      </c>
    </row>
    <row r="490" spans="2:7" x14ac:dyDescent="0.3">
      <c r="B490">
        <v>429</v>
      </c>
      <c r="C490" s="28">
        <v>860.71819781182114</v>
      </c>
      <c r="D490">
        <v>429</v>
      </c>
      <c r="E490" s="28">
        <v>4.3835119042520194</v>
      </c>
      <c r="F490">
        <v>429</v>
      </c>
      <c r="G490" s="28">
        <v>1055.6492753238153</v>
      </c>
    </row>
    <row r="491" spans="2:7" x14ac:dyDescent="0.3">
      <c r="B491">
        <v>430</v>
      </c>
      <c r="C491" s="28">
        <v>1162.6383740771903</v>
      </c>
      <c r="D491">
        <v>430</v>
      </c>
      <c r="E491" s="28">
        <v>-4.2485250346941914</v>
      </c>
      <c r="F491">
        <v>430</v>
      </c>
      <c r="G491" s="28">
        <v>1188.1108710229851</v>
      </c>
    </row>
    <row r="492" spans="2:7" x14ac:dyDescent="0.3">
      <c r="B492">
        <v>431</v>
      </c>
      <c r="C492" s="28">
        <v>661.47670994144687</v>
      </c>
      <c r="D492">
        <v>431</v>
      </c>
      <c r="E492" s="28">
        <v>-48.971837344854357</v>
      </c>
      <c r="F492">
        <v>431</v>
      </c>
      <c r="G492" s="28">
        <v>1488.0021734788777</v>
      </c>
    </row>
    <row r="493" spans="2:7" x14ac:dyDescent="0.3">
      <c r="B493">
        <v>432</v>
      </c>
      <c r="C493" s="28">
        <v>1075.1525170260688</v>
      </c>
      <c r="D493">
        <v>432</v>
      </c>
      <c r="E493" s="28">
        <v>2.2406339602499385</v>
      </c>
      <c r="F493">
        <v>432</v>
      </c>
      <c r="G493" s="28">
        <v>1028.407268813776</v>
      </c>
    </row>
    <row r="494" spans="2:7" x14ac:dyDescent="0.3">
      <c r="B494">
        <v>433</v>
      </c>
      <c r="C494" s="28">
        <v>786.46192095723541</v>
      </c>
      <c r="D494">
        <v>433</v>
      </c>
      <c r="E494" s="28">
        <v>54.596581364439984</v>
      </c>
      <c r="F494">
        <v>433</v>
      </c>
      <c r="G494" s="28">
        <v>509.07620132683758</v>
      </c>
    </row>
    <row r="495" spans="2:7" x14ac:dyDescent="0.3">
      <c r="B495">
        <v>434</v>
      </c>
      <c r="C495" s="28">
        <v>850.49601480970637</v>
      </c>
      <c r="D495">
        <v>434</v>
      </c>
      <c r="E495" s="28">
        <v>16.023434272389661</v>
      </c>
      <c r="F495">
        <v>434</v>
      </c>
      <c r="G495" s="28">
        <v>245.99456514472655</v>
      </c>
    </row>
    <row r="496" spans="2:7" x14ac:dyDescent="0.3">
      <c r="B496">
        <v>435</v>
      </c>
      <c r="C496" s="28">
        <v>1067.1346779781343</v>
      </c>
      <c r="D496">
        <v>435</v>
      </c>
      <c r="E496" s="28">
        <v>15.166949984330378</v>
      </c>
      <c r="F496">
        <v>435</v>
      </c>
      <c r="G496" s="28">
        <v>870.55815218710052</v>
      </c>
    </row>
    <row r="497" spans="2:7" x14ac:dyDescent="0.3">
      <c r="B497">
        <v>436</v>
      </c>
      <c r="C497" s="28">
        <v>597.27723687370042</v>
      </c>
      <c r="D497">
        <v>436</v>
      </c>
      <c r="E497" s="28">
        <v>14.533928157146928</v>
      </c>
      <c r="F497">
        <v>436</v>
      </c>
      <c r="G497" s="28">
        <v>660.55965905239827</v>
      </c>
    </row>
    <row r="498" spans="2:7" x14ac:dyDescent="0.3">
      <c r="B498">
        <v>437</v>
      </c>
      <c r="C498" s="28">
        <v>738.9669347178617</v>
      </c>
      <c r="D498">
        <v>437</v>
      </c>
      <c r="E498" s="28">
        <v>-17.815459064759967</v>
      </c>
      <c r="F498">
        <v>437</v>
      </c>
      <c r="G498" s="28">
        <v>980.01284712904851</v>
      </c>
    </row>
    <row r="499" spans="2:7" x14ac:dyDescent="0.3">
      <c r="B499">
        <v>438</v>
      </c>
      <c r="C499" s="28">
        <v>1747.2061030660657</v>
      </c>
      <c r="D499">
        <v>438</v>
      </c>
      <c r="E499" s="28">
        <v>54.2671077511284</v>
      </c>
      <c r="F499">
        <v>438</v>
      </c>
      <c r="G499" s="28">
        <v>988.4647620556525</v>
      </c>
    </row>
    <row r="500" spans="2:7" x14ac:dyDescent="0.3">
      <c r="B500">
        <v>439</v>
      </c>
      <c r="C500" s="28">
        <v>833.22082827742543</v>
      </c>
      <c r="D500">
        <v>439</v>
      </c>
      <c r="E500" s="28">
        <v>4.2849560361817618</v>
      </c>
      <c r="F500">
        <v>439</v>
      </c>
      <c r="G500" s="28">
        <v>728.55768569448867</v>
      </c>
    </row>
    <row r="501" spans="2:7" x14ac:dyDescent="0.3">
      <c r="B501">
        <v>440</v>
      </c>
      <c r="C501" s="28">
        <v>473.04713719377349</v>
      </c>
      <c r="D501">
        <v>440</v>
      </c>
      <c r="E501" s="28">
        <v>18.51194394127835</v>
      </c>
      <c r="F501">
        <v>440</v>
      </c>
      <c r="G501" s="28">
        <v>637.71261709053215</v>
      </c>
    </row>
    <row r="502" spans="2:7" x14ac:dyDescent="0.3">
      <c r="B502">
        <v>441</v>
      </c>
      <c r="C502" s="28">
        <v>1412.8776688395078</v>
      </c>
      <c r="D502">
        <v>441</v>
      </c>
      <c r="E502" s="28">
        <v>-5.3028946182347543</v>
      </c>
      <c r="F502">
        <v>441</v>
      </c>
      <c r="G502" s="28">
        <v>673.96630972370485</v>
      </c>
    </row>
    <row r="503" spans="2:7" x14ac:dyDescent="0.3">
      <c r="B503">
        <v>442</v>
      </c>
      <c r="C503" s="28">
        <v>1027.2087669932737</v>
      </c>
      <c r="D503">
        <v>442</v>
      </c>
      <c r="E503" s="28">
        <v>-1.6570458168991333</v>
      </c>
      <c r="F503">
        <v>442</v>
      </c>
      <c r="G503" s="28">
        <v>1083.5912505125107</v>
      </c>
    </row>
    <row r="504" spans="2:7" x14ac:dyDescent="0.3">
      <c r="B504">
        <v>443</v>
      </c>
      <c r="C504" s="28">
        <v>-167.24125401341666</v>
      </c>
      <c r="D504">
        <v>443</v>
      </c>
      <c r="E504" s="28">
        <v>0.58509011957525081</v>
      </c>
      <c r="F504">
        <v>443</v>
      </c>
      <c r="G504" s="28">
        <v>1088.889164283845</v>
      </c>
    </row>
    <row r="505" spans="2:7" x14ac:dyDescent="0.3">
      <c r="B505">
        <v>444</v>
      </c>
      <c r="C505" s="28">
        <v>1227.880740362928</v>
      </c>
      <c r="D505">
        <v>444</v>
      </c>
      <c r="E505" s="28">
        <v>9.6218924849150014</v>
      </c>
      <c r="F505">
        <v>444</v>
      </c>
      <c r="G505" s="28">
        <v>1388.1592462173571</v>
      </c>
    </row>
    <row r="506" spans="2:7" x14ac:dyDescent="0.3">
      <c r="B506">
        <v>445</v>
      </c>
      <c r="C506" s="28">
        <v>806.19488041733428</v>
      </c>
      <c r="D506">
        <v>445</v>
      </c>
      <c r="E506" s="28">
        <v>-26.365259957630144</v>
      </c>
      <c r="F506">
        <v>445</v>
      </c>
      <c r="G506" s="28">
        <v>850.18647599858173</v>
      </c>
    </row>
    <row r="507" spans="2:7" x14ac:dyDescent="0.3">
      <c r="B507">
        <v>446</v>
      </c>
      <c r="C507" s="28">
        <v>452.94441556304321</v>
      </c>
      <c r="D507">
        <v>446</v>
      </c>
      <c r="E507" s="28">
        <v>25.144276400562433</v>
      </c>
      <c r="F507">
        <v>446</v>
      </c>
      <c r="G507" s="28">
        <v>662.85541711963219</v>
      </c>
    </row>
    <row r="508" spans="2:7" x14ac:dyDescent="0.3">
      <c r="B508">
        <v>447</v>
      </c>
      <c r="C508" s="28">
        <v>854.06626524283183</v>
      </c>
      <c r="D508">
        <v>447</v>
      </c>
      <c r="E508" s="28">
        <v>6.0507685808516083</v>
      </c>
      <c r="F508">
        <v>447</v>
      </c>
      <c r="G508" s="28">
        <v>410.24849714334732</v>
      </c>
    </row>
    <row r="509" spans="2:7" x14ac:dyDescent="0.3">
      <c r="B509">
        <v>448</v>
      </c>
      <c r="C509" s="28">
        <v>837.88552532114284</v>
      </c>
      <c r="D509">
        <v>448</v>
      </c>
      <c r="E509" s="28">
        <v>14.8910099091018</v>
      </c>
      <c r="F509">
        <v>448</v>
      </c>
      <c r="G509" s="28">
        <v>1188.6549496611544</v>
      </c>
    </row>
    <row r="510" spans="2:7" x14ac:dyDescent="0.3">
      <c r="B510">
        <v>449</v>
      </c>
      <c r="C510" s="28">
        <v>717.9463808612079</v>
      </c>
      <c r="D510">
        <v>449</v>
      </c>
      <c r="E510" s="28">
        <v>6.5817065421149028</v>
      </c>
      <c r="F510">
        <v>449</v>
      </c>
      <c r="G510" s="28">
        <v>422.09739585683502</v>
      </c>
    </row>
    <row r="511" spans="2:7" x14ac:dyDescent="0.3">
      <c r="B511">
        <v>450</v>
      </c>
      <c r="C511" s="28">
        <v>699.62673509314425</v>
      </c>
      <c r="D511">
        <v>450</v>
      </c>
      <c r="E511" s="28">
        <v>20.921469091816313</v>
      </c>
      <c r="F511">
        <v>450</v>
      </c>
      <c r="G511" s="28">
        <v>509.32818513546511</v>
      </c>
    </row>
    <row r="512" spans="2:7" x14ac:dyDescent="0.3">
      <c r="B512">
        <v>451</v>
      </c>
      <c r="C512" s="28">
        <v>1109.2632093630768</v>
      </c>
      <c r="D512">
        <v>451</v>
      </c>
      <c r="E512" s="28">
        <v>40.493460078022324</v>
      </c>
      <c r="F512">
        <v>451</v>
      </c>
      <c r="G512" s="28">
        <v>295.27727770122272</v>
      </c>
    </row>
    <row r="513" spans="2:7" x14ac:dyDescent="0.3">
      <c r="B513">
        <v>452</v>
      </c>
      <c r="C513" s="28">
        <v>1372.5112289901924</v>
      </c>
      <c r="D513">
        <v>452</v>
      </c>
      <c r="E513" s="28">
        <v>31.494722218662197</v>
      </c>
      <c r="F513">
        <v>452</v>
      </c>
      <c r="G513" s="28">
        <v>728.88853024145294</v>
      </c>
    </row>
    <row r="514" spans="2:7" x14ac:dyDescent="0.3">
      <c r="B514">
        <v>453</v>
      </c>
      <c r="C514" s="28">
        <v>722.48001844269049</v>
      </c>
      <c r="D514">
        <v>453</v>
      </c>
      <c r="E514" s="28">
        <v>43.177276235194569</v>
      </c>
      <c r="F514">
        <v>453</v>
      </c>
      <c r="G514" s="28">
        <v>464.46596484722704</v>
      </c>
    </row>
    <row r="515" spans="2:7" x14ac:dyDescent="0.3">
      <c r="B515">
        <v>454</v>
      </c>
      <c r="C515" s="28">
        <v>1083.0574191364669</v>
      </c>
      <c r="D515">
        <v>454</v>
      </c>
      <c r="E515" s="28">
        <v>7.3984280582613335</v>
      </c>
      <c r="F515">
        <v>454</v>
      </c>
      <c r="G515" s="28">
        <v>1064.8671281343773</v>
      </c>
    </row>
    <row r="516" spans="2:7" x14ac:dyDescent="0.3">
      <c r="B516">
        <v>455</v>
      </c>
      <c r="C516" s="28">
        <v>1146.7643193610868</v>
      </c>
      <c r="D516">
        <v>455</v>
      </c>
      <c r="E516" s="28">
        <v>-48.864232544601329</v>
      </c>
      <c r="F516">
        <v>455</v>
      </c>
      <c r="G516" s="28">
        <v>879.83609717486831</v>
      </c>
    </row>
    <row r="517" spans="2:7" x14ac:dyDescent="0.3">
      <c r="B517">
        <v>456</v>
      </c>
      <c r="C517" s="28">
        <v>868.2725347963144</v>
      </c>
      <c r="D517">
        <v>456</v>
      </c>
      <c r="E517" s="28">
        <v>-16.737662573683565</v>
      </c>
      <c r="F517">
        <v>456</v>
      </c>
      <c r="G517" s="28">
        <v>963.12853376651674</v>
      </c>
    </row>
    <row r="518" spans="2:7" x14ac:dyDescent="0.3">
      <c r="B518">
        <v>457</v>
      </c>
      <c r="C518" s="28">
        <v>1281.4623788333095</v>
      </c>
      <c r="D518">
        <v>457</v>
      </c>
      <c r="E518" s="28">
        <v>40.573158309972655</v>
      </c>
      <c r="F518">
        <v>457</v>
      </c>
      <c r="G518" s="28">
        <v>1323.1797645672525</v>
      </c>
    </row>
    <row r="519" spans="2:7" x14ac:dyDescent="0.3">
      <c r="B519">
        <v>458</v>
      </c>
      <c r="C519" s="28">
        <v>762.35894885116545</v>
      </c>
      <c r="D519">
        <v>458</v>
      </c>
      <c r="E519" s="28">
        <v>-15.308129588948276</v>
      </c>
      <c r="F519">
        <v>458</v>
      </c>
      <c r="G519" s="28">
        <v>1278.7031567260681</v>
      </c>
    </row>
    <row r="520" spans="2:7" x14ac:dyDescent="0.3">
      <c r="B520">
        <v>459</v>
      </c>
      <c r="C520" s="28">
        <v>296.6058618657168</v>
      </c>
      <c r="D520">
        <v>459</v>
      </c>
      <c r="E520" s="28">
        <v>15.349632609105214</v>
      </c>
      <c r="F520">
        <v>459</v>
      </c>
      <c r="G520" s="28">
        <v>971.96939788242469</v>
      </c>
    </row>
    <row r="521" spans="2:7" x14ac:dyDescent="0.3">
      <c r="B521">
        <v>460</v>
      </c>
      <c r="C521" s="28">
        <v>567.91635936857779</v>
      </c>
      <c r="D521">
        <v>460</v>
      </c>
      <c r="E521" s="28">
        <v>19.50421565371829</v>
      </c>
      <c r="F521">
        <v>460</v>
      </c>
      <c r="G521" s="28">
        <v>329.68776774617322</v>
      </c>
    </row>
    <row r="522" spans="2:7" x14ac:dyDescent="0.3">
      <c r="B522">
        <v>461</v>
      </c>
      <c r="C522" s="28">
        <v>1192.0831908756852</v>
      </c>
      <c r="D522">
        <v>461</v>
      </c>
      <c r="E522" s="28">
        <v>-20.939807340002339</v>
      </c>
      <c r="F522">
        <v>461</v>
      </c>
      <c r="G522" s="28">
        <v>1305.8409076100002</v>
      </c>
    </row>
    <row r="523" spans="2:7" x14ac:dyDescent="0.3">
      <c r="B523">
        <v>462</v>
      </c>
      <c r="C523" s="28">
        <v>947.66402797449518</v>
      </c>
      <c r="D523">
        <v>462</v>
      </c>
      <c r="E523" s="28">
        <v>30.316326771893717</v>
      </c>
      <c r="F523">
        <v>462</v>
      </c>
      <c r="G523" s="28">
        <v>1284.8307156587</v>
      </c>
    </row>
    <row r="524" spans="2:7" x14ac:dyDescent="0.3">
      <c r="B524">
        <v>463</v>
      </c>
      <c r="C524" s="28">
        <v>360.68691439172414</v>
      </c>
      <c r="D524">
        <v>463</v>
      </c>
      <c r="E524" s="28">
        <v>-11.470101743867986</v>
      </c>
      <c r="F524">
        <v>463</v>
      </c>
      <c r="G524" s="28">
        <v>1207.9600542096628</v>
      </c>
    </row>
    <row r="525" spans="2:7" x14ac:dyDescent="0.3">
      <c r="B525">
        <v>464</v>
      </c>
      <c r="C525" s="28">
        <v>1141.5866083949511</v>
      </c>
      <c r="D525">
        <v>464</v>
      </c>
      <c r="E525" s="28">
        <v>10.385120929964796</v>
      </c>
      <c r="F525">
        <v>464</v>
      </c>
      <c r="G525" s="28">
        <v>1379.9284704393101</v>
      </c>
    </row>
    <row r="526" spans="2:7" x14ac:dyDescent="0.3">
      <c r="B526">
        <v>465</v>
      </c>
      <c r="C526" s="28">
        <v>956.43555905854407</v>
      </c>
      <c r="D526">
        <v>465</v>
      </c>
      <c r="E526" s="28">
        <v>3.515342093801773</v>
      </c>
      <c r="F526">
        <v>465</v>
      </c>
      <c r="G526" s="28">
        <v>1139.8170574094511</v>
      </c>
    </row>
    <row r="527" spans="2:7" x14ac:dyDescent="0.3">
      <c r="B527">
        <v>466</v>
      </c>
      <c r="C527" s="28">
        <v>737.82230313593209</v>
      </c>
      <c r="D527">
        <v>466</v>
      </c>
      <c r="E527" s="28">
        <v>-7.6207282238484311</v>
      </c>
      <c r="F527">
        <v>466</v>
      </c>
      <c r="G527" s="28">
        <v>861.4488833676287</v>
      </c>
    </row>
    <row r="528" spans="2:7" x14ac:dyDescent="0.3">
      <c r="B528">
        <v>467</v>
      </c>
      <c r="C528" s="28">
        <v>71.586828081303196</v>
      </c>
      <c r="D528">
        <v>467</v>
      </c>
      <c r="E528" s="28">
        <v>12.084438843210448</v>
      </c>
      <c r="F528">
        <v>467</v>
      </c>
      <c r="G528" s="28">
        <v>1079.8869046568946</v>
      </c>
    </row>
    <row r="529" spans="2:7" x14ac:dyDescent="0.3">
      <c r="B529">
        <v>468</v>
      </c>
      <c r="C529" s="28">
        <v>943.75382093772259</v>
      </c>
      <c r="D529">
        <v>468</v>
      </c>
      <c r="E529" s="28">
        <v>40.831173755240606</v>
      </c>
      <c r="F529">
        <v>468</v>
      </c>
      <c r="G529" s="28">
        <v>678.2016394511636</v>
      </c>
    </row>
    <row r="530" spans="2:7" x14ac:dyDescent="0.3">
      <c r="B530">
        <v>469</v>
      </c>
      <c r="C530" s="28">
        <v>740.79289670732373</v>
      </c>
      <c r="D530">
        <v>469</v>
      </c>
      <c r="E530" s="28">
        <v>1.0558017208041384</v>
      </c>
      <c r="F530">
        <v>469</v>
      </c>
      <c r="G530" s="28">
        <v>714.88627281971071</v>
      </c>
    </row>
    <row r="531" spans="2:7" x14ac:dyDescent="0.3">
      <c r="B531">
        <v>470</v>
      </c>
      <c r="C531" s="28">
        <v>923.20350412798996</v>
      </c>
      <c r="D531">
        <v>470</v>
      </c>
      <c r="E531" s="28">
        <v>22.798866757306723</v>
      </c>
      <c r="F531">
        <v>470</v>
      </c>
      <c r="G531" s="28">
        <v>1198.9767860010338</v>
      </c>
    </row>
    <row r="532" spans="2:7" x14ac:dyDescent="0.3">
      <c r="B532">
        <v>471</v>
      </c>
      <c r="C532" s="28">
        <v>843.47596970740256</v>
      </c>
      <c r="D532">
        <v>471</v>
      </c>
      <c r="E532" s="28">
        <v>-35.49772357272586</v>
      </c>
      <c r="F532">
        <v>471</v>
      </c>
      <c r="G532" s="28">
        <v>1094.6950480690316</v>
      </c>
    </row>
    <row r="533" spans="2:7" x14ac:dyDescent="0.3">
      <c r="B533">
        <v>472</v>
      </c>
      <c r="C533" s="28">
        <v>1230.1861244081331</v>
      </c>
      <c r="D533">
        <v>472</v>
      </c>
      <c r="E533" s="28">
        <v>3.0444923552344356</v>
      </c>
      <c r="F533">
        <v>472</v>
      </c>
      <c r="G533" s="28">
        <v>970.13814893236906</v>
      </c>
    </row>
    <row r="534" spans="2:7" x14ac:dyDescent="0.3">
      <c r="B534">
        <v>473</v>
      </c>
      <c r="C534" s="28">
        <v>850.26015835946635</v>
      </c>
      <c r="D534">
        <v>473</v>
      </c>
      <c r="E534" s="28">
        <v>8.1043613580684593</v>
      </c>
      <c r="F534">
        <v>473</v>
      </c>
      <c r="G534" s="28">
        <v>921.37525004619454</v>
      </c>
    </row>
    <row r="535" spans="2:7" x14ac:dyDescent="0.3">
      <c r="B535">
        <v>474</v>
      </c>
      <c r="C535" s="28">
        <v>1166.379268675367</v>
      </c>
      <c r="D535">
        <v>474</v>
      </c>
      <c r="E535" s="28">
        <v>35.27038887582782</v>
      </c>
      <c r="F535">
        <v>474</v>
      </c>
      <c r="G535" s="28">
        <v>682.11391928262151</v>
      </c>
    </row>
    <row r="536" spans="2:7" x14ac:dyDescent="0.3">
      <c r="B536">
        <v>475</v>
      </c>
      <c r="C536" s="28">
        <v>1104.8976422791752</v>
      </c>
      <c r="D536">
        <v>475</v>
      </c>
      <c r="E536" s="28">
        <v>-27.622558037379029</v>
      </c>
      <c r="F536">
        <v>475</v>
      </c>
      <c r="G536" s="28">
        <v>871.60428817197885</v>
      </c>
    </row>
    <row r="537" spans="2:7" x14ac:dyDescent="0.3">
      <c r="B537">
        <v>476</v>
      </c>
      <c r="C537" s="28">
        <v>887.58025395187542</v>
      </c>
      <c r="D537">
        <v>476</v>
      </c>
      <c r="E537" s="28">
        <v>11.603807868183761</v>
      </c>
      <c r="F537">
        <v>476</v>
      </c>
      <c r="G537" s="28">
        <v>1049.3086007012926</v>
      </c>
    </row>
    <row r="538" spans="2:7" x14ac:dyDescent="0.3">
      <c r="B538">
        <v>477</v>
      </c>
      <c r="C538" s="28">
        <v>702.85874898080453</v>
      </c>
      <c r="D538">
        <v>477</v>
      </c>
      <c r="E538" s="28">
        <v>68.659426205043275</v>
      </c>
      <c r="F538">
        <v>477</v>
      </c>
      <c r="G538" s="28">
        <v>469.17087757932347</v>
      </c>
    </row>
    <row r="539" spans="2:7" x14ac:dyDescent="0.3">
      <c r="B539">
        <v>478</v>
      </c>
      <c r="C539" s="28">
        <v>647.57648949375448</v>
      </c>
      <c r="D539">
        <v>478</v>
      </c>
      <c r="E539" s="28">
        <v>-34.325046402364691</v>
      </c>
      <c r="F539">
        <v>478</v>
      </c>
      <c r="G539" s="28">
        <v>228.35819210465814</v>
      </c>
    </row>
    <row r="540" spans="2:7" x14ac:dyDescent="0.3">
      <c r="B540">
        <v>479</v>
      </c>
      <c r="C540" s="28">
        <v>922.85863809855857</v>
      </c>
      <c r="D540">
        <v>479</v>
      </c>
      <c r="E540" s="28">
        <v>51.332670096582191</v>
      </c>
      <c r="F540">
        <v>479</v>
      </c>
      <c r="G540" s="28">
        <v>689.71339347920298</v>
      </c>
    </row>
    <row r="541" spans="2:7" x14ac:dyDescent="0.3">
      <c r="B541">
        <v>480</v>
      </c>
      <c r="C541" s="28">
        <v>954.67911243847357</v>
      </c>
      <c r="D541">
        <v>480</v>
      </c>
      <c r="E541" s="28">
        <v>-68.323788922927818</v>
      </c>
      <c r="F541">
        <v>480</v>
      </c>
      <c r="G541" s="28">
        <v>1489.8268569065235</v>
      </c>
    </row>
    <row r="542" spans="2:7" x14ac:dyDescent="0.3">
      <c r="B542">
        <v>481</v>
      </c>
      <c r="C542" s="28">
        <v>256.57380381198521</v>
      </c>
      <c r="D542">
        <v>481</v>
      </c>
      <c r="E542" s="28">
        <v>-17.050839266770918</v>
      </c>
      <c r="F542">
        <v>481</v>
      </c>
      <c r="G542" s="28">
        <v>1064.9700736425968</v>
      </c>
    </row>
    <row r="543" spans="2:7" x14ac:dyDescent="0.3">
      <c r="B543">
        <v>482</v>
      </c>
      <c r="C543" s="28">
        <v>1265.3000736244642</v>
      </c>
      <c r="D543">
        <v>482</v>
      </c>
      <c r="E543" s="28">
        <v>-4.9982134106400444</v>
      </c>
      <c r="F543">
        <v>482</v>
      </c>
      <c r="G543" s="28">
        <v>1512.1598360920793</v>
      </c>
    </row>
    <row r="544" spans="2:7" x14ac:dyDescent="0.3">
      <c r="B544">
        <v>483</v>
      </c>
      <c r="C544" s="28">
        <v>1015.9638657948111</v>
      </c>
      <c r="D544">
        <v>483</v>
      </c>
      <c r="E544" s="28">
        <v>-36.265361448744819</v>
      </c>
      <c r="F544">
        <v>483</v>
      </c>
      <c r="G544" s="28">
        <v>883.17205927033592</v>
      </c>
    </row>
    <row r="545" spans="2:7" x14ac:dyDescent="0.3">
      <c r="B545">
        <v>484</v>
      </c>
      <c r="C545" s="28">
        <v>1045.58834317792</v>
      </c>
      <c r="D545">
        <v>484</v>
      </c>
      <c r="E545" s="28">
        <v>-28.152631264062233</v>
      </c>
      <c r="F545">
        <v>484</v>
      </c>
      <c r="G545" s="28">
        <v>1227.5505733310124</v>
      </c>
    </row>
    <row r="546" spans="2:7" x14ac:dyDescent="0.3">
      <c r="B546">
        <v>485</v>
      </c>
      <c r="C546" s="28">
        <v>512.40081964735464</v>
      </c>
      <c r="D546">
        <v>485</v>
      </c>
      <c r="E546" s="28">
        <v>28.114698700963192</v>
      </c>
      <c r="F546">
        <v>485</v>
      </c>
      <c r="G546" s="28">
        <v>930.19103405893043</v>
      </c>
    </row>
    <row r="547" spans="2:7" x14ac:dyDescent="0.3">
      <c r="B547">
        <v>486</v>
      </c>
      <c r="C547" s="28">
        <v>932.6748191577102</v>
      </c>
      <c r="D547">
        <v>486</v>
      </c>
      <c r="E547" s="28">
        <v>-2.3633900196823534</v>
      </c>
      <c r="F547">
        <v>486</v>
      </c>
      <c r="G547" s="28">
        <v>695.45255442373968</v>
      </c>
    </row>
    <row r="548" spans="2:7" x14ac:dyDescent="0.3">
      <c r="B548">
        <v>487</v>
      </c>
      <c r="C548" s="28">
        <v>1162.4738341491034</v>
      </c>
      <c r="D548">
        <v>487</v>
      </c>
      <c r="E548" s="28">
        <v>59.897611184805157</v>
      </c>
      <c r="F548">
        <v>487</v>
      </c>
      <c r="G548" s="28">
        <v>594.46704358947704</v>
      </c>
    </row>
    <row r="549" spans="2:7" x14ac:dyDescent="0.3">
      <c r="B549">
        <v>488</v>
      </c>
      <c r="C549" s="28">
        <v>976.90848883077251</v>
      </c>
      <c r="D549">
        <v>488</v>
      </c>
      <c r="E549" s="28">
        <v>-5.8596805922480799</v>
      </c>
      <c r="F549">
        <v>488</v>
      </c>
      <c r="G549" s="28">
        <v>786.59406385546163</v>
      </c>
    </row>
    <row r="550" spans="2:7" x14ac:dyDescent="0.3">
      <c r="B550">
        <v>489</v>
      </c>
      <c r="C550" s="28">
        <v>830.96447193565814</v>
      </c>
      <c r="D550">
        <v>489</v>
      </c>
      <c r="E550" s="28">
        <v>0.45255067115486919</v>
      </c>
      <c r="F550">
        <v>489</v>
      </c>
      <c r="G550" s="28">
        <v>1547.7242523958805</v>
      </c>
    </row>
    <row r="551" spans="2:7" x14ac:dyDescent="0.3">
      <c r="B551">
        <v>490</v>
      </c>
      <c r="C551" s="28">
        <v>1206.0343483551717</v>
      </c>
      <c r="D551">
        <v>490</v>
      </c>
      <c r="E551" s="28">
        <v>22.981481130417396</v>
      </c>
      <c r="F551">
        <v>490</v>
      </c>
      <c r="G551" s="28">
        <v>868.0249934334139</v>
      </c>
    </row>
    <row r="552" spans="2:7" x14ac:dyDescent="0.3">
      <c r="B552">
        <v>491</v>
      </c>
      <c r="C552" s="28">
        <v>783.35865635675032</v>
      </c>
      <c r="D552">
        <v>491</v>
      </c>
      <c r="E552" s="28">
        <v>28.477454892375658</v>
      </c>
      <c r="F552">
        <v>491</v>
      </c>
      <c r="G552" s="28">
        <v>643.31099868323122</v>
      </c>
    </row>
    <row r="553" spans="2:7" x14ac:dyDescent="0.3">
      <c r="B553">
        <v>492</v>
      </c>
      <c r="C553" s="28">
        <v>936.32962692822946</v>
      </c>
      <c r="D553">
        <v>492</v>
      </c>
      <c r="E553" s="28">
        <v>-9.2331676487290917</v>
      </c>
      <c r="F553">
        <v>492</v>
      </c>
      <c r="G553" s="28">
        <v>757.35854843545962</v>
      </c>
    </row>
    <row r="554" spans="2:7" x14ac:dyDescent="0.3">
      <c r="B554">
        <v>493</v>
      </c>
      <c r="C554" s="28">
        <v>1420.852726084074</v>
      </c>
      <c r="D554">
        <v>493</v>
      </c>
      <c r="E554" s="28">
        <v>-5.7075239575363295</v>
      </c>
      <c r="F554">
        <v>493</v>
      </c>
      <c r="G554" s="28">
        <v>390.13322563193759</v>
      </c>
    </row>
    <row r="555" spans="2:7" x14ac:dyDescent="0.3">
      <c r="B555">
        <v>494</v>
      </c>
      <c r="C555" s="28">
        <v>1094.9641850830728</v>
      </c>
      <c r="D555">
        <v>494</v>
      </c>
      <c r="E555" s="28">
        <v>2.2366671968840843</v>
      </c>
      <c r="F555">
        <v>494</v>
      </c>
      <c r="G555" s="28">
        <v>1440.1166684970428</v>
      </c>
    </row>
    <row r="556" spans="2:7" x14ac:dyDescent="0.3">
      <c r="B556">
        <v>495</v>
      </c>
      <c r="C556" s="28">
        <v>979.24169207367891</v>
      </c>
      <c r="D556">
        <v>495</v>
      </c>
      <c r="E556" s="28">
        <v>16.368494955999633</v>
      </c>
      <c r="F556">
        <v>495</v>
      </c>
      <c r="G556" s="28">
        <v>1064.0586218342046</v>
      </c>
    </row>
    <row r="557" spans="2:7" x14ac:dyDescent="0.3">
      <c r="B557">
        <v>496</v>
      </c>
      <c r="C557" s="28">
        <v>906.91332988874183</v>
      </c>
      <c r="D557">
        <v>496</v>
      </c>
      <c r="E557" s="28">
        <v>5.5632272904016027</v>
      </c>
      <c r="F557">
        <v>496</v>
      </c>
      <c r="G557" s="28">
        <v>758.28222789051222</v>
      </c>
    </row>
    <row r="558" spans="2:7" x14ac:dyDescent="0.3">
      <c r="B558">
        <v>497</v>
      </c>
      <c r="C558" s="28">
        <v>1424.2015915631964</v>
      </c>
      <c r="D558">
        <v>497</v>
      </c>
      <c r="E558" s="28">
        <v>-29.127736348763971</v>
      </c>
      <c r="F558">
        <v>497</v>
      </c>
      <c r="G558" s="28">
        <v>914.45121431754671</v>
      </c>
    </row>
    <row r="559" spans="2:7" x14ac:dyDescent="0.3">
      <c r="B559">
        <v>498</v>
      </c>
      <c r="C559" s="28">
        <v>605.99130116655033</v>
      </c>
      <c r="D559">
        <v>498</v>
      </c>
      <c r="E559" s="28">
        <v>-0.26225408761456104</v>
      </c>
      <c r="F559">
        <v>498</v>
      </c>
      <c r="G559" s="28">
        <v>845.51374536760943</v>
      </c>
    </row>
    <row r="560" spans="2:7" x14ac:dyDescent="0.3">
      <c r="B560">
        <v>499</v>
      </c>
      <c r="C560" s="28">
        <v>944.76240578800059</v>
      </c>
      <c r="D560">
        <v>499</v>
      </c>
      <c r="E560" s="28">
        <v>10.934958475910294</v>
      </c>
      <c r="F560">
        <v>499</v>
      </c>
      <c r="G560" s="28">
        <v>881.61173265422985</v>
      </c>
    </row>
    <row r="561" spans="2:7" x14ac:dyDescent="0.3">
      <c r="B561">
        <v>500</v>
      </c>
      <c r="C561" s="28">
        <v>435.11223098439285</v>
      </c>
      <c r="D561">
        <v>500</v>
      </c>
      <c r="E561" s="28">
        <v>-26.063130761728139</v>
      </c>
      <c r="F561">
        <v>500</v>
      </c>
      <c r="G561" s="28">
        <v>1199.5967536943326</v>
      </c>
    </row>
  </sheetData>
  <mergeCells count="117">
    <mergeCell ref="C1:G1"/>
    <mergeCell ref="C2:D2"/>
    <mergeCell ref="C3:D3"/>
    <mergeCell ref="C4:D4"/>
    <mergeCell ref="C5:D5"/>
    <mergeCell ref="E3:F3"/>
    <mergeCell ref="E4:F4"/>
    <mergeCell ref="E5:F5"/>
    <mergeCell ref="A31:G31"/>
    <mergeCell ref="A30:G30"/>
    <mergeCell ref="C13:D13"/>
    <mergeCell ref="E13:F13"/>
    <mergeCell ref="C6:D6"/>
    <mergeCell ref="C7:D7"/>
    <mergeCell ref="E6:F6"/>
    <mergeCell ref="E7:F7"/>
    <mergeCell ref="C12:D12"/>
    <mergeCell ref="C9:D9"/>
    <mergeCell ref="C10:D10"/>
    <mergeCell ref="C11:D11"/>
    <mergeCell ref="E12:F12"/>
    <mergeCell ref="C28:D28"/>
    <mergeCell ref="C23:D23"/>
    <mergeCell ref="C24:D24"/>
    <mergeCell ref="E61:F61"/>
    <mergeCell ref="C61:D61"/>
    <mergeCell ref="C56:D56"/>
    <mergeCell ref="C55:D55"/>
    <mergeCell ref="C54:D54"/>
    <mergeCell ref="C59:D59"/>
    <mergeCell ref="C58:D58"/>
    <mergeCell ref="C60:D60"/>
    <mergeCell ref="C57:D57"/>
    <mergeCell ref="E57:F57"/>
    <mergeCell ref="E60:F60"/>
    <mergeCell ref="E59:F59"/>
    <mergeCell ref="E58:F58"/>
    <mergeCell ref="E56:F56"/>
    <mergeCell ref="E55:F55"/>
    <mergeCell ref="E54:F54"/>
    <mergeCell ref="E48:F48"/>
    <mergeCell ref="E49:F49"/>
    <mergeCell ref="E50:F50"/>
    <mergeCell ref="C43:D43"/>
    <mergeCell ref="C26:D26"/>
    <mergeCell ref="E2:F2"/>
    <mergeCell ref="E41:F41"/>
    <mergeCell ref="E32:F32"/>
    <mergeCell ref="E33:F33"/>
    <mergeCell ref="E19:F19"/>
    <mergeCell ref="E21:F21"/>
    <mergeCell ref="E20:F20"/>
    <mergeCell ref="C41:D41"/>
    <mergeCell ref="C39:D39"/>
    <mergeCell ref="C40:D40"/>
    <mergeCell ref="C20:D20"/>
    <mergeCell ref="C21:D21"/>
    <mergeCell ref="C22:D22"/>
    <mergeCell ref="E22:F22"/>
    <mergeCell ref="C18:G18"/>
    <mergeCell ref="C19:D19"/>
    <mergeCell ref="E9:F9"/>
    <mergeCell ref="E10:F10"/>
    <mergeCell ref="E11:F11"/>
    <mergeCell ref="E8:F8"/>
    <mergeCell ref="C8:D8"/>
    <mergeCell ref="E16:F16"/>
    <mergeCell ref="C14:D14"/>
    <mergeCell ref="E15:F15"/>
    <mergeCell ref="C15:D15"/>
    <mergeCell ref="C16:D16"/>
    <mergeCell ref="E14:F14"/>
    <mergeCell ref="C25:D25"/>
    <mergeCell ref="E23:F23"/>
    <mergeCell ref="E24:F24"/>
    <mergeCell ref="E25:F25"/>
    <mergeCell ref="C17:D17"/>
    <mergeCell ref="E17:F17"/>
    <mergeCell ref="E26:F26"/>
    <mergeCell ref="E40:F40"/>
    <mergeCell ref="C45:D45"/>
    <mergeCell ref="C46:D46"/>
    <mergeCell ref="C47:D47"/>
    <mergeCell ref="C35:D35"/>
    <mergeCell ref="C36:D36"/>
    <mergeCell ref="C37:D37"/>
    <mergeCell ref="C38:D38"/>
    <mergeCell ref="E45:F45"/>
    <mergeCell ref="E46:F46"/>
    <mergeCell ref="E47:F47"/>
    <mergeCell ref="E44:F44"/>
    <mergeCell ref="C44:D44"/>
    <mergeCell ref="E43:F43"/>
    <mergeCell ref="E53:F53"/>
    <mergeCell ref="E36:F36"/>
    <mergeCell ref="E37:F37"/>
    <mergeCell ref="E27:F27"/>
    <mergeCell ref="E28:F28"/>
    <mergeCell ref="E29:F29"/>
    <mergeCell ref="E34:F34"/>
    <mergeCell ref="E35:F35"/>
    <mergeCell ref="B42:G42"/>
    <mergeCell ref="C29:D29"/>
    <mergeCell ref="C32:D32"/>
    <mergeCell ref="C51:D51"/>
    <mergeCell ref="C52:D52"/>
    <mergeCell ref="C53:D53"/>
    <mergeCell ref="E51:F51"/>
    <mergeCell ref="E52:F52"/>
    <mergeCell ref="C33:D33"/>
    <mergeCell ref="C34:D34"/>
    <mergeCell ref="C27:D27"/>
    <mergeCell ref="E39:F39"/>
    <mergeCell ref="E38:F38"/>
    <mergeCell ref="C48:D48"/>
    <mergeCell ref="C49:D49"/>
    <mergeCell ref="C50:D5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6CF17-F456-4D33-A3B2-B78DAFBCB47E}">
  <dimension ref="A1:L564"/>
  <sheetViews>
    <sheetView workbookViewId="0">
      <selection activeCell="H14" sqref="H14"/>
    </sheetView>
  </sheetViews>
  <sheetFormatPr defaultRowHeight="14.4" x14ac:dyDescent="0.3"/>
  <cols>
    <col min="1" max="1" width="33.5546875" customWidth="1"/>
    <col min="2" max="2" width="5.5546875" customWidth="1"/>
    <col min="3" max="3" width="14.21875" customWidth="1"/>
    <col min="4" max="4" width="4.88671875" customWidth="1"/>
    <col min="5" max="5" width="13.44140625" customWidth="1"/>
    <col min="11" max="11" width="15.6640625" customWidth="1"/>
  </cols>
  <sheetData>
    <row r="1" spans="1:12" x14ac:dyDescent="0.3">
      <c r="B1" s="103" t="s">
        <v>92</v>
      </c>
      <c r="C1" s="103"/>
      <c r="D1" s="103"/>
      <c r="E1" s="103"/>
    </row>
    <row r="2" spans="1:12" x14ac:dyDescent="0.3">
      <c r="A2" s="2" t="s">
        <v>63</v>
      </c>
      <c r="B2" s="106" t="s">
        <v>115</v>
      </c>
      <c r="C2" s="106"/>
      <c r="D2" s="106" t="s">
        <v>114</v>
      </c>
      <c r="E2" s="106"/>
    </row>
    <row r="3" spans="1:12" x14ac:dyDescent="0.3">
      <c r="A3" t="s">
        <v>16</v>
      </c>
      <c r="B3" s="105">
        <f>[1]All!$L$3*L17</f>
        <v>0.54509043485042441</v>
      </c>
      <c r="C3" s="105"/>
      <c r="D3" s="105">
        <f>[1]All!$L$4*L17</f>
        <v>0.55747885382429763</v>
      </c>
      <c r="E3" s="105"/>
    </row>
    <row r="4" spans="1:12" x14ac:dyDescent="0.3">
      <c r="A4" t="s">
        <v>17</v>
      </c>
      <c r="B4" s="105">
        <f>[2]prod_herd_data!F17</f>
        <v>300.56148880662164</v>
      </c>
      <c r="C4" s="105"/>
      <c r="D4" s="105">
        <f>[2]prod_herd_data!F18</f>
        <v>1672.7289168977238</v>
      </c>
      <c r="E4" s="105"/>
    </row>
    <row r="5" spans="1:12" ht="15.6" x14ac:dyDescent="0.3">
      <c r="A5" t="s">
        <v>5</v>
      </c>
      <c r="B5" s="105">
        <f>B4*B3</f>
        <v>163.83319263289235</v>
      </c>
      <c r="C5" s="105"/>
      <c r="D5" s="105">
        <f>D4*D3</f>
        <v>932.5109993509019</v>
      </c>
      <c r="E5" s="105"/>
      <c r="K5" s="45"/>
    </row>
    <row r="6" spans="1:12" ht="15.6" x14ac:dyDescent="0.3">
      <c r="B6" s="102"/>
      <c r="C6" s="102"/>
      <c r="D6" s="105"/>
      <c r="E6" s="105"/>
      <c r="K6" s="45"/>
    </row>
    <row r="7" spans="1:12" x14ac:dyDescent="0.3">
      <c r="A7" s="2" t="s">
        <v>64</v>
      </c>
      <c r="B7" s="102"/>
      <c r="C7" s="102"/>
      <c r="D7" s="105"/>
      <c r="E7" s="105"/>
    </row>
    <row r="8" spans="1:12" x14ac:dyDescent="0.3">
      <c r="A8" t="s">
        <v>32</v>
      </c>
      <c r="B8" s="105">
        <f xml:space="preserve"> (([2]FEEDING_base!$J$17*L32)+([2]FEEDING_base!$J$18*L31))</f>
        <v>78.85461887370262</v>
      </c>
      <c r="C8" s="105"/>
      <c r="D8" s="105">
        <f>(([2]FEEDING_base!$J$23*L30)+([2]FEEDING_base!$J$24*L31))</f>
        <v>241.16030694690787</v>
      </c>
      <c r="E8" s="105"/>
      <c r="H8" s="84"/>
    </row>
    <row r="9" spans="1:12" x14ac:dyDescent="0.3">
      <c r="A9" t="s">
        <v>1</v>
      </c>
      <c r="B9" s="105">
        <f>[1]All!$P$3*L17</f>
        <v>16.603035738180687</v>
      </c>
      <c r="C9" s="105"/>
      <c r="D9" s="105">
        <f>[1]All!$P$4*L17</f>
        <v>13.537859909593482</v>
      </c>
      <c r="E9" s="105"/>
    </row>
    <row r="10" spans="1:12" x14ac:dyDescent="0.3">
      <c r="A10" t="s">
        <v>65</v>
      </c>
      <c r="B10" s="105">
        <f>[1]All!$Q$4*L17</f>
        <v>15.453594802460485</v>
      </c>
      <c r="C10" s="105"/>
      <c r="D10" s="105">
        <f>[1]All!$Q$4*L17</f>
        <v>15.453594802460485</v>
      </c>
      <c r="E10" s="105"/>
      <c r="K10" s="2" t="str">
        <f>Dairy_Income_Roadmap!K10</f>
        <v>Basic income parameters</v>
      </c>
      <c r="L10" s="2"/>
    </row>
    <row r="11" spans="1:12" x14ac:dyDescent="0.3">
      <c r="A11" t="s">
        <v>66</v>
      </c>
      <c r="B11" s="105">
        <f>[1]All!$R$3*L17</f>
        <v>0.38314697857340047</v>
      </c>
      <c r="C11" s="105"/>
      <c r="D11" s="105">
        <f>[1]All!$R$4*L17</f>
        <v>1.6603035738180687</v>
      </c>
      <c r="E11" s="105"/>
      <c r="K11" t="s">
        <v>90</v>
      </c>
      <c r="L11">
        <v>12</v>
      </c>
    </row>
    <row r="12" spans="1:12" x14ac:dyDescent="0.3">
      <c r="A12" t="s">
        <v>67</v>
      </c>
      <c r="B12" s="105">
        <f>0*L17</f>
        <v>0</v>
      </c>
      <c r="C12" s="105"/>
      <c r="D12" s="105">
        <f>0*L17</f>
        <v>0</v>
      </c>
      <c r="E12" s="105"/>
    </row>
    <row r="13" spans="1:12" x14ac:dyDescent="0.3">
      <c r="B13" s="102"/>
      <c r="C13" s="102"/>
      <c r="D13" s="105"/>
      <c r="E13" s="105"/>
    </row>
    <row r="14" spans="1:12" x14ac:dyDescent="0.3">
      <c r="A14" t="s">
        <v>4</v>
      </c>
      <c r="B14" s="105">
        <f>SUM(B8:B12)</f>
        <v>111.29439639291719</v>
      </c>
      <c r="C14" s="105"/>
      <c r="D14" s="105">
        <f>SUM(D8:D12)</f>
        <v>271.8120652327799</v>
      </c>
      <c r="E14" s="105"/>
      <c r="K14" t="str">
        <f>[5]NPV_Roadmap!K14</f>
        <v>Price acquring new animal (USD/head)</v>
      </c>
      <c r="L14">
        <f>[1]All!$M$3</f>
        <v>397.7</v>
      </c>
    </row>
    <row r="15" spans="1:12" x14ac:dyDescent="0.3">
      <c r="B15" s="102"/>
      <c r="C15" s="102"/>
      <c r="D15" s="105"/>
      <c r="E15" s="105"/>
    </row>
    <row r="16" spans="1:12" x14ac:dyDescent="0.3">
      <c r="B16" s="102"/>
      <c r="C16" s="102"/>
      <c r="D16" s="105"/>
      <c r="E16" s="105"/>
    </row>
    <row r="17" spans="1:12" x14ac:dyDescent="0.3">
      <c r="B17" s="102"/>
      <c r="C17" s="102"/>
      <c r="D17" s="105"/>
      <c r="E17" s="105"/>
      <c r="K17" t="str">
        <f>Dairy_Income_Roadmap!K16</f>
        <v>Price deflator</v>
      </c>
      <c r="L17" s="17">
        <f>Dairy_Income_Roadmap!L16</f>
        <v>1.2771565952446682</v>
      </c>
    </row>
    <row r="18" spans="1:12" x14ac:dyDescent="0.3">
      <c r="B18" s="107" t="s">
        <v>68</v>
      </c>
      <c r="C18" s="107"/>
      <c r="D18" s="107"/>
      <c r="E18" s="107"/>
    </row>
    <row r="19" spans="1:12" x14ac:dyDescent="0.3">
      <c r="A19" t="s">
        <v>8</v>
      </c>
      <c r="B19" s="101">
        <f>L36*L17</f>
        <v>286.58935981411065</v>
      </c>
      <c r="C19" s="101"/>
      <c r="D19" s="101">
        <f>L38*L17</f>
        <v>241.57020027586674</v>
      </c>
      <c r="E19" s="101"/>
      <c r="K19" s="2" t="str">
        <f>[5]NPV_Roadmap!K24</f>
        <v>Cropping parameters</v>
      </c>
    </row>
    <row r="20" spans="1:12" x14ac:dyDescent="0.3">
      <c r="A20" t="s">
        <v>103</v>
      </c>
      <c r="B20" s="101">
        <f>( [6]Sheet1!$QH$11*[2]feeding_change_data!$F$4+      [6]Sheet1!$QH$2*[2]feeding_change_data!$G$4)/([2]feeding_change_data!$F$4+[2]feeding_change_data!$G$4)</f>
        <v>19.866809639577287</v>
      </c>
      <c r="C20" s="101"/>
      <c r="D20" s="101">
        <f>( [6]Sheet1!$QG$11*[2]feeding_change_data!$F$4+      [6]Sheet1!$QG$2*[2]feeding_change_data!$G$4)/([2]feeding_change_data!$F$4+[2]feeding_change_data!$G$4)</f>
        <v>183.51210225942458</v>
      </c>
      <c r="E20" s="101"/>
      <c r="K20" t="str">
        <f>[5]NPV_Roadmap!K25</f>
        <v>Forage seeding cost (USD/ha/yr)</v>
      </c>
      <c r="L20">
        <f>Dairy_Income_Roadmap!L19</f>
        <v>28</v>
      </c>
    </row>
    <row r="21" spans="1:12" x14ac:dyDescent="0.3">
      <c r="A21" t="s">
        <v>98</v>
      </c>
      <c r="B21" s="104">
        <f>(((1/1000)*(1/L23)/L33))*B20</f>
        <v>2.0376215014951062E-3</v>
      </c>
      <c r="C21" s="104"/>
      <c r="D21" s="101">
        <f>(((1/1000)*(1/L23)/L33))*D20</f>
        <v>1.8821754077889701E-2</v>
      </c>
      <c r="E21" s="101"/>
    </row>
    <row r="22" spans="1:12" x14ac:dyDescent="0.3">
      <c r="A22" t="s">
        <v>99</v>
      </c>
      <c r="B22" s="101">
        <f>( [6]Sheet1!$QP$11*[2]feeding_change_data_pasture!$F$4+      [6]Sheet1!$QP$2*[2]feeding_change_data_pasture!$G$4)/([2]feeding_change_data_pasture!$F$4+[2]feeding_change_data_pasture!$G$4)</f>
        <v>57.294900274394081</v>
      </c>
      <c r="C22" s="101"/>
      <c r="D22" s="101">
        <f>( [6]Sheet1!$QO$11*[2]feeding_change_data_pasture!$F$4+      [6]Sheet1!$QO$2*[2]feeding_change_data_pasture!$G$4)/([2]feeding_change_data_pasture!$F$4+[2]feeding_change_data_pasture!$G$4)</f>
        <v>248.36567251830056</v>
      </c>
      <c r="E22" s="101"/>
    </row>
    <row r="23" spans="1:12" x14ac:dyDescent="0.3">
      <c r="A23" t="s">
        <v>100</v>
      </c>
      <c r="B23" s="104">
        <f>(((1/1000)*(1/L25)/L34))*B22</f>
        <v>2.2917960109757635E-2</v>
      </c>
      <c r="C23" s="104"/>
      <c r="D23" s="104">
        <f>(((1/1000)*(1/L25)/L34))*D22</f>
        <v>9.9346269007320229E-2</v>
      </c>
      <c r="E23" s="104"/>
      <c r="K23" t="str">
        <f>[5]NPV_Roadmap!K28</f>
        <v>Use efficiency napier</v>
      </c>
      <c r="L23">
        <f>Dairy_Income_Roadmap!L23</f>
        <v>0.75</v>
      </c>
    </row>
    <row r="24" spans="1:12" x14ac:dyDescent="0.3">
      <c r="A24" t="s">
        <v>101</v>
      </c>
      <c r="B24" s="104">
        <f>SUM(B21+B23)</f>
        <v>2.495558161125274E-2</v>
      </c>
      <c r="C24" s="104"/>
      <c r="D24" s="104">
        <f>SUM(D21+D23)</f>
        <v>0.11816802308520993</v>
      </c>
      <c r="E24" s="104"/>
    </row>
    <row r="25" spans="1:12" x14ac:dyDescent="0.3">
      <c r="A25" t="s">
        <v>69</v>
      </c>
      <c r="B25" s="101">
        <f>(B21+B23)*L17*L20</f>
        <v>0.89242119800338404</v>
      </c>
      <c r="C25" s="101"/>
      <c r="D25" s="101">
        <f>(D21+D23)*L17*L20</f>
        <v>4.2257339608484017</v>
      </c>
      <c r="E25" s="101"/>
      <c r="K25" t="str">
        <f>[5]NPV_Roadmap!K29</f>
        <v>Use efficiency pasture</v>
      </c>
      <c r="L25">
        <f>Dairy_Income_Roadmap!L24</f>
        <v>0.5</v>
      </c>
    </row>
    <row r="26" spans="1:12" x14ac:dyDescent="0.3">
      <c r="A26" t="s">
        <v>9</v>
      </c>
      <c r="B26" s="101">
        <f>(B21+B23)*B19+B25</f>
        <v>8.0444253557610992</v>
      </c>
      <c r="C26" s="101"/>
      <c r="D26" s="101">
        <f>(D21+D23)*D19+D25</f>
        <v>32.771606963745811</v>
      </c>
      <c r="E26" s="101"/>
    </row>
    <row r="27" spans="1:12" x14ac:dyDescent="0.3">
      <c r="B27" s="102"/>
      <c r="C27" s="102"/>
      <c r="D27" s="105"/>
      <c r="E27" s="105"/>
      <c r="K27" t="str">
        <f>[5]NPV_Roadmap!K31</f>
        <v>Standard error (%) improved forage yield</v>
      </c>
      <c r="L27">
        <f>Dairy_Income_Roadmap!L26</f>
        <v>7.5</v>
      </c>
    </row>
    <row r="28" spans="1:12" x14ac:dyDescent="0.3">
      <c r="A28" t="s">
        <v>54</v>
      </c>
      <c r="B28" s="105">
        <f>B5-B14</f>
        <v>52.538796239975156</v>
      </c>
      <c r="C28" s="105"/>
      <c r="D28" s="105">
        <f>D5-D14</f>
        <v>660.698934118122</v>
      </c>
      <c r="E28" s="105"/>
      <c r="K28" t="str">
        <f>[5]NPV_Roadmap!K32</f>
        <v>Standard error (%) improved forage yield</v>
      </c>
      <c r="L28">
        <f>Dairy_Income_Roadmap!L27</f>
        <v>20</v>
      </c>
    </row>
    <row r="29" spans="1:12" x14ac:dyDescent="0.3">
      <c r="B29" s="108"/>
      <c r="C29" s="108"/>
      <c r="D29" s="105"/>
      <c r="E29" s="105"/>
    </row>
    <row r="30" spans="1:12" x14ac:dyDescent="0.3">
      <c r="B30" s="102"/>
      <c r="C30" s="102"/>
      <c r="D30" s="105"/>
      <c r="E30" s="105"/>
      <c r="K30" t="str">
        <f>[5]NPV_Roadmap!K34</f>
        <v>Market price Sunflower cake (USD/kg)</v>
      </c>
      <c r="L30" s="17">
        <f>Dairy_Income_Roadmap!L29</f>
        <v>0.31928914881116705</v>
      </c>
    </row>
    <row r="31" spans="1:12" x14ac:dyDescent="0.3">
      <c r="B31" s="102"/>
      <c r="C31" s="102"/>
      <c r="D31" s="105"/>
      <c r="E31" s="105"/>
      <c r="K31" t="str">
        <f>[5]NPV_Roadmap!K35</f>
        <v>Market price Maize bran (USD/kg)</v>
      </c>
      <c r="L31" s="17">
        <f>Dairy_Income_Roadmap!L30</f>
        <v>0.26820288500138029</v>
      </c>
    </row>
    <row r="32" spans="1:12" x14ac:dyDescent="0.3">
      <c r="B32" s="102"/>
      <c r="C32" s="102"/>
      <c r="D32" s="105"/>
      <c r="E32" s="105"/>
    </row>
    <row r="33" spans="1:12" x14ac:dyDescent="0.3">
      <c r="B33" s="102"/>
      <c r="C33" s="102"/>
      <c r="D33" s="105"/>
      <c r="E33" s="105"/>
      <c r="K33" t="str">
        <f>[5]NPV_Roadmap!K37</f>
        <v>Napier yield (Mg/ha)</v>
      </c>
      <c r="L33">
        <f>Dairy_Income_Roadmap!L32</f>
        <v>13</v>
      </c>
    </row>
    <row r="34" spans="1:12" x14ac:dyDescent="0.3">
      <c r="A34" s="103" t="s">
        <v>70</v>
      </c>
      <c r="B34" s="102"/>
      <c r="C34" s="102"/>
      <c r="D34" s="102"/>
      <c r="E34" s="102"/>
      <c r="K34" t="str">
        <f>[5]NPV_Roadmap!K38</f>
        <v>Pasture yield (Mg/ha)</v>
      </c>
      <c r="L34">
        <f>Dairy_Income_Roadmap!L33</f>
        <v>5</v>
      </c>
    </row>
    <row r="35" spans="1:12" x14ac:dyDescent="0.3">
      <c r="A35" s="102" t="s">
        <v>71</v>
      </c>
      <c r="B35" s="102"/>
      <c r="C35" s="102"/>
      <c r="D35" s="102"/>
      <c r="E35" s="102"/>
    </row>
    <row r="36" spans="1:12" x14ac:dyDescent="0.3">
      <c r="A36" t="s">
        <v>18</v>
      </c>
      <c r="B36" s="105">
        <f>[1]All!$S$3*L17</f>
        <v>7.6629395714680082E-2</v>
      </c>
      <c r="C36" s="105"/>
      <c r="D36" s="105">
        <f>[1]All!$S$4*L17</f>
        <v>0.11494409357202014</v>
      </c>
      <c r="E36" s="105"/>
      <c r="K36" t="str">
        <f>[5]NPV_Roadmap!K40</f>
        <v xml:space="preserve">Opportunity cost land strata 1 </v>
      </c>
      <c r="L36" s="47">
        <f>[1]All!$N$3*L17</f>
        <v>224.39641378448817</v>
      </c>
    </row>
    <row r="37" spans="1:12" x14ac:dyDescent="0.3">
      <c r="B37" s="102"/>
      <c r="C37" s="102"/>
      <c r="D37" s="105"/>
      <c r="E37" s="105"/>
      <c r="K37" t="str">
        <f>[5]NPV_Roadmap!K41</f>
        <v>SE (fraction)</v>
      </c>
      <c r="L37" s="17">
        <f>[1]All!$U$3*L17/L36</f>
        <v>0.88275469550369956</v>
      </c>
    </row>
    <row r="38" spans="1:12" x14ac:dyDescent="0.3">
      <c r="A38" t="s">
        <v>0</v>
      </c>
      <c r="B38" s="105">
        <f>[1]All!$V$3*L17</f>
        <v>92.082990517140573</v>
      </c>
      <c r="C38" s="105"/>
      <c r="D38" s="105">
        <f>[1]All!$V$4*L17</f>
        <v>156.45168291747186</v>
      </c>
      <c r="E38" s="105"/>
      <c r="K38" t="str">
        <f>[5]NPV_Roadmap!K42</f>
        <v>Opportunity cost land strata 2</v>
      </c>
      <c r="L38" s="47">
        <f>[1]All!$N$4*L17</f>
        <v>189.14689175573534</v>
      </c>
    </row>
    <row r="39" spans="1:12" x14ac:dyDescent="0.3">
      <c r="A39" t="s">
        <v>1</v>
      </c>
      <c r="B39" s="105">
        <f>[1]All!$W$3*L17</f>
        <v>92.210706176665042</v>
      </c>
      <c r="C39" s="105"/>
      <c r="D39" s="105">
        <f>[1]All!$W$4*L17</f>
        <v>99.873645748133058</v>
      </c>
      <c r="E39" s="105"/>
      <c r="K39" t="str">
        <f>[5]NPV_Roadmap!K43</f>
        <v>SE (fraction)</v>
      </c>
      <c r="L39" s="17">
        <f>[1]All!$U$4*L17/L38</f>
        <v>1.1715057393652939</v>
      </c>
    </row>
    <row r="40" spans="1:12" x14ac:dyDescent="0.3">
      <c r="A40" t="s">
        <v>2</v>
      </c>
      <c r="B40" s="105">
        <f>[1]All!$X$3*L17</f>
        <v>32.695208838263504</v>
      </c>
      <c r="C40" s="105"/>
      <c r="D40" s="105">
        <f>[1]All!$X$4*L17</f>
        <v>12.643850292922215</v>
      </c>
      <c r="E40" s="105"/>
    </row>
    <row r="41" spans="1:12" x14ac:dyDescent="0.3">
      <c r="A41" t="s">
        <v>6</v>
      </c>
      <c r="B41" s="105">
        <f>[1]All!$Y$3*L17</f>
        <v>3.0651758285872037</v>
      </c>
      <c r="C41" s="105"/>
      <c r="D41" s="105">
        <f>[1]All!$Y$4*L17</f>
        <v>4.853195061929739</v>
      </c>
      <c r="E41" s="105"/>
    </row>
    <row r="42" spans="1:12" x14ac:dyDescent="0.3">
      <c r="A42" t="s">
        <v>3</v>
      </c>
      <c r="B42" s="105">
        <f>B12*L17</f>
        <v>0</v>
      </c>
      <c r="C42" s="105"/>
      <c r="D42" s="105">
        <f>D12*L17</f>
        <v>0</v>
      </c>
      <c r="E42" s="105"/>
    </row>
    <row r="43" spans="1:12" x14ac:dyDescent="0.3">
      <c r="A43" t="s">
        <v>19</v>
      </c>
      <c r="B43" s="105">
        <f>(1/100)*(B21*L27+B23*L28)/SUM(B21,B23)</f>
        <v>0.18979375870077736</v>
      </c>
      <c r="C43" s="105"/>
      <c r="D43" s="105">
        <f>(1/100)*(D21*L27+D23*L28)/SUM(D21,D23)</f>
        <v>0.18009005145123153</v>
      </c>
      <c r="E43" s="105"/>
    </row>
    <row r="44" spans="1:12" x14ac:dyDescent="0.3">
      <c r="A44" t="s">
        <v>20</v>
      </c>
      <c r="B44" s="101">
        <f>B19*L37</f>
        <v>252.98810305730544</v>
      </c>
      <c r="C44" s="101"/>
      <c r="D44" s="101">
        <f>D19*L39</f>
        <v>283.00087608280137</v>
      </c>
      <c r="E44" s="101"/>
    </row>
    <row r="45" spans="1:12" x14ac:dyDescent="0.3">
      <c r="B45" s="102"/>
      <c r="C45" s="102"/>
      <c r="D45" s="105"/>
      <c r="E45" s="105"/>
    </row>
    <row r="46" spans="1:12" x14ac:dyDescent="0.3">
      <c r="B46" s="102"/>
      <c r="C46" s="102"/>
      <c r="D46" s="105"/>
      <c r="E46" s="105"/>
    </row>
    <row r="47" spans="1:12" x14ac:dyDescent="0.3">
      <c r="C47" s="95" t="s">
        <v>72</v>
      </c>
      <c r="D47" s="96"/>
      <c r="E47" s="96"/>
    </row>
    <row r="48" spans="1:12" x14ac:dyDescent="0.3">
      <c r="A48" t="s">
        <v>10</v>
      </c>
      <c r="B48" s="105">
        <f ca="1">_xlfn.NORM.INV(RAND(),B3,B36)</f>
        <v>0.55975911074521822</v>
      </c>
      <c r="C48" s="105"/>
      <c r="D48" s="105">
        <f ca="1">_xlfn.NORM.INV(RAND(),D3,D36)</f>
        <v>0.60826664360802818</v>
      </c>
      <c r="E48" s="105"/>
    </row>
    <row r="49" spans="1:5" x14ac:dyDescent="0.3">
      <c r="A49" t="str">
        <f>Dairy_Income_Roadmap!A44</f>
        <v>Milk yield</v>
      </c>
      <c r="B49" s="105">
        <f ca="1">_xlfn.NORM.INV(RAND(),B3,B3*Dairy_Income_Roadmap!L21)</f>
        <v>0.50821039072980412</v>
      </c>
      <c r="C49" s="105"/>
      <c r="D49" s="105">
        <f ca="1">_xlfn.NORM.INV(RAND(),D3,D3*Dairy_Income_Roadmap!L21)</f>
        <v>0.70409511205818631</v>
      </c>
      <c r="E49" s="105"/>
    </row>
    <row r="50" spans="1:5" x14ac:dyDescent="0.3">
      <c r="B50" s="102"/>
      <c r="C50" s="102"/>
      <c r="D50" s="105"/>
      <c r="E50" s="105"/>
    </row>
    <row r="51" spans="1:5" x14ac:dyDescent="0.3">
      <c r="A51" t="s">
        <v>11</v>
      </c>
      <c r="B51" s="105">
        <f ca="1">_xlfn.NORM.INV(RAND(),B8,B38)</f>
        <v>-71.863112265574003</v>
      </c>
      <c r="C51" s="105"/>
      <c r="D51" s="105">
        <f ca="1">_xlfn.NORM.INV(RAND(),D8,D38)</f>
        <v>158.32011754759901</v>
      </c>
      <c r="E51" s="105"/>
    </row>
    <row r="52" spans="1:5" x14ac:dyDescent="0.3">
      <c r="A52" t="s">
        <v>1</v>
      </c>
      <c r="B52" s="105">
        <f ca="1">_xlfn.NORM.INV(RAND(),B9,B39)</f>
        <v>60.727481420374446</v>
      </c>
      <c r="C52" s="105"/>
      <c r="D52" s="105">
        <f ca="1">_xlfn.NORM.INV(RAND(),D9,D39)</f>
        <v>-146.22986328453624</v>
      </c>
      <c r="E52" s="105"/>
    </row>
    <row r="53" spans="1:5" x14ac:dyDescent="0.3">
      <c r="A53" t="s">
        <v>2</v>
      </c>
      <c r="B53" s="105">
        <f ca="1">_xlfn.NORM.INV(RAND(),B10,B40)</f>
        <v>31.292132223213912</v>
      </c>
      <c r="C53" s="105"/>
      <c r="D53" s="105">
        <f ca="1">_xlfn.NORM.INV(RAND(),D10,D40)</f>
        <v>22.287677836834437</v>
      </c>
      <c r="E53" s="105"/>
    </row>
    <row r="54" spans="1:5" x14ac:dyDescent="0.3">
      <c r="A54" t="s">
        <v>13</v>
      </c>
      <c r="B54" s="105">
        <f ca="1">_xlfn.NORM.INV(RAND(),B11,B41)</f>
        <v>1.9523056371782388</v>
      </c>
      <c r="C54" s="105"/>
      <c r="D54" s="105">
        <f ca="1">_xlfn.NORM.INV(RAND(),D11,D41)</f>
        <v>1.6424168119389375</v>
      </c>
      <c r="E54" s="105"/>
    </row>
    <row r="55" spans="1:5" x14ac:dyDescent="0.3">
      <c r="A55" t="s">
        <v>3</v>
      </c>
      <c r="B55" s="105">
        <v>1E-4</v>
      </c>
      <c r="C55" s="105"/>
      <c r="D55" s="105">
        <v>1E-4</v>
      </c>
      <c r="E55" s="105"/>
    </row>
    <row r="56" spans="1:5" x14ac:dyDescent="0.3">
      <c r="B56" s="102"/>
      <c r="C56" s="102"/>
      <c r="D56" s="105"/>
      <c r="E56" s="105"/>
    </row>
    <row r="57" spans="1:5" x14ac:dyDescent="0.3">
      <c r="A57" s="2" t="s">
        <v>57</v>
      </c>
      <c r="B57" s="105">
        <f>SUM(C51:C55)</f>
        <v>0</v>
      </c>
      <c r="C57" s="105"/>
      <c r="D57" s="105">
        <f>SUM(E51:E55)</f>
        <v>0</v>
      </c>
      <c r="E57" s="105"/>
    </row>
    <row r="58" spans="1:5" x14ac:dyDescent="0.3">
      <c r="A58" s="2"/>
      <c r="B58" s="102"/>
      <c r="C58" s="102"/>
      <c r="D58" s="105"/>
      <c r="E58" s="105"/>
    </row>
    <row r="59" spans="1:5" x14ac:dyDescent="0.3">
      <c r="A59" s="2" t="s">
        <v>54</v>
      </c>
      <c r="B59" s="105">
        <f ca="1">B48*B49-B57</f>
        <v>0.28447539638639507</v>
      </c>
      <c r="C59" s="105"/>
      <c r="D59" s="105">
        <f ca="1">D48*D49-D57</f>
        <v>0.42827757059245147</v>
      </c>
      <c r="E59" s="105"/>
    </row>
    <row r="60" spans="1:5" x14ac:dyDescent="0.3">
      <c r="A60" s="2"/>
      <c r="B60" s="102"/>
      <c r="C60" s="102"/>
      <c r="D60" s="105"/>
      <c r="E60" s="105"/>
    </row>
    <row r="61" spans="1:5" x14ac:dyDescent="0.3">
      <c r="A61" s="2" t="s">
        <v>14</v>
      </c>
      <c r="B61" s="105">
        <f ca="1">AVERAGE(C65:C564)</f>
        <v>109.22460849569427</v>
      </c>
      <c r="C61" s="105"/>
      <c r="D61" s="105">
        <f ca="1">AVERAGE(E65:E564)</f>
        <v>132.14185959449762</v>
      </c>
      <c r="E61" s="105"/>
    </row>
    <row r="62" spans="1:5" x14ac:dyDescent="0.3">
      <c r="A62" s="2" t="s">
        <v>12</v>
      </c>
      <c r="B62" s="105">
        <f ca="1">STDEVA(C65:C564)</f>
        <v>51.72202433233231</v>
      </c>
      <c r="C62" s="105"/>
      <c r="D62" s="105">
        <f ca="1">STDEVA(E65:E564)</f>
        <v>164.9969251664651</v>
      </c>
      <c r="E62" s="105"/>
    </row>
    <row r="63" spans="1:5" x14ac:dyDescent="0.3">
      <c r="B63" s="102"/>
      <c r="C63" s="102"/>
      <c r="D63" s="102"/>
      <c r="E63" s="102"/>
    </row>
    <row r="64" spans="1:5" x14ac:dyDescent="0.3">
      <c r="A64" s="2" t="s">
        <v>73</v>
      </c>
      <c r="B64" s="102"/>
      <c r="C64" s="102"/>
      <c r="D64" s="102"/>
      <c r="E64" s="102"/>
    </row>
    <row r="65" spans="2:5" x14ac:dyDescent="0.3">
      <c r="B65">
        <v>1</v>
      </c>
      <c r="C65" s="28">
        <f ca="1">B59</f>
        <v>0.28447539638639507</v>
      </c>
      <c r="D65">
        <f>B65</f>
        <v>1</v>
      </c>
      <c r="E65" s="28">
        <f ca="1">D59</f>
        <v>0.42827757059245147</v>
      </c>
    </row>
    <row r="66" spans="2:5" x14ac:dyDescent="0.3">
      <c r="B66">
        <v>2</v>
      </c>
      <c r="C66" s="28">
        <v>82.715732917359233</v>
      </c>
      <c r="D66">
        <f>B66</f>
        <v>2</v>
      </c>
      <c r="E66" s="28">
        <v>100.31425908170391</v>
      </c>
    </row>
    <row r="67" spans="2:5" x14ac:dyDescent="0.3">
      <c r="B67">
        <v>3</v>
      </c>
      <c r="C67" s="28">
        <v>150.64053785252631</v>
      </c>
      <c r="D67">
        <f t="shared" ref="D67:D130" si="0">B67</f>
        <v>3</v>
      </c>
      <c r="E67" s="28">
        <v>188.2248832098548</v>
      </c>
    </row>
    <row r="68" spans="2:5" x14ac:dyDescent="0.3">
      <c r="B68">
        <v>4</v>
      </c>
      <c r="C68" s="28">
        <v>95.467997065562187</v>
      </c>
      <c r="D68">
        <f t="shared" si="0"/>
        <v>4</v>
      </c>
      <c r="E68" s="28">
        <v>48.099231808819496</v>
      </c>
    </row>
    <row r="69" spans="2:5" x14ac:dyDescent="0.3">
      <c r="B69">
        <v>5</v>
      </c>
      <c r="C69" s="28">
        <v>93.084399749586481</v>
      </c>
      <c r="D69">
        <f t="shared" si="0"/>
        <v>5</v>
      </c>
      <c r="E69" s="28">
        <v>47.771101380370496</v>
      </c>
    </row>
    <row r="70" spans="2:5" x14ac:dyDescent="0.3">
      <c r="B70">
        <v>6</v>
      </c>
      <c r="C70" s="28">
        <v>124.99422269963574</v>
      </c>
      <c r="D70">
        <f t="shared" si="0"/>
        <v>6</v>
      </c>
      <c r="E70" s="28">
        <v>303.27762777151941</v>
      </c>
    </row>
    <row r="71" spans="2:5" x14ac:dyDescent="0.3">
      <c r="B71">
        <v>7</v>
      </c>
      <c r="C71" s="28">
        <v>150.86851825310296</v>
      </c>
      <c r="D71">
        <f t="shared" si="0"/>
        <v>7</v>
      </c>
      <c r="E71" s="28">
        <v>163.5605156210444</v>
      </c>
    </row>
    <row r="72" spans="2:5" x14ac:dyDescent="0.3">
      <c r="B72">
        <v>8</v>
      </c>
      <c r="C72" s="28">
        <v>129.22834620654169</v>
      </c>
      <c r="D72">
        <f t="shared" si="0"/>
        <v>8</v>
      </c>
      <c r="E72" s="28">
        <v>213.9405049725755</v>
      </c>
    </row>
    <row r="73" spans="2:5" x14ac:dyDescent="0.3">
      <c r="B73">
        <v>9</v>
      </c>
      <c r="C73" s="28">
        <v>91.388849333916767</v>
      </c>
      <c r="D73">
        <f t="shared" si="0"/>
        <v>9</v>
      </c>
      <c r="E73" s="28">
        <v>86.702223926693406</v>
      </c>
    </row>
    <row r="74" spans="2:5" x14ac:dyDescent="0.3">
      <c r="B74">
        <v>10</v>
      </c>
      <c r="C74" s="28">
        <v>107.18897427959351</v>
      </c>
      <c r="D74">
        <f t="shared" si="0"/>
        <v>10</v>
      </c>
      <c r="E74" s="28">
        <v>-245.16157907126157</v>
      </c>
    </row>
    <row r="75" spans="2:5" x14ac:dyDescent="0.3">
      <c r="B75">
        <v>11</v>
      </c>
      <c r="C75" s="28">
        <v>128.61866639409939</v>
      </c>
      <c r="D75">
        <f t="shared" si="0"/>
        <v>11</v>
      </c>
      <c r="E75" s="28">
        <v>14.512564184820619</v>
      </c>
    </row>
    <row r="76" spans="2:5" x14ac:dyDescent="0.3">
      <c r="B76">
        <v>12</v>
      </c>
      <c r="C76" s="28">
        <v>131.14340724994818</v>
      </c>
      <c r="D76">
        <f t="shared" si="0"/>
        <v>12</v>
      </c>
      <c r="E76" s="28">
        <v>-41.961380611822925</v>
      </c>
    </row>
    <row r="77" spans="2:5" x14ac:dyDescent="0.3">
      <c r="B77">
        <v>13</v>
      </c>
      <c r="C77" s="28">
        <v>130.9456531059073</v>
      </c>
      <c r="D77">
        <f t="shared" si="0"/>
        <v>13</v>
      </c>
      <c r="E77" s="28">
        <v>355.29865553674938</v>
      </c>
    </row>
    <row r="78" spans="2:5" x14ac:dyDescent="0.3">
      <c r="B78">
        <v>14</v>
      </c>
      <c r="C78" s="28">
        <v>63.286149223700498</v>
      </c>
      <c r="D78">
        <f t="shared" si="0"/>
        <v>14</v>
      </c>
      <c r="E78" s="28">
        <v>393.02004451083724</v>
      </c>
    </row>
    <row r="79" spans="2:5" x14ac:dyDescent="0.3">
      <c r="B79">
        <v>15</v>
      </c>
      <c r="C79" s="28">
        <v>85.250182989595629</v>
      </c>
      <c r="D79">
        <f t="shared" si="0"/>
        <v>15</v>
      </c>
      <c r="E79" s="28">
        <v>104.45926199997177</v>
      </c>
    </row>
    <row r="80" spans="2:5" x14ac:dyDescent="0.3">
      <c r="B80">
        <v>16</v>
      </c>
      <c r="C80" s="28">
        <v>128.18542500758969</v>
      </c>
      <c r="D80">
        <f t="shared" si="0"/>
        <v>16</v>
      </c>
      <c r="E80" s="28">
        <v>127.68537360043703</v>
      </c>
    </row>
    <row r="81" spans="2:5" x14ac:dyDescent="0.3">
      <c r="B81">
        <v>17</v>
      </c>
      <c r="C81" s="28">
        <v>107.08951890289063</v>
      </c>
      <c r="D81">
        <f t="shared" si="0"/>
        <v>17</v>
      </c>
      <c r="E81" s="28">
        <v>114.98216814011354</v>
      </c>
    </row>
    <row r="82" spans="2:5" x14ac:dyDescent="0.3">
      <c r="B82">
        <v>18</v>
      </c>
      <c r="C82" s="28">
        <v>130.66026488640381</v>
      </c>
      <c r="D82">
        <f t="shared" si="0"/>
        <v>18</v>
      </c>
      <c r="E82" s="28">
        <v>141.21280826804909</v>
      </c>
    </row>
    <row r="83" spans="2:5" x14ac:dyDescent="0.3">
      <c r="B83">
        <v>19</v>
      </c>
      <c r="C83" s="28">
        <v>150.69425548620086</v>
      </c>
      <c r="D83">
        <f t="shared" si="0"/>
        <v>19</v>
      </c>
      <c r="E83" s="28">
        <v>195.75025685226612</v>
      </c>
    </row>
    <row r="84" spans="2:5" x14ac:dyDescent="0.3">
      <c r="B84">
        <v>20</v>
      </c>
      <c r="C84" s="28">
        <v>133.91128575912552</v>
      </c>
      <c r="D84">
        <f t="shared" si="0"/>
        <v>20</v>
      </c>
      <c r="E84" s="28">
        <v>13.640735701441281</v>
      </c>
    </row>
    <row r="85" spans="2:5" x14ac:dyDescent="0.3">
      <c r="B85">
        <v>21</v>
      </c>
      <c r="C85" s="28">
        <v>89.533116457145155</v>
      </c>
      <c r="D85">
        <f t="shared" si="0"/>
        <v>21</v>
      </c>
      <c r="E85" s="28">
        <v>399.14722011324443</v>
      </c>
    </row>
    <row r="86" spans="2:5" x14ac:dyDescent="0.3">
      <c r="B86">
        <v>22</v>
      </c>
      <c r="C86" s="28">
        <v>121.97842357504359</v>
      </c>
      <c r="D86">
        <f t="shared" si="0"/>
        <v>22</v>
      </c>
      <c r="E86" s="28">
        <v>77.695028084768637</v>
      </c>
    </row>
    <row r="87" spans="2:5" x14ac:dyDescent="0.3">
      <c r="B87">
        <v>23</v>
      </c>
      <c r="C87" s="28">
        <v>148.50195170117632</v>
      </c>
      <c r="D87">
        <f t="shared" si="0"/>
        <v>23</v>
      </c>
      <c r="E87" s="28">
        <v>125.88849308957829</v>
      </c>
    </row>
    <row r="88" spans="2:5" x14ac:dyDescent="0.3">
      <c r="B88">
        <v>24</v>
      </c>
      <c r="C88" s="28">
        <v>142.90349021764217</v>
      </c>
      <c r="D88">
        <f t="shared" si="0"/>
        <v>24</v>
      </c>
      <c r="E88" s="28">
        <v>-133.33367423502312</v>
      </c>
    </row>
    <row r="89" spans="2:5" x14ac:dyDescent="0.3">
      <c r="B89">
        <v>25</v>
      </c>
      <c r="C89" s="28">
        <v>105.16096609172067</v>
      </c>
      <c r="D89">
        <f t="shared" si="0"/>
        <v>25</v>
      </c>
      <c r="E89" s="28">
        <v>60.067669530879357</v>
      </c>
    </row>
    <row r="90" spans="2:5" x14ac:dyDescent="0.3">
      <c r="B90">
        <v>26</v>
      </c>
      <c r="C90" s="28">
        <v>174.984969682816</v>
      </c>
      <c r="D90">
        <f t="shared" si="0"/>
        <v>26</v>
      </c>
      <c r="E90" s="28">
        <v>103.81432562218944</v>
      </c>
    </row>
    <row r="91" spans="2:5" x14ac:dyDescent="0.3">
      <c r="B91">
        <v>27</v>
      </c>
      <c r="C91" s="28">
        <v>114.08343019063352</v>
      </c>
      <c r="D91">
        <f t="shared" si="0"/>
        <v>27</v>
      </c>
      <c r="E91" s="28">
        <v>-73.839758788591041</v>
      </c>
    </row>
    <row r="92" spans="2:5" x14ac:dyDescent="0.3">
      <c r="B92">
        <v>28</v>
      </c>
      <c r="C92" s="28">
        <v>97.047777661728446</v>
      </c>
      <c r="D92">
        <f t="shared" si="0"/>
        <v>28</v>
      </c>
      <c r="E92" s="28">
        <v>-62.324426838927046</v>
      </c>
    </row>
    <row r="93" spans="2:5" x14ac:dyDescent="0.3">
      <c r="B93">
        <v>29</v>
      </c>
      <c r="C93" s="28">
        <v>154.29621328281684</v>
      </c>
      <c r="D93">
        <f t="shared" si="0"/>
        <v>29</v>
      </c>
      <c r="E93" s="28">
        <v>16.849409223996901</v>
      </c>
    </row>
    <row r="94" spans="2:5" x14ac:dyDescent="0.3">
      <c r="B94">
        <v>30</v>
      </c>
      <c r="C94" s="28">
        <v>72.592857964313609</v>
      </c>
      <c r="D94">
        <f t="shared" si="0"/>
        <v>30</v>
      </c>
      <c r="E94" s="28">
        <v>90.845243433167269</v>
      </c>
    </row>
    <row r="95" spans="2:5" x14ac:dyDescent="0.3">
      <c r="B95">
        <v>31</v>
      </c>
      <c r="C95" s="28">
        <v>183.06623071069876</v>
      </c>
      <c r="D95">
        <f t="shared" si="0"/>
        <v>31</v>
      </c>
      <c r="E95" s="28">
        <v>-107.76814516460533</v>
      </c>
    </row>
    <row r="96" spans="2:5" x14ac:dyDescent="0.3">
      <c r="B96">
        <v>32</v>
      </c>
      <c r="C96" s="28">
        <v>139.52449875354756</v>
      </c>
      <c r="D96">
        <f t="shared" si="0"/>
        <v>32</v>
      </c>
      <c r="E96" s="28">
        <v>129.77398161844678</v>
      </c>
    </row>
    <row r="97" spans="2:5" x14ac:dyDescent="0.3">
      <c r="B97">
        <v>33</v>
      </c>
      <c r="C97" s="28">
        <v>147.39150410709334</v>
      </c>
      <c r="D97">
        <f t="shared" si="0"/>
        <v>33</v>
      </c>
      <c r="E97" s="28">
        <v>274.55452286467562</v>
      </c>
    </row>
    <row r="98" spans="2:5" x14ac:dyDescent="0.3">
      <c r="B98">
        <v>34</v>
      </c>
      <c r="C98" s="28">
        <v>63.703974132459692</v>
      </c>
      <c r="D98">
        <f t="shared" si="0"/>
        <v>34</v>
      </c>
      <c r="E98" s="28">
        <v>95.494066750863027</v>
      </c>
    </row>
    <row r="99" spans="2:5" x14ac:dyDescent="0.3">
      <c r="B99">
        <v>35</v>
      </c>
      <c r="C99" s="28">
        <v>148.03010375170271</v>
      </c>
      <c r="D99">
        <f t="shared" si="0"/>
        <v>35</v>
      </c>
      <c r="E99" s="28">
        <v>121.38770388642152</v>
      </c>
    </row>
    <row r="100" spans="2:5" x14ac:dyDescent="0.3">
      <c r="B100">
        <v>36</v>
      </c>
      <c r="C100" s="28">
        <v>235.90567673431656</v>
      </c>
      <c r="D100">
        <f t="shared" si="0"/>
        <v>36</v>
      </c>
      <c r="E100" s="28">
        <v>24.727744880666442</v>
      </c>
    </row>
    <row r="101" spans="2:5" x14ac:dyDescent="0.3">
      <c r="B101">
        <v>37</v>
      </c>
      <c r="C101" s="28">
        <v>69.475304507401049</v>
      </c>
      <c r="D101">
        <f t="shared" si="0"/>
        <v>37</v>
      </c>
      <c r="E101" s="28">
        <v>404.69438495500043</v>
      </c>
    </row>
    <row r="102" spans="2:5" x14ac:dyDescent="0.3">
      <c r="B102">
        <v>38</v>
      </c>
      <c r="C102" s="28">
        <v>35.342037982925689</v>
      </c>
      <c r="D102">
        <f t="shared" si="0"/>
        <v>38</v>
      </c>
      <c r="E102" s="28">
        <v>248.47194792708697</v>
      </c>
    </row>
    <row r="103" spans="2:5" x14ac:dyDescent="0.3">
      <c r="B103">
        <v>39</v>
      </c>
      <c r="C103" s="28">
        <v>160.0700612838217</v>
      </c>
      <c r="D103">
        <f t="shared" si="0"/>
        <v>39</v>
      </c>
      <c r="E103" s="28">
        <v>280.25639347318111</v>
      </c>
    </row>
    <row r="104" spans="2:5" x14ac:dyDescent="0.3">
      <c r="B104">
        <v>40</v>
      </c>
      <c r="C104" s="28">
        <v>102.26628531373719</v>
      </c>
      <c r="D104">
        <f t="shared" si="0"/>
        <v>40</v>
      </c>
      <c r="E104" s="28">
        <v>78.702555479357855</v>
      </c>
    </row>
    <row r="105" spans="2:5" x14ac:dyDescent="0.3">
      <c r="B105">
        <v>41</v>
      </c>
      <c r="C105" s="28">
        <v>102.21726403831076</v>
      </c>
      <c r="D105">
        <f t="shared" si="0"/>
        <v>41</v>
      </c>
      <c r="E105" s="28">
        <v>385.79531772042782</v>
      </c>
    </row>
    <row r="106" spans="2:5" x14ac:dyDescent="0.3">
      <c r="B106">
        <v>42</v>
      </c>
      <c r="C106" s="28">
        <v>161.81239065701962</v>
      </c>
      <c r="D106">
        <f t="shared" si="0"/>
        <v>42</v>
      </c>
      <c r="E106" s="28">
        <v>-22.475515145511061</v>
      </c>
    </row>
    <row r="107" spans="2:5" x14ac:dyDescent="0.3">
      <c r="B107">
        <v>43</v>
      </c>
      <c r="C107" s="28">
        <v>16.807011107220607</v>
      </c>
      <c r="D107">
        <f t="shared" si="0"/>
        <v>43</v>
      </c>
      <c r="E107" s="28">
        <v>428.26082670489461</v>
      </c>
    </row>
    <row r="108" spans="2:5" x14ac:dyDescent="0.3">
      <c r="B108">
        <v>44</v>
      </c>
      <c r="C108" s="28">
        <v>97.755141088746853</v>
      </c>
      <c r="D108">
        <f t="shared" si="0"/>
        <v>44</v>
      </c>
      <c r="E108" s="28">
        <v>82.492438138901775</v>
      </c>
    </row>
    <row r="109" spans="2:5" x14ac:dyDescent="0.3">
      <c r="B109">
        <v>45</v>
      </c>
      <c r="C109" s="28">
        <v>113.32087687358538</v>
      </c>
      <c r="D109">
        <f t="shared" si="0"/>
        <v>45</v>
      </c>
      <c r="E109" s="28">
        <v>-74.729050464859483</v>
      </c>
    </row>
    <row r="110" spans="2:5" x14ac:dyDescent="0.3">
      <c r="B110">
        <v>46</v>
      </c>
      <c r="C110" s="28">
        <v>245.62476799762575</v>
      </c>
      <c r="D110">
        <f t="shared" si="0"/>
        <v>46</v>
      </c>
      <c r="E110" s="28">
        <v>130.50913923152751</v>
      </c>
    </row>
    <row r="111" spans="2:5" x14ac:dyDescent="0.3">
      <c r="B111">
        <v>47</v>
      </c>
      <c r="C111" s="28">
        <v>108.88185697277842</v>
      </c>
      <c r="D111">
        <f t="shared" si="0"/>
        <v>47</v>
      </c>
      <c r="E111" s="28">
        <v>23.699026606504042</v>
      </c>
    </row>
    <row r="112" spans="2:5" x14ac:dyDescent="0.3">
      <c r="B112">
        <v>48</v>
      </c>
      <c r="C112" s="28">
        <v>89.850399302524679</v>
      </c>
      <c r="D112">
        <f t="shared" si="0"/>
        <v>48</v>
      </c>
      <c r="E112" s="28">
        <v>260.8594165495457</v>
      </c>
    </row>
    <row r="113" spans="2:5" x14ac:dyDescent="0.3">
      <c r="B113">
        <v>49</v>
      </c>
      <c r="C113" s="28">
        <v>112.49654033039573</v>
      </c>
      <c r="D113">
        <f t="shared" si="0"/>
        <v>49</v>
      </c>
      <c r="E113" s="28">
        <v>51.999858042409969</v>
      </c>
    </row>
    <row r="114" spans="2:5" x14ac:dyDescent="0.3">
      <c r="B114">
        <v>50</v>
      </c>
      <c r="C114" s="28">
        <v>139.34400908670983</v>
      </c>
      <c r="D114">
        <f t="shared" si="0"/>
        <v>50</v>
      </c>
      <c r="E114" s="28">
        <v>181.55754740960612</v>
      </c>
    </row>
    <row r="115" spans="2:5" x14ac:dyDescent="0.3">
      <c r="B115">
        <v>51</v>
      </c>
      <c r="C115" s="28">
        <v>153.77363278727671</v>
      </c>
      <c r="D115">
        <f t="shared" si="0"/>
        <v>51</v>
      </c>
      <c r="E115" s="28">
        <v>99.034012994700404</v>
      </c>
    </row>
    <row r="116" spans="2:5" x14ac:dyDescent="0.3">
      <c r="B116">
        <v>52</v>
      </c>
      <c r="C116" s="28">
        <v>124.82728546489302</v>
      </c>
      <c r="D116">
        <f t="shared" si="0"/>
        <v>52</v>
      </c>
      <c r="E116" s="28">
        <v>305.10836907425517</v>
      </c>
    </row>
    <row r="117" spans="2:5" x14ac:dyDescent="0.3">
      <c r="B117">
        <v>53</v>
      </c>
      <c r="C117" s="28">
        <v>143.42914003933896</v>
      </c>
      <c r="D117">
        <f t="shared" si="0"/>
        <v>53</v>
      </c>
      <c r="E117" s="28">
        <v>19.205127200204142</v>
      </c>
    </row>
    <row r="118" spans="2:5" x14ac:dyDescent="0.3">
      <c r="B118">
        <v>54</v>
      </c>
      <c r="C118" s="28">
        <v>111.15399215660598</v>
      </c>
      <c r="D118">
        <f t="shared" si="0"/>
        <v>54</v>
      </c>
      <c r="E118" s="28">
        <v>-206.29534396449975</v>
      </c>
    </row>
    <row r="119" spans="2:5" x14ac:dyDescent="0.3">
      <c r="B119">
        <v>55</v>
      </c>
      <c r="C119" s="28">
        <v>98.920496114582903</v>
      </c>
      <c r="D119">
        <f t="shared" si="0"/>
        <v>55</v>
      </c>
      <c r="E119" s="28">
        <v>163.64137040364307</v>
      </c>
    </row>
    <row r="120" spans="2:5" x14ac:dyDescent="0.3">
      <c r="B120">
        <v>56</v>
      </c>
      <c r="C120" s="28">
        <v>-5.1068403356315049</v>
      </c>
      <c r="D120">
        <f t="shared" si="0"/>
        <v>56</v>
      </c>
      <c r="E120" s="28">
        <v>67.023807422394412</v>
      </c>
    </row>
    <row r="121" spans="2:5" x14ac:dyDescent="0.3">
      <c r="B121">
        <v>57</v>
      </c>
      <c r="C121" s="28">
        <v>98.42333637237644</v>
      </c>
      <c r="D121">
        <f t="shared" si="0"/>
        <v>57</v>
      </c>
      <c r="E121" s="28">
        <v>-121.03589228698806</v>
      </c>
    </row>
    <row r="122" spans="2:5" x14ac:dyDescent="0.3">
      <c r="B122">
        <v>58</v>
      </c>
      <c r="C122" s="28">
        <v>45.10796179162454</v>
      </c>
      <c r="D122">
        <f t="shared" si="0"/>
        <v>58</v>
      </c>
      <c r="E122" s="28">
        <v>343.92675673700438</v>
      </c>
    </row>
    <row r="123" spans="2:5" x14ac:dyDescent="0.3">
      <c r="B123">
        <v>59</v>
      </c>
      <c r="C123" s="28">
        <v>148.03062687851414</v>
      </c>
      <c r="D123">
        <f t="shared" si="0"/>
        <v>59</v>
      </c>
      <c r="E123" s="28">
        <v>102.58228044796563</v>
      </c>
    </row>
    <row r="124" spans="2:5" x14ac:dyDescent="0.3">
      <c r="B124">
        <v>60</v>
      </c>
      <c r="C124" s="28">
        <v>87.62477489100192</v>
      </c>
      <c r="D124">
        <f t="shared" si="0"/>
        <v>60</v>
      </c>
      <c r="E124" s="28">
        <v>195.19644290789259</v>
      </c>
    </row>
    <row r="125" spans="2:5" x14ac:dyDescent="0.3">
      <c r="B125">
        <v>61</v>
      </c>
      <c r="C125" s="28">
        <v>-26.028275808642839</v>
      </c>
      <c r="D125">
        <f t="shared" si="0"/>
        <v>61</v>
      </c>
      <c r="E125" s="28">
        <v>-228.44737666213655</v>
      </c>
    </row>
    <row r="126" spans="2:5" x14ac:dyDescent="0.3">
      <c r="B126">
        <v>62</v>
      </c>
      <c r="C126" s="28">
        <v>45.376791082575544</v>
      </c>
      <c r="D126">
        <f t="shared" si="0"/>
        <v>62</v>
      </c>
      <c r="E126" s="28">
        <v>260.14404592244051</v>
      </c>
    </row>
    <row r="127" spans="2:5" x14ac:dyDescent="0.3">
      <c r="B127">
        <v>63</v>
      </c>
      <c r="C127" s="28">
        <v>159.11968390293077</v>
      </c>
      <c r="D127">
        <f t="shared" si="0"/>
        <v>63</v>
      </c>
      <c r="E127" s="28">
        <v>22.902133065006133</v>
      </c>
    </row>
    <row r="128" spans="2:5" x14ac:dyDescent="0.3">
      <c r="B128">
        <v>64</v>
      </c>
      <c r="C128" s="28">
        <v>161.17392612408122</v>
      </c>
      <c r="D128">
        <f t="shared" si="0"/>
        <v>64</v>
      </c>
      <c r="E128" s="28">
        <v>312.91645168749938</v>
      </c>
    </row>
    <row r="129" spans="2:5" x14ac:dyDescent="0.3">
      <c r="B129">
        <v>65</v>
      </c>
      <c r="C129" s="28">
        <v>37.340879036775171</v>
      </c>
      <c r="D129">
        <f t="shared" si="0"/>
        <v>65</v>
      </c>
      <c r="E129" s="28">
        <v>-1.2859120801407151</v>
      </c>
    </row>
    <row r="130" spans="2:5" x14ac:dyDescent="0.3">
      <c r="B130">
        <v>66</v>
      </c>
      <c r="C130" s="28">
        <v>118.5003825689799</v>
      </c>
      <c r="D130">
        <f t="shared" si="0"/>
        <v>66</v>
      </c>
      <c r="E130" s="28">
        <v>92.047605316381095</v>
      </c>
    </row>
    <row r="131" spans="2:5" x14ac:dyDescent="0.3">
      <c r="B131">
        <v>67</v>
      </c>
      <c r="C131" s="28">
        <v>60.329341003166384</v>
      </c>
      <c r="D131">
        <f t="shared" ref="D131:D194" si="1">B131</f>
        <v>67</v>
      </c>
      <c r="E131" s="28">
        <v>137.13608225998792</v>
      </c>
    </row>
    <row r="132" spans="2:5" x14ac:dyDescent="0.3">
      <c r="B132">
        <v>68</v>
      </c>
      <c r="C132" s="28">
        <v>163.61795610723888</v>
      </c>
      <c r="D132">
        <f t="shared" si="1"/>
        <v>68</v>
      </c>
      <c r="E132" s="28">
        <v>20.085902176859715</v>
      </c>
    </row>
    <row r="133" spans="2:5" x14ac:dyDescent="0.3">
      <c r="B133">
        <v>69</v>
      </c>
      <c r="C133" s="28">
        <v>110.91156541943398</v>
      </c>
      <c r="D133">
        <f t="shared" si="1"/>
        <v>69</v>
      </c>
      <c r="E133" s="28">
        <v>-225.85600810949063</v>
      </c>
    </row>
    <row r="134" spans="2:5" x14ac:dyDescent="0.3">
      <c r="B134">
        <v>70</v>
      </c>
      <c r="C134" s="28">
        <v>16.415187108894195</v>
      </c>
      <c r="D134">
        <f t="shared" si="1"/>
        <v>70</v>
      </c>
      <c r="E134" s="28">
        <v>55.708937378379424</v>
      </c>
    </row>
    <row r="135" spans="2:5" x14ac:dyDescent="0.3">
      <c r="B135">
        <v>71</v>
      </c>
      <c r="C135" s="28">
        <v>124.17685546087641</v>
      </c>
      <c r="D135">
        <f t="shared" si="1"/>
        <v>71</v>
      </c>
      <c r="E135" s="28">
        <v>-70.219584274231664</v>
      </c>
    </row>
    <row r="136" spans="2:5" x14ac:dyDescent="0.3">
      <c r="B136">
        <v>72</v>
      </c>
      <c r="C136" s="28">
        <v>58.226851399636644</v>
      </c>
      <c r="D136">
        <f t="shared" si="1"/>
        <v>72</v>
      </c>
      <c r="E136" s="28">
        <v>-75.305512700572791</v>
      </c>
    </row>
    <row r="137" spans="2:5" x14ac:dyDescent="0.3">
      <c r="B137">
        <v>73</v>
      </c>
      <c r="C137" s="28">
        <v>171.03574908310796</v>
      </c>
      <c r="D137">
        <f t="shared" si="1"/>
        <v>73</v>
      </c>
      <c r="E137" s="28">
        <v>166.79260052460421</v>
      </c>
    </row>
    <row r="138" spans="2:5" x14ac:dyDescent="0.3">
      <c r="B138">
        <v>74</v>
      </c>
      <c r="C138" s="28">
        <v>117.39957764530759</v>
      </c>
      <c r="D138">
        <f t="shared" si="1"/>
        <v>74</v>
      </c>
      <c r="E138" s="28">
        <v>479.85084118512316</v>
      </c>
    </row>
    <row r="139" spans="2:5" x14ac:dyDescent="0.3">
      <c r="B139">
        <v>75</v>
      </c>
      <c r="C139" s="28">
        <v>120.87357604290155</v>
      </c>
      <c r="D139">
        <f t="shared" si="1"/>
        <v>75</v>
      </c>
      <c r="E139" s="28">
        <v>234.9686182914223</v>
      </c>
    </row>
    <row r="140" spans="2:5" x14ac:dyDescent="0.3">
      <c r="B140">
        <v>76</v>
      </c>
      <c r="C140" s="28">
        <v>116.75703065844274</v>
      </c>
      <c r="D140">
        <f t="shared" si="1"/>
        <v>76</v>
      </c>
      <c r="E140" s="28">
        <v>-73.457552440398814</v>
      </c>
    </row>
    <row r="141" spans="2:5" x14ac:dyDescent="0.3">
      <c r="B141">
        <v>77</v>
      </c>
      <c r="C141" s="28">
        <v>125.45591309151992</v>
      </c>
      <c r="D141">
        <f t="shared" si="1"/>
        <v>77</v>
      </c>
      <c r="E141" s="28">
        <v>-181.45715537408472</v>
      </c>
    </row>
    <row r="142" spans="2:5" x14ac:dyDescent="0.3">
      <c r="B142">
        <v>78</v>
      </c>
      <c r="C142" s="28">
        <v>112.17918742181602</v>
      </c>
      <c r="D142">
        <f t="shared" si="1"/>
        <v>78</v>
      </c>
      <c r="E142" s="28">
        <v>254.00546430515641</v>
      </c>
    </row>
    <row r="143" spans="2:5" x14ac:dyDescent="0.3">
      <c r="B143">
        <v>79</v>
      </c>
      <c r="C143" s="28">
        <v>164.91237146123737</v>
      </c>
      <c r="D143">
        <f t="shared" si="1"/>
        <v>79</v>
      </c>
      <c r="E143" s="28">
        <v>114.45302758758615</v>
      </c>
    </row>
    <row r="144" spans="2:5" x14ac:dyDescent="0.3">
      <c r="B144">
        <v>80</v>
      </c>
      <c r="C144" s="28">
        <v>48.493754521764906</v>
      </c>
      <c r="D144">
        <f t="shared" si="1"/>
        <v>80</v>
      </c>
      <c r="E144" s="28">
        <v>415.48227690439001</v>
      </c>
    </row>
    <row r="145" spans="2:5" x14ac:dyDescent="0.3">
      <c r="B145">
        <v>81</v>
      </c>
      <c r="C145" s="28">
        <v>106.92460793902933</v>
      </c>
      <c r="D145">
        <f t="shared" si="1"/>
        <v>81</v>
      </c>
      <c r="E145" s="28">
        <v>-130.16822952670455</v>
      </c>
    </row>
    <row r="146" spans="2:5" x14ac:dyDescent="0.3">
      <c r="B146">
        <v>82</v>
      </c>
      <c r="C146" s="28">
        <v>60.186573240195585</v>
      </c>
      <c r="D146">
        <f t="shared" si="1"/>
        <v>82</v>
      </c>
      <c r="E146" s="28">
        <v>77.744786612716481</v>
      </c>
    </row>
    <row r="147" spans="2:5" x14ac:dyDescent="0.3">
      <c r="B147">
        <v>83</v>
      </c>
      <c r="C147" s="28">
        <v>139.85710529145226</v>
      </c>
      <c r="D147">
        <f t="shared" si="1"/>
        <v>83</v>
      </c>
      <c r="E147" s="28">
        <v>40.195614567457937</v>
      </c>
    </row>
    <row r="148" spans="2:5" x14ac:dyDescent="0.3">
      <c r="B148">
        <v>84</v>
      </c>
      <c r="C148" s="28">
        <v>147.36689930196181</v>
      </c>
      <c r="D148">
        <f t="shared" si="1"/>
        <v>84</v>
      </c>
      <c r="E148" s="28">
        <v>291.35984557281955</v>
      </c>
    </row>
    <row r="149" spans="2:5" x14ac:dyDescent="0.3">
      <c r="B149">
        <v>85</v>
      </c>
      <c r="C149" s="28">
        <v>129.89273414108462</v>
      </c>
      <c r="D149">
        <f t="shared" si="1"/>
        <v>85</v>
      </c>
      <c r="E149" s="28">
        <v>39.319822817409772</v>
      </c>
    </row>
    <row r="150" spans="2:5" x14ac:dyDescent="0.3">
      <c r="B150">
        <v>86</v>
      </c>
      <c r="C150" s="28">
        <v>93.073399222368366</v>
      </c>
      <c r="D150">
        <f t="shared" si="1"/>
        <v>86</v>
      </c>
      <c r="E150" s="28">
        <v>403.14195815691545</v>
      </c>
    </row>
    <row r="151" spans="2:5" x14ac:dyDescent="0.3">
      <c r="B151">
        <v>87</v>
      </c>
      <c r="C151" s="28">
        <v>114.18575923027227</v>
      </c>
      <c r="D151">
        <f t="shared" si="1"/>
        <v>87</v>
      </c>
      <c r="E151" s="28">
        <v>231.44749827568543</v>
      </c>
    </row>
    <row r="152" spans="2:5" x14ac:dyDescent="0.3">
      <c r="B152">
        <v>88</v>
      </c>
      <c r="C152" s="28">
        <v>128.91255376375855</v>
      </c>
      <c r="D152">
        <f t="shared" si="1"/>
        <v>88</v>
      </c>
      <c r="E152" s="28">
        <v>319.60179377604322</v>
      </c>
    </row>
    <row r="153" spans="2:5" x14ac:dyDescent="0.3">
      <c r="B153">
        <v>89</v>
      </c>
      <c r="C153" s="28">
        <v>111.18378836788891</v>
      </c>
      <c r="D153">
        <f t="shared" si="1"/>
        <v>89</v>
      </c>
      <c r="E153" s="28">
        <v>15.854003240270519</v>
      </c>
    </row>
    <row r="154" spans="2:5" x14ac:dyDescent="0.3">
      <c r="B154">
        <v>90</v>
      </c>
      <c r="C154" s="28">
        <v>213.01300923795262</v>
      </c>
      <c r="D154">
        <f t="shared" si="1"/>
        <v>90</v>
      </c>
      <c r="E154" s="28">
        <v>22.523070577834247</v>
      </c>
    </row>
    <row r="155" spans="2:5" x14ac:dyDescent="0.3">
      <c r="B155">
        <v>91</v>
      </c>
      <c r="C155" s="28">
        <v>26.079390544094974</v>
      </c>
      <c r="D155">
        <f t="shared" si="1"/>
        <v>91</v>
      </c>
      <c r="E155" s="28">
        <v>95.346196843931949</v>
      </c>
    </row>
    <row r="156" spans="2:5" x14ac:dyDescent="0.3">
      <c r="B156">
        <v>92</v>
      </c>
      <c r="C156" s="28">
        <v>129.35531640152675</v>
      </c>
      <c r="D156">
        <f t="shared" si="1"/>
        <v>92</v>
      </c>
      <c r="E156" s="28">
        <v>180.18160413059013</v>
      </c>
    </row>
    <row r="157" spans="2:5" x14ac:dyDescent="0.3">
      <c r="B157">
        <v>93</v>
      </c>
      <c r="C157" s="28">
        <v>93.609219696369337</v>
      </c>
      <c r="D157">
        <f t="shared" si="1"/>
        <v>93</v>
      </c>
      <c r="E157" s="28">
        <v>153.24300082936682</v>
      </c>
    </row>
    <row r="158" spans="2:5" x14ac:dyDescent="0.3">
      <c r="B158">
        <v>94</v>
      </c>
      <c r="C158" s="28">
        <v>106.55308992977982</v>
      </c>
      <c r="D158">
        <f t="shared" si="1"/>
        <v>94</v>
      </c>
      <c r="E158" s="28">
        <v>250.67229012263965</v>
      </c>
    </row>
    <row r="159" spans="2:5" x14ac:dyDescent="0.3">
      <c r="B159">
        <v>95</v>
      </c>
      <c r="C159" s="28">
        <v>110.78640081566178</v>
      </c>
      <c r="D159">
        <f t="shared" si="1"/>
        <v>95</v>
      </c>
      <c r="E159" s="28">
        <v>345.58856966324811</v>
      </c>
    </row>
    <row r="160" spans="2:5" x14ac:dyDescent="0.3">
      <c r="B160">
        <v>96</v>
      </c>
      <c r="C160" s="28">
        <v>89.176393594061878</v>
      </c>
      <c r="D160">
        <f t="shared" si="1"/>
        <v>96</v>
      </c>
      <c r="E160" s="28">
        <v>171.5569798012404</v>
      </c>
    </row>
    <row r="161" spans="2:5" x14ac:dyDescent="0.3">
      <c r="B161">
        <v>97</v>
      </c>
      <c r="C161" s="28">
        <v>171.55920900939648</v>
      </c>
      <c r="D161">
        <f t="shared" si="1"/>
        <v>97</v>
      </c>
      <c r="E161" s="28">
        <v>389.8754788345002</v>
      </c>
    </row>
    <row r="162" spans="2:5" x14ac:dyDescent="0.3">
      <c r="B162">
        <v>98</v>
      </c>
      <c r="C162" s="28">
        <v>131.39426779444301</v>
      </c>
      <c r="D162">
        <f t="shared" si="1"/>
        <v>98</v>
      </c>
      <c r="E162" s="28">
        <v>225.79914626970785</v>
      </c>
    </row>
    <row r="163" spans="2:5" x14ac:dyDescent="0.3">
      <c r="B163">
        <v>99</v>
      </c>
      <c r="C163" s="28">
        <v>146.09190317947184</v>
      </c>
      <c r="D163">
        <f t="shared" si="1"/>
        <v>99</v>
      </c>
      <c r="E163" s="28">
        <v>136.69715653639679</v>
      </c>
    </row>
    <row r="164" spans="2:5" x14ac:dyDescent="0.3">
      <c r="B164">
        <v>100</v>
      </c>
      <c r="C164" s="28">
        <v>28.680665379802242</v>
      </c>
      <c r="D164">
        <f t="shared" si="1"/>
        <v>100</v>
      </c>
      <c r="E164" s="28">
        <v>31.156916865263788</v>
      </c>
    </row>
    <row r="165" spans="2:5" x14ac:dyDescent="0.3">
      <c r="B165">
        <v>101</v>
      </c>
      <c r="C165" s="28">
        <v>181.72640370964015</v>
      </c>
      <c r="D165">
        <f t="shared" si="1"/>
        <v>101</v>
      </c>
      <c r="E165" s="28">
        <v>178.79071968172772</v>
      </c>
    </row>
    <row r="166" spans="2:5" x14ac:dyDescent="0.3">
      <c r="B166">
        <v>102</v>
      </c>
      <c r="C166" s="28">
        <v>137.44746980003831</v>
      </c>
      <c r="D166">
        <f t="shared" si="1"/>
        <v>102</v>
      </c>
      <c r="E166" s="28">
        <v>127.22677899062644</v>
      </c>
    </row>
    <row r="167" spans="2:5" x14ac:dyDescent="0.3">
      <c r="B167">
        <v>103</v>
      </c>
      <c r="C167" s="28">
        <v>137.21405047256545</v>
      </c>
      <c r="D167">
        <f t="shared" si="1"/>
        <v>103</v>
      </c>
      <c r="E167" s="28">
        <v>134.70935243105907</v>
      </c>
    </row>
    <row r="168" spans="2:5" x14ac:dyDescent="0.3">
      <c r="B168">
        <v>104</v>
      </c>
      <c r="C168" s="28">
        <v>159.5112648520543</v>
      </c>
      <c r="D168">
        <f t="shared" si="1"/>
        <v>104</v>
      </c>
      <c r="E168" s="28">
        <v>265.29164535520971</v>
      </c>
    </row>
    <row r="169" spans="2:5" x14ac:dyDescent="0.3">
      <c r="B169">
        <v>105</v>
      </c>
      <c r="C169" s="28">
        <v>210.23137858290789</v>
      </c>
      <c r="D169">
        <f t="shared" si="1"/>
        <v>105</v>
      </c>
      <c r="E169" s="28">
        <v>7.7715946672290697</v>
      </c>
    </row>
    <row r="170" spans="2:5" x14ac:dyDescent="0.3">
      <c r="B170">
        <v>106</v>
      </c>
      <c r="C170" s="28">
        <v>103.37002730641279</v>
      </c>
      <c r="D170">
        <f t="shared" si="1"/>
        <v>106</v>
      </c>
      <c r="E170" s="28">
        <v>53.244415549263501</v>
      </c>
    </row>
    <row r="171" spans="2:5" x14ac:dyDescent="0.3">
      <c r="B171">
        <v>107</v>
      </c>
      <c r="C171" s="28">
        <v>91.988270727162572</v>
      </c>
      <c r="D171">
        <f t="shared" si="1"/>
        <v>107</v>
      </c>
      <c r="E171" s="28">
        <v>-82.922521851976583</v>
      </c>
    </row>
    <row r="172" spans="2:5" x14ac:dyDescent="0.3">
      <c r="B172">
        <v>108</v>
      </c>
      <c r="C172" s="28">
        <v>79.587874632097879</v>
      </c>
      <c r="D172">
        <f t="shared" si="1"/>
        <v>108</v>
      </c>
      <c r="E172" s="28">
        <v>307.98075381966555</v>
      </c>
    </row>
    <row r="173" spans="2:5" x14ac:dyDescent="0.3">
      <c r="B173">
        <v>109</v>
      </c>
      <c r="C173" s="28">
        <v>129.97973857846353</v>
      </c>
      <c r="D173">
        <f t="shared" si="1"/>
        <v>109</v>
      </c>
      <c r="E173" s="28">
        <v>351.97031677696674</v>
      </c>
    </row>
    <row r="174" spans="2:5" x14ac:dyDescent="0.3">
      <c r="B174">
        <v>110</v>
      </c>
      <c r="C174" s="28">
        <v>153.95055044846364</v>
      </c>
      <c r="D174">
        <f t="shared" si="1"/>
        <v>110</v>
      </c>
      <c r="E174" s="28">
        <v>16.623844681359667</v>
      </c>
    </row>
    <row r="175" spans="2:5" x14ac:dyDescent="0.3">
      <c r="B175">
        <v>111</v>
      </c>
      <c r="C175" s="28">
        <v>120.35673948477181</v>
      </c>
      <c r="D175">
        <f t="shared" si="1"/>
        <v>111</v>
      </c>
      <c r="E175" s="28">
        <v>-52.030988987988835</v>
      </c>
    </row>
    <row r="176" spans="2:5" x14ac:dyDescent="0.3">
      <c r="B176">
        <v>112</v>
      </c>
      <c r="C176" s="28">
        <v>138.39064288319241</v>
      </c>
      <c r="D176">
        <f t="shared" si="1"/>
        <v>112</v>
      </c>
      <c r="E176" s="28">
        <v>-85.13103357887853</v>
      </c>
    </row>
    <row r="177" spans="2:5" x14ac:dyDescent="0.3">
      <c r="B177">
        <v>113</v>
      </c>
      <c r="C177" s="28">
        <v>107.40066978897418</v>
      </c>
      <c r="D177">
        <f t="shared" si="1"/>
        <v>113</v>
      </c>
      <c r="E177" s="28">
        <v>259.13960124129051</v>
      </c>
    </row>
    <row r="178" spans="2:5" x14ac:dyDescent="0.3">
      <c r="B178">
        <v>114</v>
      </c>
      <c r="C178" s="28">
        <v>114.94954333823152</v>
      </c>
      <c r="D178">
        <f t="shared" si="1"/>
        <v>114</v>
      </c>
      <c r="E178" s="28">
        <v>131.5993549475352</v>
      </c>
    </row>
    <row r="179" spans="2:5" x14ac:dyDescent="0.3">
      <c r="B179">
        <v>115</v>
      </c>
      <c r="C179" s="28">
        <v>167.88494482283701</v>
      </c>
      <c r="D179">
        <f t="shared" si="1"/>
        <v>115</v>
      </c>
      <c r="E179" s="28">
        <v>-113.31211209647522</v>
      </c>
    </row>
    <row r="180" spans="2:5" x14ac:dyDescent="0.3">
      <c r="B180">
        <v>116</v>
      </c>
      <c r="C180" s="28">
        <v>6.7292421927568755</v>
      </c>
      <c r="D180">
        <f t="shared" si="1"/>
        <v>116</v>
      </c>
      <c r="E180" s="28">
        <v>22.742034516955478</v>
      </c>
    </row>
    <row r="181" spans="2:5" x14ac:dyDescent="0.3">
      <c r="B181">
        <v>117</v>
      </c>
      <c r="C181" s="28">
        <v>138.70069233316011</v>
      </c>
      <c r="D181">
        <f t="shared" si="1"/>
        <v>117</v>
      </c>
      <c r="E181" s="28">
        <v>255.47274240981696</v>
      </c>
    </row>
    <row r="182" spans="2:5" x14ac:dyDescent="0.3">
      <c r="B182">
        <v>118</v>
      </c>
      <c r="C182" s="28">
        <v>116.02914477978099</v>
      </c>
      <c r="D182">
        <f t="shared" si="1"/>
        <v>118</v>
      </c>
      <c r="E182" s="28">
        <v>-111.78488931641695</v>
      </c>
    </row>
    <row r="183" spans="2:5" x14ac:dyDescent="0.3">
      <c r="B183">
        <v>119</v>
      </c>
      <c r="C183" s="28">
        <v>160.83812815283449</v>
      </c>
      <c r="D183">
        <f t="shared" si="1"/>
        <v>119</v>
      </c>
      <c r="E183" s="28">
        <v>122.89680889862932</v>
      </c>
    </row>
    <row r="184" spans="2:5" x14ac:dyDescent="0.3">
      <c r="B184">
        <v>120</v>
      </c>
      <c r="C184" s="28">
        <v>-5.7288022813417516</v>
      </c>
      <c r="D184">
        <f t="shared" si="1"/>
        <v>120</v>
      </c>
      <c r="E184" s="28">
        <v>286.13102397847462</v>
      </c>
    </row>
    <row r="185" spans="2:5" x14ac:dyDescent="0.3">
      <c r="B185">
        <v>121</v>
      </c>
      <c r="C185" s="28">
        <v>133.04292876850533</v>
      </c>
      <c r="D185">
        <f t="shared" si="1"/>
        <v>121</v>
      </c>
      <c r="E185" s="28">
        <v>167.16062092277653</v>
      </c>
    </row>
    <row r="186" spans="2:5" x14ac:dyDescent="0.3">
      <c r="B186">
        <v>122</v>
      </c>
      <c r="C186" s="28">
        <v>122.05281284915384</v>
      </c>
      <c r="D186">
        <f t="shared" si="1"/>
        <v>122</v>
      </c>
      <c r="E186" s="28">
        <v>244.41914444646036</v>
      </c>
    </row>
    <row r="187" spans="2:5" x14ac:dyDescent="0.3">
      <c r="B187">
        <v>123</v>
      </c>
      <c r="C187" s="28">
        <v>139.01450658607112</v>
      </c>
      <c r="D187">
        <f t="shared" si="1"/>
        <v>123</v>
      </c>
      <c r="E187" s="28">
        <v>390.95246085708862</v>
      </c>
    </row>
    <row r="188" spans="2:5" x14ac:dyDescent="0.3">
      <c r="B188">
        <v>124</v>
      </c>
      <c r="C188" s="28">
        <v>106.25843365785508</v>
      </c>
      <c r="D188">
        <f t="shared" si="1"/>
        <v>124</v>
      </c>
      <c r="E188" s="28">
        <v>50.843127510486013</v>
      </c>
    </row>
    <row r="189" spans="2:5" x14ac:dyDescent="0.3">
      <c r="B189">
        <v>125</v>
      </c>
      <c r="C189" s="28">
        <v>159.1459429922198</v>
      </c>
      <c r="D189">
        <f t="shared" si="1"/>
        <v>125</v>
      </c>
      <c r="E189" s="28">
        <v>143.47616605212176</v>
      </c>
    </row>
    <row r="190" spans="2:5" x14ac:dyDescent="0.3">
      <c r="B190">
        <v>126</v>
      </c>
      <c r="C190" s="28">
        <v>123.09817100944092</v>
      </c>
      <c r="D190">
        <f t="shared" si="1"/>
        <v>126</v>
      </c>
      <c r="E190" s="28">
        <v>256.55199048326187</v>
      </c>
    </row>
    <row r="191" spans="2:5" x14ac:dyDescent="0.3">
      <c r="B191">
        <v>127</v>
      </c>
      <c r="C191" s="28">
        <v>124.40865717499983</v>
      </c>
      <c r="D191">
        <f t="shared" si="1"/>
        <v>127</v>
      </c>
      <c r="E191" s="28">
        <v>-327.65429082783237</v>
      </c>
    </row>
    <row r="192" spans="2:5" x14ac:dyDescent="0.3">
      <c r="B192">
        <v>128</v>
      </c>
      <c r="C192" s="28">
        <v>109.33258791806095</v>
      </c>
      <c r="D192">
        <f t="shared" si="1"/>
        <v>128</v>
      </c>
      <c r="E192" s="28">
        <v>52.824641233122065</v>
      </c>
    </row>
    <row r="193" spans="2:5" x14ac:dyDescent="0.3">
      <c r="B193">
        <v>129</v>
      </c>
      <c r="C193" s="28">
        <v>56.044719151972878</v>
      </c>
      <c r="D193">
        <f t="shared" si="1"/>
        <v>129</v>
      </c>
      <c r="E193" s="28">
        <v>99.829999129829176</v>
      </c>
    </row>
    <row r="194" spans="2:5" x14ac:dyDescent="0.3">
      <c r="B194">
        <v>130</v>
      </c>
      <c r="C194" s="28">
        <v>106.93064590067654</v>
      </c>
      <c r="D194">
        <f t="shared" si="1"/>
        <v>130</v>
      </c>
      <c r="E194" s="28">
        <v>185.02716386403873</v>
      </c>
    </row>
    <row r="195" spans="2:5" x14ac:dyDescent="0.3">
      <c r="B195">
        <v>131</v>
      </c>
      <c r="C195" s="28">
        <v>168.31464196302818</v>
      </c>
      <c r="D195">
        <f t="shared" ref="D195:D258" si="2">B195</f>
        <v>131</v>
      </c>
      <c r="E195" s="28">
        <v>-34.552999340974068</v>
      </c>
    </row>
    <row r="196" spans="2:5" x14ac:dyDescent="0.3">
      <c r="B196">
        <v>132</v>
      </c>
      <c r="C196" s="28">
        <v>172.76098471517179</v>
      </c>
      <c r="D196">
        <f t="shared" si="2"/>
        <v>132</v>
      </c>
      <c r="E196" s="28">
        <v>-144.59823440393873</v>
      </c>
    </row>
    <row r="197" spans="2:5" x14ac:dyDescent="0.3">
      <c r="B197">
        <v>133</v>
      </c>
      <c r="C197" s="28">
        <v>122.17804994058545</v>
      </c>
      <c r="D197">
        <f t="shared" si="2"/>
        <v>133</v>
      </c>
      <c r="E197" s="28">
        <v>-130.70326795464479</v>
      </c>
    </row>
    <row r="198" spans="2:5" x14ac:dyDescent="0.3">
      <c r="B198">
        <v>134</v>
      </c>
      <c r="C198" s="28">
        <v>65.735335732203893</v>
      </c>
      <c r="D198">
        <f t="shared" si="2"/>
        <v>134</v>
      </c>
      <c r="E198" s="28">
        <v>345.35729272052333</v>
      </c>
    </row>
    <row r="199" spans="2:5" x14ac:dyDescent="0.3">
      <c r="B199">
        <v>135</v>
      </c>
      <c r="C199" s="28">
        <v>142.99319078297026</v>
      </c>
      <c r="D199">
        <f t="shared" si="2"/>
        <v>135</v>
      </c>
      <c r="E199" s="28">
        <v>122.83756860354246</v>
      </c>
    </row>
    <row r="200" spans="2:5" x14ac:dyDescent="0.3">
      <c r="B200">
        <v>136</v>
      </c>
      <c r="C200" s="28">
        <v>119.60090785120428</v>
      </c>
      <c r="D200">
        <f t="shared" si="2"/>
        <v>136</v>
      </c>
      <c r="E200" s="28">
        <v>60.363796795076496</v>
      </c>
    </row>
    <row r="201" spans="2:5" x14ac:dyDescent="0.3">
      <c r="B201">
        <v>137</v>
      </c>
      <c r="C201" s="28">
        <v>120.85433831033049</v>
      </c>
      <c r="D201">
        <f t="shared" si="2"/>
        <v>137</v>
      </c>
      <c r="E201" s="28">
        <v>-269.00082800133549</v>
      </c>
    </row>
    <row r="202" spans="2:5" x14ac:dyDescent="0.3">
      <c r="B202">
        <v>138</v>
      </c>
      <c r="C202" s="28">
        <v>147.94609369954352</v>
      </c>
      <c r="D202">
        <f t="shared" si="2"/>
        <v>138</v>
      </c>
      <c r="E202" s="28">
        <v>176.6151499287522</v>
      </c>
    </row>
    <row r="203" spans="2:5" x14ac:dyDescent="0.3">
      <c r="B203">
        <v>139</v>
      </c>
      <c r="C203" s="28">
        <v>223.53024033790089</v>
      </c>
      <c r="D203">
        <f t="shared" si="2"/>
        <v>139</v>
      </c>
      <c r="E203" s="28">
        <v>191.14975461447742</v>
      </c>
    </row>
    <row r="204" spans="2:5" x14ac:dyDescent="0.3">
      <c r="B204">
        <v>140</v>
      </c>
      <c r="C204" s="28">
        <v>192.32750767051999</v>
      </c>
      <c r="D204">
        <f t="shared" si="2"/>
        <v>140</v>
      </c>
      <c r="E204" s="28">
        <v>303.18044868885642</v>
      </c>
    </row>
    <row r="205" spans="2:5" x14ac:dyDescent="0.3">
      <c r="B205">
        <v>141</v>
      </c>
      <c r="C205" s="28">
        <v>160.11670070563565</v>
      </c>
      <c r="D205">
        <f t="shared" si="2"/>
        <v>141</v>
      </c>
      <c r="E205" s="28">
        <v>149.69766215293618</v>
      </c>
    </row>
    <row r="206" spans="2:5" x14ac:dyDescent="0.3">
      <c r="B206">
        <v>142</v>
      </c>
      <c r="C206" s="28">
        <v>135.80451254930233</v>
      </c>
      <c r="D206">
        <f t="shared" si="2"/>
        <v>142</v>
      </c>
      <c r="E206" s="28">
        <v>234.45763824099271</v>
      </c>
    </row>
    <row r="207" spans="2:5" x14ac:dyDescent="0.3">
      <c r="B207">
        <v>143</v>
      </c>
      <c r="C207" s="28">
        <v>81.200648666099994</v>
      </c>
      <c r="D207">
        <f t="shared" si="2"/>
        <v>143</v>
      </c>
      <c r="E207" s="28">
        <v>66.490916364483667</v>
      </c>
    </row>
    <row r="208" spans="2:5" x14ac:dyDescent="0.3">
      <c r="B208">
        <v>144</v>
      </c>
      <c r="C208" s="28">
        <v>114.39975599322356</v>
      </c>
      <c r="D208">
        <f t="shared" si="2"/>
        <v>144</v>
      </c>
      <c r="E208" s="28">
        <v>136.65176567214246</v>
      </c>
    </row>
    <row r="209" spans="2:5" x14ac:dyDescent="0.3">
      <c r="B209">
        <v>145</v>
      </c>
      <c r="C209" s="28">
        <v>149.71178406785268</v>
      </c>
      <c r="D209">
        <f t="shared" si="2"/>
        <v>145</v>
      </c>
      <c r="E209" s="28">
        <v>177.28863382047987</v>
      </c>
    </row>
    <row r="210" spans="2:5" x14ac:dyDescent="0.3">
      <c r="B210">
        <v>146</v>
      </c>
      <c r="C210" s="28">
        <v>92.43096931718577</v>
      </c>
      <c r="D210">
        <f t="shared" si="2"/>
        <v>146</v>
      </c>
      <c r="E210" s="28">
        <v>-14.071787542521141</v>
      </c>
    </row>
    <row r="211" spans="2:5" x14ac:dyDescent="0.3">
      <c r="B211">
        <v>147</v>
      </c>
      <c r="C211" s="28">
        <v>69.114716304044549</v>
      </c>
      <c r="D211">
        <f t="shared" si="2"/>
        <v>147</v>
      </c>
      <c r="E211" s="28">
        <v>233.22491890122146</v>
      </c>
    </row>
    <row r="212" spans="2:5" x14ac:dyDescent="0.3">
      <c r="B212">
        <v>148</v>
      </c>
      <c r="C212" s="28">
        <v>138.7900943609566</v>
      </c>
      <c r="D212">
        <f t="shared" si="2"/>
        <v>148</v>
      </c>
      <c r="E212" s="28">
        <v>313.07945800753873</v>
      </c>
    </row>
    <row r="213" spans="2:5" x14ac:dyDescent="0.3">
      <c r="B213">
        <v>149</v>
      </c>
      <c r="C213" s="28">
        <v>125.8914194827679</v>
      </c>
      <c r="D213">
        <f t="shared" si="2"/>
        <v>149</v>
      </c>
      <c r="E213" s="28">
        <v>264.00178893825483</v>
      </c>
    </row>
    <row r="214" spans="2:5" x14ac:dyDescent="0.3">
      <c r="B214">
        <v>150</v>
      </c>
      <c r="C214" s="28">
        <v>84.251604091739352</v>
      </c>
      <c r="D214">
        <f t="shared" si="2"/>
        <v>150</v>
      </c>
      <c r="E214" s="28">
        <v>19.55805384878235</v>
      </c>
    </row>
    <row r="215" spans="2:5" x14ac:dyDescent="0.3">
      <c r="B215">
        <v>151</v>
      </c>
      <c r="C215" s="28">
        <v>102.3921560835221</v>
      </c>
      <c r="D215">
        <f t="shared" si="2"/>
        <v>151</v>
      </c>
      <c r="E215" s="28">
        <v>263.26786359600072</v>
      </c>
    </row>
    <row r="216" spans="2:5" x14ac:dyDescent="0.3">
      <c r="B216">
        <v>152</v>
      </c>
      <c r="C216" s="28">
        <v>26.366550782457114</v>
      </c>
      <c r="D216">
        <f t="shared" si="2"/>
        <v>152</v>
      </c>
      <c r="E216" s="28">
        <v>115.46388081131279</v>
      </c>
    </row>
    <row r="217" spans="2:5" x14ac:dyDescent="0.3">
      <c r="B217">
        <v>153</v>
      </c>
      <c r="C217" s="28">
        <v>108.9838654348595</v>
      </c>
      <c r="D217">
        <f t="shared" si="2"/>
        <v>153</v>
      </c>
      <c r="E217" s="28">
        <v>342.22868689674124</v>
      </c>
    </row>
    <row r="218" spans="2:5" x14ac:dyDescent="0.3">
      <c r="B218">
        <v>154</v>
      </c>
      <c r="C218" s="28">
        <v>59.413298013180302</v>
      </c>
      <c r="D218">
        <f t="shared" si="2"/>
        <v>154</v>
      </c>
      <c r="E218" s="28">
        <v>-7.074734284077655</v>
      </c>
    </row>
    <row r="219" spans="2:5" x14ac:dyDescent="0.3">
      <c r="B219">
        <v>155</v>
      </c>
      <c r="C219" s="28">
        <v>98.258522204119245</v>
      </c>
      <c r="D219">
        <f t="shared" si="2"/>
        <v>155</v>
      </c>
      <c r="E219" s="28">
        <v>44.102360022800852</v>
      </c>
    </row>
    <row r="220" spans="2:5" x14ac:dyDescent="0.3">
      <c r="B220">
        <v>156</v>
      </c>
      <c r="C220" s="28">
        <v>-17.702581140380858</v>
      </c>
      <c r="D220">
        <f t="shared" si="2"/>
        <v>156</v>
      </c>
      <c r="E220" s="28">
        <v>25.769728856273549</v>
      </c>
    </row>
    <row r="221" spans="2:5" x14ac:dyDescent="0.3">
      <c r="B221">
        <v>157</v>
      </c>
      <c r="C221" s="28">
        <v>137.37431871253443</v>
      </c>
      <c r="D221">
        <f t="shared" si="2"/>
        <v>157</v>
      </c>
      <c r="E221" s="28">
        <v>-138.11486295170209</v>
      </c>
    </row>
    <row r="222" spans="2:5" x14ac:dyDescent="0.3">
      <c r="B222">
        <v>158</v>
      </c>
      <c r="C222" s="28">
        <v>-36.933615513003424</v>
      </c>
      <c r="D222">
        <f t="shared" si="2"/>
        <v>158</v>
      </c>
      <c r="E222" s="28">
        <v>-80.833119795170418</v>
      </c>
    </row>
    <row r="223" spans="2:5" x14ac:dyDescent="0.3">
      <c r="B223">
        <v>159</v>
      </c>
      <c r="C223" s="28">
        <v>107.10515691277298</v>
      </c>
      <c r="D223">
        <f t="shared" si="2"/>
        <v>159</v>
      </c>
      <c r="E223" s="28">
        <v>286.03991716973849</v>
      </c>
    </row>
    <row r="224" spans="2:5" x14ac:dyDescent="0.3">
      <c r="B224">
        <v>160</v>
      </c>
      <c r="C224" s="28">
        <v>79.133643507892174</v>
      </c>
      <c r="D224">
        <f t="shared" si="2"/>
        <v>160</v>
      </c>
      <c r="E224" s="28">
        <v>343.37137042690034</v>
      </c>
    </row>
    <row r="225" spans="2:5" x14ac:dyDescent="0.3">
      <c r="B225">
        <v>161</v>
      </c>
      <c r="C225" s="28">
        <v>138.20645743020972</v>
      </c>
      <c r="D225">
        <f t="shared" si="2"/>
        <v>161</v>
      </c>
      <c r="E225" s="28">
        <v>329.71120127468595</v>
      </c>
    </row>
    <row r="226" spans="2:5" x14ac:dyDescent="0.3">
      <c r="B226">
        <v>162</v>
      </c>
      <c r="C226" s="28">
        <v>46.223656241628348</v>
      </c>
      <c r="D226">
        <f t="shared" si="2"/>
        <v>162</v>
      </c>
      <c r="E226" s="28">
        <v>-69.039549524285988</v>
      </c>
    </row>
    <row r="227" spans="2:5" x14ac:dyDescent="0.3">
      <c r="B227">
        <v>163</v>
      </c>
      <c r="C227" s="28">
        <v>122.32790916984079</v>
      </c>
      <c r="D227">
        <f t="shared" si="2"/>
        <v>163</v>
      </c>
      <c r="E227" s="28">
        <v>292.55178434852417</v>
      </c>
    </row>
    <row r="228" spans="2:5" x14ac:dyDescent="0.3">
      <c r="B228">
        <v>164</v>
      </c>
      <c r="C228" s="28">
        <v>87.924538345230673</v>
      </c>
      <c r="D228">
        <f t="shared" si="2"/>
        <v>164</v>
      </c>
      <c r="E228" s="28">
        <v>72.005920881449526</v>
      </c>
    </row>
    <row r="229" spans="2:5" x14ac:dyDescent="0.3">
      <c r="B229">
        <v>165</v>
      </c>
      <c r="C229" s="28">
        <v>73.438286273458544</v>
      </c>
      <c r="D229">
        <f t="shared" si="2"/>
        <v>165</v>
      </c>
      <c r="E229" s="28">
        <v>384.40107471528461</v>
      </c>
    </row>
    <row r="230" spans="2:5" x14ac:dyDescent="0.3">
      <c r="B230">
        <v>166</v>
      </c>
      <c r="C230" s="28">
        <v>120.94078842562365</v>
      </c>
      <c r="D230">
        <f t="shared" si="2"/>
        <v>166</v>
      </c>
      <c r="E230" s="28">
        <v>72.479436128357506</v>
      </c>
    </row>
    <row r="231" spans="2:5" x14ac:dyDescent="0.3">
      <c r="B231">
        <v>167</v>
      </c>
      <c r="C231" s="28">
        <v>189.20304960610753</v>
      </c>
      <c r="D231">
        <f t="shared" si="2"/>
        <v>167</v>
      </c>
      <c r="E231" s="28">
        <v>214.16261524392161</v>
      </c>
    </row>
    <row r="232" spans="2:5" x14ac:dyDescent="0.3">
      <c r="B232">
        <v>168</v>
      </c>
      <c r="C232" s="28">
        <v>12.633179660588262</v>
      </c>
      <c r="D232">
        <f t="shared" si="2"/>
        <v>168</v>
      </c>
      <c r="E232" s="28">
        <v>-37.717887408944712</v>
      </c>
    </row>
    <row r="233" spans="2:5" x14ac:dyDescent="0.3">
      <c r="B233">
        <v>169</v>
      </c>
      <c r="C233" s="28">
        <v>107.73845520003911</v>
      </c>
      <c r="D233">
        <f t="shared" si="2"/>
        <v>169</v>
      </c>
      <c r="E233" s="28">
        <v>-110.49435857566127</v>
      </c>
    </row>
    <row r="234" spans="2:5" x14ac:dyDescent="0.3">
      <c r="B234">
        <v>170</v>
      </c>
      <c r="C234" s="28">
        <v>135.11341988666629</v>
      </c>
      <c r="D234">
        <f t="shared" si="2"/>
        <v>170</v>
      </c>
      <c r="E234" s="28">
        <v>313.94601862207662</v>
      </c>
    </row>
    <row r="235" spans="2:5" x14ac:dyDescent="0.3">
      <c r="B235">
        <v>171</v>
      </c>
      <c r="C235" s="28">
        <v>142.31882468756473</v>
      </c>
      <c r="D235">
        <f t="shared" si="2"/>
        <v>171</v>
      </c>
      <c r="E235" s="28">
        <v>48.649928628548835</v>
      </c>
    </row>
    <row r="236" spans="2:5" x14ac:dyDescent="0.3">
      <c r="B236">
        <v>172</v>
      </c>
      <c r="C236" s="28">
        <v>32.29808473096746</v>
      </c>
      <c r="D236">
        <f t="shared" si="2"/>
        <v>172</v>
      </c>
      <c r="E236" s="28">
        <v>108.27061767371204</v>
      </c>
    </row>
    <row r="237" spans="2:5" x14ac:dyDescent="0.3">
      <c r="B237">
        <v>173</v>
      </c>
      <c r="C237" s="28">
        <v>126.00234059370089</v>
      </c>
      <c r="D237">
        <f t="shared" si="2"/>
        <v>173</v>
      </c>
      <c r="E237" s="28">
        <v>178.66717500309053</v>
      </c>
    </row>
    <row r="238" spans="2:5" x14ac:dyDescent="0.3">
      <c r="B238">
        <v>174</v>
      </c>
      <c r="C238" s="28">
        <v>137.15082414640284</v>
      </c>
      <c r="D238">
        <f t="shared" si="2"/>
        <v>174</v>
      </c>
      <c r="E238" s="28">
        <v>313.5711995826988</v>
      </c>
    </row>
    <row r="239" spans="2:5" x14ac:dyDescent="0.3">
      <c r="B239">
        <v>175</v>
      </c>
      <c r="C239" s="28">
        <v>123.12796505451429</v>
      </c>
      <c r="D239">
        <f t="shared" si="2"/>
        <v>175</v>
      </c>
      <c r="E239" s="28">
        <v>172.08391697832423</v>
      </c>
    </row>
    <row r="240" spans="2:5" x14ac:dyDescent="0.3">
      <c r="B240">
        <v>176</v>
      </c>
      <c r="C240" s="28">
        <v>120.65516800938751</v>
      </c>
      <c r="D240">
        <f t="shared" si="2"/>
        <v>176</v>
      </c>
      <c r="E240" s="28">
        <v>40.463584391451143</v>
      </c>
    </row>
    <row r="241" spans="2:5" x14ac:dyDescent="0.3">
      <c r="B241">
        <v>177</v>
      </c>
      <c r="C241" s="28">
        <v>92.287473817112215</v>
      </c>
      <c r="D241">
        <f t="shared" si="2"/>
        <v>177</v>
      </c>
      <c r="E241" s="28">
        <v>232.27351548044331</v>
      </c>
    </row>
    <row r="242" spans="2:5" x14ac:dyDescent="0.3">
      <c r="B242">
        <v>178</v>
      </c>
      <c r="C242" s="28">
        <v>46.020345566021419</v>
      </c>
      <c r="D242">
        <f t="shared" si="2"/>
        <v>178</v>
      </c>
      <c r="E242" s="28">
        <v>68.094444176856072</v>
      </c>
    </row>
    <row r="243" spans="2:5" x14ac:dyDescent="0.3">
      <c r="B243">
        <v>179</v>
      </c>
      <c r="C243" s="28">
        <v>117.63433326973545</v>
      </c>
      <c r="D243">
        <f t="shared" si="2"/>
        <v>179</v>
      </c>
      <c r="E243" s="28">
        <v>169.74999662252577</v>
      </c>
    </row>
    <row r="244" spans="2:5" x14ac:dyDescent="0.3">
      <c r="B244">
        <v>180</v>
      </c>
      <c r="C244" s="28">
        <v>-23.437217086604555</v>
      </c>
      <c r="D244">
        <f t="shared" si="2"/>
        <v>180</v>
      </c>
      <c r="E244" s="28">
        <v>186.60102813180833</v>
      </c>
    </row>
    <row r="245" spans="2:5" x14ac:dyDescent="0.3">
      <c r="B245">
        <v>181</v>
      </c>
      <c r="C245" s="28">
        <v>139.56608756787065</v>
      </c>
      <c r="D245">
        <f t="shared" si="2"/>
        <v>181</v>
      </c>
      <c r="E245" s="28">
        <v>73.648810448311934</v>
      </c>
    </row>
    <row r="246" spans="2:5" x14ac:dyDescent="0.3">
      <c r="B246">
        <v>182</v>
      </c>
      <c r="C246" s="28">
        <v>150.73928631216401</v>
      </c>
      <c r="D246">
        <f t="shared" si="2"/>
        <v>182</v>
      </c>
      <c r="E246" s="28">
        <v>45.336924355086566</v>
      </c>
    </row>
    <row r="247" spans="2:5" x14ac:dyDescent="0.3">
      <c r="B247">
        <v>183</v>
      </c>
      <c r="C247" s="28">
        <v>97.870677200858822</v>
      </c>
      <c r="D247">
        <f t="shared" si="2"/>
        <v>183</v>
      </c>
      <c r="E247" s="28">
        <v>-65.849532327110481</v>
      </c>
    </row>
    <row r="248" spans="2:5" x14ac:dyDescent="0.3">
      <c r="B248">
        <v>184</v>
      </c>
      <c r="C248" s="28">
        <v>130.57505708096787</v>
      </c>
      <c r="D248">
        <f t="shared" si="2"/>
        <v>184</v>
      </c>
      <c r="E248" s="28">
        <v>-122.5018714417785</v>
      </c>
    </row>
    <row r="249" spans="2:5" x14ac:dyDescent="0.3">
      <c r="B249">
        <v>185</v>
      </c>
      <c r="C249" s="28">
        <v>124.03591479309839</v>
      </c>
      <c r="D249">
        <f t="shared" si="2"/>
        <v>185</v>
      </c>
      <c r="E249" s="28">
        <v>50.936738453422322</v>
      </c>
    </row>
    <row r="250" spans="2:5" x14ac:dyDescent="0.3">
      <c r="B250">
        <v>186</v>
      </c>
      <c r="C250" s="28">
        <v>138.60544286384243</v>
      </c>
      <c r="D250">
        <f t="shared" si="2"/>
        <v>186</v>
      </c>
      <c r="E250" s="28">
        <v>209.48814307448652</v>
      </c>
    </row>
    <row r="251" spans="2:5" x14ac:dyDescent="0.3">
      <c r="B251">
        <v>187</v>
      </c>
      <c r="C251" s="28">
        <v>112.57786111774547</v>
      </c>
      <c r="D251">
        <f t="shared" si="2"/>
        <v>187</v>
      </c>
      <c r="E251" s="28">
        <v>135.05955256217348</v>
      </c>
    </row>
    <row r="252" spans="2:5" x14ac:dyDescent="0.3">
      <c r="B252">
        <v>188</v>
      </c>
      <c r="C252" s="28">
        <v>65.426157636708325</v>
      </c>
      <c r="D252">
        <f t="shared" si="2"/>
        <v>188</v>
      </c>
      <c r="E252" s="28">
        <v>120.38475882696602</v>
      </c>
    </row>
    <row r="253" spans="2:5" x14ac:dyDescent="0.3">
      <c r="B253">
        <v>189</v>
      </c>
      <c r="C253" s="28">
        <v>124.92789743919363</v>
      </c>
      <c r="D253">
        <f t="shared" si="2"/>
        <v>189</v>
      </c>
      <c r="E253" s="28">
        <v>139.81100075405982</v>
      </c>
    </row>
    <row r="254" spans="2:5" x14ac:dyDescent="0.3">
      <c r="B254">
        <v>190</v>
      </c>
      <c r="C254" s="28">
        <v>143.43201423361086</v>
      </c>
      <c r="D254">
        <f t="shared" si="2"/>
        <v>190</v>
      </c>
      <c r="E254" s="28">
        <v>-42.641958797546124</v>
      </c>
    </row>
    <row r="255" spans="2:5" x14ac:dyDescent="0.3">
      <c r="B255">
        <v>191</v>
      </c>
      <c r="C255" s="28">
        <v>129.7924595016232</v>
      </c>
      <c r="D255">
        <f t="shared" si="2"/>
        <v>191</v>
      </c>
      <c r="E255" s="28">
        <v>200.49161865824129</v>
      </c>
    </row>
    <row r="256" spans="2:5" x14ac:dyDescent="0.3">
      <c r="B256">
        <v>192</v>
      </c>
      <c r="C256" s="28">
        <v>31.358499821874982</v>
      </c>
      <c r="D256">
        <f t="shared" si="2"/>
        <v>192</v>
      </c>
      <c r="E256" s="28">
        <v>142.29009050816924</v>
      </c>
    </row>
    <row r="257" spans="2:5" x14ac:dyDescent="0.3">
      <c r="B257">
        <v>193</v>
      </c>
      <c r="C257" s="28">
        <v>160.96975473608146</v>
      </c>
      <c r="D257">
        <f t="shared" si="2"/>
        <v>193</v>
      </c>
      <c r="E257" s="28">
        <v>-19.968072691866038</v>
      </c>
    </row>
    <row r="258" spans="2:5" x14ac:dyDescent="0.3">
      <c r="B258">
        <v>194</v>
      </c>
      <c r="C258" s="28">
        <v>118.8530975368121</v>
      </c>
      <c r="D258">
        <f t="shared" si="2"/>
        <v>194</v>
      </c>
      <c r="E258" s="28">
        <v>311.55108237052269</v>
      </c>
    </row>
    <row r="259" spans="2:5" x14ac:dyDescent="0.3">
      <c r="B259">
        <v>195</v>
      </c>
      <c r="C259" s="28">
        <v>113.2468619468621</v>
      </c>
      <c r="D259">
        <f t="shared" ref="D259:D322" si="3">B259</f>
        <v>195</v>
      </c>
      <c r="E259" s="28">
        <v>38.296983264098387</v>
      </c>
    </row>
    <row r="260" spans="2:5" x14ac:dyDescent="0.3">
      <c r="B260">
        <v>196</v>
      </c>
      <c r="C260" s="28">
        <v>168.57221568589074</v>
      </c>
      <c r="D260">
        <f t="shared" si="3"/>
        <v>196</v>
      </c>
      <c r="E260" s="28">
        <v>159.96082085408099</v>
      </c>
    </row>
    <row r="261" spans="2:5" x14ac:dyDescent="0.3">
      <c r="B261">
        <v>197</v>
      </c>
      <c r="C261" s="28">
        <v>72.834759378718132</v>
      </c>
      <c r="D261">
        <f t="shared" si="3"/>
        <v>197</v>
      </c>
      <c r="E261" s="28">
        <v>210.93442801096984</v>
      </c>
    </row>
    <row r="262" spans="2:5" x14ac:dyDescent="0.3">
      <c r="B262">
        <v>198</v>
      </c>
      <c r="C262" s="28">
        <v>101.05093371140136</v>
      </c>
      <c r="D262">
        <f t="shared" si="3"/>
        <v>198</v>
      </c>
      <c r="E262" s="28">
        <v>250.14011417089085</v>
      </c>
    </row>
    <row r="263" spans="2:5" x14ac:dyDescent="0.3">
      <c r="B263">
        <v>199</v>
      </c>
      <c r="C263" s="28">
        <v>55.171141033051903</v>
      </c>
      <c r="D263">
        <f t="shared" si="3"/>
        <v>199</v>
      </c>
      <c r="E263" s="28">
        <v>377.74161888482456</v>
      </c>
    </row>
    <row r="264" spans="2:5" x14ac:dyDescent="0.3">
      <c r="B264">
        <v>200</v>
      </c>
      <c r="C264" s="28">
        <v>77.234268478482946</v>
      </c>
      <c r="D264">
        <f t="shared" si="3"/>
        <v>200</v>
      </c>
      <c r="E264" s="28">
        <v>-295.34033797948888</v>
      </c>
    </row>
    <row r="265" spans="2:5" x14ac:dyDescent="0.3">
      <c r="B265">
        <v>201</v>
      </c>
      <c r="C265" s="28">
        <v>160.048129356826</v>
      </c>
      <c r="D265">
        <f t="shared" si="3"/>
        <v>201</v>
      </c>
      <c r="E265" s="28">
        <v>110.63808492786953</v>
      </c>
    </row>
    <row r="266" spans="2:5" x14ac:dyDescent="0.3">
      <c r="B266">
        <v>202</v>
      </c>
      <c r="C266" s="28">
        <v>159.03947596152722</v>
      </c>
      <c r="D266">
        <f t="shared" si="3"/>
        <v>202</v>
      </c>
      <c r="E266" s="28">
        <v>331.37704400857672</v>
      </c>
    </row>
    <row r="267" spans="2:5" x14ac:dyDescent="0.3">
      <c r="B267">
        <v>203</v>
      </c>
      <c r="C267" s="28">
        <v>-18.775971766407032</v>
      </c>
      <c r="D267">
        <f t="shared" si="3"/>
        <v>203</v>
      </c>
      <c r="E267" s="28">
        <v>-21.769794961752346</v>
      </c>
    </row>
    <row r="268" spans="2:5" x14ac:dyDescent="0.3">
      <c r="B268">
        <v>204</v>
      </c>
      <c r="C268" s="28">
        <v>50.710357169393795</v>
      </c>
      <c r="D268">
        <f t="shared" si="3"/>
        <v>204</v>
      </c>
      <c r="E268" s="28">
        <v>29.446257421418785</v>
      </c>
    </row>
    <row r="269" spans="2:5" x14ac:dyDescent="0.3">
      <c r="B269">
        <v>205</v>
      </c>
      <c r="C269" s="28">
        <v>108.88263391649711</v>
      </c>
      <c r="D269">
        <f t="shared" si="3"/>
        <v>205</v>
      </c>
      <c r="E269" s="28">
        <v>294.53216251798551</v>
      </c>
    </row>
    <row r="270" spans="2:5" x14ac:dyDescent="0.3">
      <c r="B270">
        <v>206</v>
      </c>
      <c r="C270" s="28">
        <v>82.843004489907983</v>
      </c>
      <c r="D270">
        <f t="shared" si="3"/>
        <v>206</v>
      </c>
      <c r="E270" s="28">
        <v>-59.198312949617574</v>
      </c>
    </row>
    <row r="271" spans="2:5" x14ac:dyDescent="0.3">
      <c r="B271">
        <v>207</v>
      </c>
      <c r="C271" s="28">
        <v>136.46800597715281</v>
      </c>
      <c r="D271">
        <f t="shared" si="3"/>
        <v>207</v>
      </c>
      <c r="E271" s="28">
        <v>324.74382015164935</v>
      </c>
    </row>
    <row r="272" spans="2:5" x14ac:dyDescent="0.3">
      <c r="B272">
        <v>208</v>
      </c>
      <c r="C272" s="28">
        <v>27.043027220387859</v>
      </c>
      <c r="D272">
        <f t="shared" si="3"/>
        <v>208</v>
      </c>
      <c r="E272" s="28">
        <v>-22.188542502044402</v>
      </c>
    </row>
    <row r="273" spans="2:5" x14ac:dyDescent="0.3">
      <c r="B273">
        <v>209</v>
      </c>
      <c r="C273" s="28">
        <v>98.167089739480801</v>
      </c>
      <c r="D273">
        <f t="shared" si="3"/>
        <v>209</v>
      </c>
      <c r="E273" s="28">
        <v>-7.6763840841688733</v>
      </c>
    </row>
    <row r="274" spans="2:5" x14ac:dyDescent="0.3">
      <c r="B274">
        <v>210</v>
      </c>
      <c r="C274" s="28">
        <v>91.89711142329142</v>
      </c>
      <c r="D274">
        <f t="shared" si="3"/>
        <v>210</v>
      </c>
      <c r="E274" s="28">
        <v>118.89893228224805</v>
      </c>
    </row>
    <row r="275" spans="2:5" x14ac:dyDescent="0.3">
      <c r="B275">
        <v>211</v>
      </c>
      <c r="C275" s="28">
        <v>58.776095140998805</v>
      </c>
      <c r="D275">
        <f t="shared" si="3"/>
        <v>211</v>
      </c>
      <c r="E275" s="28">
        <v>98.906017779673164</v>
      </c>
    </row>
    <row r="276" spans="2:5" x14ac:dyDescent="0.3">
      <c r="B276">
        <v>212</v>
      </c>
      <c r="C276" s="28">
        <v>77.477179657272885</v>
      </c>
      <c r="D276">
        <f t="shared" si="3"/>
        <v>212</v>
      </c>
      <c r="E276" s="28">
        <v>37.292216964448031</v>
      </c>
    </row>
    <row r="277" spans="2:5" x14ac:dyDescent="0.3">
      <c r="B277">
        <v>213</v>
      </c>
      <c r="C277" s="28">
        <v>130.17971535948621</v>
      </c>
      <c r="D277">
        <f t="shared" si="3"/>
        <v>213</v>
      </c>
      <c r="E277" s="28">
        <v>225.96198769969789</v>
      </c>
    </row>
    <row r="278" spans="2:5" x14ac:dyDescent="0.3">
      <c r="B278">
        <v>214</v>
      </c>
      <c r="C278" s="28">
        <v>81.169359550565062</v>
      </c>
      <c r="D278">
        <f t="shared" si="3"/>
        <v>214</v>
      </c>
      <c r="E278" s="28">
        <v>217.1417172660158</v>
      </c>
    </row>
    <row r="279" spans="2:5" x14ac:dyDescent="0.3">
      <c r="B279">
        <v>215</v>
      </c>
      <c r="C279" s="28">
        <v>146.40160894897735</v>
      </c>
      <c r="D279">
        <f t="shared" si="3"/>
        <v>215</v>
      </c>
      <c r="E279" s="28">
        <v>-223.93847101140364</v>
      </c>
    </row>
    <row r="280" spans="2:5" x14ac:dyDescent="0.3">
      <c r="B280">
        <v>216</v>
      </c>
      <c r="C280" s="28">
        <v>114.57156372746165</v>
      </c>
      <c r="D280">
        <f t="shared" si="3"/>
        <v>216</v>
      </c>
      <c r="E280" s="28">
        <v>196.26887914537105</v>
      </c>
    </row>
    <row r="281" spans="2:5" x14ac:dyDescent="0.3">
      <c r="B281">
        <v>217</v>
      </c>
      <c r="C281" s="28">
        <v>25.395268499622912</v>
      </c>
      <c r="D281">
        <f t="shared" si="3"/>
        <v>217</v>
      </c>
      <c r="E281" s="28">
        <v>256.04881650309346</v>
      </c>
    </row>
    <row r="282" spans="2:5" x14ac:dyDescent="0.3">
      <c r="B282">
        <v>218</v>
      </c>
      <c r="C282" s="28">
        <v>67.896794715419631</v>
      </c>
      <c r="D282">
        <f t="shared" si="3"/>
        <v>218</v>
      </c>
      <c r="E282" s="28">
        <v>334.03277234883211</v>
      </c>
    </row>
    <row r="283" spans="2:5" x14ac:dyDescent="0.3">
      <c r="B283">
        <v>219</v>
      </c>
      <c r="C283" s="28">
        <v>176.77284127147686</v>
      </c>
      <c r="D283">
        <f t="shared" si="3"/>
        <v>219</v>
      </c>
      <c r="E283" s="28">
        <v>120.03859174068134</v>
      </c>
    </row>
    <row r="284" spans="2:5" x14ac:dyDescent="0.3">
      <c r="B284">
        <v>220</v>
      </c>
      <c r="C284" s="28">
        <v>60.475328707424254</v>
      </c>
      <c r="D284">
        <f t="shared" si="3"/>
        <v>220</v>
      </c>
      <c r="E284" s="28">
        <v>16.669548756592597</v>
      </c>
    </row>
    <row r="285" spans="2:5" x14ac:dyDescent="0.3">
      <c r="B285">
        <v>221</v>
      </c>
      <c r="C285" s="28">
        <v>103.69875632198827</v>
      </c>
      <c r="D285">
        <f t="shared" si="3"/>
        <v>221</v>
      </c>
      <c r="E285" s="28">
        <v>-43.756526246526157</v>
      </c>
    </row>
    <row r="286" spans="2:5" x14ac:dyDescent="0.3">
      <c r="B286">
        <v>222</v>
      </c>
      <c r="C286" s="28">
        <v>129.10482168567086</v>
      </c>
      <c r="D286">
        <f t="shared" si="3"/>
        <v>222</v>
      </c>
      <c r="E286" s="28">
        <v>380.33740587100255</v>
      </c>
    </row>
    <row r="287" spans="2:5" x14ac:dyDescent="0.3">
      <c r="B287">
        <v>223</v>
      </c>
      <c r="C287" s="28">
        <v>142.40076945097573</v>
      </c>
      <c r="D287">
        <f t="shared" si="3"/>
        <v>223</v>
      </c>
      <c r="E287" s="28">
        <v>180.10188342132724</v>
      </c>
    </row>
    <row r="288" spans="2:5" x14ac:dyDescent="0.3">
      <c r="B288">
        <v>224</v>
      </c>
      <c r="C288" s="28">
        <v>176.99309874778496</v>
      </c>
      <c r="D288">
        <f t="shared" si="3"/>
        <v>224</v>
      </c>
      <c r="E288" s="28">
        <v>446.09617756569514</v>
      </c>
    </row>
    <row r="289" spans="2:5" x14ac:dyDescent="0.3">
      <c r="B289">
        <v>225</v>
      </c>
      <c r="C289" s="28">
        <v>128.5597724091925</v>
      </c>
      <c r="D289">
        <f t="shared" si="3"/>
        <v>225</v>
      </c>
      <c r="E289" s="28">
        <v>36.666067521085573</v>
      </c>
    </row>
    <row r="290" spans="2:5" x14ac:dyDescent="0.3">
      <c r="B290">
        <v>226</v>
      </c>
      <c r="C290" s="28">
        <v>118.57760274656027</v>
      </c>
      <c r="D290">
        <f t="shared" si="3"/>
        <v>226</v>
      </c>
      <c r="E290" s="28">
        <v>154.76780427529576</v>
      </c>
    </row>
    <row r="291" spans="2:5" x14ac:dyDescent="0.3">
      <c r="B291">
        <v>227</v>
      </c>
      <c r="C291" s="28">
        <v>153.01493011365156</v>
      </c>
      <c r="D291">
        <f t="shared" si="3"/>
        <v>227</v>
      </c>
      <c r="E291" s="28">
        <v>201.65546899746678</v>
      </c>
    </row>
    <row r="292" spans="2:5" x14ac:dyDescent="0.3">
      <c r="B292">
        <v>228</v>
      </c>
      <c r="C292" s="28">
        <v>111.55584690434993</v>
      </c>
      <c r="D292">
        <f t="shared" si="3"/>
        <v>228</v>
      </c>
      <c r="E292" s="28">
        <v>393.26894172915229</v>
      </c>
    </row>
    <row r="293" spans="2:5" x14ac:dyDescent="0.3">
      <c r="B293">
        <v>229</v>
      </c>
      <c r="C293" s="28">
        <v>148.24081340124158</v>
      </c>
      <c r="D293">
        <f t="shared" si="3"/>
        <v>229</v>
      </c>
      <c r="E293" s="28">
        <v>267.85992702820079</v>
      </c>
    </row>
    <row r="294" spans="2:5" x14ac:dyDescent="0.3">
      <c r="B294">
        <v>230</v>
      </c>
      <c r="C294" s="28">
        <v>80.576165070468434</v>
      </c>
      <c r="D294">
        <f t="shared" si="3"/>
        <v>230</v>
      </c>
      <c r="E294" s="28">
        <v>64.689411240824967</v>
      </c>
    </row>
    <row r="295" spans="2:5" x14ac:dyDescent="0.3">
      <c r="B295">
        <v>231</v>
      </c>
      <c r="C295" s="28">
        <v>202.90045335836433</v>
      </c>
      <c r="D295">
        <f t="shared" si="3"/>
        <v>231</v>
      </c>
      <c r="E295" s="28">
        <v>263.36420708521359</v>
      </c>
    </row>
    <row r="296" spans="2:5" x14ac:dyDescent="0.3">
      <c r="B296">
        <v>232</v>
      </c>
      <c r="C296" s="28">
        <v>155.63611460955292</v>
      </c>
      <c r="D296">
        <f t="shared" si="3"/>
        <v>232</v>
      </c>
      <c r="E296" s="28">
        <v>291.43764616121564</v>
      </c>
    </row>
    <row r="297" spans="2:5" x14ac:dyDescent="0.3">
      <c r="B297">
        <v>233</v>
      </c>
      <c r="C297" s="28">
        <v>125.85548811816685</v>
      </c>
      <c r="D297">
        <f t="shared" si="3"/>
        <v>233</v>
      </c>
      <c r="E297" s="28">
        <v>137.02646838405403</v>
      </c>
    </row>
    <row r="298" spans="2:5" x14ac:dyDescent="0.3">
      <c r="B298">
        <v>234</v>
      </c>
      <c r="C298" s="28">
        <v>102.84976756084112</v>
      </c>
      <c r="D298">
        <f t="shared" si="3"/>
        <v>234</v>
      </c>
      <c r="E298" s="28">
        <v>77.319679117166217</v>
      </c>
    </row>
    <row r="299" spans="2:5" x14ac:dyDescent="0.3">
      <c r="B299">
        <v>235</v>
      </c>
      <c r="C299" s="28">
        <v>103.32989144333575</v>
      </c>
      <c r="D299">
        <f t="shared" si="3"/>
        <v>235</v>
      </c>
      <c r="E299" s="28">
        <v>-86.007232601710726</v>
      </c>
    </row>
    <row r="300" spans="2:5" x14ac:dyDescent="0.3">
      <c r="B300">
        <v>236</v>
      </c>
      <c r="C300" s="28">
        <v>166.56886238200701</v>
      </c>
      <c r="D300">
        <f t="shared" si="3"/>
        <v>236</v>
      </c>
      <c r="E300" s="28">
        <v>141.18240192264878</v>
      </c>
    </row>
    <row r="301" spans="2:5" x14ac:dyDescent="0.3">
      <c r="B301">
        <v>237</v>
      </c>
      <c r="C301" s="28">
        <v>130.4034992977214</v>
      </c>
      <c r="D301">
        <f t="shared" si="3"/>
        <v>237</v>
      </c>
      <c r="E301" s="28">
        <v>206.42410344257897</v>
      </c>
    </row>
    <row r="302" spans="2:5" x14ac:dyDescent="0.3">
      <c r="B302">
        <v>238</v>
      </c>
      <c r="C302" s="28">
        <v>41.76645761053976</v>
      </c>
      <c r="D302">
        <f t="shared" si="3"/>
        <v>238</v>
      </c>
      <c r="E302" s="28">
        <v>319.75530210593513</v>
      </c>
    </row>
    <row r="303" spans="2:5" x14ac:dyDescent="0.3">
      <c r="B303">
        <v>239</v>
      </c>
      <c r="C303" s="28">
        <v>156.65809991902182</v>
      </c>
      <c r="D303">
        <f t="shared" si="3"/>
        <v>239</v>
      </c>
      <c r="E303" s="28">
        <v>-5.6762802275861945</v>
      </c>
    </row>
    <row r="304" spans="2:5" x14ac:dyDescent="0.3">
      <c r="B304">
        <v>240</v>
      </c>
      <c r="C304" s="28">
        <v>148.30347246615815</v>
      </c>
      <c r="D304">
        <f t="shared" si="3"/>
        <v>240</v>
      </c>
      <c r="E304" s="28">
        <v>47.133688856838894</v>
      </c>
    </row>
    <row r="305" spans="2:5" x14ac:dyDescent="0.3">
      <c r="B305">
        <v>241</v>
      </c>
      <c r="C305" s="28">
        <v>145.86233270185994</v>
      </c>
      <c r="D305">
        <f t="shared" si="3"/>
        <v>241</v>
      </c>
      <c r="E305" s="28">
        <v>178.7349844063497</v>
      </c>
    </row>
    <row r="306" spans="2:5" x14ac:dyDescent="0.3">
      <c r="B306">
        <v>242</v>
      </c>
      <c r="C306" s="28">
        <v>114.06208066968699</v>
      </c>
      <c r="D306">
        <f t="shared" si="3"/>
        <v>242</v>
      </c>
      <c r="E306" s="28">
        <v>195.81142096517505</v>
      </c>
    </row>
    <row r="307" spans="2:5" x14ac:dyDescent="0.3">
      <c r="B307">
        <v>243</v>
      </c>
      <c r="C307" s="28">
        <v>135.70751154588999</v>
      </c>
      <c r="D307">
        <f t="shared" si="3"/>
        <v>243</v>
      </c>
      <c r="E307" s="28">
        <v>107.14962207500773</v>
      </c>
    </row>
    <row r="308" spans="2:5" x14ac:dyDescent="0.3">
      <c r="B308">
        <v>244</v>
      </c>
      <c r="C308" s="28">
        <v>96.394144446920649</v>
      </c>
      <c r="D308">
        <f t="shared" si="3"/>
        <v>244</v>
      </c>
      <c r="E308" s="28">
        <v>75.847071751945521</v>
      </c>
    </row>
    <row r="309" spans="2:5" x14ac:dyDescent="0.3">
      <c r="B309">
        <v>245</v>
      </c>
      <c r="C309" s="28">
        <v>122.9013196843938</v>
      </c>
      <c r="D309">
        <f t="shared" si="3"/>
        <v>245</v>
      </c>
      <c r="E309" s="28">
        <v>109.19047506029433</v>
      </c>
    </row>
    <row r="310" spans="2:5" x14ac:dyDescent="0.3">
      <c r="B310">
        <v>246</v>
      </c>
      <c r="C310" s="28">
        <v>66.942834376642935</v>
      </c>
      <c r="D310">
        <f t="shared" si="3"/>
        <v>246</v>
      </c>
      <c r="E310" s="28">
        <v>215.8300072930077</v>
      </c>
    </row>
    <row r="311" spans="2:5" x14ac:dyDescent="0.3">
      <c r="B311">
        <v>247</v>
      </c>
      <c r="C311" s="28">
        <v>82.795108885512775</v>
      </c>
      <c r="D311">
        <f t="shared" si="3"/>
        <v>247</v>
      </c>
      <c r="E311" s="28">
        <v>171.25666697701922</v>
      </c>
    </row>
    <row r="312" spans="2:5" x14ac:dyDescent="0.3">
      <c r="B312">
        <v>248</v>
      </c>
      <c r="C312" s="28">
        <v>147.80533131807042</v>
      </c>
      <c r="D312">
        <f t="shared" si="3"/>
        <v>248</v>
      </c>
      <c r="E312" s="28">
        <v>205.85988227931497</v>
      </c>
    </row>
    <row r="313" spans="2:5" x14ac:dyDescent="0.3">
      <c r="B313">
        <v>249</v>
      </c>
      <c r="C313" s="28">
        <v>122.12878381542919</v>
      </c>
      <c r="D313">
        <f t="shared" si="3"/>
        <v>249</v>
      </c>
      <c r="E313" s="28">
        <v>231.26624748760796</v>
      </c>
    </row>
    <row r="314" spans="2:5" x14ac:dyDescent="0.3">
      <c r="B314">
        <v>250</v>
      </c>
      <c r="C314" s="28">
        <v>204.04657007312358</v>
      </c>
      <c r="D314">
        <f t="shared" si="3"/>
        <v>250</v>
      </c>
      <c r="E314" s="28">
        <v>-30.165506569745713</v>
      </c>
    </row>
    <row r="315" spans="2:5" x14ac:dyDescent="0.3">
      <c r="B315">
        <v>251</v>
      </c>
      <c r="C315" s="28">
        <v>92.721353182188565</v>
      </c>
      <c r="D315">
        <f t="shared" si="3"/>
        <v>251</v>
      </c>
      <c r="E315" s="28">
        <v>13.393793159383705</v>
      </c>
    </row>
    <row r="316" spans="2:5" x14ac:dyDescent="0.3">
      <c r="B316">
        <v>252</v>
      </c>
      <c r="C316" s="28">
        <v>149.14602441397679</v>
      </c>
      <c r="D316">
        <f t="shared" si="3"/>
        <v>252</v>
      </c>
      <c r="E316" s="28">
        <v>-209.76579947437358</v>
      </c>
    </row>
    <row r="317" spans="2:5" x14ac:dyDescent="0.3">
      <c r="B317">
        <v>253</v>
      </c>
      <c r="C317" s="28">
        <v>59.7821823530697</v>
      </c>
      <c r="D317">
        <f t="shared" si="3"/>
        <v>253</v>
      </c>
      <c r="E317" s="28">
        <v>460.8385381364912</v>
      </c>
    </row>
    <row r="318" spans="2:5" x14ac:dyDescent="0.3">
      <c r="B318">
        <v>254</v>
      </c>
      <c r="C318" s="28">
        <v>145.13061776060079</v>
      </c>
      <c r="D318">
        <f t="shared" si="3"/>
        <v>254</v>
      </c>
      <c r="E318" s="28">
        <v>131.58723473482732</v>
      </c>
    </row>
    <row r="319" spans="2:5" x14ac:dyDescent="0.3">
      <c r="B319">
        <v>255</v>
      </c>
      <c r="C319" s="28">
        <v>-16.780679758494593</v>
      </c>
      <c r="D319">
        <f t="shared" si="3"/>
        <v>255</v>
      </c>
      <c r="E319" s="28">
        <v>66.652785954441185</v>
      </c>
    </row>
    <row r="320" spans="2:5" x14ac:dyDescent="0.3">
      <c r="B320">
        <v>256</v>
      </c>
      <c r="C320" s="28">
        <v>73.755043492802287</v>
      </c>
      <c r="D320">
        <f t="shared" si="3"/>
        <v>256</v>
      </c>
      <c r="E320" s="28">
        <v>229.07630438028755</v>
      </c>
    </row>
    <row r="321" spans="2:5" x14ac:dyDescent="0.3">
      <c r="B321">
        <v>257</v>
      </c>
      <c r="C321" s="28">
        <v>146.45313163979756</v>
      </c>
      <c r="D321">
        <f t="shared" si="3"/>
        <v>257</v>
      </c>
      <c r="E321" s="28">
        <v>424.84203244227911</v>
      </c>
    </row>
    <row r="322" spans="2:5" x14ac:dyDescent="0.3">
      <c r="B322">
        <v>258</v>
      </c>
      <c r="C322" s="28">
        <v>152.7917826679369</v>
      </c>
      <c r="D322">
        <f t="shared" si="3"/>
        <v>258</v>
      </c>
      <c r="E322" s="28">
        <v>70.543290103758991</v>
      </c>
    </row>
    <row r="323" spans="2:5" x14ac:dyDescent="0.3">
      <c r="B323">
        <v>259</v>
      </c>
      <c r="C323" s="28">
        <v>135.92504678638588</v>
      </c>
      <c r="D323">
        <f t="shared" ref="D323:D386" si="4">B323</f>
        <v>259</v>
      </c>
      <c r="E323" s="28">
        <v>371.1858103037813</v>
      </c>
    </row>
    <row r="324" spans="2:5" x14ac:dyDescent="0.3">
      <c r="B324">
        <v>260</v>
      </c>
      <c r="C324" s="28">
        <v>136.85391488837143</v>
      </c>
      <c r="D324">
        <f t="shared" si="4"/>
        <v>260</v>
      </c>
      <c r="E324" s="28">
        <v>378.40184784099063</v>
      </c>
    </row>
    <row r="325" spans="2:5" x14ac:dyDescent="0.3">
      <c r="B325">
        <v>261</v>
      </c>
      <c r="C325" s="28">
        <v>111.88160827793133</v>
      </c>
      <c r="D325">
        <f t="shared" si="4"/>
        <v>261</v>
      </c>
      <c r="E325" s="28">
        <v>153.66256517241615</v>
      </c>
    </row>
    <row r="326" spans="2:5" x14ac:dyDescent="0.3">
      <c r="B326">
        <v>262</v>
      </c>
      <c r="C326" s="28">
        <v>174.88928927455999</v>
      </c>
      <c r="D326">
        <f t="shared" si="4"/>
        <v>262</v>
      </c>
      <c r="E326" s="28">
        <v>238.84651786424666</v>
      </c>
    </row>
    <row r="327" spans="2:5" x14ac:dyDescent="0.3">
      <c r="B327">
        <v>263</v>
      </c>
      <c r="C327" s="28">
        <v>33.911153480748325</v>
      </c>
      <c r="D327">
        <f t="shared" si="4"/>
        <v>263</v>
      </c>
      <c r="E327" s="28">
        <v>353.93637777254855</v>
      </c>
    </row>
    <row r="328" spans="2:5" x14ac:dyDescent="0.3">
      <c r="B328">
        <v>264</v>
      </c>
      <c r="C328" s="28">
        <v>147.09186461915985</v>
      </c>
      <c r="D328">
        <f t="shared" si="4"/>
        <v>264</v>
      </c>
      <c r="E328" s="28">
        <v>153.70093559590453</v>
      </c>
    </row>
    <row r="329" spans="2:5" x14ac:dyDescent="0.3">
      <c r="B329">
        <v>265</v>
      </c>
      <c r="C329" s="28">
        <v>105.41508058217137</v>
      </c>
      <c r="D329">
        <f t="shared" si="4"/>
        <v>265</v>
      </c>
      <c r="E329" s="28">
        <v>28.218503146507896</v>
      </c>
    </row>
    <row r="330" spans="2:5" x14ac:dyDescent="0.3">
      <c r="B330">
        <v>266</v>
      </c>
      <c r="C330" s="28">
        <v>137.17770539071361</v>
      </c>
      <c r="D330">
        <f t="shared" si="4"/>
        <v>266</v>
      </c>
      <c r="E330" s="28">
        <v>144.47429722522276</v>
      </c>
    </row>
    <row r="331" spans="2:5" x14ac:dyDescent="0.3">
      <c r="B331">
        <v>267</v>
      </c>
      <c r="C331" s="28">
        <v>-68.01776733259608</v>
      </c>
      <c r="D331">
        <f t="shared" si="4"/>
        <v>267</v>
      </c>
      <c r="E331" s="28">
        <v>108.3063405795294</v>
      </c>
    </row>
    <row r="332" spans="2:5" x14ac:dyDescent="0.3">
      <c r="B332">
        <v>268</v>
      </c>
      <c r="C332" s="28">
        <v>115.21524574751034</v>
      </c>
      <c r="D332">
        <f t="shared" si="4"/>
        <v>268</v>
      </c>
      <c r="E332" s="28">
        <v>-218.74616814987468</v>
      </c>
    </row>
    <row r="333" spans="2:5" x14ac:dyDescent="0.3">
      <c r="B333">
        <v>269</v>
      </c>
      <c r="C333" s="28">
        <v>44.921251485056061</v>
      </c>
      <c r="D333">
        <f t="shared" si="4"/>
        <v>269</v>
      </c>
      <c r="E333" s="28">
        <v>247.17543143392808</v>
      </c>
    </row>
    <row r="334" spans="2:5" x14ac:dyDescent="0.3">
      <c r="B334">
        <v>270</v>
      </c>
      <c r="C334" s="28">
        <v>48.322519342633555</v>
      </c>
      <c r="D334">
        <f t="shared" si="4"/>
        <v>270</v>
      </c>
      <c r="E334" s="28">
        <v>213.60673066464383</v>
      </c>
    </row>
    <row r="335" spans="2:5" x14ac:dyDescent="0.3">
      <c r="B335">
        <v>271</v>
      </c>
      <c r="C335" s="28">
        <v>129.66527449674817</v>
      </c>
      <c r="D335">
        <f t="shared" si="4"/>
        <v>271</v>
      </c>
      <c r="E335" s="28">
        <v>35.619263035462311</v>
      </c>
    </row>
    <row r="336" spans="2:5" x14ac:dyDescent="0.3">
      <c r="B336">
        <v>272</v>
      </c>
      <c r="C336" s="28">
        <v>102.06079913665431</v>
      </c>
      <c r="D336">
        <f t="shared" si="4"/>
        <v>272</v>
      </c>
      <c r="E336" s="28">
        <v>293.82707799656879</v>
      </c>
    </row>
    <row r="337" spans="2:5" x14ac:dyDescent="0.3">
      <c r="B337">
        <v>273</v>
      </c>
      <c r="C337" s="28">
        <v>86.624072388391852</v>
      </c>
      <c r="D337">
        <f t="shared" si="4"/>
        <v>273</v>
      </c>
      <c r="E337" s="28">
        <v>241.46800089592028</v>
      </c>
    </row>
    <row r="338" spans="2:5" x14ac:dyDescent="0.3">
      <c r="B338">
        <v>274</v>
      </c>
      <c r="C338" s="28">
        <v>56.673112661350032</v>
      </c>
      <c r="D338">
        <f t="shared" si="4"/>
        <v>274</v>
      </c>
      <c r="E338" s="28">
        <v>24.11917509336639</v>
      </c>
    </row>
    <row r="339" spans="2:5" x14ac:dyDescent="0.3">
      <c r="B339">
        <v>275</v>
      </c>
      <c r="C339" s="28">
        <v>139.30430199842527</v>
      </c>
      <c r="D339">
        <f t="shared" si="4"/>
        <v>275</v>
      </c>
      <c r="E339" s="28">
        <v>-145.43155067441668</v>
      </c>
    </row>
    <row r="340" spans="2:5" x14ac:dyDescent="0.3">
      <c r="B340">
        <v>276</v>
      </c>
      <c r="C340" s="28">
        <v>129.01698890543989</v>
      </c>
      <c r="D340">
        <f t="shared" si="4"/>
        <v>276</v>
      </c>
      <c r="E340" s="28">
        <v>96.701979114749363</v>
      </c>
    </row>
    <row r="341" spans="2:5" x14ac:dyDescent="0.3">
      <c r="B341">
        <v>277</v>
      </c>
      <c r="C341" s="28">
        <v>49.739419566643456</v>
      </c>
      <c r="D341">
        <f t="shared" si="4"/>
        <v>277</v>
      </c>
      <c r="E341" s="28">
        <v>212.28618318753496</v>
      </c>
    </row>
    <row r="342" spans="2:5" x14ac:dyDescent="0.3">
      <c r="B342">
        <v>278</v>
      </c>
      <c r="C342" s="28">
        <v>87.659372447125946</v>
      </c>
      <c r="D342">
        <f t="shared" si="4"/>
        <v>278</v>
      </c>
      <c r="E342" s="28">
        <v>203.42679227632715</v>
      </c>
    </row>
    <row r="343" spans="2:5" x14ac:dyDescent="0.3">
      <c r="B343">
        <v>279</v>
      </c>
      <c r="C343" s="28">
        <v>152.38093692353499</v>
      </c>
      <c r="D343">
        <f t="shared" si="4"/>
        <v>279</v>
      </c>
      <c r="E343" s="28">
        <v>250.85352953940983</v>
      </c>
    </row>
    <row r="344" spans="2:5" x14ac:dyDescent="0.3">
      <c r="B344">
        <v>280</v>
      </c>
      <c r="C344" s="28">
        <v>90.194259851953376</v>
      </c>
      <c r="D344">
        <f t="shared" si="4"/>
        <v>280</v>
      </c>
      <c r="E344" s="28">
        <v>213.04151300174721</v>
      </c>
    </row>
    <row r="345" spans="2:5" x14ac:dyDescent="0.3">
      <c r="B345">
        <v>281</v>
      </c>
      <c r="C345" s="28">
        <v>-15.815009427947151</v>
      </c>
      <c r="D345">
        <f t="shared" si="4"/>
        <v>281</v>
      </c>
      <c r="E345" s="28">
        <v>259.51227087540099</v>
      </c>
    </row>
    <row r="346" spans="2:5" x14ac:dyDescent="0.3">
      <c r="B346">
        <v>282</v>
      </c>
      <c r="C346" s="28">
        <v>166.0264630924803</v>
      </c>
      <c r="D346">
        <f t="shared" si="4"/>
        <v>282</v>
      </c>
      <c r="E346" s="28">
        <v>235.61662739638473</v>
      </c>
    </row>
    <row r="347" spans="2:5" x14ac:dyDescent="0.3">
      <c r="B347">
        <v>283</v>
      </c>
      <c r="C347" s="28">
        <v>114.61559581277723</v>
      </c>
      <c r="D347">
        <f t="shared" si="4"/>
        <v>283</v>
      </c>
      <c r="E347" s="28">
        <v>72.815261021677571</v>
      </c>
    </row>
    <row r="348" spans="2:5" x14ac:dyDescent="0.3">
      <c r="B348">
        <v>284</v>
      </c>
      <c r="C348" s="28">
        <v>104.90726587962357</v>
      </c>
      <c r="D348">
        <f t="shared" si="4"/>
        <v>284</v>
      </c>
      <c r="E348" s="28">
        <v>157.17167316935254</v>
      </c>
    </row>
    <row r="349" spans="2:5" x14ac:dyDescent="0.3">
      <c r="B349">
        <v>285</v>
      </c>
      <c r="C349" s="28">
        <v>158.52782051579933</v>
      </c>
      <c r="D349">
        <f t="shared" si="4"/>
        <v>285</v>
      </c>
      <c r="E349" s="28">
        <v>112.88807329229459</v>
      </c>
    </row>
    <row r="350" spans="2:5" x14ac:dyDescent="0.3">
      <c r="B350">
        <v>286</v>
      </c>
      <c r="C350" s="28">
        <v>123.71918499539906</v>
      </c>
      <c r="D350">
        <f t="shared" si="4"/>
        <v>286</v>
      </c>
      <c r="E350" s="28">
        <v>24.59055688111291</v>
      </c>
    </row>
    <row r="351" spans="2:5" x14ac:dyDescent="0.3">
      <c r="B351">
        <v>287</v>
      </c>
      <c r="C351" s="28">
        <v>184.93158472065073</v>
      </c>
      <c r="D351">
        <f t="shared" si="4"/>
        <v>287</v>
      </c>
      <c r="E351" s="28">
        <v>20.680325060155994</v>
      </c>
    </row>
    <row r="352" spans="2:5" x14ac:dyDescent="0.3">
      <c r="B352">
        <v>288</v>
      </c>
      <c r="C352" s="28">
        <v>126.07189023745968</v>
      </c>
      <c r="D352">
        <f t="shared" si="4"/>
        <v>288</v>
      </c>
      <c r="E352" s="28">
        <v>182.52456226229069</v>
      </c>
    </row>
    <row r="353" spans="2:5" x14ac:dyDescent="0.3">
      <c r="B353">
        <v>289</v>
      </c>
      <c r="C353" s="28">
        <v>59.912465762830266</v>
      </c>
      <c r="D353">
        <f t="shared" si="4"/>
        <v>289</v>
      </c>
      <c r="E353" s="28">
        <v>231.28616179275485</v>
      </c>
    </row>
    <row r="354" spans="2:5" x14ac:dyDescent="0.3">
      <c r="B354">
        <v>290</v>
      </c>
      <c r="C354" s="28">
        <v>128.32328698972466</v>
      </c>
      <c r="D354">
        <f t="shared" si="4"/>
        <v>290</v>
      </c>
      <c r="E354" s="28">
        <v>143.19567374807559</v>
      </c>
    </row>
    <row r="355" spans="2:5" x14ac:dyDescent="0.3">
      <c r="B355">
        <v>291</v>
      </c>
      <c r="C355" s="28">
        <v>116.65419370318446</v>
      </c>
      <c r="D355">
        <f t="shared" si="4"/>
        <v>291</v>
      </c>
      <c r="E355" s="28">
        <v>149.58447508614313</v>
      </c>
    </row>
    <row r="356" spans="2:5" x14ac:dyDescent="0.3">
      <c r="B356">
        <v>292</v>
      </c>
      <c r="C356" s="28">
        <v>65.812300505096033</v>
      </c>
      <c r="D356">
        <f t="shared" si="4"/>
        <v>292</v>
      </c>
      <c r="E356" s="28">
        <v>202.69104116394175</v>
      </c>
    </row>
    <row r="357" spans="2:5" x14ac:dyDescent="0.3">
      <c r="B357">
        <v>293</v>
      </c>
      <c r="C357" s="28">
        <v>141.20665245274481</v>
      </c>
      <c r="D357">
        <f t="shared" si="4"/>
        <v>293</v>
      </c>
      <c r="E357" s="28">
        <v>57.311584934441839</v>
      </c>
    </row>
    <row r="358" spans="2:5" x14ac:dyDescent="0.3">
      <c r="B358">
        <v>294</v>
      </c>
      <c r="C358" s="28">
        <v>162.34433068922098</v>
      </c>
      <c r="D358">
        <f t="shared" si="4"/>
        <v>294</v>
      </c>
      <c r="E358" s="28">
        <v>-74.169388122342582</v>
      </c>
    </row>
    <row r="359" spans="2:5" x14ac:dyDescent="0.3">
      <c r="B359">
        <v>295</v>
      </c>
      <c r="C359" s="28">
        <v>69.96754917737853</v>
      </c>
      <c r="D359">
        <f t="shared" si="4"/>
        <v>295</v>
      </c>
      <c r="E359" s="28">
        <v>166.34256489301984</v>
      </c>
    </row>
    <row r="360" spans="2:5" x14ac:dyDescent="0.3">
      <c r="B360">
        <v>296</v>
      </c>
      <c r="C360" s="28">
        <v>87.878051354673502</v>
      </c>
      <c r="D360">
        <f t="shared" si="4"/>
        <v>296</v>
      </c>
      <c r="E360" s="28">
        <v>21.163341203573733</v>
      </c>
    </row>
    <row r="361" spans="2:5" x14ac:dyDescent="0.3">
      <c r="B361">
        <v>297</v>
      </c>
      <c r="C361" s="28">
        <v>126.56350811084462</v>
      </c>
      <c r="D361">
        <f t="shared" si="4"/>
        <v>297</v>
      </c>
      <c r="E361" s="28">
        <v>120.99026660321367</v>
      </c>
    </row>
    <row r="362" spans="2:5" x14ac:dyDescent="0.3">
      <c r="B362">
        <v>298</v>
      </c>
      <c r="C362" s="28">
        <v>127.19874716891938</v>
      </c>
      <c r="D362">
        <f t="shared" si="4"/>
        <v>298</v>
      </c>
      <c r="E362" s="28">
        <v>188.46077392549009</v>
      </c>
    </row>
    <row r="363" spans="2:5" x14ac:dyDescent="0.3">
      <c r="B363">
        <v>299</v>
      </c>
      <c r="C363" s="28">
        <v>107.41878623602338</v>
      </c>
      <c r="D363">
        <f t="shared" si="4"/>
        <v>299</v>
      </c>
      <c r="E363" s="28">
        <v>-24.699740703594049</v>
      </c>
    </row>
    <row r="364" spans="2:5" x14ac:dyDescent="0.3">
      <c r="B364">
        <v>300</v>
      </c>
      <c r="C364" s="28">
        <v>72.971617766644243</v>
      </c>
      <c r="D364">
        <f t="shared" si="4"/>
        <v>300</v>
      </c>
      <c r="E364" s="28">
        <v>316.1693802698436</v>
      </c>
    </row>
    <row r="365" spans="2:5" x14ac:dyDescent="0.3">
      <c r="B365">
        <v>301</v>
      </c>
      <c r="C365" s="28">
        <v>118.80087106375292</v>
      </c>
      <c r="D365">
        <f t="shared" si="4"/>
        <v>301</v>
      </c>
      <c r="E365" s="28">
        <v>125.0409873863503</v>
      </c>
    </row>
    <row r="366" spans="2:5" x14ac:dyDescent="0.3">
      <c r="B366">
        <v>302</v>
      </c>
      <c r="C366" s="28">
        <v>107.21888334549865</v>
      </c>
      <c r="D366">
        <f t="shared" si="4"/>
        <v>302</v>
      </c>
      <c r="E366" s="28">
        <v>-220.99643860200203</v>
      </c>
    </row>
    <row r="367" spans="2:5" x14ac:dyDescent="0.3">
      <c r="B367">
        <v>303</v>
      </c>
      <c r="C367" s="28">
        <v>123.8101025567</v>
      </c>
      <c r="D367">
        <f t="shared" si="4"/>
        <v>303</v>
      </c>
      <c r="E367" s="28">
        <v>573.59546259066462</v>
      </c>
    </row>
    <row r="368" spans="2:5" x14ac:dyDescent="0.3">
      <c r="B368">
        <v>304</v>
      </c>
      <c r="C368" s="28">
        <v>171.0350223516968</v>
      </c>
      <c r="D368">
        <f t="shared" si="4"/>
        <v>304</v>
      </c>
      <c r="E368" s="28">
        <v>144.96229270194868</v>
      </c>
    </row>
    <row r="369" spans="2:5" x14ac:dyDescent="0.3">
      <c r="B369">
        <v>305</v>
      </c>
      <c r="C369" s="28">
        <v>139.76599433783903</v>
      </c>
      <c r="D369">
        <f t="shared" si="4"/>
        <v>305</v>
      </c>
      <c r="E369" s="28">
        <v>371.21707834269148</v>
      </c>
    </row>
    <row r="370" spans="2:5" x14ac:dyDescent="0.3">
      <c r="B370">
        <v>306</v>
      </c>
      <c r="C370" s="28">
        <v>34.968609300186564</v>
      </c>
      <c r="D370">
        <f t="shared" si="4"/>
        <v>306</v>
      </c>
      <c r="E370" s="28">
        <v>298.80756289786171</v>
      </c>
    </row>
    <row r="371" spans="2:5" x14ac:dyDescent="0.3">
      <c r="B371">
        <v>307</v>
      </c>
      <c r="C371" s="28">
        <v>142.73235096250033</v>
      </c>
      <c r="D371">
        <f t="shared" si="4"/>
        <v>307</v>
      </c>
      <c r="E371" s="28">
        <v>-37.914091122517462</v>
      </c>
    </row>
    <row r="372" spans="2:5" x14ac:dyDescent="0.3">
      <c r="B372">
        <v>308</v>
      </c>
      <c r="C372" s="28">
        <v>125.15719370497295</v>
      </c>
      <c r="D372">
        <f t="shared" si="4"/>
        <v>308</v>
      </c>
      <c r="E372" s="28">
        <v>198.23637335598153</v>
      </c>
    </row>
    <row r="373" spans="2:5" x14ac:dyDescent="0.3">
      <c r="B373">
        <v>309</v>
      </c>
      <c r="C373" s="28">
        <v>125.09981293093333</v>
      </c>
      <c r="D373">
        <f t="shared" si="4"/>
        <v>309</v>
      </c>
      <c r="E373" s="28">
        <v>130.33920409620904</v>
      </c>
    </row>
    <row r="374" spans="2:5" x14ac:dyDescent="0.3">
      <c r="B374">
        <v>310</v>
      </c>
      <c r="C374" s="28">
        <v>180.99491809627563</v>
      </c>
      <c r="D374">
        <f t="shared" si="4"/>
        <v>310</v>
      </c>
      <c r="E374" s="28">
        <v>-29.692002161922112</v>
      </c>
    </row>
    <row r="375" spans="2:5" x14ac:dyDescent="0.3">
      <c r="B375">
        <v>311</v>
      </c>
      <c r="C375" s="28">
        <v>160.20065023568654</v>
      </c>
      <c r="D375">
        <f t="shared" si="4"/>
        <v>311</v>
      </c>
      <c r="E375" s="28">
        <v>173.07123990424512</v>
      </c>
    </row>
    <row r="376" spans="2:5" x14ac:dyDescent="0.3">
      <c r="B376">
        <v>312</v>
      </c>
      <c r="C376" s="28">
        <v>58.895734277850728</v>
      </c>
      <c r="D376">
        <f t="shared" si="4"/>
        <v>312</v>
      </c>
      <c r="E376" s="28">
        <v>87.006414862083531</v>
      </c>
    </row>
    <row r="377" spans="2:5" x14ac:dyDescent="0.3">
      <c r="B377">
        <v>313</v>
      </c>
      <c r="C377" s="28">
        <v>120.65463814444175</v>
      </c>
      <c r="D377">
        <f t="shared" si="4"/>
        <v>313</v>
      </c>
      <c r="E377" s="28">
        <v>160.07693749124797</v>
      </c>
    </row>
    <row r="378" spans="2:5" x14ac:dyDescent="0.3">
      <c r="B378">
        <v>314</v>
      </c>
      <c r="C378" s="28">
        <v>125.08932259374731</v>
      </c>
      <c r="D378">
        <f t="shared" si="4"/>
        <v>314</v>
      </c>
      <c r="E378" s="28">
        <v>599.03526424077791</v>
      </c>
    </row>
    <row r="379" spans="2:5" x14ac:dyDescent="0.3">
      <c r="B379">
        <v>315</v>
      </c>
      <c r="C379" s="28">
        <v>111.05839144313063</v>
      </c>
      <c r="D379">
        <f t="shared" si="4"/>
        <v>315</v>
      </c>
      <c r="E379" s="28">
        <v>23.416311208083975</v>
      </c>
    </row>
    <row r="380" spans="2:5" x14ac:dyDescent="0.3">
      <c r="B380">
        <v>316</v>
      </c>
      <c r="C380" s="28">
        <v>77.742950657898092</v>
      </c>
      <c r="D380">
        <f t="shared" si="4"/>
        <v>316</v>
      </c>
      <c r="E380" s="28">
        <v>-139.84496534809756</v>
      </c>
    </row>
    <row r="381" spans="2:5" x14ac:dyDescent="0.3">
      <c r="B381">
        <v>317</v>
      </c>
      <c r="C381" s="28">
        <v>130.07682177489136</v>
      </c>
      <c r="D381">
        <f t="shared" si="4"/>
        <v>317</v>
      </c>
      <c r="E381" s="28">
        <v>122.4644998116723</v>
      </c>
    </row>
    <row r="382" spans="2:5" x14ac:dyDescent="0.3">
      <c r="B382">
        <v>318</v>
      </c>
      <c r="C382" s="28">
        <v>108.19669579821955</v>
      </c>
      <c r="D382">
        <f t="shared" si="4"/>
        <v>318</v>
      </c>
      <c r="E382" s="28">
        <v>18.652031155025714</v>
      </c>
    </row>
    <row r="383" spans="2:5" x14ac:dyDescent="0.3">
      <c r="B383">
        <v>319</v>
      </c>
      <c r="C383" s="28">
        <v>80.958327032490089</v>
      </c>
      <c r="D383">
        <f t="shared" si="4"/>
        <v>319</v>
      </c>
      <c r="E383" s="28">
        <v>-402.73035795677703</v>
      </c>
    </row>
    <row r="384" spans="2:5" x14ac:dyDescent="0.3">
      <c r="B384">
        <v>320</v>
      </c>
      <c r="C384" s="28">
        <v>117.59078205103872</v>
      </c>
      <c r="D384">
        <f t="shared" si="4"/>
        <v>320</v>
      </c>
      <c r="E384" s="28">
        <v>228.84380630946535</v>
      </c>
    </row>
    <row r="385" spans="2:5" x14ac:dyDescent="0.3">
      <c r="B385">
        <v>321</v>
      </c>
      <c r="C385" s="28">
        <v>170.54590284234743</v>
      </c>
      <c r="D385">
        <f t="shared" si="4"/>
        <v>321</v>
      </c>
      <c r="E385" s="28">
        <v>94.385285324099456</v>
      </c>
    </row>
    <row r="386" spans="2:5" x14ac:dyDescent="0.3">
      <c r="B386">
        <v>322</v>
      </c>
      <c r="C386" s="28">
        <v>143.92571558699501</v>
      </c>
      <c r="D386">
        <f t="shared" si="4"/>
        <v>322</v>
      </c>
      <c r="E386" s="28">
        <v>127.2955054223942</v>
      </c>
    </row>
    <row r="387" spans="2:5" x14ac:dyDescent="0.3">
      <c r="B387">
        <v>323</v>
      </c>
      <c r="C387" s="28">
        <v>181.69916568096687</v>
      </c>
      <c r="D387">
        <f t="shared" ref="D387:D450" si="5">B387</f>
        <v>323</v>
      </c>
      <c r="E387" s="28">
        <v>-137.90212387452357</v>
      </c>
    </row>
    <row r="388" spans="2:5" x14ac:dyDescent="0.3">
      <c r="B388">
        <v>324</v>
      </c>
      <c r="C388" s="28">
        <v>130.61261443749538</v>
      </c>
      <c r="D388">
        <f t="shared" si="5"/>
        <v>324</v>
      </c>
      <c r="E388" s="28">
        <v>217.51394733723541</v>
      </c>
    </row>
    <row r="389" spans="2:5" x14ac:dyDescent="0.3">
      <c r="B389">
        <v>325</v>
      </c>
      <c r="C389" s="28">
        <v>77.566332369427272</v>
      </c>
      <c r="D389">
        <f t="shared" si="5"/>
        <v>325</v>
      </c>
      <c r="E389" s="28">
        <v>243.9600345522943</v>
      </c>
    </row>
    <row r="390" spans="2:5" x14ac:dyDescent="0.3">
      <c r="B390">
        <v>326</v>
      </c>
      <c r="C390" s="28">
        <v>162.44488734158395</v>
      </c>
      <c r="D390">
        <f t="shared" si="5"/>
        <v>326</v>
      </c>
      <c r="E390" s="28">
        <v>190.71553229249599</v>
      </c>
    </row>
    <row r="391" spans="2:5" x14ac:dyDescent="0.3">
      <c r="B391">
        <v>327</v>
      </c>
      <c r="C391" s="28">
        <v>174.98261724587351</v>
      </c>
      <c r="D391">
        <f t="shared" si="5"/>
        <v>327</v>
      </c>
      <c r="E391" s="28">
        <v>-25.231402365773594</v>
      </c>
    </row>
    <row r="392" spans="2:5" x14ac:dyDescent="0.3">
      <c r="B392">
        <v>328</v>
      </c>
      <c r="C392" s="28">
        <v>124.87850774426695</v>
      </c>
      <c r="D392">
        <f t="shared" si="5"/>
        <v>328</v>
      </c>
      <c r="E392" s="28">
        <v>-82.978730939669376</v>
      </c>
    </row>
    <row r="393" spans="2:5" x14ac:dyDescent="0.3">
      <c r="B393">
        <v>329</v>
      </c>
      <c r="C393" s="28">
        <v>-166.29698281162109</v>
      </c>
      <c r="D393">
        <f t="shared" si="5"/>
        <v>329</v>
      </c>
      <c r="E393" s="28">
        <v>237.64808399603189</v>
      </c>
    </row>
    <row r="394" spans="2:5" x14ac:dyDescent="0.3">
      <c r="B394">
        <v>330</v>
      </c>
      <c r="C394" s="28">
        <v>145.1478261561594</v>
      </c>
      <c r="D394">
        <f t="shared" si="5"/>
        <v>330</v>
      </c>
      <c r="E394" s="28">
        <v>117.36774525496608</v>
      </c>
    </row>
    <row r="395" spans="2:5" x14ac:dyDescent="0.3">
      <c r="B395">
        <v>331</v>
      </c>
      <c r="C395" s="28">
        <v>94.502825930401954</v>
      </c>
      <c r="D395">
        <f t="shared" si="5"/>
        <v>331</v>
      </c>
      <c r="E395" s="28">
        <v>255.50955081930891</v>
      </c>
    </row>
    <row r="396" spans="2:5" x14ac:dyDescent="0.3">
      <c r="B396">
        <v>332</v>
      </c>
      <c r="C396" s="28">
        <v>30.562973544980036</v>
      </c>
      <c r="D396">
        <f t="shared" si="5"/>
        <v>332</v>
      </c>
      <c r="E396" s="28">
        <v>117.27094734267368</v>
      </c>
    </row>
    <row r="397" spans="2:5" x14ac:dyDescent="0.3">
      <c r="B397">
        <v>333</v>
      </c>
      <c r="C397" s="28">
        <v>63.711665808364067</v>
      </c>
      <c r="D397">
        <f t="shared" si="5"/>
        <v>333</v>
      </c>
      <c r="E397" s="28">
        <v>234.24714784428028</v>
      </c>
    </row>
    <row r="398" spans="2:5" x14ac:dyDescent="0.3">
      <c r="B398">
        <v>334</v>
      </c>
      <c r="C398" s="28">
        <v>99.226984056575176</v>
      </c>
      <c r="D398">
        <f t="shared" si="5"/>
        <v>334</v>
      </c>
      <c r="E398" s="28">
        <v>-133.997559082999</v>
      </c>
    </row>
    <row r="399" spans="2:5" x14ac:dyDescent="0.3">
      <c r="B399">
        <v>335</v>
      </c>
      <c r="C399" s="28">
        <v>91.807799448990693</v>
      </c>
      <c r="D399">
        <f t="shared" si="5"/>
        <v>335</v>
      </c>
      <c r="E399" s="28">
        <v>266.609344636949</v>
      </c>
    </row>
    <row r="400" spans="2:5" x14ac:dyDescent="0.3">
      <c r="B400">
        <v>336</v>
      </c>
      <c r="C400" s="28">
        <v>157.23271301143933</v>
      </c>
      <c r="D400">
        <f t="shared" si="5"/>
        <v>336</v>
      </c>
      <c r="E400" s="28">
        <v>279.27619308524015</v>
      </c>
    </row>
    <row r="401" spans="2:5" x14ac:dyDescent="0.3">
      <c r="B401">
        <v>337</v>
      </c>
      <c r="C401" s="28">
        <v>49.511974333478392</v>
      </c>
      <c r="D401">
        <f t="shared" si="5"/>
        <v>337</v>
      </c>
      <c r="E401" s="28">
        <v>170.52911032265115</v>
      </c>
    </row>
    <row r="402" spans="2:5" x14ac:dyDescent="0.3">
      <c r="B402">
        <v>338</v>
      </c>
      <c r="C402" s="28">
        <v>117.72168466727803</v>
      </c>
      <c r="D402">
        <f t="shared" si="5"/>
        <v>338</v>
      </c>
      <c r="E402" s="28">
        <v>173.39801792835902</v>
      </c>
    </row>
    <row r="403" spans="2:5" x14ac:dyDescent="0.3">
      <c r="B403">
        <v>339</v>
      </c>
      <c r="C403" s="28">
        <v>173.83686534105061</v>
      </c>
      <c r="D403">
        <f t="shared" si="5"/>
        <v>339</v>
      </c>
      <c r="E403" s="28">
        <v>291.80300414472555</v>
      </c>
    </row>
    <row r="404" spans="2:5" x14ac:dyDescent="0.3">
      <c r="B404">
        <v>340</v>
      </c>
      <c r="C404" s="28">
        <v>156.53592237312742</v>
      </c>
      <c r="D404">
        <f t="shared" si="5"/>
        <v>340</v>
      </c>
      <c r="E404" s="28">
        <v>265.04104031696318</v>
      </c>
    </row>
    <row r="405" spans="2:5" x14ac:dyDescent="0.3">
      <c r="B405">
        <v>341</v>
      </c>
      <c r="C405" s="28">
        <v>118.74372612157227</v>
      </c>
      <c r="D405">
        <f t="shared" si="5"/>
        <v>341</v>
      </c>
      <c r="E405" s="28">
        <v>-227.73040550669344</v>
      </c>
    </row>
    <row r="406" spans="2:5" x14ac:dyDescent="0.3">
      <c r="B406">
        <v>342</v>
      </c>
      <c r="C406" s="28">
        <v>130.37922577082239</v>
      </c>
      <c r="D406">
        <f t="shared" si="5"/>
        <v>342</v>
      </c>
      <c r="E406" s="28">
        <v>26.872337934504241</v>
      </c>
    </row>
    <row r="407" spans="2:5" x14ac:dyDescent="0.3">
      <c r="B407">
        <v>343</v>
      </c>
      <c r="C407" s="28">
        <v>52.535781763041847</v>
      </c>
      <c r="D407">
        <f t="shared" si="5"/>
        <v>343</v>
      </c>
      <c r="E407" s="28">
        <v>40.890886404089954</v>
      </c>
    </row>
    <row r="408" spans="2:5" x14ac:dyDescent="0.3">
      <c r="B408">
        <v>344</v>
      </c>
      <c r="C408" s="28">
        <v>166.07110796790155</v>
      </c>
      <c r="D408">
        <f t="shared" si="5"/>
        <v>344</v>
      </c>
      <c r="E408" s="28">
        <v>227.24838001996977</v>
      </c>
    </row>
    <row r="409" spans="2:5" x14ac:dyDescent="0.3">
      <c r="B409">
        <v>345</v>
      </c>
      <c r="C409" s="28">
        <v>129.02328045842776</v>
      </c>
      <c r="D409">
        <f t="shared" si="5"/>
        <v>345</v>
      </c>
      <c r="E409" s="28">
        <v>23.227848574414192</v>
      </c>
    </row>
    <row r="410" spans="2:5" x14ac:dyDescent="0.3">
      <c r="B410">
        <v>346</v>
      </c>
      <c r="C410" s="28">
        <v>89.45053786555637</v>
      </c>
      <c r="D410">
        <f t="shared" si="5"/>
        <v>346</v>
      </c>
      <c r="E410" s="28">
        <v>176.19033786793392</v>
      </c>
    </row>
    <row r="411" spans="2:5" x14ac:dyDescent="0.3">
      <c r="B411">
        <v>347</v>
      </c>
      <c r="C411" s="28">
        <v>144.92050129714735</v>
      </c>
      <c r="D411">
        <f t="shared" si="5"/>
        <v>347</v>
      </c>
      <c r="E411" s="28">
        <v>366.92686421178712</v>
      </c>
    </row>
    <row r="412" spans="2:5" x14ac:dyDescent="0.3">
      <c r="B412">
        <v>348</v>
      </c>
      <c r="C412" s="28">
        <v>68.118004726982562</v>
      </c>
      <c r="D412">
        <f t="shared" si="5"/>
        <v>348</v>
      </c>
      <c r="E412" s="28">
        <v>-60.297953283955316</v>
      </c>
    </row>
    <row r="413" spans="2:5" x14ac:dyDescent="0.3">
      <c r="B413">
        <v>349</v>
      </c>
      <c r="C413" s="28">
        <v>87.792863034825274</v>
      </c>
      <c r="D413">
        <f t="shared" si="5"/>
        <v>349</v>
      </c>
      <c r="E413" s="28">
        <v>186.09285682660646</v>
      </c>
    </row>
    <row r="414" spans="2:5" x14ac:dyDescent="0.3">
      <c r="B414">
        <v>350</v>
      </c>
      <c r="C414" s="28">
        <v>109.73408387375359</v>
      </c>
      <c r="D414">
        <f t="shared" si="5"/>
        <v>350</v>
      </c>
      <c r="E414" s="28">
        <v>31.418806363640932</v>
      </c>
    </row>
    <row r="415" spans="2:5" x14ac:dyDescent="0.3">
      <c r="B415">
        <v>351</v>
      </c>
      <c r="C415" s="28">
        <v>90.881615463891279</v>
      </c>
      <c r="D415">
        <f t="shared" si="5"/>
        <v>351</v>
      </c>
      <c r="E415" s="28">
        <v>-24.905031513725461</v>
      </c>
    </row>
    <row r="416" spans="2:5" x14ac:dyDescent="0.3">
      <c r="B416">
        <v>352</v>
      </c>
      <c r="C416" s="28">
        <v>177.29094795516716</v>
      </c>
      <c r="D416">
        <f t="shared" si="5"/>
        <v>352</v>
      </c>
      <c r="E416" s="28">
        <v>72.191554745708132</v>
      </c>
    </row>
    <row r="417" spans="2:5" x14ac:dyDescent="0.3">
      <c r="B417">
        <v>353</v>
      </c>
      <c r="C417" s="28">
        <v>101.57020484397894</v>
      </c>
      <c r="D417">
        <f t="shared" si="5"/>
        <v>353</v>
      </c>
      <c r="E417" s="28">
        <v>66.635115158070249</v>
      </c>
    </row>
    <row r="418" spans="2:5" x14ac:dyDescent="0.3">
      <c r="B418">
        <v>354</v>
      </c>
      <c r="C418" s="28">
        <v>148.46241537324619</v>
      </c>
      <c r="D418">
        <f t="shared" si="5"/>
        <v>354</v>
      </c>
      <c r="E418" s="28">
        <v>80.867284697547291</v>
      </c>
    </row>
    <row r="419" spans="2:5" x14ac:dyDescent="0.3">
      <c r="B419">
        <v>355</v>
      </c>
      <c r="C419" s="28">
        <v>25.229563651885066</v>
      </c>
      <c r="D419">
        <f t="shared" si="5"/>
        <v>355</v>
      </c>
      <c r="E419" s="28">
        <v>-110.93262133598421</v>
      </c>
    </row>
    <row r="420" spans="2:5" x14ac:dyDescent="0.3">
      <c r="B420">
        <v>356</v>
      </c>
      <c r="C420" s="28">
        <v>158.34449753769943</v>
      </c>
      <c r="D420">
        <f t="shared" si="5"/>
        <v>356</v>
      </c>
      <c r="E420" s="28">
        <v>214.0720811141654</v>
      </c>
    </row>
    <row r="421" spans="2:5" x14ac:dyDescent="0.3">
      <c r="B421">
        <v>357</v>
      </c>
      <c r="C421" s="28">
        <v>90.682270808051058</v>
      </c>
      <c r="D421">
        <f t="shared" si="5"/>
        <v>357</v>
      </c>
      <c r="E421" s="28">
        <v>41.938174931461177</v>
      </c>
    </row>
    <row r="422" spans="2:5" x14ac:dyDescent="0.3">
      <c r="B422">
        <v>358</v>
      </c>
      <c r="C422" s="28">
        <v>122.632562111127</v>
      </c>
      <c r="D422">
        <f t="shared" si="5"/>
        <v>358</v>
      </c>
      <c r="E422" s="28">
        <v>334.63747673365651</v>
      </c>
    </row>
    <row r="423" spans="2:5" x14ac:dyDescent="0.3">
      <c r="B423">
        <v>359</v>
      </c>
      <c r="C423" s="28">
        <v>19.787778883879248</v>
      </c>
      <c r="D423">
        <f t="shared" si="5"/>
        <v>359</v>
      </c>
      <c r="E423" s="28">
        <v>106.9523182535826</v>
      </c>
    </row>
    <row r="424" spans="2:5" x14ac:dyDescent="0.3">
      <c r="B424">
        <v>360</v>
      </c>
      <c r="C424" s="28">
        <v>175.94650661379299</v>
      </c>
      <c r="D424">
        <f t="shared" si="5"/>
        <v>360</v>
      </c>
      <c r="E424" s="28">
        <v>39.348863352411072</v>
      </c>
    </row>
    <row r="425" spans="2:5" x14ac:dyDescent="0.3">
      <c r="B425">
        <v>361</v>
      </c>
      <c r="C425" s="28">
        <v>188.6217460253186</v>
      </c>
      <c r="D425">
        <f t="shared" si="5"/>
        <v>361</v>
      </c>
      <c r="E425" s="28">
        <v>295.14691219004476</v>
      </c>
    </row>
    <row r="426" spans="2:5" x14ac:dyDescent="0.3">
      <c r="B426">
        <v>362</v>
      </c>
      <c r="C426" s="28">
        <v>83.072082537889713</v>
      </c>
      <c r="D426">
        <f t="shared" si="5"/>
        <v>362</v>
      </c>
      <c r="E426" s="28">
        <v>121.665587582491</v>
      </c>
    </row>
    <row r="427" spans="2:5" x14ac:dyDescent="0.3">
      <c r="B427">
        <v>363</v>
      </c>
      <c r="C427" s="28">
        <v>54.794606062664798</v>
      </c>
      <c r="D427">
        <f t="shared" si="5"/>
        <v>363</v>
      </c>
      <c r="E427" s="28">
        <v>434.24785298331835</v>
      </c>
    </row>
    <row r="428" spans="2:5" x14ac:dyDescent="0.3">
      <c r="B428">
        <v>364</v>
      </c>
      <c r="C428" s="28">
        <v>122.16754987254726</v>
      </c>
      <c r="D428">
        <f t="shared" si="5"/>
        <v>364</v>
      </c>
      <c r="E428" s="28">
        <v>70.256101213818383</v>
      </c>
    </row>
    <row r="429" spans="2:5" x14ac:dyDescent="0.3">
      <c r="B429">
        <v>365</v>
      </c>
      <c r="C429" s="28">
        <v>188.91538895599822</v>
      </c>
      <c r="D429">
        <f t="shared" si="5"/>
        <v>365</v>
      </c>
      <c r="E429" s="28">
        <v>-47.137844344877273</v>
      </c>
    </row>
    <row r="430" spans="2:5" x14ac:dyDescent="0.3">
      <c r="B430">
        <v>366</v>
      </c>
      <c r="C430" s="28">
        <v>107.80704354509528</v>
      </c>
      <c r="D430">
        <f t="shared" si="5"/>
        <v>366</v>
      </c>
      <c r="E430" s="28">
        <v>-141.51718990338631</v>
      </c>
    </row>
    <row r="431" spans="2:5" x14ac:dyDescent="0.3">
      <c r="B431">
        <v>367</v>
      </c>
      <c r="C431" s="28">
        <v>23.629938390059543</v>
      </c>
      <c r="D431">
        <f t="shared" si="5"/>
        <v>367</v>
      </c>
      <c r="E431" s="28">
        <v>296.54344775704919</v>
      </c>
    </row>
    <row r="432" spans="2:5" x14ac:dyDescent="0.3">
      <c r="B432">
        <v>368</v>
      </c>
      <c r="C432" s="28">
        <v>141.53114894910215</v>
      </c>
      <c r="D432">
        <f t="shared" si="5"/>
        <v>368</v>
      </c>
      <c r="E432" s="28">
        <v>343.10371920665608</v>
      </c>
    </row>
    <row r="433" spans="2:5" x14ac:dyDescent="0.3">
      <c r="B433">
        <v>369</v>
      </c>
      <c r="C433" s="28">
        <v>125.19215472332607</v>
      </c>
      <c r="D433">
        <f t="shared" si="5"/>
        <v>369</v>
      </c>
      <c r="E433" s="28">
        <v>113.29950764319645</v>
      </c>
    </row>
    <row r="434" spans="2:5" x14ac:dyDescent="0.3">
      <c r="B434">
        <v>370</v>
      </c>
      <c r="C434" s="28">
        <v>67.425577462103561</v>
      </c>
      <c r="D434">
        <f t="shared" si="5"/>
        <v>370</v>
      </c>
      <c r="E434" s="28">
        <v>-1.6770181515342668</v>
      </c>
    </row>
    <row r="435" spans="2:5" x14ac:dyDescent="0.3">
      <c r="B435">
        <v>371</v>
      </c>
      <c r="C435" s="28">
        <v>194.21768558323058</v>
      </c>
      <c r="D435">
        <f t="shared" si="5"/>
        <v>371</v>
      </c>
      <c r="E435" s="28">
        <v>-46.900757739517829</v>
      </c>
    </row>
    <row r="436" spans="2:5" x14ac:dyDescent="0.3">
      <c r="B436">
        <v>372</v>
      </c>
      <c r="C436" s="28">
        <v>135.98699013225888</v>
      </c>
      <c r="D436">
        <f t="shared" si="5"/>
        <v>372</v>
      </c>
      <c r="E436" s="28">
        <v>377.34239920958356</v>
      </c>
    </row>
    <row r="437" spans="2:5" x14ac:dyDescent="0.3">
      <c r="B437">
        <v>373</v>
      </c>
      <c r="C437" s="28">
        <v>123.52619529578446</v>
      </c>
      <c r="D437">
        <f t="shared" si="5"/>
        <v>373</v>
      </c>
      <c r="E437" s="28">
        <v>158.3233763129212</v>
      </c>
    </row>
    <row r="438" spans="2:5" x14ac:dyDescent="0.3">
      <c r="B438">
        <v>374</v>
      </c>
      <c r="C438" s="28">
        <v>162.00353313912515</v>
      </c>
      <c r="D438">
        <f t="shared" si="5"/>
        <v>374</v>
      </c>
      <c r="E438" s="28">
        <v>258.97349425805146</v>
      </c>
    </row>
    <row r="439" spans="2:5" x14ac:dyDescent="0.3">
      <c r="B439">
        <v>375</v>
      </c>
      <c r="C439" s="28">
        <v>145.57961771484312</v>
      </c>
      <c r="D439">
        <f t="shared" si="5"/>
        <v>375</v>
      </c>
      <c r="E439" s="28">
        <v>352.74344451570971</v>
      </c>
    </row>
    <row r="440" spans="2:5" x14ac:dyDescent="0.3">
      <c r="B440">
        <v>376</v>
      </c>
      <c r="C440" s="28">
        <v>111.24397139560605</v>
      </c>
      <c r="D440">
        <f t="shared" si="5"/>
        <v>376</v>
      </c>
      <c r="E440" s="28">
        <v>118.63459084354096</v>
      </c>
    </row>
    <row r="441" spans="2:5" x14ac:dyDescent="0.3">
      <c r="B441">
        <v>377</v>
      </c>
      <c r="C441" s="28">
        <v>62.986710856088585</v>
      </c>
      <c r="D441">
        <f t="shared" si="5"/>
        <v>377</v>
      </c>
      <c r="E441" s="28">
        <v>329.89054323634815</v>
      </c>
    </row>
    <row r="442" spans="2:5" x14ac:dyDescent="0.3">
      <c r="B442">
        <v>378</v>
      </c>
      <c r="C442" s="28">
        <v>113.04679488053466</v>
      </c>
      <c r="D442">
        <f t="shared" si="5"/>
        <v>378</v>
      </c>
      <c r="E442" s="28">
        <v>25.196556413280778</v>
      </c>
    </row>
    <row r="443" spans="2:5" x14ac:dyDescent="0.3">
      <c r="B443">
        <v>379</v>
      </c>
      <c r="C443" s="28">
        <v>158.04297720829396</v>
      </c>
      <c r="D443">
        <f t="shared" si="5"/>
        <v>379</v>
      </c>
      <c r="E443" s="28">
        <v>256.63565613028203</v>
      </c>
    </row>
    <row r="444" spans="2:5" x14ac:dyDescent="0.3">
      <c r="B444">
        <v>380</v>
      </c>
      <c r="C444" s="28">
        <v>99.430618618576844</v>
      </c>
      <c r="D444">
        <f t="shared" si="5"/>
        <v>380</v>
      </c>
      <c r="E444" s="28">
        <v>107.56960322793182</v>
      </c>
    </row>
    <row r="445" spans="2:5" x14ac:dyDescent="0.3">
      <c r="B445">
        <v>381</v>
      </c>
      <c r="C445" s="28">
        <v>114.86497067389004</v>
      </c>
      <c r="D445">
        <f t="shared" si="5"/>
        <v>381</v>
      </c>
      <c r="E445" s="28">
        <v>514.2653943348862</v>
      </c>
    </row>
    <row r="446" spans="2:5" x14ac:dyDescent="0.3">
      <c r="B446">
        <v>382</v>
      </c>
      <c r="C446" s="28">
        <v>119.9661753013102</v>
      </c>
      <c r="D446">
        <f t="shared" si="5"/>
        <v>382</v>
      </c>
      <c r="E446" s="28">
        <v>169.61540417213047</v>
      </c>
    </row>
    <row r="447" spans="2:5" x14ac:dyDescent="0.3">
      <c r="B447">
        <v>383</v>
      </c>
      <c r="C447" s="28">
        <v>149.98595349715961</v>
      </c>
      <c r="D447">
        <f t="shared" si="5"/>
        <v>383</v>
      </c>
      <c r="E447" s="28">
        <v>211.88285709930273</v>
      </c>
    </row>
    <row r="448" spans="2:5" x14ac:dyDescent="0.3">
      <c r="B448">
        <v>384</v>
      </c>
      <c r="C448" s="28">
        <v>92.819502617083842</v>
      </c>
      <c r="D448">
        <f t="shared" si="5"/>
        <v>384</v>
      </c>
      <c r="E448" s="28">
        <v>-240.28181725536666</v>
      </c>
    </row>
    <row r="449" spans="2:5" x14ac:dyDescent="0.3">
      <c r="B449">
        <v>385</v>
      </c>
      <c r="C449" s="28">
        <v>72.862747615512575</v>
      </c>
      <c r="D449">
        <f t="shared" si="5"/>
        <v>385</v>
      </c>
      <c r="E449" s="28">
        <v>230.68403209837066</v>
      </c>
    </row>
    <row r="450" spans="2:5" x14ac:dyDescent="0.3">
      <c r="B450">
        <v>386</v>
      </c>
      <c r="C450" s="28">
        <v>110.62574400253098</v>
      </c>
      <c r="D450">
        <f t="shared" si="5"/>
        <v>386</v>
      </c>
      <c r="E450" s="28">
        <v>452.97329205019241</v>
      </c>
    </row>
    <row r="451" spans="2:5" x14ac:dyDescent="0.3">
      <c r="B451">
        <v>387</v>
      </c>
      <c r="C451" s="28">
        <v>139.85128738430052</v>
      </c>
      <c r="D451">
        <f t="shared" ref="D451:D514" si="6">B451</f>
        <v>387</v>
      </c>
      <c r="E451" s="28">
        <v>24.006932550936817</v>
      </c>
    </row>
    <row r="452" spans="2:5" x14ac:dyDescent="0.3">
      <c r="B452">
        <v>388</v>
      </c>
      <c r="C452" s="28">
        <v>109.44530392438817</v>
      </c>
      <c r="D452">
        <f t="shared" si="6"/>
        <v>388</v>
      </c>
      <c r="E452" s="28">
        <v>148.43774414576231</v>
      </c>
    </row>
    <row r="453" spans="2:5" x14ac:dyDescent="0.3">
      <c r="B453">
        <v>389</v>
      </c>
      <c r="C453" s="28">
        <v>63.31769271779909</v>
      </c>
      <c r="D453">
        <f t="shared" si="6"/>
        <v>389</v>
      </c>
      <c r="E453" s="28">
        <v>332.85042306302807</v>
      </c>
    </row>
    <row r="454" spans="2:5" x14ac:dyDescent="0.3">
      <c r="B454">
        <v>390</v>
      </c>
      <c r="C454" s="28">
        <v>-37.86501708750086</v>
      </c>
      <c r="D454">
        <f t="shared" si="6"/>
        <v>390</v>
      </c>
      <c r="E454" s="28">
        <v>186.38837141829899</v>
      </c>
    </row>
    <row r="455" spans="2:5" x14ac:dyDescent="0.3">
      <c r="B455">
        <v>391</v>
      </c>
      <c r="C455" s="28">
        <v>27.700409481450595</v>
      </c>
      <c r="D455">
        <f t="shared" si="6"/>
        <v>391</v>
      </c>
      <c r="E455" s="28">
        <v>36.590682960720343</v>
      </c>
    </row>
    <row r="456" spans="2:5" x14ac:dyDescent="0.3">
      <c r="B456">
        <v>392</v>
      </c>
      <c r="C456" s="28">
        <v>120.71112803364831</v>
      </c>
      <c r="D456">
        <f t="shared" si="6"/>
        <v>392</v>
      </c>
      <c r="E456" s="28">
        <v>140.68217009774773</v>
      </c>
    </row>
    <row r="457" spans="2:5" x14ac:dyDescent="0.3">
      <c r="B457">
        <v>393</v>
      </c>
      <c r="C457" s="28">
        <v>-29.545420520701533</v>
      </c>
      <c r="D457">
        <f t="shared" si="6"/>
        <v>393</v>
      </c>
      <c r="E457" s="28">
        <v>323.45440232097627</v>
      </c>
    </row>
    <row r="458" spans="2:5" x14ac:dyDescent="0.3">
      <c r="B458">
        <v>394</v>
      </c>
      <c r="C458" s="28">
        <v>174.60862104706172</v>
      </c>
      <c r="D458">
        <f t="shared" si="6"/>
        <v>394</v>
      </c>
      <c r="E458" s="28">
        <v>95.679954286218788</v>
      </c>
    </row>
    <row r="459" spans="2:5" x14ac:dyDescent="0.3">
      <c r="B459">
        <v>395</v>
      </c>
      <c r="C459" s="28">
        <v>135.98376229933552</v>
      </c>
      <c r="D459">
        <f t="shared" si="6"/>
        <v>395</v>
      </c>
      <c r="E459" s="28">
        <v>50.056791430385054</v>
      </c>
    </row>
    <row r="460" spans="2:5" x14ac:dyDescent="0.3">
      <c r="B460">
        <v>396</v>
      </c>
      <c r="C460" s="28">
        <v>72.185340080892502</v>
      </c>
      <c r="D460">
        <f t="shared" si="6"/>
        <v>396</v>
      </c>
      <c r="E460" s="28">
        <v>293.11043846269376</v>
      </c>
    </row>
    <row r="461" spans="2:5" x14ac:dyDescent="0.3">
      <c r="B461">
        <v>397</v>
      </c>
      <c r="C461" s="28">
        <v>77.148633350853785</v>
      </c>
      <c r="D461">
        <f t="shared" si="6"/>
        <v>397</v>
      </c>
      <c r="E461" s="28">
        <v>-8.9041268365691089</v>
      </c>
    </row>
    <row r="462" spans="2:5" x14ac:dyDescent="0.3">
      <c r="B462">
        <v>398</v>
      </c>
      <c r="C462" s="28">
        <v>128.102090864319</v>
      </c>
      <c r="D462">
        <f t="shared" si="6"/>
        <v>398</v>
      </c>
      <c r="E462" s="28">
        <v>-51.576829961259818</v>
      </c>
    </row>
    <row r="463" spans="2:5" x14ac:dyDescent="0.3">
      <c r="B463">
        <v>399</v>
      </c>
      <c r="C463" s="28">
        <v>86.196078848251091</v>
      </c>
      <c r="D463">
        <f t="shared" si="6"/>
        <v>399</v>
      </c>
      <c r="E463" s="28">
        <v>188.01607140005561</v>
      </c>
    </row>
    <row r="464" spans="2:5" x14ac:dyDescent="0.3">
      <c r="B464">
        <v>400</v>
      </c>
      <c r="C464" s="28">
        <v>140.51915254133576</v>
      </c>
      <c r="D464">
        <f t="shared" si="6"/>
        <v>400</v>
      </c>
      <c r="E464" s="28">
        <v>70.150533147193784</v>
      </c>
    </row>
    <row r="465" spans="2:5" x14ac:dyDescent="0.3">
      <c r="B465">
        <v>401</v>
      </c>
      <c r="C465" s="28">
        <v>-17.35780078297498</v>
      </c>
      <c r="D465">
        <f t="shared" si="6"/>
        <v>401</v>
      </c>
      <c r="E465" s="28">
        <v>355.90286003465093</v>
      </c>
    </row>
    <row r="466" spans="2:5" x14ac:dyDescent="0.3">
      <c r="B466">
        <v>402</v>
      </c>
      <c r="C466" s="28">
        <v>136.48708401256994</v>
      </c>
      <c r="D466">
        <f t="shared" si="6"/>
        <v>402</v>
      </c>
      <c r="E466" s="28">
        <v>78.530298545992878</v>
      </c>
    </row>
    <row r="467" spans="2:5" x14ac:dyDescent="0.3">
      <c r="B467">
        <v>403</v>
      </c>
      <c r="C467" s="28">
        <v>138.18067549363022</v>
      </c>
      <c r="D467">
        <f t="shared" si="6"/>
        <v>403</v>
      </c>
      <c r="E467" s="28">
        <v>-140.13980007951059</v>
      </c>
    </row>
    <row r="468" spans="2:5" x14ac:dyDescent="0.3">
      <c r="B468">
        <v>404</v>
      </c>
      <c r="C468" s="28">
        <v>81.603452960948985</v>
      </c>
      <c r="D468">
        <f t="shared" si="6"/>
        <v>404</v>
      </c>
      <c r="E468" s="28">
        <v>189.65327167182789</v>
      </c>
    </row>
    <row r="469" spans="2:5" x14ac:dyDescent="0.3">
      <c r="B469">
        <v>405</v>
      </c>
      <c r="C469" s="28">
        <v>87.136814975621647</v>
      </c>
      <c r="D469">
        <f t="shared" si="6"/>
        <v>405</v>
      </c>
      <c r="E469" s="28">
        <v>328.3091370422888</v>
      </c>
    </row>
    <row r="470" spans="2:5" x14ac:dyDescent="0.3">
      <c r="B470">
        <v>406</v>
      </c>
      <c r="C470" s="28">
        <v>150.7117881741805</v>
      </c>
      <c r="D470">
        <f t="shared" si="6"/>
        <v>406</v>
      </c>
      <c r="E470" s="28">
        <v>44.897413598068354</v>
      </c>
    </row>
    <row r="471" spans="2:5" x14ac:dyDescent="0.3">
      <c r="B471">
        <v>407</v>
      </c>
      <c r="C471" s="28">
        <v>80.536320838106278</v>
      </c>
      <c r="D471">
        <f t="shared" si="6"/>
        <v>407</v>
      </c>
      <c r="E471" s="28">
        <v>-4.0710492444921593</v>
      </c>
    </row>
    <row r="472" spans="2:5" x14ac:dyDescent="0.3">
      <c r="B472">
        <v>408</v>
      </c>
      <c r="C472" s="28">
        <v>45.743739953026967</v>
      </c>
      <c r="D472">
        <f t="shared" si="6"/>
        <v>408</v>
      </c>
      <c r="E472" s="28">
        <v>439.38068056213649</v>
      </c>
    </row>
    <row r="473" spans="2:5" x14ac:dyDescent="0.3">
      <c r="B473">
        <v>409</v>
      </c>
      <c r="C473" s="28">
        <v>166.16287485626978</v>
      </c>
      <c r="D473">
        <f t="shared" si="6"/>
        <v>409</v>
      </c>
      <c r="E473" s="28">
        <v>-48.855897690380587</v>
      </c>
    </row>
    <row r="474" spans="2:5" x14ac:dyDescent="0.3">
      <c r="B474">
        <v>410</v>
      </c>
      <c r="C474" s="28">
        <v>139.2288640570315</v>
      </c>
      <c r="D474">
        <f t="shared" si="6"/>
        <v>410</v>
      </c>
      <c r="E474" s="28">
        <v>283.33464333130058</v>
      </c>
    </row>
    <row r="475" spans="2:5" x14ac:dyDescent="0.3">
      <c r="B475">
        <v>411</v>
      </c>
      <c r="C475" s="28">
        <v>132.59395387152657</v>
      </c>
      <c r="D475">
        <f t="shared" si="6"/>
        <v>411</v>
      </c>
      <c r="E475" s="28">
        <v>662.29152205166542</v>
      </c>
    </row>
    <row r="476" spans="2:5" x14ac:dyDescent="0.3">
      <c r="B476">
        <v>412</v>
      </c>
      <c r="C476" s="28">
        <v>56.524381742318852</v>
      </c>
      <c r="D476">
        <f t="shared" si="6"/>
        <v>412</v>
      </c>
      <c r="E476" s="28">
        <v>216.96803918053496</v>
      </c>
    </row>
    <row r="477" spans="2:5" x14ac:dyDescent="0.3">
      <c r="B477">
        <v>413</v>
      </c>
      <c r="C477" s="28">
        <v>155.86483779706725</v>
      </c>
      <c r="D477">
        <f t="shared" si="6"/>
        <v>413</v>
      </c>
      <c r="E477" s="28">
        <v>362.14899595739274</v>
      </c>
    </row>
    <row r="478" spans="2:5" x14ac:dyDescent="0.3">
      <c r="B478">
        <v>414</v>
      </c>
      <c r="C478" s="28">
        <v>108.39128379805473</v>
      </c>
      <c r="D478">
        <f t="shared" si="6"/>
        <v>414</v>
      </c>
      <c r="E478" s="28">
        <v>-267.62036933470193</v>
      </c>
    </row>
    <row r="479" spans="2:5" x14ac:dyDescent="0.3">
      <c r="B479">
        <v>415</v>
      </c>
      <c r="C479" s="28">
        <v>122.29682748975786</v>
      </c>
      <c r="D479">
        <f t="shared" si="6"/>
        <v>415</v>
      </c>
      <c r="E479" s="28">
        <v>121.70612936503662</v>
      </c>
    </row>
    <row r="480" spans="2:5" x14ac:dyDescent="0.3">
      <c r="B480">
        <v>416</v>
      </c>
      <c r="C480" s="28">
        <v>141.95579398263735</v>
      </c>
      <c r="D480">
        <f t="shared" si="6"/>
        <v>416</v>
      </c>
      <c r="E480" s="28">
        <v>53.001933192520156</v>
      </c>
    </row>
    <row r="481" spans="2:5" x14ac:dyDescent="0.3">
      <c r="B481">
        <v>417</v>
      </c>
      <c r="C481" s="28">
        <v>145.89448546866075</v>
      </c>
      <c r="D481">
        <f t="shared" si="6"/>
        <v>417</v>
      </c>
      <c r="E481" s="28">
        <v>-144.3191943515032</v>
      </c>
    </row>
    <row r="482" spans="2:5" x14ac:dyDescent="0.3">
      <c r="B482">
        <v>418</v>
      </c>
      <c r="C482" s="28">
        <v>135.74102968242323</v>
      </c>
      <c r="D482">
        <f t="shared" si="6"/>
        <v>418</v>
      </c>
      <c r="E482" s="28">
        <v>-38.054966605577448</v>
      </c>
    </row>
    <row r="483" spans="2:5" x14ac:dyDescent="0.3">
      <c r="B483">
        <v>419</v>
      </c>
      <c r="C483" s="28">
        <v>11.351907601016705</v>
      </c>
      <c r="D483">
        <f t="shared" si="6"/>
        <v>419</v>
      </c>
      <c r="E483" s="28">
        <v>179.9992568235827</v>
      </c>
    </row>
    <row r="484" spans="2:5" x14ac:dyDescent="0.3">
      <c r="B484">
        <v>420</v>
      </c>
      <c r="C484" s="28">
        <v>80.83819110065798</v>
      </c>
      <c r="D484">
        <f t="shared" si="6"/>
        <v>420</v>
      </c>
      <c r="E484" s="28">
        <v>-418.45852211358886</v>
      </c>
    </row>
    <row r="485" spans="2:5" x14ac:dyDescent="0.3">
      <c r="B485">
        <v>421</v>
      </c>
      <c r="C485" s="28">
        <v>137.34432000316096</v>
      </c>
      <c r="D485">
        <f t="shared" si="6"/>
        <v>421</v>
      </c>
      <c r="E485" s="28">
        <v>85.728318216142469</v>
      </c>
    </row>
    <row r="486" spans="2:5" x14ac:dyDescent="0.3">
      <c r="B486">
        <v>422</v>
      </c>
      <c r="C486" s="28">
        <v>129.42334467781433</v>
      </c>
      <c r="D486">
        <f t="shared" si="6"/>
        <v>422</v>
      </c>
      <c r="E486" s="28">
        <v>123.20186230584514</v>
      </c>
    </row>
    <row r="487" spans="2:5" x14ac:dyDescent="0.3">
      <c r="B487">
        <v>423</v>
      </c>
      <c r="C487" s="28">
        <v>157.26150275709361</v>
      </c>
      <c r="D487">
        <f t="shared" si="6"/>
        <v>423</v>
      </c>
      <c r="E487" s="28">
        <v>316.86620408816827</v>
      </c>
    </row>
    <row r="488" spans="2:5" x14ac:dyDescent="0.3">
      <c r="B488">
        <v>424</v>
      </c>
      <c r="C488" s="28">
        <v>143.72376271406284</v>
      </c>
      <c r="D488">
        <f t="shared" si="6"/>
        <v>424</v>
      </c>
      <c r="E488" s="28">
        <v>389.97649965577187</v>
      </c>
    </row>
    <row r="489" spans="2:5" x14ac:dyDescent="0.3">
      <c r="B489">
        <v>425</v>
      </c>
      <c r="C489" s="28">
        <v>130.56168134141109</v>
      </c>
      <c r="D489">
        <f t="shared" si="6"/>
        <v>425</v>
      </c>
      <c r="E489" s="28">
        <v>113.33118935762111</v>
      </c>
    </row>
    <row r="490" spans="2:5" x14ac:dyDescent="0.3">
      <c r="B490">
        <v>426</v>
      </c>
      <c r="C490" s="28">
        <v>184.04174996187427</v>
      </c>
      <c r="D490">
        <f t="shared" si="6"/>
        <v>426</v>
      </c>
      <c r="E490" s="28">
        <v>-86.709395241779916</v>
      </c>
    </row>
    <row r="491" spans="2:5" x14ac:dyDescent="0.3">
      <c r="B491">
        <v>427</v>
      </c>
      <c r="C491" s="28">
        <v>123.65448409010287</v>
      </c>
      <c r="D491">
        <f t="shared" si="6"/>
        <v>427</v>
      </c>
      <c r="E491" s="28">
        <v>-200.44317715866364</v>
      </c>
    </row>
    <row r="492" spans="2:5" x14ac:dyDescent="0.3">
      <c r="B492">
        <v>428</v>
      </c>
      <c r="C492" s="28">
        <v>187.27048624916054</v>
      </c>
      <c r="D492">
        <f t="shared" si="6"/>
        <v>428</v>
      </c>
      <c r="E492" s="28">
        <v>405.80267615058204</v>
      </c>
    </row>
    <row r="493" spans="2:5" x14ac:dyDescent="0.3">
      <c r="B493">
        <v>429</v>
      </c>
      <c r="C493" s="28">
        <v>99.44837313650379</v>
      </c>
      <c r="D493">
        <f t="shared" si="6"/>
        <v>429</v>
      </c>
      <c r="E493" s="28">
        <v>203.26448713374361</v>
      </c>
    </row>
    <row r="494" spans="2:5" x14ac:dyDescent="0.3">
      <c r="B494">
        <v>430</v>
      </c>
      <c r="C494" s="28">
        <v>75.059905383656798</v>
      </c>
      <c r="D494">
        <f t="shared" si="6"/>
        <v>430</v>
      </c>
      <c r="E494" s="28">
        <v>52.474897013910493</v>
      </c>
    </row>
    <row r="495" spans="2:5" x14ac:dyDescent="0.3">
      <c r="B495">
        <v>431</v>
      </c>
      <c r="C495" s="28">
        <v>141.94074692963923</v>
      </c>
      <c r="D495">
        <f t="shared" si="6"/>
        <v>431</v>
      </c>
      <c r="E495" s="28">
        <v>123.49565254180558</v>
      </c>
    </row>
    <row r="496" spans="2:5" x14ac:dyDescent="0.3">
      <c r="B496">
        <v>432</v>
      </c>
      <c r="C496" s="28">
        <v>90.951484605236857</v>
      </c>
      <c r="D496">
        <f t="shared" si="6"/>
        <v>432</v>
      </c>
      <c r="E496" s="28">
        <v>138.36600939277992</v>
      </c>
    </row>
    <row r="497" spans="2:5" x14ac:dyDescent="0.3">
      <c r="B497">
        <v>433</v>
      </c>
      <c r="C497" s="28">
        <v>119.27155840604192</v>
      </c>
      <c r="D497">
        <f t="shared" si="6"/>
        <v>433</v>
      </c>
      <c r="E497" s="28">
        <v>76.658529890257128</v>
      </c>
    </row>
    <row r="498" spans="2:5" x14ac:dyDescent="0.3">
      <c r="B498">
        <v>434</v>
      </c>
      <c r="C498" s="28">
        <v>173.9986446324055</v>
      </c>
      <c r="D498">
        <f t="shared" si="6"/>
        <v>434</v>
      </c>
      <c r="E498" s="28">
        <v>203.50588591616727</v>
      </c>
    </row>
    <row r="499" spans="2:5" x14ac:dyDescent="0.3">
      <c r="B499">
        <v>435</v>
      </c>
      <c r="C499" s="28">
        <v>-25.24102021905788</v>
      </c>
      <c r="D499">
        <f t="shared" si="6"/>
        <v>435</v>
      </c>
      <c r="E499" s="28">
        <v>99.660815421850259</v>
      </c>
    </row>
    <row r="500" spans="2:5" x14ac:dyDescent="0.3">
      <c r="B500">
        <v>436</v>
      </c>
      <c r="C500" s="28">
        <v>24.531196904400765</v>
      </c>
      <c r="D500">
        <f t="shared" si="6"/>
        <v>436</v>
      </c>
      <c r="E500" s="28">
        <v>-202.68178941019653</v>
      </c>
    </row>
    <row r="501" spans="2:5" x14ac:dyDescent="0.3">
      <c r="B501">
        <v>437</v>
      </c>
      <c r="C501" s="28">
        <v>10.428833612240172</v>
      </c>
      <c r="D501">
        <f t="shared" si="6"/>
        <v>437</v>
      </c>
      <c r="E501" s="28">
        <v>374.33008941492449</v>
      </c>
    </row>
    <row r="502" spans="2:5" x14ac:dyDescent="0.3">
      <c r="B502">
        <v>438</v>
      </c>
      <c r="C502" s="28">
        <v>217.17112622885821</v>
      </c>
      <c r="D502">
        <f t="shared" si="6"/>
        <v>438</v>
      </c>
      <c r="E502" s="28">
        <v>143.14600939330268</v>
      </c>
    </row>
    <row r="503" spans="2:5" x14ac:dyDescent="0.3">
      <c r="B503">
        <v>439</v>
      </c>
      <c r="C503" s="28">
        <v>71.622125776382092</v>
      </c>
      <c r="D503">
        <f t="shared" si="6"/>
        <v>439</v>
      </c>
      <c r="E503" s="28">
        <v>-11.388939939672534</v>
      </c>
    </row>
    <row r="504" spans="2:5" x14ac:dyDescent="0.3">
      <c r="B504">
        <v>440</v>
      </c>
      <c r="C504" s="28">
        <v>115.15735898006645</v>
      </c>
      <c r="D504">
        <f t="shared" si="6"/>
        <v>440</v>
      </c>
      <c r="E504" s="28">
        <v>86.612079163523788</v>
      </c>
    </row>
    <row r="505" spans="2:5" x14ac:dyDescent="0.3">
      <c r="B505">
        <v>441</v>
      </c>
      <c r="C505" s="28">
        <v>93.50990304575555</v>
      </c>
      <c r="D505">
        <f t="shared" si="6"/>
        <v>441</v>
      </c>
      <c r="E505" s="28">
        <v>250.06647190351669</v>
      </c>
    </row>
    <row r="506" spans="2:5" x14ac:dyDescent="0.3">
      <c r="B506">
        <v>442</v>
      </c>
      <c r="C506" s="28">
        <v>113.73150719450796</v>
      </c>
      <c r="D506">
        <f t="shared" si="6"/>
        <v>442</v>
      </c>
      <c r="E506" s="28">
        <v>85.639132643104091</v>
      </c>
    </row>
    <row r="507" spans="2:5" x14ac:dyDescent="0.3">
      <c r="B507">
        <v>443</v>
      </c>
      <c r="C507" s="28">
        <v>88.044570805784105</v>
      </c>
      <c r="D507">
        <f t="shared" si="6"/>
        <v>443</v>
      </c>
      <c r="E507" s="28">
        <v>130.00543219884827</v>
      </c>
    </row>
    <row r="508" spans="2:5" x14ac:dyDescent="0.3">
      <c r="B508">
        <v>444</v>
      </c>
      <c r="C508" s="28">
        <v>-13.475750899377763</v>
      </c>
      <c r="D508">
        <f t="shared" si="6"/>
        <v>444</v>
      </c>
      <c r="E508" s="28">
        <v>95.303195368794974</v>
      </c>
    </row>
    <row r="509" spans="2:5" x14ac:dyDescent="0.3">
      <c r="B509">
        <v>445</v>
      </c>
      <c r="C509" s="28">
        <v>-75.333986934195792</v>
      </c>
      <c r="D509">
        <f t="shared" si="6"/>
        <v>445</v>
      </c>
      <c r="E509" s="28">
        <v>297.5000088375715</v>
      </c>
    </row>
    <row r="510" spans="2:5" x14ac:dyDescent="0.3">
      <c r="B510">
        <v>446</v>
      </c>
      <c r="C510" s="28">
        <v>189.17817579996137</v>
      </c>
      <c r="D510">
        <f t="shared" si="6"/>
        <v>446</v>
      </c>
      <c r="E510" s="28">
        <v>91.844433994618797</v>
      </c>
    </row>
    <row r="511" spans="2:5" x14ac:dyDescent="0.3">
      <c r="B511">
        <v>447</v>
      </c>
      <c r="C511" s="28">
        <v>97.862817772934989</v>
      </c>
      <c r="D511">
        <f t="shared" si="6"/>
        <v>447</v>
      </c>
      <c r="E511" s="28">
        <v>261.50994776156909</v>
      </c>
    </row>
    <row r="512" spans="2:5" x14ac:dyDescent="0.3">
      <c r="B512">
        <v>448</v>
      </c>
      <c r="C512" s="28">
        <v>140.78172974367175</v>
      </c>
      <c r="D512">
        <f t="shared" si="6"/>
        <v>448</v>
      </c>
      <c r="E512" s="28">
        <v>216.52960448469761</v>
      </c>
    </row>
    <row r="513" spans="2:5" x14ac:dyDescent="0.3">
      <c r="B513">
        <v>449</v>
      </c>
      <c r="C513" s="28">
        <v>137.14422798246272</v>
      </c>
      <c r="D513">
        <f t="shared" si="6"/>
        <v>449</v>
      </c>
      <c r="E513" s="28">
        <v>-177.07866879843306</v>
      </c>
    </row>
    <row r="514" spans="2:5" x14ac:dyDescent="0.3">
      <c r="B514">
        <v>450</v>
      </c>
      <c r="C514" s="28">
        <v>137.42525495691879</v>
      </c>
      <c r="D514">
        <f t="shared" si="6"/>
        <v>450</v>
      </c>
      <c r="E514" s="28">
        <v>-0.78149965615140715</v>
      </c>
    </row>
    <row r="515" spans="2:5" x14ac:dyDescent="0.3">
      <c r="B515">
        <v>451</v>
      </c>
      <c r="C515" s="28">
        <v>143.47577741246477</v>
      </c>
      <c r="D515">
        <f t="shared" ref="D515:D564" si="7">B515</f>
        <v>451</v>
      </c>
      <c r="E515" s="28">
        <v>496.02519564906549</v>
      </c>
    </row>
    <row r="516" spans="2:5" x14ac:dyDescent="0.3">
      <c r="B516">
        <v>452</v>
      </c>
      <c r="C516" s="28">
        <v>146.11952518889274</v>
      </c>
      <c r="D516">
        <f t="shared" si="7"/>
        <v>452</v>
      </c>
      <c r="E516" s="28">
        <v>-24.326901364058017</v>
      </c>
    </row>
    <row r="517" spans="2:5" x14ac:dyDescent="0.3">
      <c r="B517">
        <v>453</v>
      </c>
      <c r="C517" s="28">
        <v>132.25943943384524</v>
      </c>
      <c r="D517">
        <f t="shared" si="7"/>
        <v>453</v>
      </c>
      <c r="E517" s="28">
        <v>255.68814660245818</v>
      </c>
    </row>
    <row r="518" spans="2:5" x14ac:dyDescent="0.3">
      <c r="B518">
        <v>454</v>
      </c>
      <c r="C518" s="28">
        <v>181.21832113679636</v>
      </c>
      <c r="D518">
        <f t="shared" si="7"/>
        <v>454</v>
      </c>
      <c r="E518" s="28">
        <v>245.58550647808875</v>
      </c>
    </row>
    <row r="519" spans="2:5" x14ac:dyDescent="0.3">
      <c r="B519">
        <v>455</v>
      </c>
      <c r="C519" s="28">
        <v>71.111755616620229</v>
      </c>
      <c r="D519">
        <f t="shared" si="7"/>
        <v>455</v>
      </c>
      <c r="E519" s="28">
        <v>71.234328130524048</v>
      </c>
    </row>
    <row r="520" spans="2:5" x14ac:dyDescent="0.3">
      <c r="B520">
        <v>456</v>
      </c>
      <c r="C520" s="28">
        <v>93.005623253340488</v>
      </c>
      <c r="D520">
        <f t="shared" si="7"/>
        <v>456</v>
      </c>
      <c r="E520" s="28">
        <v>140.41387323401966</v>
      </c>
    </row>
    <row r="521" spans="2:5" x14ac:dyDescent="0.3">
      <c r="B521">
        <v>457</v>
      </c>
      <c r="C521" s="28">
        <v>23.201180183041746</v>
      </c>
      <c r="D521">
        <f t="shared" si="7"/>
        <v>457</v>
      </c>
      <c r="E521" s="28">
        <v>80.922252385014957</v>
      </c>
    </row>
    <row r="522" spans="2:5" x14ac:dyDescent="0.3">
      <c r="B522">
        <v>458</v>
      </c>
      <c r="C522" s="28">
        <v>-13.229697739724491</v>
      </c>
      <c r="D522">
        <f t="shared" si="7"/>
        <v>458</v>
      </c>
      <c r="E522" s="28">
        <v>204.78460522498804</v>
      </c>
    </row>
    <row r="523" spans="2:5" x14ac:dyDescent="0.3">
      <c r="B523">
        <v>459</v>
      </c>
      <c r="C523" s="28">
        <v>94.602423344598236</v>
      </c>
      <c r="D523">
        <f t="shared" si="7"/>
        <v>459</v>
      </c>
      <c r="E523" s="28">
        <v>52.452997892668648</v>
      </c>
    </row>
    <row r="524" spans="2:5" x14ac:dyDescent="0.3">
      <c r="B524">
        <v>460</v>
      </c>
      <c r="C524" s="28">
        <v>38.413480570924484</v>
      </c>
      <c r="D524">
        <f t="shared" si="7"/>
        <v>460</v>
      </c>
      <c r="E524" s="28">
        <v>2.6761956721609921</v>
      </c>
    </row>
    <row r="525" spans="2:5" x14ac:dyDescent="0.3">
      <c r="B525">
        <v>461</v>
      </c>
      <c r="C525" s="28">
        <v>167.26131101372204</v>
      </c>
      <c r="D525">
        <f t="shared" si="7"/>
        <v>461</v>
      </c>
      <c r="E525" s="28">
        <v>69.413908835942763</v>
      </c>
    </row>
    <row r="526" spans="2:5" x14ac:dyDescent="0.3">
      <c r="B526">
        <v>462</v>
      </c>
      <c r="C526" s="28">
        <v>60.921645741548573</v>
      </c>
      <c r="D526">
        <f t="shared" si="7"/>
        <v>462</v>
      </c>
      <c r="E526" s="28">
        <v>203.50640983987782</v>
      </c>
    </row>
    <row r="527" spans="2:5" x14ac:dyDescent="0.3">
      <c r="B527">
        <v>463</v>
      </c>
      <c r="C527" s="28">
        <v>180.48067582168213</v>
      </c>
      <c r="D527">
        <f t="shared" si="7"/>
        <v>463</v>
      </c>
      <c r="E527" s="28">
        <v>286.58982168508066</v>
      </c>
    </row>
    <row r="528" spans="2:5" x14ac:dyDescent="0.3">
      <c r="B528">
        <v>464</v>
      </c>
      <c r="C528" s="28">
        <v>203.06649437505513</v>
      </c>
      <c r="D528">
        <f t="shared" si="7"/>
        <v>464</v>
      </c>
      <c r="E528" s="28">
        <v>5.1914700025963691</v>
      </c>
    </row>
    <row r="529" spans="2:5" x14ac:dyDescent="0.3">
      <c r="B529">
        <v>465</v>
      </c>
      <c r="C529" s="28">
        <v>168.69752816947138</v>
      </c>
      <c r="D529">
        <f t="shared" si="7"/>
        <v>465</v>
      </c>
      <c r="E529" s="28">
        <v>327.37592328363974</v>
      </c>
    </row>
    <row r="530" spans="2:5" x14ac:dyDescent="0.3">
      <c r="B530">
        <v>466</v>
      </c>
      <c r="C530" s="28">
        <v>127.42973715324267</v>
      </c>
      <c r="D530">
        <f t="shared" si="7"/>
        <v>466</v>
      </c>
      <c r="E530" s="28">
        <v>196.49840643319845</v>
      </c>
    </row>
    <row r="531" spans="2:5" x14ac:dyDescent="0.3">
      <c r="B531">
        <v>467</v>
      </c>
      <c r="C531" s="28">
        <v>150.89852306134509</v>
      </c>
      <c r="D531">
        <f t="shared" si="7"/>
        <v>467</v>
      </c>
      <c r="E531" s="28">
        <v>421.36070559286372</v>
      </c>
    </row>
    <row r="532" spans="2:5" x14ac:dyDescent="0.3">
      <c r="B532">
        <v>468</v>
      </c>
      <c r="C532" s="28">
        <v>137.22413910451232</v>
      </c>
      <c r="D532">
        <f t="shared" si="7"/>
        <v>468</v>
      </c>
      <c r="E532" s="28">
        <v>164.00157215128627</v>
      </c>
    </row>
    <row r="533" spans="2:5" x14ac:dyDescent="0.3">
      <c r="B533">
        <v>469</v>
      </c>
      <c r="C533" s="28">
        <v>94.808491155531129</v>
      </c>
      <c r="D533">
        <f t="shared" si="7"/>
        <v>469</v>
      </c>
      <c r="E533" s="28">
        <v>109.18893411595052</v>
      </c>
    </row>
    <row r="534" spans="2:5" x14ac:dyDescent="0.3">
      <c r="B534">
        <v>470</v>
      </c>
      <c r="C534" s="28">
        <v>153.44142184731817</v>
      </c>
      <c r="D534">
        <f t="shared" si="7"/>
        <v>470</v>
      </c>
      <c r="E534" s="28">
        <v>-226.43380099332234</v>
      </c>
    </row>
    <row r="535" spans="2:5" x14ac:dyDescent="0.3">
      <c r="B535">
        <v>471</v>
      </c>
      <c r="C535" s="28">
        <v>159.59479637675014</v>
      </c>
      <c r="D535">
        <f t="shared" si="7"/>
        <v>471</v>
      </c>
      <c r="E535" s="28">
        <v>101.94018286315398</v>
      </c>
    </row>
    <row r="536" spans="2:5" x14ac:dyDescent="0.3">
      <c r="B536">
        <v>472</v>
      </c>
      <c r="C536" s="28">
        <v>38.179442220911383</v>
      </c>
      <c r="D536">
        <f t="shared" si="7"/>
        <v>472</v>
      </c>
      <c r="E536" s="28">
        <v>456.94919018734856</v>
      </c>
    </row>
    <row r="537" spans="2:5" x14ac:dyDescent="0.3">
      <c r="B537">
        <v>473</v>
      </c>
      <c r="C537" s="28">
        <v>80.783377699045644</v>
      </c>
      <c r="D537">
        <f t="shared" si="7"/>
        <v>473</v>
      </c>
      <c r="E537" s="28">
        <v>133.66468447404529</v>
      </c>
    </row>
    <row r="538" spans="2:5" x14ac:dyDescent="0.3">
      <c r="B538">
        <v>474</v>
      </c>
      <c r="C538" s="28">
        <v>128.55322527671643</v>
      </c>
      <c r="D538">
        <f t="shared" si="7"/>
        <v>474</v>
      </c>
      <c r="E538" s="28">
        <v>143.42775927365795</v>
      </c>
    </row>
    <row r="539" spans="2:5" x14ac:dyDescent="0.3">
      <c r="B539">
        <v>475</v>
      </c>
      <c r="C539" s="28">
        <v>42.896529996399963</v>
      </c>
      <c r="D539">
        <f t="shared" si="7"/>
        <v>475</v>
      </c>
      <c r="E539" s="28">
        <v>59.385385664647927</v>
      </c>
    </row>
    <row r="540" spans="2:5" x14ac:dyDescent="0.3">
      <c r="B540">
        <v>476</v>
      </c>
      <c r="C540" s="28">
        <v>115.86453316952625</v>
      </c>
      <c r="D540">
        <f t="shared" si="7"/>
        <v>476</v>
      </c>
      <c r="E540" s="28">
        <v>321.38745552706865</v>
      </c>
    </row>
    <row r="541" spans="2:5" x14ac:dyDescent="0.3">
      <c r="B541">
        <v>477</v>
      </c>
      <c r="C541" s="28">
        <v>66.828730045438377</v>
      </c>
      <c r="D541">
        <f t="shared" si="7"/>
        <v>477</v>
      </c>
      <c r="E541" s="28">
        <v>396.19779365725265</v>
      </c>
    </row>
    <row r="542" spans="2:5" x14ac:dyDescent="0.3">
      <c r="B542">
        <v>478</v>
      </c>
      <c r="C542" s="28">
        <v>13.746267613058157</v>
      </c>
      <c r="D542">
        <f t="shared" si="7"/>
        <v>478</v>
      </c>
      <c r="E542" s="28">
        <v>493.51391982545709</v>
      </c>
    </row>
    <row r="543" spans="2:5" x14ac:dyDescent="0.3">
      <c r="B543">
        <v>479</v>
      </c>
      <c r="C543" s="28">
        <v>130.96354156425613</v>
      </c>
      <c r="D543">
        <f t="shared" si="7"/>
        <v>479</v>
      </c>
      <c r="E543" s="28">
        <v>347.98212137085198</v>
      </c>
    </row>
    <row r="544" spans="2:5" x14ac:dyDescent="0.3">
      <c r="B544">
        <v>480</v>
      </c>
      <c r="C544" s="28">
        <v>152.78834161040274</v>
      </c>
      <c r="D544">
        <f t="shared" si="7"/>
        <v>480</v>
      </c>
      <c r="E544" s="28">
        <v>54.715864350522338</v>
      </c>
    </row>
    <row r="545" spans="2:5" x14ac:dyDescent="0.3">
      <c r="B545">
        <v>481</v>
      </c>
      <c r="C545" s="28">
        <v>139.78482854363193</v>
      </c>
      <c r="D545">
        <f t="shared" si="7"/>
        <v>481</v>
      </c>
      <c r="E545" s="28">
        <v>204.34100994417832</v>
      </c>
    </row>
    <row r="546" spans="2:5" x14ac:dyDescent="0.3">
      <c r="B546">
        <v>482</v>
      </c>
      <c r="C546" s="28">
        <v>53.007917800184941</v>
      </c>
      <c r="D546">
        <f t="shared" si="7"/>
        <v>482</v>
      </c>
      <c r="E546" s="28">
        <v>18.483860180336524</v>
      </c>
    </row>
    <row r="547" spans="2:5" x14ac:dyDescent="0.3">
      <c r="B547">
        <v>483</v>
      </c>
      <c r="C547" s="28">
        <v>85.90199719793992</v>
      </c>
      <c r="D547">
        <f t="shared" si="7"/>
        <v>483</v>
      </c>
      <c r="E547" s="28">
        <v>396.84444901843369</v>
      </c>
    </row>
    <row r="548" spans="2:5" x14ac:dyDescent="0.3">
      <c r="B548">
        <v>484</v>
      </c>
      <c r="C548" s="28">
        <v>124.49539153930584</v>
      </c>
      <c r="D548">
        <f t="shared" si="7"/>
        <v>484</v>
      </c>
      <c r="E548" s="28">
        <v>191.72147125287285</v>
      </c>
    </row>
    <row r="549" spans="2:5" x14ac:dyDescent="0.3">
      <c r="B549">
        <v>485</v>
      </c>
      <c r="C549" s="28">
        <v>61.824763038422624</v>
      </c>
      <c r="D549">
        <f t="shared" si="7"/>
        <v>485</v>
      </c>
      <c r="E549" s="28">
        <v>242.62093148955518</v>
      </c>
    </row>
    <row r="550" spans="2:5" x14ac:dyDescent="0.3">
      <c r="B550">
        <v>486</v>
      </c>
      <c r="C550" s="28">
        <v>85.841340135745867</v>
      </c>
      <c r="D550">
        <f t="shared" si="7"/>
        <v>486</v>
      </c>
      <c r="E550" s="28">
        <v>98.246775537825556</v>
      </c>
    </row>
    <row r="551" spans="2:5" x14ac:dyDescent="0.3">
      <c r="B551">
        <v>487</v>
      </c>
      <c r="C551" s="28">
        <v>-2.4786064865255311</v>
      </c>
      <c r="D551">
        <f t="shared" si="7"/>
        <v>487</v>
      </c>
      <c r="E551" s="28">
        <v>186.82506169026377</v>
      </c>
    </row>
    <row r="552" spans="2:5" x14ac:dyDescent="0.3">
      <c r="B552">
        <v>488</v>
      </c>
      <c r="C552" s="28">
        <v>-47.791869563112478</v>
      </c>
      <c r="D552">
        <f t="shared" si="7"/>
        <v>488</v>
      </c>
      <c r="E552" s="28">
        <v>429.10303210004656</v>
      </c>
    </row>
    <row r="553" spans="2:5" x14ac:dyDescent="0.3">
      <c r="B553">
        <v>489</v>
      </c>
      <c r="C553" s="28">
        <v>63.612839219366343</v>
      </c>
      <c r="D553">
        <f t="shared" si="7"/>
        <v>489</v>
      </c>
      <c r="E553" s="28">
        <v>-22.867802081726289</v>
      </c>
    </row>
    <row r="554" spans="2:5" x14ac:dyDescent="0.3">
      <c r="B554">
        <v>490</v>
      </c>
      <c r="C554" s="28">
        <v>49.496718814477461</v>
      </c>
      <c r="D554">
        <f t="shared" si="7"/>
        <v>490</v>
      </c>
      <c r="E554" s="28">
        <v>221.06931012714594</v>
      </c>
    </row>
    <row r="555" spans="2:5" x14ac:dyDescent="0.3">
      <c r="B555">
        <v>491</v>
      </c>
      <c r="C555" s="28">
        <v>122.8727292469076</v>
      </c>
      <c r="D555">
        <f t="shared" si="7"/>
        <v>491</v>
      </c>
      <c r="E555" s="28">
        <v>134.71347988923361</v>
      </c>
    </row>
    <row r="556" spans="2:5" x14ac:dyDescent="0.3">
      <c r="B556">
        <v>492</v>
      </c>
      <c r="C556" s="28">
        <v>185.86917111720373</v>
      </c>
      <c r="D556">
        <f t="shared" si="7"/>
        <v>492</v>
      </c>
      <c r="E556" s="28">
        <v>299.13491867358204</v>
      </c>
    </row>
    <row r="557" spans="2:5" x14ac:dyDescent="0.3">
      <c r="B557">
        <v>493</v>
      </c>
      <c r="C557" s="28">
        <v>149.35297115795225</v>
      </c>
      <c r="D557">
        <f t="shared" si="7"/>
        <v>493</v>
      </c>
      <c r="E557" s="28">
        <v>-280.57252157288497</v>
      </c>
    </row>
    <row r="558" spans="2:5" x14ac:dyDescent="0.3">
      <c r="B558">
        <v>494</v>
      </c>
      <c r="C558" s="28">
        <v>103.47217724549928</v>
      </c>
      <c r="D558">
        <f t="shared" si="7"/>
        <v>494</v>
      </c>
      <c r="E558" s="28">
        <v>-144.86621239974897</v>
      </c>
    </row>
    <row r="559" spans="2:5" x14ac:dyDescent="0.3">
      <c r="B559">
        <v>495</v>
      </c>
      <c r="C559" s="28">
        <v>135.27956749410924</v>
      </c>
      <c r="D559">
        <f t="shared" si="7"/>
        <v>495</v>
      </c>
      <c r="E559" s="28">
        <v>-27.843716911884048</v>
      </c>
    </row>
    <row r="560" spans="2:5" x14ac:dyDescent="0.3">
      <c r="B560">
        <v>496</v>
      </c>
      <c r="C560" s="28">
        <v>142.7056434849641</v>
      </c>
      <c r="D560">
        <f t="shared" si="7"/>
        <v>496</v>
      </c>
      <c r="E560" s="28">
        <v>232.96834843947508</v>
      </c>
    </row>
    <row r="561" spans="2:5" x14ac:dyDescent="0.3">
      <c r="B561">
        <v>497</v>
      </c>
      <c r="C561" s="28">
        <v>102.44897884971624</v>
      </c>
      <c r="D561">
        <f t="shared" si="7"/>
        <v>497</v>
      </c>
      <c r="E561" s="28">
        <v>309.08182829512737</v>
      </c>
    </row>
    <row r="562" spans="2:5" x14ac:dyDescent="0.3">
      <c r="B562">
        <v>498</v>
      </c>
      <c r="C562" s="28">
        <v>179.01210507551238</v>
      </c>
      <c r="D562">
        <f t="shared" si="7"/>
        <v>498</v>
      </c>
      <c r="E562" s="28">
        <v>119.63110504185752</v>
      </c>
    </row>
    <row r="563" spans="2:5" x14ac:dyDescent="0.3">
      <c r="B563">
        <v>499</v>
      </c>
      <c r="C563" s="28">
        <v>33.299944670969239</v>
      </c>
      <c r="D563">
        <f t="shared" si="7"/>
        <v>499</v>
      </c>
      <c r="E563" s="28">
        <v>109.03198861189151</v>
      </c>
    </row>
    <row r="564" spans="2:5" x14ac:dyDescent="0.3">
      <c r="B564">
        <v>500</v>
      </c>
      <c r="C564" s="28">
        <v>9.7504374570935433</v>
      </c>
      <c r="D564">
        <f t="shared" si="7"/>
        <v>500</v>
      </c>
      <c r="E564" s="28">
        <v>97.752078822763082</v>
      </c>
    </row>
  </sheetData>
  <mergeCells count="122">
    <mergeCell ref="B36:C36"/>
    <mergeCell ref="B37:C37"/>
    <mergeCell ref="D44:E44"/>
    <mergeCell ref="D36:E36"/>
    <mergeCell ref="D37:E37"/>
    <mergeCell ref="D38:E38"/>
    <mergeCell ref="D39:E39"/>
    <mergeCell ref="D40:E40"/>
    <mergeCell ref="D41:E41"/>
    <mergeCell ref="D42:E42"/>
    <mergeCell ref="D43:E43"/>
    <mergeCell ref="B42:C42"/>
    <mergeCell ref="B41:C41"/>
    <mergeCell ref="B40:C40"/>
    <mergeCell ref="B39:C39"/>
    <mergeCell ref="B38:C38"/>
    <mergeCell ref="D64:E64"/>
    <mergeCell ref="B64:C64"/>
    <mergeCell ref="B63:C63"/>
    <mergeCell ref="D46:E46"/>
    <mergeCell ref="D48:E48"/>
    <mergeCell ref="D49:E49"/>
    <mergeCell ref="D60:E60"/>
    <mergeCell ref="D59:E59"/>
    <mergeCell ref="D58:E58"/>
    <mergeCell ref="D57:E57"/>
    <mergeCell ref="D56:E56"/>
    <mergeCell ref="D55:E55"/>
    <mergeCell ref="D54:E54"/>
    <mergeCell ref="D53:E53"/>
    <mergeCell ref="D52:E52"/>
    <mergeCell ref="D51:E51"/>
    <mergeCell ref="D50:E50"/>
    <mergeCell ref="B59:C59"/>
    <mergeCell ref="B53:C53"/>
    <mergeCell ref="B54:C54"/>
    <mergeCell ref="B55:C55"/>
    <mergeCell ref="D45:E45"/>
    <mergeCell ref="B46:C46"/>
    <mergeCell ref="B45:C45"/>
    <mergeCell ref="B44:C44"/>
    <mergeCell ref="B43:C43"/>
    <mergeCell ref="D63:E63"/>
    <mergeCell ref="B62:C62"/>
    <mergeCell ref="B61:C61"/>
    <mergeCell ref="D61:E61"/>
    <mergeCell ref="D62:E62"/>
    <mergeCell ref="B60:C60"/>
    <mergeCell ref="D29:E29"/>
    <mergeCell ref="D30:E30"/>
    <mergeCell ref="D31:E31"/>
    <mergeCell ref="D32:E32"/>
    <mergeCell ref="D33:E33"/>
    <mergeCell ref="B29:C29"/>
    <mergeCell ref="B30:C30"/>
    <mergeCell ref="B31:C31"/>
    <mergeCell ref="B33:C33"/>
    <mergeCell ref="B32:C32"/>
    <mergeCell ref="A35:E35"/>
    <mergeCell ref="B58:C58"/>
    <mergeCell ref="B57:C57"/>
    <mergeCell ref="B56:C56"/>
    <mergeCell ref="B48:C48"/>
    <mergeCell ref="B49:C49"/>
    <mergeCell ref="B50:C50"/>
    <mergeCell ref="B51:C51"/>
    <mergeCell ref="B52:C52"/>
    <mergeCell ref="B18:E18"/>
    <mergeCell ref="B2:C2"/>
    <mergeCell ref="B3:C3"/>
    <mergeCell ref="B4:C4"/>
    <mergeCell ref="B5:C5"/>
    <mergeCell ref="B7:C7"/>
    <mergeCell ref="B6:C6"/>
    <mergeCell ref="D14:E14"/>
    <mergeCell ref="D13:E13"/>
    <mergeCell ref="B14:C14"/>
    <mergeCell ref="B13:C13"/>
    <mergeCell ref="B17:C17"/>
    <mergeCell ref="D17:E17"/>
    <mergeCell ref="B12:C12"/>
    <mergeCell ref="D9:E9"/>
    <mergeCell ref="D10:E10"/>
    <mergeCell ref="D11:E11"/>
    <mergeCell ref="D12:E12"/>
    <mergeCell ref="B26:C26"/>
    <mergeCell ref="B25:C25"/>
    <mergeCell ref="B28:C28"/>
    <mergeCell ref="B27:C27"/>
    <mergeCell ref="D26:E26"/>
    <mergeCell ref="D25:E25"/>
    <mergeCell ref="D27:E27"/>
    <mergeCell ref="D28:E28"/>
    <mergeCell ref="A34:E34"/>
    <mergeCell ref="B19:C19"/>
    <mergeCell ref="B20:C20"/>
    <mergeCell ref="B21:C21"/>
    <mergeCell ref="B22:C22"/>
    <mergeCell ref="B23:C23"/>
    <mergeCell ref="B24:C24"/>
    <mergeCell ref="D24:E24"/>
    <mergeCell ref="D19:E19"/>
    <mergeCell ref="D20:E20"/>
    <mergeCell ref="D21:E21"/>
    <mergeCell ref="D22:E22"/>
    <mergeCell ref="D23:E23"/>
    <mergeCell ref="B1:E1"/>
    <mergeCell ref="B15:C15"/>
    <mergeCell ref="D15:E15"/>
    <mergeCell ref="B16:C16"/>
    <mergeCell ref="D16:E16"/>
    <mergeCell ref="D2:E2"/>
    <mergeCell ref="D7:E7"/>
    <mergeCell ref="D5:E5"/>
    <mergeCell ref="D4:E4"/>
    <mergeCell ref="D3:E3"/>
    <mergeCell ref="D6:E6"/>
    <mergeCell ref="D8:E8"/>
    <mergeCell ref="B8:C8"/>
    <mergeCell ref="B9:C9"/>
    <mergeCell ref="B10:C10"/>
    <mergeCell ref="B11:C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19A7-1257-474E-B4EF-A20B407C8AA0}">
  <dimension ref="A1:AD93"/>
  <sheetViews>
    <sheetView topLeftCell="A31" workbookViewId="0">
      <selection activeCell="B26" sqref="B26"/>
    </sheetView>
  </sheetViews>
  <sheetFormatPr defaultRowHeight="14.4" x14ac:dyDescent="0.3"/>
  <cols>
    <col min="1" max="1" width="49.77734375" customWidth="1"/>
    <col min="2" max="2" width="33.6640625" customWidth="1"/>
    <col min="3" max="3" width="11.109375" customWidth="1"/>
    <col min="4" max="4" width="13.88671875" customWidth="1"/>
    <col min="5" max="5" width="11.109375" customWidth="1"/>
    <col min="6" max="8" width="12.88671875" customWidth="1"/>
    <col min="9" max="9" width="13.6640625" bestFit="1" customWidth="1"/>
    <col min="10" max="10" width="17.5546875" customWidth="1"/>
    <col min="11" max="11" width="12.5546875" bestFit="1" customWidth="1"/>
    <col min="12" max="12" width="12.5546875" customWidth="1"/>
    <col min="13" max="13" width="12.44140625" customWidth="1"/>
    <col min="14" max="14" width="12.5546875" bestFit="1" customWidth="1"/>
    <col min="15" max="18" width="16" customWidth="1"/>
    <col min="19" max="20" width="16.5546875" customWidth="1"/>
    <col min="21" max="21" width="12.5546875" bestFit="1" customWidth="1"/>
    <col min="25" max="25" width="10.109375" bestFit="1" customWidth="1"/>
    <col min="26" max="26" width="10.5546875" bestFit="1" customWidth="1"/>
    <col min="27" max="27" width="17.109375" customWidth="1"/>
    <col min="28" max="28" width="17.33203125" customWidth="1"/>
    <col min="29" max="29" width="9" customWidth="1"/>
    <col min="30" max="30" width="10.5546875" customWidth="1"/>
  </cols>
  <sheetData>
    <row r="1" spans="1:30" ht="15.6" x14ac:dyDescent="0.3"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09" t="s">
        <v>142</v>
      </c>
      <c r="O1" s="109"/>
      <c r="P1" s="109"/>
      <c r="Q1" s="109"/>
      <c r="R1" s="109"/>
      <c r="S1" s="109"/>
      <c r="T1" s="109"/>
      <c r="U1" s="109" t="s">
        <v>143</v>
      </c>
      <c r="V1" s="109"/>
      <c r="W1" s="109"/>
      <c r="X1" s="109"/>
      <c r="Y1" s="109"/>
      <c r="Z1" s="109" t="s">
        <v>144</v>
      </c>
      <c r="AA1" s="109"/>
      <c r="AB1" s="109"/>
    </row>
    <row r="2" spans="1:30" ht="15.6" x14ac:dyDescent="0.3">
      <c r="A2" s="12" t="s">
        <v>22</v>
      </c>
      <c r="B2" s="2" t="s">
        <v>24</v>
      </c>
      <c r="C2" t="s">
        <v>117</v>
      </c>
      <c r="D2" t="s">
        <v>128</v>
      </c>
      <c r="E2" t="s">
        <v>33</v>
      </c>
      <c r="F2" t="s">
        <v>129</v>
      </c>
      <c r="G2" t="s">
        <v>145</v>
      </c>
      <c r="H2" t="s">
        <v>39</v>
      </c>
      <c r="I2" t="s">
        <v>40</v>
      </c>
      <c r="J2" s="92" t="s">
        <v>130</v>
      </c>
      <c r="K2" s="8" t="s">
        <v>41</v>
      </c>
      <c r="L2" s="8" t="s">
        <v>37</v>
      </c>
      <c r="M2" t="s">
        <v>55</v>
      </c>
      <c r="N2" t="s">
        <v>131</v>
      </c>
      <c r="O2" t="s">
        <v>132</v>
      </c>
      <c r="P2" t="s">
        <v>97</v>
      </c>
      <c r="Q2" t="s">
        <v>93</v>
      </c>
      <c r="R2" t="s">
        <v>102</v>
      </c>
      <c r="S2" s="2" t="s">
        <v>133</v>
      </c>
      <c r="T2" s="2" t="s">
        <v>134</v>
      </c>
      <c r="U2" t="s">
        <v>56</v>
      </c>
      <c r="V2" t="s">
        <v>135</v>
      </c>
      <c r="W2" t="s">
        <v>94</v>
      </c>
      <c r="X2" t="s">
        <v>136</v>
      </c>
      <c r="Y2" t="s">
        <v>137</v>
      </c>
      <c r="Z2" t="s">
        <v>138</v>
      </c>
      <c r="AA2" t="s">
        <v>110</v>
      </c>
      <c r="AB2" t="s">
        <v>139</v>
      </c>
      <c r="AC2" t="s">
        <v>140</v>
      </c>
      <c r="AD2" t="s">
        <v>141</v>
      </c>
    </row>
    <row r="3" spans="1:30" ht="15.6" x14ac:dyDescent="0.3">
      <c r="A3" s="12" t="s">
        <v>85</v>
      </c>
      <c r="B3" t="s">
        <v>115</v>
      </c>
      <c r="C3" s="67">
        <f>D3/SUM(D3:D4)</f>
        <v>0.74050044682555016</v>
      </c>
      <c r="D3" s="30">
        <f>L3/F3</f>
        <v>79340.671464520434</v>
      </c>
      <c r="E3" s="69">
        <f>[1]All!$H$3</f>
        <v>0.52700000000000002</v>
      </c>
      <c r="F3" s="70">
        <f>[1]All!$G$3</f>
        <v>11.4</v>
      </c>
      <c r="G3" s="61">
        <f>M3/D3</f>
        <v>16.728659826327114</v>
      </c>
      <c r="H3" s="69">
        <f>[1]All!$J$3</f>
        <v>6</v>
      </c>
      <c r="I3" s="81">
        <f>[1]All!$I$3</f>
        <v>0.39</v>
      </c>
      <c r="J3" s="52">
        <f>D3*F3</f>
        <v>904483.65469553298</v>
      </c>
      <c r="K3" s="17">
        <v>1</v>
      </c>
      <c r="L3" s="19">
        <f>([2]prod_herd_data!$F$8+[2]prod_herd_data!$G$8)*(1-[2]prod_herd_data!$F$3)*C26</f>
        <v>904483.65469553298</v>
      </c>
      <c r="M3" s="19">
        <f>SUM([2]prod_herd_data!$F$10:$G$10)*C26</f>
        <v>1327263.1033223411</v>
      </c>
      <c r="N3" s="53">
        <f>Dairy_Income_Baseline!B28</f>
        <v>52.538796239975156</v>
      </c>
      <c r="O3" s="53">
        <f ca="1">Dairy_Income_Baseline!B62</f>
        <v>51.72202433233231</v>
      </c>
      <c r="P3" s="53">
        <f>(G3-F3)*(Dairy_Income_Baseline!B24)</f>
        <v>0.13297980517451014</v>
      </c>
      <c r="Q3" s="80">
        <f>P3*Dairy_Income_Baseline!L36</f>
        <v>29.840191386919997</v>
      </c>
      <c r="R3" s="53">
        <f>IF(P3&gt;0, P3*Dairy_Income_Roadmap!L19/12, 0)</f>
        <v>0.31028621207385698</v>
      </c>
      <c r="S3" s="54">
        <f>G3*I3*N3</f>
        <v>342.7724234934708</v>
      </c>
      <c r="T3" s="5">
        <f ca="1">F3*O3*I3</f>
        <v>229.95612018154947</v>
      </c>
      <c r="U3" s="55">
        <f>N3*(M3*K3*I3)/(D3)</f>
        <v>342.7724234934708</v>
      </c>
      <c r="V3" s="55">
        <f>[1]All!$E$3*[3]Sheet1!$B$9</f>
        <v>6608.2927507262784</v>
      </c>
      <c r="W3" s="55">
        <f>[1]All!$F$3</f>
        <v>77</v>
      </c>
      <c r="X3" s="51">
        <f>U3+V3-Q3-R3</f>
        <v>6920.9146966207554</v>
      </c>
      <c r="Y3" s="51">
        <f>V3+S3</f>
        <v>6951.0651742197497</v>
      </c>
      <c r="Z3" s="32">
        <f>SQRT(C3*(1-C3)/N23)</f>
        <v>2.5966208478045091E-2</v>
      </c>
      <c r="AA3" s="90">
        <f ca="1">T3*D3</f>
        <v>18244872.982580092</v>
      </c>
      <c r="AB3" s="51">
        <f>Y3*D3</f>
        <v>551502178.31623864</v>
      </c>
      <c r="AC3" s="18"/>
    </row>
    <row r="4" spans="1:30" ht="15.6" x14ac:dyDescent="0.3">
      <c r="A4" s="13"/>
      <c r="B4" t="s">
        <v>114</v>
      </c>
      <c r="C4" s="67">
        <f>1-C3</f>
        <v>0.25949955317444984</v>
      </c>
      <c r="D4" s="30">
        <f>L4/F4</f>
        <v>27803.992397123129</v>
      </c>
      <c r="E4" s="69">
        <f>[1]All!$H$4</f>
        <v>0.42</v>
      </c>
      <c r="F4" s="70">
        <f>[1]All!$G$4</f>
        <v>2.8333330000000001</v>
      </c>
      <c r="G4" s="61">
        <f>M4/D4</f>
        <v>4.062417786158524</v>
      </c>
      <c r="H4" s="69">
        <f>[1]All!$J$4</f>
        <v>5.7</v>
      </c>
      <c r="I4" s="81">
        <f>[1]All!$I$4</f>
        <v>0.50487289999999996</v>
      </c>
      <c r="J4" s="52">
        <f>D4*F4</f>
        <v>78777.969190518066</v>
      </c>
      <c r="K4" s="17">
        <v>1</v>
      </c>
      <c r="L4" s="19">
        <f>([2]prod_herd_data!$F$8+[2]prod_herd_data!$G$8)*([2]prod_herd_data!$F$3)*(1-C24)</f>
        <v>78777.969190518066</v>
      </c>
      <c r="M4" s="19">
        <f>SUM([2]prod_herd_data!$F$9:$G$9)*(1-C25)</f>
        <v>112951.43324028938</v>
      </c>
      <c r="N4" s="53">
        <f>Dairy_Income_Baseline!D28</f>
        <v>660.698934118122</v>
      </c>
      <c r="O4" s="53">
        <f ca="1">Dairy_Income_Baseline!D62</f>
        <v>164.9969251664651</v>
      </c>
      <c r="P4" s="53">
        <f>(G4-F4)*(Dairy_Income_Baseline!B24)</f>
        <v>3.0672525688128165E-2</v>
      </c>
      <c r="Q4" s="80">
        <f>P4*Dairy_Income_Baseline!L38</f>
        <v>5.8016128962073896</v>
      </c>
      <c r="R4" s="53">
        <f>IF(P4&gt;0, P4*Dairy_Income_Roadmap!L19/12, 0)</f>
        <v>7.1569226605632377E-2</v>
      </c>
      <c r="S4" s="54">
        <f>G4*I4*N4</f>
        <v>1355.096585273636</v>
      </c>
      <c r="T4" s="5">
        <f ca="1">F4*O4*I4</f>
        <v>236.02365451549056</v>
      </c>
      <c r="U4" s="55">
        <f>N4*(M4*K4*I4)/(D4)</f>
        <v>1355.0965852736363</v>
      </c>
      <c r="V4" s="55">
        <f>[1]All!$E$4*[3]Sheet1!$B$9</f>
        <v>7239.4035501055159</v>
      </c>
      <c r="W4" s="55">
        <f>[1]All!$F$4</f>
        <v>77</v>
      </c>
      <c r="X4" s="88">
        <f>U4+V4-Q4-R4</f>
        <v>8588.6269532563383</v>
      </c>
      <c r="Y4" s="57">
        <f>V4+S4</f>
        <v>8594.5001353791522</v>
      </c>
      <c r="Z4" s="32">
        <f>SQRT(C4*(1-C4)/N23)</f>
        <v>2.5966208478045091E-2</v>
      </c>
      <c r="AA4" s="90">
        <f ca="1">T4*D4</f>
        <v>6562399.8956899159</v>
      </c>
      <c r="AB4" s="57">
        <f>Y4*D4</f>
        <v>238961416.42115566</v>
      </c>
      <c r="AC4" s="18"/>
      <c r="AD4" s="28">
        <f ca="1">MC_Baseline!H20</f>
        <v>20.565227798485964</v>
      </c>
    </row>
    <row r="5" spans="1:30" ht="15.6" x14ac:dyDescent="0.3">
      <c r="A5" s="13"/>
      <c r="C5" s="4"/>
      <c r="D5" s="30"/>
      <c r="E5" s="4"/>
      <c r="F5" s="30"/>
      <c r="G5" s="4"/>
      <c r="H5" s="4"/>
      <c r="I5" s="33"/>
      <c r="J5" s="52"/>
      <c r="K5" s="17"/>
      <c r="L5" s="11"/>
      <c r="M5" s="9"/>
      <c r="N5" s="53"/>
      <c r="O5" s="53"/>
      <c r="P5" s="53"/>
      <c r="Q5" s="80"/>
      <c r="R5" s="53"/>
      <c r="S5" s="54"/>
      <c r="T5" s="5"/>
      <c r="U5" s="51"/>
      <c r="V5" s="51"/>
      <c r="W5" s="51"/>
      <c r="X5" s="51"/>
      <c r="Y5" s="51"/>
      <c r="Z5" s="32"/>
      <c r="AA5" s="90"/>
      <c r="AB5" s="51"/>
      <c r="AC5" s="1"/>
      <c r="AD5" s="28"/>
    </row>
    <row r="6" spans="1:30" ht="15.6" x14ac:dyDescent="0.3">
      <c r="A6" s="12" t="s">
        <v>104</v>
      </c>
      <c r="B6" t="s">
        <v>113</v>
      </c>
      <c r="C6" s="60">
        <f>D6/SUM(D6:D8)</f>
        <v>0.25917515638894251</v>
      </c>
      <c r="D6" s="61">
        <f>D3*C31</f>
        <v>27769.23501258215</v>
      </c>
      <c r="E6" s="62">
        <f>E4</f>
        <v>0.42</v>
      </c>
      <c r="F6" s="61">
        <f>J6*(1/D6)</f>
        <v>2.1531240709119301</v>
      </c>
      <c r="G6" s="63"/>
      <c r="H6" s="62">
        <f>H3</f>
        <v>6</v>
      </c>
      <c r="I6" s="63">
        <f>I3</f>
        <v>0.39</v>
      </c>
      <c r="J6" s="65">
        <f>M6*K6</f>
        <v>59790.608336400976</v>
      </c>
      <c r="K6" s="66">
        <f>C27</f>
        <v>0.4</v>
      </c>
      <c r="L6" s="10"/>
      <c r="M6" s="9">
        <f>([2]prod_herd_data!F25*[2]prod_herd_data!F31+[2]prod_herd_data!G25*[2]prod_herd_data!G31)*(1-C25)</f>
        <v>149476.52084100244</v>
      </c>
      <c r="N6" s="53">
        <f>Dairy_Income_Roadmap!C27</f>
        <v>1048.1530828713855</v>
      </c>
      <c r="O6" s="53">
        <f ca="1">Dairy_Income_Roadmap!C59</f>
        <v>314.80418002539551</v>
      </c>
      <c r="P6" s="53">
        <f>(F6*(Dairy_Income_Roadmap!C22 + Dairy_Income_Baseline!B24)  -   F3*Dairy_Income_Baseline!B24)</f>
        <v>0.15290944979751903</v>
      </c>
      <c r="Q6" s="80">
        <f>(P6*(Dairy_Income_Roadmap!C19))</f>
        <v>43.822221326998871</v>
      </c>
      <c r="R6" s="53">
        <f>IF(P6&gt;0, P6*Dairy_Income_Roadmap!L19/12, 0)</f>
        <v>0.3567887161942111</v>
      </c>
      <c r="S6" s="54">
        <f>F6*I6*N6</f>
        <v>880.15341676506171</v>
      </c>
      <c r="T6" s="5">
        <f ca="1">F6*O6*I6</f>
        <v>264.34685847818497</v>
      </c>
      <c r="U6" s="51">
        <f>U3</f>
        <v>342.7724234934708</v>
      </c>
      <c r="V6" s="51">
        <f>V3-Q6-R6</f>
        <v>6564.1137406830849</v>
      </c>
      <c r="W6" s="51">
        <f>W3</f>
        <v>77</v>
      </c>
      <c r="X6" s="51">
        <f>U6+V6</f>
        <v>6906.8861641765561</v>
      </c>
      <c r="Y6" s="51">
        <f>S6+V6</f>
        <v>7444.2671574481465</v>
      </c>
      <c r="Z6" s="32">
        <f>Z3</f>
        <v>2.5966208478045091E-2</v>
      </c>
      <c r="AA6" s="90">
        <f ca="1">T6*D6</f>
        <v>7340710.0379185127</v>
      </c>
      <c r="AB6" s="56">
        <f>Y6*D6</f>
        <v>206721604.19162446</v>
      </c>
      <c r="AC6" s="1"/>
      <c r="AD6" s="28"/>
    </row>
    <row r="7" spans="1:30" ht="15.6" x14ac:dyDescent="0.3">
      <c r="A7" s="12"/>
      <c r="B7" t="s">
        <v>115</v>
      </c>
      <c r="C7" s="60">
        <f>D7/SUM(D6:D8)</f>
        <v>0.48132529043660754</v>
      </c>
      <c r="D7" s="61">
        <f>D3-D6</f>
        <v>51571.43645193828</v>
      </c>
      <c r="E7" s="62">
        <f>E3</f>
        <v>0.52700000000000002</v>
      </c>
      <c r="F7" s="61">
        <f>J7*(1/D7)</f>
        <v>9.5092811270676005</v>
      </c>
      <c r="G7" s="63"/>
      <c r="H7" s="62">
        <f>H3</f>
        <v>6</v>
      </c>
      <c r="I7" s="63">
        <f>I3</f>
        <v>0.39</v>
      </c>
      <c r="J7" s="65">
        <f>M7*K7</f>
        <v>490407.28734818276</v>
      </c>
      <c r="K7" s="66">
        <v>1</v>
      </c>
      <c r="L7" s="10"/>
      <c r="M7" s="9">
        <f>([2]prod_herd_data!F26*[2]prod_herd_data!F31+[2]prod_herd_data!G26*[2]prod_herd_data!G31)*C26</f>
        <v>490407.28734818276</v>
      </c>
      <c r="N7" s="53">
        <f>Dairy_Income_Roadmap!E27</f>
        <v>269.08297731335256</v>
      </c>
      <c r="O7" s="53">
        <f ca="1">Dairy_Income_Roadmap!E59</f>
        <v>26.985901890880744</v>
      </c>
      <c r="P7" s="53">
        <f>(F7*(Dairy_Income_Roadmap!E22 + Dairy_Income_Baseline!B24)  -   F3*Dairy_Income_Baseline!B24)</f>
        <v>0.12055849465023583</v>
      </c>
      <c r="Q7" s="80">
        <f>(P7*(Dairy_Income_Roadmap!E19))</f>
        <v>34.550781801963971</v>
      </c>
      <c r="R7" s="53">
        <f>IF(P7&gt;0, P7*Dairy_Income_Roadmap!L19/12, 0)</f>
        <v>0.28130315418388357</v>
      </c>
      <c r="S7" s="54">
        <f>F7*I7*N7</f>
        <v>997.92641433459892</v>
      </c>
      <c r="T7" s="5">
        <f ca="1">F7*O7*I7</f>
        <v>100.08044574366156</v>
      </c>
      <c r="U7" s="51">
        <f t="shared" ref="U7:W8" si="0">U3</f>
        <v>342.7724234934708</v>
      </c>
      <c r="V7" s="51">
        <f>V3-Q7-R7</f>
        <v>6573.4606657701306</v>
      </c>
      <c r="W7" s="51">
        <f t="shared" si="0"/>
        <v>77</v>
      </c>
      <c r="X7" s="51">
        <f>U7+V7</f>
        <v>6916.2330892636019</v>
      </c>
      <c r="Y7" s="78">
        <f t="shared" ref="Y7:Y20" si="1">S7+V7</f>
        <v>7571.3870801047296</v>
      </c>
      <c r="Z7" s="32">
        <f>Z3</f>
        <v>2.5966208478045091E-2</v>
      </c>
      <c r="AA7" s="90">
        <f ca="1">T7*D7</f>
        <v>5161292.3477508985</v>
      </c>
      <c r="AB7" s="51">
        <f>Y7*D7</f>
        <v>390467307.65464759</v>
      </c>
      <c r="AC7" s="1"/>
      <c r="AD7" s="28"/>
    </row>
    <row r="8" spans="1:30" ht="15.6" x14ac:dyDescent="0.3">
      <c r="A8" s="13"/>
      <c r="B8" t="s">
        <v>114</v>
      </c>
      <c r="C8" s="60">
        <f>D8/SUM(D6:D8)</f>
        <v>0.25949955317444984</v>
      </c>
      <c r="D8" s="61">
        <f>D4</f>
        <v>27803.992397123129</v>
      </c>
      <c r="E8" s="62">
        <f>E4</f>
        <v>0.42</v>
      </c>
      <c r="F8" s="61">
        <f>J8*(1/D8)</f>
        <v>3.2256487206449256</v>
      </c>
      <c r="G8" s="63"/>
      <c r="H8" s="62">
        <f>H4</f>
        <v>5.7</v>
      </c>
      <c r="I8" s="63">
        <f>I4</f>
        <v>0.50487289999999996</v>
      </c>
      <c r="J8" s="65">
        <f>M8*K8</f>
        <v>89685.912504601452</v>
      </c>
      <c r="K8" s="66">
        <f>K4*(1-C27)</f>
        <v>0.6</v>
      </c>
      <c r="L8" s="10"/>
      <c r="M8" s="9">
        <f>([2]prod_herd_data!F25*[2]prod_herd_data!F31+[2]prod_herd_data!G25*[2]prod_herd_data!G31)*(1-C25)</f>
        <v>149476.52084100244</v>
      </c>
      <c r="N8" s="53">
        <f>Dairy_Income_Roadmap!G27</f>
        <v>1177.4869003216895</v>
      </c>
      <c r="O8" s="53">
        <f ca="1">Dairy_Income_Roadmap!G59</f>
        <v>285.11080289725788</v>
      </c>
      <c r="P8" s="53">
        <f>(F8*(Dairy_Income_Roadmap!G22 + Dairy_Income_Baseline!D24)  -   F5*Dairy_Income_Baseline!D24)</f>
        <v>0.60621985551651747</v>
      </c>
      <c r="Q8" s="80">
        <f>(P8*(Dairy_Income_Roadmap!G19))</f>
        <v>146.44465190833213</v>
      </c>
      <c r="R8" s="53">
        <f>IF(P8&gt;0, P8*Dairy_Income_Roadmap!L19/12, 0)</f>
        <v>1.4145129962052074</v>
      </c>
      <c r="S8" s="54">
        <f>F8*I8*N8</f>
        <v>1917.5876063440639</v>
      </c>
      <c r="T8" s="5">
        <f ca="1">F8*O8*I8</f>
        <v>464.31509507343281</v>
      </c>
      <c r="U8" s="51">
        <f t="shared" si="0"/>
        <v>1355.0965852736363</v>
      </c>
      <c r="V8" s="51">
        <f>V4-Q8-R8</f>
        <v>7091.5443852009785</v>
      </c>
      <c r="W8" s="51">
        <f>W4</f>
        <v>77</v>
      </c>
      <c r="X8" s="51">
        <f>U8+V8</f>
        <v>8446.6409704746147</v>
      </c>
      <c r="Y8" s="78">
        <f t="shared" si="1"/>
        <v>9009.1319915450422</v>
      </c>
      <c r="Z8" s="32">
        <f>Z4</f>
        <v>2.5966208478045091E-2</v>
      </c>
      <c r="AA8" s="90">
        <f ca="1">T8*D8</f>
        <v>12909813.373291228</v>
      </c>
      <c r="AB8" s="51">
        <f>Y8*D8</f>
        <v>250489837.3975971</v>
      </c>
      <c r="AC8" s="17">
        <f>-1+SUM(AB6:AB8)/SUM(AB3:AB4)</f>
        <v>7.2381770504538645E-2</v>
      </c>
      <c r="AD8" s="28">
        <f ca="1">MC_High_ambition!I20</f>
        <v>14.001545545058608</v>
      </c>
    </row>
    <row r="9" spans="1:30" ht="15.6" x14ac:dyDescent="0.3">
      <c r="A9" s="13"/>
      <c r="C9" s="60"/>
      <c r="D9" s="61"/>
      <c r="E9" s="62"/>
      <c r="F9" s="61"/>
      <c r="G9" s="63"/>
      <c r="H9" s="64"/>
      <c r="I9" s="63"/>
      <c r="J9" s="65"/>
      <c r="K9" s="66"/>
      <c r="L9" s="10"/>
      <c r="M9" s="9"/>
      <c r="N9" s="53"/>
      <c r="O9" s="53"/>
      <c r="P9" s="53"/>
      <c r="Q9" s="80"/>
      <c r="R9" s="53"/>
      <c r="S9" s="54"/>
      <c r="T9" s="5"/>
      <c r="U9" s="51"/>
      <c r="V9" s="51"/>
      <c r="W9" s="51"/>
      <c r="X9" s="51"/>
      <c r="Y9" s="78"/>
      <c r="Z9" s="32"/>
      <c r="AA9" s="90"/>
      <c r="AB9" s="51"/>
      <c r="AC9" s="17"/>
      <c r="AD9" s="28"/>
    </row>
    <row r="10" spans="1:30" ht="15.6" x14ac:dyDescent="0.3">
      <c r="A10" s="12" t="s">
        <v>105</v>
      </c>
      <c r="B10" t="str">
        <f>B6</f>
        <v>New-improved</v>
      </c>
      <c r="C10" s="60">
        <f>D10/SUM(D10:D12)</f>
        <v>0.14069508489685451</v>
      </c>
      <c r="D10" s="61">
        <f>D3*C32</f>
        <v>15074.72757825888</v>
      </c>
      <c r="E10" s="62">
        <f>E6</f>
        <v>0.42</v>
      </c>
      <c r="F10" s="61">
        <f>J10*(1/D10)</f>
        <v>1.8194933167116991</v>
      </c>
      <c r="G10" s="63"/>
      <c r="H10" s="62">
        <f>H6</f>
        <v>6</v>
      </c>
      <c r="I10" s="63">
        <f>I6</f>
        <v>0.39</v>
      </c>
      <c r="J10" s="65">
        <f>M10*K10</f>
        <v>27428.36607989157</v>
      </c>
      <c r="K10" s="66">
        <f>C28</f>
        <v>0.215</v>
      </c>
      <c r="L10" s="10"/>
      <c r="M10" s="9">
        <f>([2]prod_herd_data!F34*[2]prod_herd_data!F40+[2]prod_herd_data!G34*[2]prod_herd_data!G40)*(1-C25)</f>
        <v>127573.79572042591</v>
      </c>
      <c r="N10" s="53">
        <f>Dairy_Income_Roadmap!C27</f>
        <v>1048.1530828713855</v>
      </c>
      <c r="O10" s="53">
        <f ca="1">Dairy_Income_Roadmap!C59</f>
        <v>314.80418002539551</v>
      </c>
      <c r="P10" s="53">
        <f>(F10*(Dairy_Income_Roadmap!C22+Dairy_Income_Baseline!B24)-F3*Dairy_Income_Baseline!B24)</f>
        <v>8.5132993486103259E-2</v>
      </c>
      <c r="Q10" s="80">
        <f>(P10*(Dairy_Income_Roadmap!C19))</f>
        <v>24.398210102241187</v>
      </c>
      <c r="R10" s="53">
        <f>IF(P10&gt;0, P10*Dairy_Income_Roadmap!L19/12, 0)</f>
        <v>0.19864365146757426</v>
      </c>
      <c r="S10" s="54">
        <f>F10*I10*N10</f>
        <v>743.7719363783475</v>
      </c>
      <c r="T10" s="5">
        <f ca="1">F10*O10*I10</f>
        <v>223.38579963535435</v>
      </c>
      <c r="U10" s="51">
        <f>U6</f>
        <v>342.7724234934708</v>
      </c>
      <c r="V10" s="51">
        <f>V3-Q10-R10</f>
        <v>6583.6958969725702</v>
      </c>
      <c r="W10" s="51">
        <f>W6</f>
        <v>77</v>
      </c>
      <c r="X10" s="51">
        <f>U10+V10</f>
        <v>6926.4683204660414</v>
      </c>
      <c r="Y10" s="78">
        <f t="shared" si="1"/>
        <v>7327.4678333509173</v>
      </c>
      <c r="Z10" s="32">
        <f>Z6</f>
        <v>2.5966208478045091E-2</v>
      </c>
      <c r="AA10" s="90">
        <f ca="1">T10*D10</f>
        <v>3367480.0743544889</v>
      </c>
      <c r="AB10" s="51">
        <f>Y10*D10</f>
        <v>110459581.42621993</v>
      </c>
      <c r="AC10" s="17"/>
      <c r="AD10" s="28"/>
    </row>
    <row r="11" spans="1:30" ht="15.6" x14ac:dyDescent="0.3">
      <c r="A11" s="14"/>
      <c r="B11" t="str">
        <f>B7</f>
        <v>Local-only</v>
      </c>
      <c r="C11" s="60">
        <f>D11/SUM(D10:D12)</f>
        <v>0.5998053619286956</v>
      </c>
      <c r="D11" s="61">
        <f>D3*(1-C32)</f>
        <v>64265.943886261557</v>
      </c>
      <c r="E11" s="62">
        <f>E7</f>
        <v>0.52700000000000002</v>
      </c>
      <c r="F11" s="61">
        <f>J11*(1/D11)</f>
        <v>11.924469087590536</v>
      </c>
      <c r="G11" s="63"/>
      <c r="H11" s="62">
        <f t="shared" ref="H11:H20" si="2">H7</f>
        <v>6</v>
      </c>
      <c r="I11" s="63">
        <f>I6</f>
        <v>0.39</v>
      </c>
      <c r="J11" s="65">
        <f>M11*K11</f>
        <v>766337.26125655393</v>
      </c>
      <c r="K11" s="66">
        <v>1</v>
      </c>
      <c r="L11" s="10"/>
      <c r="M11" s="9">
        <f>([2]prod_herd_data!F35*[2]prod_herd_data!F40+[2]prod_herd_data!G35*[2]prod_herd_data!G40)*C26</f>
        <v>766337.26125655393</v>
      </c>
      <c r="N11" s="53">
        <f>Dairy_Income_Roadmap!E27</f>
        <v>269.08297731335256</v>
      </c>
      <c r="O11" s="53">
        <f ca="1">Dairy_Income_Roadmap!E59</f>
        <v>26.985901890880744</v>
      </c>
      <c r="P11" s="53">
        <f>(F11*(Dairy_Income_Roadmap!E22 + Dairy_Income_Baseline!B24)  -   F3*Dairy_Income_Baseline!B24)</f>
        <v>0.22343451678658277</v>
      </c>
      <c r="Q11" s="80">
        <f>(P11*(Dairy_Income_Roadmap!E19))</f>
        <v>64.033955126241921</v>
      </c>
      <c r="R11" s="53">
        <f>IF(P11&gt;0, P11*Dairy_Income_Roadmap!L19/12, 0)</f>
        <v>0.52134720583535976</v>
      </c>
      <c r="S11" s="54">
        <f>F11*I11*N11</f>
        <v>1251.3819415382602</v>
      </c>
      <c r="T11" s="5">
        <f ca="1">F11*O11*I11</f>
        <v>125.49909563043779</v>
      </c>
      <c r="U11" s="51">
        <f t="shared" ref="U11:W12" si="3">U7</f>
        <v>342.7724234934708</v>
      </c>
      <c r="V11" s="51">
        <f>V3-Q11-R11</f>
        <v>6543.7374483942003</v>
      </c>
      <c r="W11" s="51">
        <f t="shared" si="3"/>
        <v>77</v>
      </c>
      <c r="X11" s="51">
        <f>U11+V11</f>
        <v>6886.5098718876707</v>
      </c>
      <c r="Y11" s="78">
        <f t="shared" si="1"/>
        <v>7795.1193899324608</v>
      </c>
      <c r="Z11" s="32">
        <f>Z3</f>
        <v>2.5966208478045091E-2</v>
      </c>
      <c r="AA11" s="90">
        <f ca="1">T11*D11</f>
        <v>8065317.8375622882</v>
      </c>
      <c r="AB11" s="51">
        <f>Y11*D11</f>
        <v>500960705.30010897</v>
      </c>
      <c r="AC11" s="17"/>
      <c r="AD11" s="28"/>
    </row>
    <row r="12" spans="1:30" ht="15.6" x14ac:dyDescent="0.3">
      <c r="A12" s="12"/>
      <c r="B12" t="str">
        <f>B8</f>
        <v>Extant-improved</v>
      </c>
      <c r="C12" s="60">
        <f>D12/SUM(D10:D12)</f>
        <v>0.25949955317444984</v>
      </c>
      <c r="D12" s="61">
        <f>D4</f>
        <v>27803.992397123129</v>
      </c>
      <c r="E12" s="62">
        <f>E8</f>
        <v>0.42</v>
      </c>
      <c r="F12" s="61">
        <f>J12*(1/D12)</f>
        <v>3.601836319409164</v>
      </c>
      <c r="G12" s="63"/>
      <c r="H12" s="62">
        <f t="shared" si="2"/>
        <v>5.7</v>
      </c>
      <c r="I12" s="63">
        <f>I8</f>
        <v>0.50487289999999996</v>
      </c>
      <c r="J12" s="65">
        <f t="shared" ref="J12" si="4">M12*K12</f>
        <v>100145.42964053435</v>
      </c>
      <c r="K12" s="66">
        <f>K4*(1-C28)</f>
        <v>0.78500000000000003</v>
      </c>
      <c r="L12" s="10"/>
      <c r="M12" s="9">
        <f>M10</f>
        <v>127573.79572042591</v>
      </c>
      <c r="N12" s="53">
        <f>Dairy_Income_Roadmap!G27</f>
        <v>1177.4869003216895</v>
      </c>
      <c r="O12" s="53">
        <f ca="1">Dairy_Income_Roadmap!G59</f>
        <v>285.11080289725788</v>
      </c>
      <c r="P12" s="53">
        <f>(F12*(Dairy_Income_Roadmap!G22 + Dairy_Income_Baseline!D24)  -   F4*Dairy_Income_Baseline!D24)</f>
        <v>0.34211019458799774</v>
      </c>
      <c r="Q12" s="80">
        <f>(P12*(Dairy_Income_Roadmap!G19))</f>
        <v>82.643628223038363</v>
      </c>
      <c r="R12" s="53">
        <f>IF(P12&gt;0, P12*Dairy_Income_Roadmap!L19/12, 0)</f>
        <v>0.79825712070532806</v>
      </c>
      <c r="S12" s="54">
        <f>F12*I12*N12</f>
        <v>2141.2240712925495</v>
      </c>
      <c r="T12" s="5">
        <f ca="1">F12*O12*I12</f>
        <v>518.46531284753098</v>
      </c>
      <c r="U12" s="51">
        <f t="shared" si="3"/>
        <v>1355.0965852736363</v>
      </c>
      <c r="V12" s="51">
        <f>V4-Q12-R12</f>
        <v>7155.9616647617731</v>
      </c>
      <c r="W12" s="51">
        <f t="shared" si="3"/>
        <v>77</v>
      </c>
      <c r="X12" s="51">
        <f>U12+V12</f>
        <v>8511.0582500354103</v>
      </c>
      <c r="Y12" s="78">
        <f t="shared" si="1"/>
        <v>9297.1857360543218</v>
      </c>
      <c r="Z12" s="32">
        <f>Z8</f>
        <v>2.5966208478045091E-2</v>
      </c>
      <c r="AA12" s="90">
        <f ca="1">T12*D12</f>
        <v>14415405.616584817</v>
      </c>
      <c r="AB12" s="51">
        <f>Y12*D12</f>
        <v>258498881.51989597</v>
      </c>
      <c r="AC12" s="17">
        <f>-1+SUM(AB10:AB12)/SUM(AB3:AB4)</f>
        <v>0.10051768865487998</v>
      </c>
      <c r="AD12" s="28">
        <f ca="1">MC_Middle_road!I20</f>
        <v>14.97603760432227</v>
      </c>
    </row>
    <row r="13" spans="1:30" ht="15.6" x14ac:dyDescent="0.3">
      <c r="A13" s="12"/>
      <c r="C13" s="60"/>
      <c r="D13" s="61"/>
      <c r="E13" s="62"/>
      <c r="F13" s="61"/>
      <c r="G13" s="63"/>
      <c r="H13" s="62">
        <f t="shared" si="2"/>
        <v>0</v>
      </c>
      <c r="I13" s="63"/>
      <c r="J13" s="65"/>
      <c r="K13" s="66"/>
      <c r="L13" s="10"/>
      <c r="M13" s="9"/>
      <c r="N13" s="53"/>
      <c r="O13" s="53"/>
      <c r="P13" s="53"/>
      <c r="Q13" s="80"/>
      <c r="R13" s="53"/>
      <c r="S13" s="54"/>
      <c r="T13" s="5"/>
      <c r="U13" s="51"/>
      <c r="V13" s="51"/>
      <c r="W13" s="51"/>
      <c r="X13" s="51"/>
      <c r="Y13" s="78"/>
      <c r="Z13" s="32"/>
      <c r="AA13" s="90"/>
      <c r="AB13" s="51"/>
      <c r="AC13" s="17"/>
      <c r="AD13" s="28"/>
    </row>
    <row r="14" spans="1:30" ht="15.6" x14ac:dyDescent="0.3">
      <c r="A14" s="12" t="s">
        <v>106</v>
      </c>
      <c r="B14" t="str">
        <f>B6</f>
        <v>New-improved</v>
      </c>
      <c r="C14" s="60">
        <f>D14/SUM(D14:D16)</f>
        <v>2.2215013404766504E-2</v>
      </c>
      <c r="D14" s="61">
        <f>D3*C33</f>
        <v>2380.2201439356131</v>
      </c>
      <c r="E14" s="62">
        <f>E10</f>
        <v>0.42</v>
      </c>
      <c r="F14" s="61">
        <f>J14*(1/D14)</f>
        <v>1.1541871446342356</v>
      </c>
      <c r="G14" s="63"/>
      <c r="H14" s="62">
        <f t="shared" si="2"/>
        <v>6</v>
      </c>
      <c r="I14" s="63">
        <f>I11</f>
        <v>0.39</v>
      </c>
      <c r="J14" s="65">
        <f>M14*K14</f>
        <v>2747.2194915299347</v>
      </c>
      <c r="K14" s="66">
        <f>C29</f>
        <v>0.03</v>
      </c>
      <c r="L14" s="10"/>
      <c r="M14" s="9">
        <f>([2]prod_herd_data!F43*[2]prod_herd_data!F49+[2]prod_herd_data!G43*[2]prod_herd_data!G49)*(1-C25)</f>
        <v>91573.98305099782</v>
      </c>
      <c r="N14" s="53">
        <f>Dairy_Income_Roadmap!C27</f>
        <v>1048.1530828713855</v>
      </c>
      <c r="O14" s="53">
        <f ca="1">Dairy_Income_Roadmap!C59</f>
        <v>314.80418002539551</v>
      </c>
      <c r="P14" s="53">
        <f>(F14*(Dairy_Income_Roadmap!C22+ Dairy_Income_Baseline!B24)  -   F3*Dairy_Income_Baseline!B24)</f>
        <v>-5.0022696263232885E-2</v>
      </c>
      <c r="Q14" s="80">
        <f>(P14*(Dairy_Income_Roadmap!C19))</f>
        <v>-14.335972498255618</v>
      </c>
      <c r="R14" s="53">
        <f>IF(P14&gt;0, P14*Dairy_Income_Roadmap!L19/12, 0)</f>
        <v>0</v>
      </c>
      <c r="S14" s="54">
        <f>F14*I14*N14</f>
        <v>471.80827740496937</v>
      </c>
      <c r="T14" s="5">
        <f ca="1">F14*O14*I14</f>
        <v>141.7037456883489</v>
      </c>
      <c r="U14" s="51">
        <f t="shared" ref="U14:U16" si="5">U10</f>
        <v>342.7724234934708</v>
      </c>
      <c r="V14" s="51">
        <f>V3-Q14-R14</f>
        <v>6622.628723224534</v>
      </c>
      <c r="W14" s="51">
        <f t="shared" ref="W14:W20" si="6">W10</f>
        <v>77</v>
      </c>
      <c r="X14" s="51">
        <f>U14+V14</f>
        <v>6965.4011467180044</v>
      </c>
      <c r="Y14" s="78">
        <f t="shared" si="1"/>
        <v>7094.437000629503</v>
      </c>
      <c r="Z14" s="32">
        <f>Z10</f>
        <v>2.5966208478045091E-2</v>
      </c>
      <c r="AA14" s="90">
        <f ca="1">T14*D14</f>
        <v>337286.10995853733</v>
      </c>
      <c r="AB14" s="51">
        <f>Y14*D14</f>
        <v>16886321.858780496</v>
      </c>
      <c r="AC14" s="17"/>
      <c r="AD14" s="28"/>
    </row>
    <row r="15" spans="1:30" ht="15.6" x14ac:dyDescent="0.3">
      <c r="A15" s="12"/>
      <c r="B15" t="str">
        <f t="shared" ref="B15:B20" si="7">B7</f>
        <v>Local-only</v>
      </c>
      <c r="C15" s="60">
        <f>D15/SUM(D14:D16)</f>
        <v>0.71828543342078366</v>
      </c>
      <c r="D15" s="61">
        <f>D3*(1-C33)</f>
        <v>76960.45132058482</v>
      </c>
      <c r="E15" s="62">
        <f>E11</f>
        <v>0.52700000000000002</v>
      </c>
      <c r="F15" s="61">
        <f>J15*(1/D15)</f>
        <v>15.852037429827085</v>
      </c>
      <c r="G15" s="63"/>
      <c r="H15" s="62">
        <f t="shared" si="2"/>
        <v>6</v>
      </c>
      <c r="I15" s="63">
        <f>I3</f>
        <v>0.39</v>
      </c>
      <c r="J15" s="65">
        <f>M15*K15</f>
        <v>1219979.9549502959</v>
      </c>
      <c r="K15" s="66">
        <v>1</v>
      </c>
      <c r="L15" s="10"/>
      <c r="M15" s="9">
        <f>([2]prod_herd_data!F44*[2]prod_herd_data!F49+[2]prod_herd_data!G44*[2]prod_herd_data!G49)*C26</f>
        <v>1219979.9549502959</v>
      </c>
      <c r="N15" s="53">
        <f>Dairy_Income_Roadmap!E27</f>
        <v>269.08297731335256</v>
      </c>
      <c r="O15" s="53">
        <f ca="1">Dairy_Income_Roadmap!E59</f>
        <v>26.985901890880744</v>
      </c>
      <c r="P15" s="53">
        <f>(F15*(Dairy_Income_Roadmap!E22 + Dairy_Income_Baseline!B24)  -   F3*Dairy_Income_Baseline!B24)</f>
        <v>0.3907310644351798</v>
      </c>
      <c r="Q15" s="80">
        <f>(P15*(Dairy_Income_Roadmap!E19))</f>
        <v>111.9793656159642</v>
      </c>
      <c r="R15" s="53">
        <f>IF(P15&gt;0, P15*Dairy_Income_Roadmap!L19/12, 0)</f>
        <v>0.91170581701541964</v>
      </c>
      <c r="S15" s="54">
        <f>F15*I15*N15</f>
        <v>1663.5502369592252</v>
      </c>
      <c r="T15" s="5">
        <f ca="1">F15*O15*I15</f>
        <v>166.83479547223442</v>
      </c>
      <c r="U15" s="51">
        <f t="shared" si="5"/>
        <v>342.7724234934708</v>
      </c>
      <c r="V15" s="51">
        <f>V3-Q15-R15</f>
        <v>6495.4016792932989</v>
      </c>
      <c r="W15" s="51">
        <f t="shared" si="6"/>
        <v>77</v>
      </c>
      <c r="X15" s="51">
        <f>U15+V15</f>
        <v>6838.1741027867702</v>
      </c>
      <c r="Y15" s="78">
        <f t="shared" si="1"/>
        <v>8158.9519162525239</v>
      </c>
      <c r="Z15" s="32">
        <f>Z11</f>
        <v>2.5966208478045091E-2</v>
      </c>
      <c r="AA15" s="90">
        <f ca="1">T15*D15</f>
        <v>12839681.155520622</v>
      </c>
      <c r="AB15" s="51">
        <f>Y15*D15</f>
        <v>627916621.77774465</v>
      </c>
      <c r="AC15" s="17"/>
      <c r="AD15" s="28"/>
    </row>
    <row r="16" spans="1:30" ht="15.6" x14ac:dyDescent="0.3">
      <c r="A16" s="13"/>
      <c r="B16" t="str">
        <f t="shared" si="7"/>
        <v>Extant-improved</v>
      </c>
      <c r="C16" s="60">
        <f>D16/SUM(D14:D16)</f>
        <v>0.25949955317444984</v>
      </c>
      <c r="D16" s="61">
        <f>D12</f>
        <v>27803.992397123129</v>
      </c>
      <c r="E16" s="62">
        <f>E12</f>
        <v>0.42</v>
      </c>
      <c r="F16" s="61">
        <f>J16*(1/D16)</f>
        <v>3.1947485199520762</v>
      </c>
      <c r="G16" s="63"/>
      <c r="H16" s="62">
        <f t="shared" si="2"/>
        <v>5.7</v>
      </c>
      <c r="I16" s="63">
        <f>I12</f>
        <v>0.50487289999999996</v>
      </c>
      <c r="J16" s="65">
        <f>M16*K16</f>
        <v>88826.763559467887</v>
      </c>
      <c r="K16" s="66">
        <f>K4*(1-C29)</f>
        <v>0.97</v>
      </c>
      <c r="L16" s="10"/>
      <c r="M16" s="9">
        <f>M14</f>
        <v>91573.98305099782</v>
      </c>
      <c r="N16" s="53">
        <f>Dairy_Income_Roadmap!G27</f>
        <v>1177.4869003216895</v>
      </c>
      <c r="O16" s="53">
        <f ca="1">Dairy_Income_Roadmap!G59</f>
        <v>285.11080289725788</v>
      </c>
      <c r="P16" s="53">
        <f>(F16*(Dairy_Income_Roadmap!G22 + Dairy_Income_Baseline!D24)  -   F4*Dairy_Income_Baseline!D24)</f>
        <v>0.26560319449529346</v>
      </c>
      <c r="Q16" s="80">
        <f>(P16*(Dairy_Income_Roadmap!G19))</f>
        <v>64.161816888138034</v>
      </c>
      <c r="R16" s="53">
        <f>IF(P16&gt;0, P16*Dairy_Income_Roadmap!L19/12, 0)</f>
        <v>0.6197407871556847</v>
      </c>
      <c r="S16" s="54">
        <f>F16*I16*N16</f>
        <v>1899.2180171501404</v>
      </c>
      <c r="T16" s="5">
        <f ca="1">F16*O16*I16</f>
        <v>459.86717440226317</v>
      </c>
      <c r="U16" s="51">
        <f t="shared" si="5"/>
        <v>1355.0965852736363</v>
      </c>
      <c r="V16" s="51">
        <f>V4-Q16-R16</f>
        <v>7174.6219924302222</v>
      </c>
      <c r="W16" s="51">
        <f t="shared" si="6"/>
        <v>77</v>
      </c>
      <c r="X16" s="51">
        <f>U16+V16</f>
        <v>8529.7185777038576</v>
      </c>
      <c r="Y16" s="78">
        <f t="shared" si="1"/>
        <v>9073.8400095803627</v>
      </c>
      <c r="Z16" s="32">
        <f>Z12</f>
        <v>2.5966208478045091E-2</v>
      </c>
      <c r="AA16" s="90">
        <f ca="1">T16*D16</f>
        <v>12786143.420767022</v>
      </c>
      <c r="AB16" s="51">
        <f>Y16*D16</f>
        <v>252288978.63908407</v>
      </c>
      <c r="AC16" s="17">
        <f>-1+SUM(AB14:AB16)/SUM(AB3:AB4)</f>
        <v>0.13489340717030585</v>
      </c>
      <c r="AD16" s="28">
        <f ca="1">MC_Status_quo!I20</f>
        <v>19.016713869000629</v>
      </c>
    </row>
    <row r="17" spans="1:30" ht="15.6" x14ac:dyDescent="0.3">
      <c r="A17" s="13"/>
      <c r="C17" s="60"/>
      <c r="D17" s="61"/>
      <c r="E17" s="62"/>
      <c r="F17" s="61"/>
      <c r="G17" s="63"/>
      <c r="H17" s="62">
        <f t="shared" si="2"/>
        <v>0</v>
      </c>
      <c r="I17" s="63"/>
      <c r="J17" s="65"/>
      <c r="K17" s="66"/>
      <c r="L17" s="10"/>
      <c r="M17" s="9"/>
      <c r="N17" s="53"/>
      <c r="O17" s="53"/>
      <c r="P17" s="53"/>
      <c r="Q17" s="80"/>
      <c r="R17" s="53"/>
      <c r="S17" s="54"/>
      <c r="T17" s="5"/>
      <c r="U17" s="51"/>
      <c r="V17" s="51"/>
      <c r="W17" s="51"/>
      <c r="X17" s="51"/>
      <c r="Y17" s="78"/>
      <c r="Z17" s="32"/>
      <c r="AA17" s="90"/>
      <c r="AB17" s="51"/>
      <c r="AC17" s="17"/>
      <c r="AD17" s="28"/>
    </row>
    <row r="18" spans="1:30" ht="15.6" x14ac:dyDescent="0.3">
      <c r="A18" s="12" t="s">
        <v>116</v>
      </c>
      <c r="B18" t="str">
        <f t="shared" si="7"/>
        <v>New-improved</v>
      </c>
      <c r="C18" s="60">
        <f>D18/SUM(D18:D20)</f>
        <v>0.25917515638894251</v>
      </c>
      <c r="D18" s="61">
        <f>D3*C34</f>
        <v>27769.23501258215</v>
      </c>
      <c r="E18" s="62">
        <f>E14</f>
        <v>0.42</v>
      </c>
      <c r="F18" s="61">
        <f>J18*(1/D18)</f>
        <v>2.7260934028983494</v>
      </c>
      <c r="G18" s="63"/>
      <c r="H18" s="62">
        <f t="shared" si="2"/>
        <v>6</v>
      </c>
      <c r="I18" s="63">
        <f>I14</f>
        <v>0.39</v>
      </c>
      <c r="J18" s="65">
        <f>M18*K18</f>
        <v>75701.528371334061</v>
      </c>
      <c r="K18" s="66">
        <f>C30</f>
        <v>0.4</v>
      </c>
      <c r="L18" s="10"/>
      <c r="M18" s="9">
        <f>([2]prod_herd_data!F58*[2]prod_herd_data!F52+[2]prod_herd_data!G58*[2]prod_herd_data!G52)*(1-C25)</f>
        <v>189253.82092833516</v>
      </c>
      <c r="N18" s="53">
        <f>Dairy_Income_Roadmap!C27</f>
        <v>1048.1530828713855</v>
      </c>
      <c r="O18" s="53">
        <f ca="1">Dairy_Income_Roadmap!C59</f>
        <v>314.80418002539551</v>
      </c>
      <c r="P18" s="53">
        <f>(F18*(Dairy_Income_Roadmap!C22 + Dairy_Income_Baseline!B24)  -   F3*Dairy_Income_Baseline!B24)</f>
        <v>0.26930708523208746</v>
      </c>
      <c r="Q18" s="80">
        <f>(P18*(Dairy_Income_Roadmap!C19))</f>
        <v>77.180545150068085</v>
      </c>
      <c r="R18" s="53">
        <f>IF(P18&gt;0, P18*Dairy_Income_Roadmap!L19/12, 0)</f>
        <v>0.62838319887487071</v>
      </c>
      <c r="S18" s="54">
        <f>F18*I18*N18</f>
        <v>1114.371649732868</v>
      </c>
      <c r="T18" s="5">
        <f ca="1">F18*O18*I18</f>
        <v>334.69238336510148</v>
      </c>
      <c r="U18" s="51">
        <f t="shared" ref="U18:U20" si="8">U14</f>
        <v>342.7724234934708</v>
      </c>
      <c r="V18" s="51">
        <f>V3-Q18-R18</f>
        <v>6530.4838223773359</v>
      </c>
      <c r="W18" s="51">
        <f t="shared" si="6"/>
        <v>77</v>
      </c>
      <c r="X18" s="51">
        <f>U18+V18</f>
        <v>6873.2562458708071</v>
      </c>
      <c r="Y18" s="78">
        <f t="shared" si="1"/>
        <v>7644.8554721102037</v>
      </c>
      <c r="Z18" s="32">
        <f>Z14</f>
        <v>2.5966208478045091E-2</v>
      </c>
      <c r="AA18" s="90">
        <f ca="1">T18*D18</f>
        <v>9294151.4505867437</v>
      </c>
      <c r="AB18" s="51">
        <f>Y18*D18</f>
        <v>212291788.24225292</v>
      </c>
      <c r="AC18" s="17"/>
      <c r="AD18" s="28"/>
    </row>
    <row r="19" spans="1:30" ht="15.6" x14ac:dyDescent="0.3">
      <c r="A19" s="12"/>
      <c r="B19" t="str">
        <f t="shared" si="7"/>
        <v>Local-only</v>
      </c>
      <c r="C19" s="60">
        <f>D19/SUM(D18:D20)</f>
        <v>0.4813252904366076</v>
      </c>
      <c r="D19" s="61">
        <f>D3*(1-C34)</f>
        <v>51571.436451938287</v>
      </c>
      <c r="E19" s="62">
        <f>E15</f>
        <v>0.52700000000000002</v>
      </c>
      <c r="F19" s="61">
        <f>J19*(1/D19)</f>
        <v>12.039802488402497</v>
      </c>
      <c r="G19" s="63"/>
      <c r="H19" s="62">
        <f t="shared" si="2"/>
        <v>6</v>
      </c>
      <c r="I19" s="63">
        <f>I15</f>
        <v>0.39</v>
      </c>
      <c r="J19" s="65">
        <f t="shared" ref="J19:J20" si="9">M19*K19</f>
        <v>620909.90892453783</v>
      </c>
      <c r="K19" s="66">
        <v>1</v>
      </c>
      <c r="L19" s="10"/>
      <c r="M19" s="9">
        <f>([2]prod_herd_data!F58*[2]prod_herd_data!F53+[2]prod_herd_data!G58*[2]prod_herd_data!G53)*C26</f>
        <v>620909.90892453783</v>
      </c>
      <c r="N19" s="53">
        <f>Dairy_Income_Roadmap!E27</f>
        <v>269.08297731335256</v>
      </c>
      <c r="O19" s="53">
        <f ca="1">Dairy_Income_Roadmap!E59</f>
        <v>26.985901890880744</v>
      </c>
      <c r="P19" s="53">
        <f>(F19*(Dairy_Income_Roadmap!E22 + Dairy_Income_Baseline!B24)  -   F3*Dairy_Income_Baseline!B24)</f>
        <v>0.22834719509109969</v>
      </c>
      <c r="Q19" s="80">
        <f>(P19*(Dairy_Income_Roadmap!E19))</f>
        <v>65.441876456506094</v>
      </c>
      <c r="R19" s="53">
        <f>IF(P19&gt;0, P19*Dairy_Income_Roadmap!L19/12, 0)</f>
        <v>0.5328101218792326</v>
      </c>
      <c r="S19" s="54">
        <f>F19*I19*N19</f>
        <v>1263.4853009391813</v>
      </c>
      <c r="T19" s="5">
        <f ca="1">F19*O19*I19</f>
        <v>126.71292220766853</v>
      </c>
      <c r="U19" s="51">
        <f t="shared" si="8"/>
        <v>342.7724234934708</v>
      </c>
      <c r="V19" s="51">
        <f>V3-Q19-R19</f>
        <v>6542.318064147893</v>
      </c>
      <c r="W19" s="51">
        <f t="shared" si="6"/>
        <v>77</v>
      </c>
      <c r="X19" s="51">
        <f>U19+V19</f>
        <v>6885.0904876413642</v>
      </c>
      <c r="Y19" s="78">
        <f t="shared" si="1"/>
        <v>7805.8033650870748</v>
      </c>
      <c r="Z19" s="32">
        <f>Z15</f>
        <v>2.5966208478045091E-2</v>
      </c>
      <c r="AA19" s="90">
        <f ca="1">T19*D19</f>
        <v>6534767.4152721772</v>
      </c>
      <c r="AB19" s="51">
        <f>Y19*D19</f>
        <v>402556492.19891411</v>
      </c>
      <c r="AC19" s="17"/>
      <c r="AD19" s="28"/>
    </row>
    <row r="20" spans="1:30" ht="15.6" x14ac:dyDescent="0.3">
      <c r="A20" s="14"/>
      <c r="B20" t="str">
        <f t="shared" si="7"/>
        <v>Extant-improved</v>
      </c>
      <c r="C20" s="60">
        <f>D20/SUM(D18:D20)</f>
        <v>0.25949955317444984</v>
      </c>
      <c r="D20" s="61">
        <f>D16</f>
        <v>27803.992397123129</v>
      </c>
      <c r="E20" s="62">
        <f>E16</f>
        <v>0.42</v>
      </c>
      <c r="F20" s="61">
        <f>J20*(1/D20)</f>
        <v>4.0840283271243569</v>
      </c>
      <c r="G20" s="63"/>
      <c r="H20" s="62">
        <f t="shared" si="2"/>
        <v>5.7</v>
      </c>
      <c r="I20" s="63">
        <f>I16</f>
        <v>0.50487289999999996</v>
      </c>
      <c r="J20" s="65">
        <f t="shared" si="9"/>
        <v>113552.2925570011</v>
      </c>
      <c r="K20" s="66">
        <f>K4*(1-C30)</f>
        <v>0.6</v>
      </c>
      <c r="L20" s="10"/>
      <c r="M20" s="9">
        <f>M18</f>
        <v>189253.82092833516</v>
      </c>
      <c r="N20" s="53">
        <f>Dairy_Income_Roadmap!G27</f>
        <v>1177.4869003216895</v>
      </c>
      <c r="O20" s="53">
        <f ca="1">Dairy_Income_Roadmap!G59</f>
        <v>285.11080289725788</v>
      </c>
      <c r="P20" s="53">
        <f>(F20*(Dairy_Income_Roadmap!G22+ Dairy_Income_Baseline!D24)  -   F4*Dairy_Income_Baseline!D24)</f>
        <v>0.43273208015707465</v>
      </c>
      <c r="Q20" s="80">
        <f>(P20*(Dairy_Income_Roadmap!G19))</f>
        <v>104.53517526933695</v>
      </c>
      <c r="R20" s="53">
        <f>IF(P20&gt;0, P20*Dairy_Income_Roadmap!L19/12, 0)</f>
        <v>1.0097081870331743</v>
      </c>
      <c r="S20" s="54">
        <f>F20*I20*N20</f>
        <v>2427.8781672438113</v>
      </c>
      <c r="T20" s="5">
        <f ca="1">F20*O20*I20</f>
        <v>587.87430536211741</v>
      </c>
      <c r="U20" s="51">
        <f t="shared" si="8"/>
        <v>1355.0965852736363</v>
      </c>
      <c r="V20" s="51">
        <f>V4-Q20-R20</f>
        <v>7133.8586666491456</v>
      </c>
      <c r="W20" s="51">
        <f t="shared" si="6"/>
        <v>77</v>
      </c>
      <c r="X20" s="51">
        <f>U20+V20</f>
        <v>8488.9552519227818</v>
      </c>
      <c r="Y20" s="78">
        <f t="shared" si="1"/>
        <v>9561.7368338929573</v>
      </c>
      <c r="Z20" s="32">
        <f>Z16</f>
        <v>2.5966208478045091E-2</v>
      </c>
      <c r="AA20" s="90">
        <f ca="1">T20*D20</f>
        <v>16345252.716752354</v>
      </c>
      <c r="AB20" s="51">
        <f>Y20*D20</f>
        <v>265854458.23285195</v>
      </c>
      <c r="AC20" s="17">
        <f>-1+SUM(AB18:AB20)/SUM(AB3:AB4)</f>
        <v>0.11415977223670071</v>
      </c>
      <c r="AD20" s="28">
        <f ca="1">MC_High_ambition_plus!I20</f>
        <v>13.532307690846137</v>
      </c>
    </row>
    <row r="21" spans="1:30" ht="15.6" x14ac:dyDescent="0.3">
      <c r="A21" s="14"/>
      <c r="C21" s="60"/>
      <c r="D21" s="61"/>
      <c r="E21" s="62"/>
      <c r="F21" s="61"/>
      <c r="G21" s="63"/>
      <c r="H21" s="62"/>
      <c r="I21" s="63"/>
      <c r="J21" s="65"/>
      <c r="K21" s="66"/>
      <c r="L21" s="10"/>
      <c r="M21" s="9"/>
      <c r="N21" s="53"/>
      <c r="O21" s="53"/>
      <c r="P21" s="53"/>
      <c r="Q21" s="80"/>
      <c r="R21" s="53"/>
      <c r="S21" s="54"/>
      <c r="T21" s="94"/>
      <c r="U21" s="93"/>
      <c r="V21" s="93"/>
      <c r="W21" s="93"/>
      <c r="X21" s="93"/>
      <c r="Y21" s="93"/>
      <c r="Z21" s="32"/>
      <c r="AA21" s="93"/>
      <c r="AB21" s="93"/>
      <c r="AC21" s="17"/>
      <c r="AD21" s="28"/>
    </row>
    <row r="22" spans="1:30" x14ac:dyDescent="0.3">
      <c r="M22" s="72" t="s">
        <v>87</v>
      </c>
      <c r="N22" s="73">
        <f>([7]prod_herd_data!F8+[7]prod_herd_data!G8)</f>
        <v>1466569.4038673267</v>
      </c>
    </row>
    <row r="23" spans="1:30" ht="15.6" x14ac:dyDescent="0.3">
      <c r="A23" s="87" t="s">
        <v>91</v>
      </c>
      <c r="B23" s="2"/>
      <c r="D23" s="58" t="s">
        <v>118</v>
      </c>
      <c r="M23" s="68" t="s">
        <v>25</v>
      </c>
      <c r="N23" s="68">
        <f>[1]All!$B$12</f>
        <v>285</v>
      </c>
    </row>
    <row r="24" spans="1:30" x14ac:dyDescent="0.3">
      <c r="A24" s="59" t="s">
        <v>146</v>
      </c>
      <c r="B24" s="2"/>
      <c r="C24" s="100">
        <f>532194/(250800+532194)</f>
        <v>0.67969103211518866</v>
      </c>
    </row>
    <row r="25" spans="1:30" x14ac:dyDescent="0.3">
      <c r="A25" s="59" t="s">
        <v>147</v>
      </c>
      <c r="B25" s="2"/>
      <c r="C25" s="100">
        <f>9226165/(9226165+3518000)</f>
        <v>0.723952098862499</v>
      </c>
      <c r="M25" s="2" t="s">
        <v>86</v>
      </c>
    </row>
    <row r="26" spans="1:30" x14ac:dyDescent="0.3">
      <c r="A26" s="59" t="s">
        <v>38</v>
      </c>
      <c r="B26" s="59"/>
      <c r="C26" s="100">
        <f>1-0.259</f>
        <v>0.74099999999999999</v>
      </c>
      <c r="D26" s="59"/>
      <c r="E26" s="22"/>
      <c r="M26" s="68" t="s">
        <v>23</v>
      </c>
    </row>
    <row r="27" spans="1:30" x14ac:dyDescent="0.3">
      <c r="A27" s="98" t="s">
        <v>148</v>
      </c>
      <c r="B27" s="58" t="s">
        <v>104</v>
      </c>
      <c r="C27" s="86">
        <f>0.4</f>
        <v>0.4</v>
      </c>
      <c r="D27" s="59"/>
      <c r="E27" s="22"/>
      <c r="M27" s="58" t="s">
        <v>27</v>
      </c>
      <c r="P27" s="2"/>
    </row>
    <row r="28" spans="1:30" x14ac:dyDescent="0.3">
      <c r="A28" s="98"/>
      <c r="B28" s="58" t="s">
        <v>105</v>
      </c>
      <c r="C28" s="58">
        <f>0.5*(C27-C29)+C29</f>
        <v>0.215</v>
      </c>
      <c r="D28" s="59"/>
      <c r="E28" s="22"/>
      <c r="M28" s="71" t="s">
        <v>15</v>
      </c>
      <c r="P28" s="68"/>
      <c r="Q28" s="15"/>
      <c r="R28" s="15"/>
      <c r="S28" s="7"/>
      <c r="T28" s="7"/>
    </row>
    <row r="29" spans="1:30" x14ac:dyDescent="0.3">
      <c r="A29" s="98"/>
      <c r="B29" s="58" t="s">
        <v>106</v>
      </c>
      <c r="C29" s="58">
        <f>0.03</f>
        <v>0.03</v>
      </c>
      <c r="D29" s="58"/>
      <c r="E29" s="24"/>
      <c r="M29" s="15"/>
      <c r="P29" s="58"/>
      <c r="Q29" s="20"/>
      <c r="R29" s="20"/>
    </row>
    <row r="30" spans="1:30" x14ac:dyDescent="0.3">
      <c r="A30" s="98"/>
      <c r="B30" s="58" t="s">
        <v>107</v>
      </c>
      <c r="C30" s="86">
        <f>C27</f>
        <v>0.4</v>
      </c>
      <c r="D30" s="58"/>
      <c r="E30" s="24"/>
      <c r="M30" s="15"/>
      <c r="P30" s="71"/>
      <c r="Q30" s="20"/>
      <c r="R30" s="20"/>
    </row>
    <row r="31" spans="1:30" x14ac:dyDescent="0.3">
      <c r="A31" s="99" t="s">
        <v>149</v>
      </c>
      <c r="B31" s="58" t="s">
        <v>104</v>
      </c>
      <c r="C31" s="86">
        <v>0.35</v>
      </c>
      <c r="D31" s="77"/>
      <c r="E31" s="25"/>
      <c r="M31" s="20"/>
      <c r="O31" s="16"/>
      <c r="P31" s="16"/>
      <c r="Q31" s="16"/>
      <c r="R31" s="16"/>
    </row>
    <row r="32" spans="1:30" x14ac:dyDescent="0.3">
      <c r="A32" s="99"/>
      <c r="B32" s="58" t="s">
        <v>105</v>
      </c>
      <c r="C32" s="86">
        <f>C33+    (C31-C33)*0.5</f>
        <v>0.18999999999999997</v>
      </c>
      <c r="D32" s="77"/>
      <c r="E32" s="25"/>
      <c r="M32" s="16"/>
      <c r="O32" s="21"/>
      <c r="P32" s="21"/>
      <c r="Q32" s="21"/>
      <c r="R32" s="21"/>
    </row>
    <row r="33" spans="1:18" x14ac:dyDescent="0.3">
      <c r="A33" s="99"/>
      <c r="B33" s="58" t="s">
        <v>106</v>
      </c>
      <c r="C33" s="86">
        <v>0.03</v>
      </c>
      <c r="D33" s="77"/>
      <c r="E33" s="25"/>
      <c r="M33" s="16"/>
      <c r="O33" s="21"/>
      <c r="P33" s="21"/>
      <c r="Q33" s="21"/>
      <c r="R33" s="21"/>
    </row>
    <row r="34" spans="1:18" x14ac:dyDescent="0.3">
      <c r="A34" s="58"/>
      <c r="B34" s="58" t="s">
        <v>119</v>
      </c>
      <c r="C34" s="86">
        <f>C31</f>
        <v>0.35</v>
      </c>
      <c r="D34" s="77"/>
      <c r="E34" s="25"/>
      <c r="M34" s="21"/>
      <c r="Q34" s="22"/>
      <c r="R34" s="22"/>
    </row>
    <row r="35" spans="1:18" x14ac:dyDescent="0.3">
      <c r="A35" s="99" t="s">
        <v>150</v>
      </c>
      <c r="B35" s="58" t="str">
        <f>B31</f>
        <v>High ambition</v>
      </c>
      <c r="C35" s="97">
        <f>(C6+C8)/SUM(C6,C7,C8)</f>
        <v>0.51867470956339246</v>
      </c>
      <c r="M35" s="22"/>
      <c r="O35" s="23"/>
      <c r="P35" s="23"/>
      <c r="Q35" s="23"/>
      <c r="R35" s="23"/>
    </row>
    <row r="36" spans="1:18" x14ac:dyDescent="0.3">
      <c r="B36" s="58" t="str">
        <f t="shared" ref="B36:B38" si="10">B32</f>
        <v>Middle road</v>
      </c>
      <c r="C36" s="86">
        <f>(C10+C12)/SUM(C10,C11,C12)</f>
        <v>0.4001946380713044</v>
      </c>
      <c r="M36" s="23"/>
      <c r="N36" s="68"/>
      <c r="O36" s="68"/>
      <c r="P36" s="68"/>
      <c r="Q36" s="15"/>
      <c r="R36" s="15"/>
    </row>
    <row r="37" spans="1:18" x14ac:dyDescent="0.3">
      <c r="B37" s="58" t="str">
        <f t="shared" si="10"/>
        <v>Status quo</v>
      </c>
      <c r="C37" s="86">
        <f>(C14+C16)/SUM(C14,C15,C16)</f>
        <v>0.28171456657921634</v>
      </c>
    </row>
    <row r="38" spans="1:18" ht="15.6" x14ac:dyDescent="0.3">
      <c r="B38" s="58" t="str">
        <f t="shared" si="10"/>
        <v>High ambition +</v>
      </c>
      <c r="C38" s="86">
        <f>(C18+C20)/SUM(C18,C19,C20)</f>
        <v>0.51867470956339246</v>
      </c>
      <c r="E38" s="32"/>
      <c r="F38" s="32"/>
      <c r="G38" s="32"/>
      <c r="H38" s="32"/>
      <c r="I38" s="32"/>
      <c r="N38" s="35"/>
    </row>
    <row r="39" spans="1:18" x14ac:dyDescent="0.3">
      <c r="C39" s="49"/>
      <c r="E39" s="32"/>
      <c r="F39" s="32"/>
      <c r="G39" s="32"/>
      <c r="H39" s="32"/>
      <c r="I39" s="32"/>
    </row>
    <row r="40" spans="1:18" x14ac:dyDescent="0.3">
      <c r="E40" s="32"/>
      <c r="F40" s="32"/>
      <c r="G40" s="32"/>
      <c r="H40" s="32"/>
      <c r="I40" s="32"/>
    </row>
    <row r="42" spans="1:18" x14ac:dyDescent="0.3">
      <c r="E42" s="28"/>
      <c r="F42" s="28"/>
      <c r="G42" s="28"/>
      <c r="H42" s="28"/>
      <c r="I42" s="28"/>
    </row>
    <row r="43" spans="1:18" x14ac:dyDescent="0.3">
      <c r="E43" s="28"/>
      <c r="F43" s="28"/>
      <c r="G43" s="28"/>
      <c r="H43" s="28"/>
      <c r="I43" s="28"/>
    </row>
    <row r="44" spans="1:18" x14ac:dyDescent="0.3">
      <c r="E44" s="28"/>
      <c r="F44" s="28"/>
      <c r="G44" s="28"/>
      <c r="H44" s="28"/>
      <c r="I44" s="28"/>
    </row>
    <row r="46" spans="1:18" x14ac:dyDescent="0.3">
      <c r="H46" s="32"/>
    </row>
    <row r="50" spans="4:8" x14ac:dyDescent="0.3">
      <c r="H50" s="32"/>
    </row>
    <row r="53" spans="4:8" x14ac:dyDescent="0.3">
      <c r="D53" s="31"/>
      <c r="E53" s="31"/>
      <c r="F53" s="31"/>
      <c r="G53" s="31"/>
      <c r="H53" s="31"/>
    </row>
    <row r="54" spans="4:8" x14ac:dyDescent="0.3">
      <c r="D54" s="31"/>
      <c r="E54" s="31"/>
      <c r="F54" s="31"/>
      <c r="G54" s="31"/>
      <c r="H54" s="31"/>
    </row>
    <row r="55" spans="4:8" x14ac:dyDescent="0.3">
      <c r="D55" s="31"/>
      <c r="E55" s="31"/>
      <c r="F55" s="31"/>
      <c r="G55" s="31"/>
      <c r="H55" s="31"/>
    </row>
    <row r="57" spans="4:8" x14ac:dyDescent="0.3">
      <c r="F57" s="31"/>
      <c r="G57" s="31"/>
    </row>
    <row r="58" spans="4:8" x14ac:dyDescent="0.3">
      <c r="D58" s="30"/>
      <c r="E58" s="30"/>
      <c r="F58" s="30"/>
      <c r="G58" s="30"/>
      <c r="H58" s="30"/>
    </row>
    <row r="59" spans="4:8" x14ac:dyDescent="0.3">
      <c r="D59" s="30"/>
      <c r="E59" s="30"/>
      <c r="F59" s="30"/>
      <c r="G59" s="30"/>
      <c r="H59" s="30"/>
    </row>
    <row r="60" spans="4:8" x14ac:dyDescent="0.3">
      <c r="D60" s="30"/>
      <c r="E60" s="30"/>
      <c r="F60" s="30"/>
      <c r="G60" s="30"/>
      <c r="H60" s="30"/>
    </row>
    <row r="61" spans="4:8" x14ac:dyDescent="0.3">
      <c r="F61" s="31"/>
      <c r="G61" s="31"/>
    </row>
    <row r="65" spans="4:10" x14ac:dyDescent="0.3">
      <c r="F65" s="31"/>
      <c r="G65" s="31"/>
      <c r="H65" s="28"/>
      <c r="I65" s="28"/>
      <c r="J65" s="28"/>
    </row>
    <row r="66" spans="4:10" x14ac:dyDescent="0.3">
      <c r="H66" s="28"/>
      <c r="I66" s="28"/>
      <c r="J66" s="28"/>
    </row>
    <row r="67" spans="4:10" x14ac:dyDescent="0.3">
      <c r="H67" s="28"/>
      <c r="I67" s="28"/>
      <c r="J67" s="28"/>
    </row>
    <row r="73" spans="4:10" x14ac:dyDescent="0.3">
      <c r="D73" s="6"/>
      <c r="E73" s="6"/>
      <c r="F73" s="6"/>
      <c r="G73" s="6"/>
      <c r="H73" s="6"/>
    </row>
    <row r="74" spans="4:10" x14ac:dyDescent="0.3">
      <c r="D74" s="6"/>
      <c r="E74" s="6"/>
      <c r="F74" s="6"/>
      <c r="G74" s="6"/>
      <c r="H74" s="6"/>
    </row>
    <row r="75" spans="4:10" x14ac:dyDescent="0.3">
      <c r="D75" s="6"/>
      <c r="E75" s="6"/>
      <c r="F75" s="6"/>
      <c r="G75" s="6"/>
      <c r="H75" s="6"/>
    </row>
    <row r="76" spans="4:10" x14ac:dyDescent="0.3">
      <c r="F76" s="6"/>
      <c r="G76" s="6"/>
    </row>
    <row r="80" spans="4:10" x14ac:dyDescent="0.3">
      <c r="F80" s="6"/>
      <c r="G80" s="6"/>
    </row>
    <row r="82" spans="3:9" x14ac:dyDescent="0.3">
      <c r="C82" s="11"/>
      <c r="D82" s="11"/>
      <c r="E82" s="3"/>
      <c r="F82" s="3"/>
      <c r="G82" s="3"/>
      <c r="H82" s="29"/>
      <c r="I82" s="3"/>
    </row>
    <row r="83" spans="3:9" x14ac:dyDescent="0.3">
      <c r="C83" s="11"/>
      <c r="D83" s="11"/>
      <c r="E83" s="3"/>
      <c r="F83" s="3"/>
      <c r="G83" s="3"/>
      <c r="H83" s="26"/>
      <c r="I83" s="3"/>
    </row>
    <row r="84" spans="3:9" x14ac:dyDescent="0.3">
      <c r="C84" s="11"/>
      <c r="D84" s="11"/>
      <c r="E84" s="3"/>
      <c r="F84" s="3"/>
      <c r="G84" s="3"/>
      <c r="H84" s="3"/>
      <c r="I84" s="3"/>
    </row>
    <row r="85" spans="3:9" x14ac:dyDescent="0.3">
      <c r="H85" s="3"/>
    </row>
    <row r="86" spans="3:9" x14ac:dyDescent="0.3">
      <c r="E86" s="30"/>
      <c r="F86" s="30"/>
      <c r="G86" s="30"/>
      <c r="H86" s="30"/>
      <c r="I86" s="30"/>
    </row>
    <row r="87" spans="3:9" x14ac:dyDescent="0.3">
      <c r="E87" s="30"/>
      <c r="F87" s="30"/>
      <c r="G87" s="30"/>
      <c r="H87" s="30"/>
      <c r="I87" s="30"/>
    </row>
    <row r="88" spans="3:9" x14ac:dyDescent="0.3">
      <c r="C88" s="28"/>
      <c r="D88" s="28"/>
      <c r="E88" s="30"/>
      <c r="F88" s="30"/>
      <c r="G88" s="30"/>
      <c r="H88" s="30"/>
      <c r="I88" s="30"/>
    </row>
    <row r="89" spans="3:9" x14ac:dyDescent="0.3">
      <c r="C89" s="28"/>
      <c r="D89" s="28"/>
    </row>
    <row r="90" spans="3:9" x14ac:dyDescent="0.3">
      <c r="C90" s="28"/>
      <c r="D90" s="28"/>
      <c r="E90" s="28"/>
    </row>
    <row r="93" spans="3:9" x14ac:dyDescent="0.3">
      <c r="H93" s="3"/>
    </row>
  </sheetData>
  <mergeCells count="4">
    <mergeCell ref="N1:T1"/>
    <mergeCell ref="U1:Y1"/>
    <mergeCell ref="Z1:AB1"/>
    <mergeCell ref="C1:M1"/>
  </mergeCells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AE68E-1459-4287-A83A-4800FC5FDE4D}">
  <dimension ref="A1:H129"/>
  <sheetViews>
    <sheetView workbookViewId="0">
      <selection activeCell="B8" sqref="B8"/>
    </sheetView>
  </sheetViews>
  <sheetFormatPr defaultRowHeight="14.4" x14ac:dyDescent="0.3"/>
  <cols>
    <col min="1" max="1" width="62.44140625" customWidth="1"/>
    <col min="2" max="2" width="15.33203125" customWidth="1"/>
    <col min="3" max="3" width="15.6640625" bestFit="1" customWidth="1"/>
    <col min="5" max="5" width="17.77734375" bestFit="1" customWidth="1"/>
    <col min="6" max="6" width="11" customWidth="1"/>
    <col min="7" max="7" width="28.21875" customWidth="1"/>
  </cols>
  <sheetData>
    <row r="1" spans="1:7" x14ac:dyDescent="0.3">
      <c r="B1" s="2" t="s">
        <v>115</v>
      </c>
      <c r="C1" s="2" t="s">
        <v>114</v>
      </c>
      <c r="D1" s="2"/>
      <c r="E1" s="2" t="str">
        <f>MC_High_ambition!F1</f>
        <v>All dairy households</v>
      </c>
      <c r="F1" s="2"/>
      <c r="G1" s="2"/>
    </row>
    <row r="3" spans="1:7" x14ac:dyDescent="0.3">
      <c r="A3" t="s">
        <v>121</v>
      </c>
      <c r="B3" s="28">
        <f>Mappings!N3</f>
        <v>52.538796239975156</v>
      </c>
      <c r="C3" s="28">
        <f>Mappings!N4</f>
        <v>660.698934118122</v>
      </c>
    </row>
    <row r="4" spans="1:7" x14ac:dyDescent="0.3">
      <c r="A4" t="s">
        <v>122</v>
      </c>
      <c r="B4" s="28">
        <f ca="1">_xlfn.NORM.INV(RAND(),Mappings!N3,Mappings!O3)</f>
        <v>76.445062936461397</v>
      </c>
      <c r="C4" s="28">
        <f ca="1">_xlfn.NORM.INV(RAND(),Mappings!N4,Mappings!O4)</f>
        <v>668.09512277664805</v>
      </c>
    </row>
    <row r="5" spans="1:7" x14ac:dyDescent="0.3">
      <c r="A5" t="s">
        <v>123</v>
      </c>
      <c r="B5" s="28">
        <f>Mappings!F3*Mappings!I3</f>
        <v>4.4460000000000006</v>
      </c>
      <c r="C5" s="28">
        <f>Mappings!F4*Mappings!I4</f>
        <v>1.4304730483757</v>
      </c>
    </row>
    <row r="6" spans="1:7" x14ac:dyDescent="0.3">
      <c r="A6" t="s">
        <v>48</v>
      </c>
      <c r="B6" s="28">
        <f ca="1">_xlfn.NORM.INV(RAND(),B5,B5*Mappings!E3)*0+B5</f>
        <v>4.4460000000000006</v>
      </c>
      <c r="C6" s="28">
        <f ca="1">_xlfn.NORM.INV(RAND(),C5,C5*Mappings!E4)*0+C5</f>
        <v>1.4304730483757</v>
      </c>
    </row>
    <row r="7" spans="1:7" x14ac:dyDescent="0.3">
      <c r="A7" t="s">
        <v>124</v>
      </c>
      <c r="B7" s="28">
        <f>Mappings!V3</f>
        <v>6608.2927507262784</v>
      </c>
      <c r="C7" s="28">
        <f>Mappings!V4</f>
        <v>7239.4035501055159</v>
      </c>
    </row>
    <row r="8" spans="1:7" x14ac:dyDescent="0.3">
      <c r="A8" t="s">
        <v>125</v>
      </c>
      <c r="B8" s="28">
        <f ca="1">_xlfn.NORM.INV(RAND(),B7,B7*25/100)</f>
        <v>7768.3108051310501</v>
      </c>
      <c r="C8" s="28">
        <f ca="1">_xlfn.NORM.INV(RAND(),C7,C7*25/100)</f>
        <v>4787.3290371267794</v>
      </c>
    </row>
    <row r="9" spans="1:7" x14ac:dyDescent="0.3">
      <c r="A9" t="s">
        <v>109</v>
      </c>
      <c r="B9" s="28">
        <f>Mappings!Q3</f>
        <v>29.840191386919997</v>
      </c>
      <c r="C9" s="28">
        <f>Mappings!Q4</f>
        <v>5.8016128962073896</v>
      </c>
    </row>
    <row r="10" spans="1:7" x14ac:dyDescent="0.3">
      <c r="A10" t="s">
        <v>126</v>
      </c>
      <c r="B10" s="28">
        <f ca="1">IF(B9&gt;0,_xlfn.NORM.INV(RAND(),B9,B9*Dairy_Income_Roadmap!L38),_xlfn.NORM.INV(RAND(),ABS(B9),ABS(B9)*Dairy_Income_Roadmap!L38))</f>
        <v>-23.882741777934363</v>
      </c>
      <c r="C10" s="28">
        <f ca="1">IF(C9&gt;0,_xlfn.NORM.INV(RAND(),C9,C9*Dairy_Income_Roadmap!L38),_xlfn.NORM.INV(RAND(),ABS(C9),ABS(C9)*Dairy_Income_Roadmap!L38))</f>
        <v>8.1756250547563827</v>
      </c>
    </row>
    <row r="11" spans="1:7" x14ac:dyDescent="0.3">
      <c r="A11" t="s">
        <v>50</v>
      </c>
      <c r="B11" s="28">
        <f>Mappings!D3</f>
        <v>79340.671464520434</v>
      </c>
      <c r="C11" s="28">
        <f>Mappings!D4</f>
        <v>27803.992397123129</v>
      </c>
    </row>
    <row r="12" spans="1:7" x14ac:dyDescent="0.3">
      <c r="A12" t="s">
        <v>127</v>
      </c>
      <c r="B12" s="28">
        <f>Mappings!Z3*B11</f>
        <v>2060.1764160358207</v>
      </c>
      <c r="C12" s="28">
        <f>Mappings!Z4*C11</f>
        <v>721.96426310567983</v>
      </c>
    </row>
    <row r="13" spans="1:7" x14ac:dyDescent="0.3">
      <c r="B13" s="28"/>
      <c r="C13" s="28"/>
    </row>
    <row r="14" spans="1:7" x14ac:dyDescent="0.3">
      <c r="A14" t="s">
        <v>42</v>
      </c>
      <c r="B14" s="28">
        <f ca="1">B4*B6</f>
        <v>339.87474981550741</v>
      </c>
      <c r="C14" s="28">
        <f ca="1">C4*C6</f>
        <v>955.69206688324925</v>
      </c>
    </row>
    <row r="15" spans="1:7" x14ac:dyDescent="0.3">
      <c r="A15" t="s">
        <v>43</v>
      </c>
      <c r="B15" s="28">
        <f ca="1">IF(B9&gt;0,B8-B10,    B8 +B10)</f>
        <v>7792.193546908984</v>
      </c>
      <c r="C15" s="28">
        <f ca="1">C8-IF(C9&gt;0,C10,(-1)*C10)</f>
        <v>4779.1534120720235</v>
      </c>
    </row>
    <row r="16" spans="1:7" x14ac:dyDescent="0.3">
      <c r="A16" t="s">
        <v>50</v>
      </c>
      <c r="B16" s="28">
        <f ca="1">_xlfn.NORM.INV(RAND(),B11,B12)</f>
        <v>78890.802365807074</v>
      </c>
      <c r="C16" s="28">
        <f t="shared" ref="C16" ca="1" si="0">_xlfn.NORM.INV(RAND(),C11,C12)</f>
        <v>28584.275230108338</v>
      </c>
    </row>
    <row r="17" spans="1:8" x14ac:dyDescent="0.3">
      <c r="B17" s="28"/>
      <c r="C17" s="28"/>
    </row>
    <row r="18" spans="1:8" x14ac:dyDescent="0.3">
      <c r="A18" t="s">
        <v>52</v>
      </c>
      <c r="B18" s="28">
        <f ca="1">(B14+B15)*B16</f>
        <v>641545392.82213724</v>
      </c>
      <c r="C18" s="28">
        <f ca="1">(C14+C15)*C16</f>
        <v>163926401.57259998</v>
      </c>
      <c r="E18" s="28">
        <f ca="1">B18+C18</f>
        <v>805471794.39473724</v>
      </c>
    </row>
    <row r="19" spans="1:8" x14ac:dyDescent="0.3">
      <c r="A19" t="s">
        <v>59</v>
      </c>
      <c r="B19" s="36" t="s">
        <v>58</v>
      </c>
      <c r="C19" s="36" t="s">
        <v>58</v>
      </c>
      <c r="E19" s="28">
        <f ca="1">STDEVA(E22:E129)</f>
        <v>157139634.88469633</v>
      </c>
      <c r="G19" s="111" t="s">
        <v>62</v>
      </c>
    </row>
    <row r="20" spans="1:8" x14ac:dyDescent="0.3">
      <c r="A20" t="s">
        <v>53</v>
      </c>
      <c r="B20" s="36" t="s">
        <v>58</v>
      </c>
      <c r="C20" s="36" t="s">
        <v>58</v>
      </c>
      <c r="E20" s="28">
        <f ca="1">AVERAGE(E22:E129)</f>
        <v>764103546.16283476</v>
      </c>
      <c r="G20" s="111"/>
      <c r="H20" s="79">
        <f ca="1">100*E19/E20</f>
        <v>20.565227798485964</v>
      </c>
    </row>
    <row r="22" spans="1:8" x14ac:dyDescent="0.3">
      <c r="D22">
        <v>1</v>
      </c>
      <c r="E22">
        <f ca="1">E18</f>
        <v>805471794.39473724</v>
      </c>
    </row>
    <row r="23" spans="1:8" x14ac:dyDescent="0.3">
      <c r="D23">
        <v>2</v>
      </c>
      <c r="E23">
        <f t="dataTable" ref="E23:E129" dt2D="0" dtr="0" r1="E21" ca="1"/>
        <v>627088281.09727311</v>
      </c>
    </row>
    <row r="24" spans="1:8" x14ac:dyDescent="0.3">
      <c r="D24">
        <v>3</v>
      </c>
      <c r="E24">
        <v>620378880.77187741</v>
      </c>
    </row>
    <row r="25" spans="1:8" x14ac:dyDescent="0.3">
      <c r="D25">
        <v>4</v>
      </c>
      <c r="E25">
        <v>759950202.53587747</v>
      </c>
    </row>
    <row r="26" spans="1:8" x14ac:dyDescent="0.3">
      <c r="D26">
        <v>5</v>
      </c>
      <c r="E26">
        <v>931470317.21580958</v>
      </c>
    </row>
    <row r="27" spans="1:8" x14ac:dyDescent="0.3">
      <c r="D27">
        <v>6</v>
      </c>
      <c r="E27">
        <v>975991901.4465785</v>
      </c>
    </row>
    <row r="28" spans="1:8" x14ac:dyDescent="0.3">
      <c r="D28">
        <v>7</v>
      </c>
      <c r="E28">
        <v>706219322.87862301</v>
      </c>
    </row>
    <row r="29" spans="1:8" x14ac:dyDescent="0.3">
      <c r="D29">
        <v>8</v>
      </c>
      <c r="E29">
        <v>768117650.25567162</v>
      </c>
    </row>
    <row r="30" spans="1:8" x14ac:dyDescent="0.3">
      <c r="D30">
        <v>9</v>
      </c>
      <c r="E30">
        <v>873427256.31283402</v>
      </c>
    </row>
    <row r="31" spans="1:8" x14ac:dyDescent="0.3">
      <c r="D31">
        <v>10</v>
      </c>
      <c r="E31">
        <v>719239072.37564015</v>
      </c>
    </row>
    <row r="32" spans="1:8" x14ac:dyDescent="0.3">
      <c r="D32">
        <v>11</v>
      </c>
      <c r="E32">
        <v>748303736.26696479</v>
      </c>
    </row>
    <row r="33" spans="4:5" x14ac:dyDescent="0.3">
      <c r="D33">
        <v>12</v>
      </c>
      <c r="E33">
        <v>731832147.21468091</v>
      </c>
    </row>
    <row r="34" spans="4:5" x14ac:dyDescent="0.3">
      <c r="D34">
        <v>13</v>
      </c>
      <c r="E34">
        <v>707224172.85377204</v>
      </c>
    </row>
    <row r="35" spans="4:5" x14ac:dyDescent="0.3">
      <c r="D35">
        <v>14</v>
      </c>
      <c r="E35">
        <v>1047290489.7892615</v>
      </c>
    </row>
    <row r="36" spans="4:5" x14ac:dyDescent="0.3">
      <c r="D36">
        <v>15</v>
      </c>
      <c r="E36">
        <v>743618709.33036637</v>
      </c>
    </row>
    <row r="37" spans="4:5" x14ac:dyDescent="0.3">
      <c r="D37">
        <v>16</v>
      </c>
      <c r="E37">
        <v>858567752.0907743</v>
      </c>
    </row>
    <row r="38" spans="4:5" x14ac:dyDescent="0.3">
      <c r="D38">
        <v>17</v>
      </c>
      <c r="E38">
        <v>479407852.14099252</v>
      </c>
    </row>
    <row r="39" spans="4:5" x14ac:dyDescent="0.3">
      <c r="D39">
        <v>18</v>
      </c>
      <c r="E39">
        <v>744880830.11685503</v>
      </c>
    </row>
    <row r="40" spans="4:5" x14ac:dyDescent="0.3">
      <c r="D40">
        <v>19</v>
      </c>
      <c r="E40">
        <v>842043789.29055071</v>
      </c>
    </row>
    <row r="41" spans="4:5" x14ac:dyDescent="0.3">
      <c r="D41">
        <v>20</v>
      </c>
      <c r="E41">
        <v>1006090665.0168614</v>
      </c>
    </row>
    <row r="42" spans="4:5" x14ac:dyDescent="0.3">
      <c r="D42">
        <v>21</v>
      </c>
      <c r="E42">
        <v>727004518.09110379</v>
      </c>
    </row>
    <row r="43" spans="4:5" x14ac:dyDescent="0.3">
      <c r="D43">
        <v>22</v>
      </c>
      <c r="E43">
        <v>530346940.32279605</v>
      </c>
    </row>
    <row r="44" spans="4:5" x14ac:dyDescent="0.3">
      <c r="D44">
        <v>23</v>
      </c>
      <c r="E44">
        <v>848739553.72422874</v>
      </c>
    </row>
    <row r="45" spans="4:5" x14ac:dyDescent="0.3">
      <c r="D45">
        <v>24</v>
      </c>
      <c r="E45">
        <v>930704512.52838111</v>
      </c>
    </row>
    <row r="46" spans="4:5" x14ac:dyDescent="0.3">
      <c r="D46">
        <v>25</v>
      </c>
      <c r="E46">
        <v>479212058.02321243</v>
      </c>
    </row>
    <row r="47" spans="4:5" x14ac:dyDescent="0.3">
      <c r="D47">
        <v>26</v>
      </c>
      <c r="E47">
        <v>937891785.14252472</v>
      </c>
    </row>
    <row r="48" spans="4:5" x14ac:dyDescent="0.3">
      <c r="D48">
        <v>27</v>
      </c>
      <c r="E48">
        <v>498991866.95533073</v>
      </c>
    </row>
    <row r="49" spans="4:5" x14ac:dyDescent="0.3">
      <c r="D49">
        <v>28</v>
      </c>
      <c r="E49">
        <v>550977188.58525479</v>
      </c>
    </row>
    <row r="50" spans="4:5" x14ac:dyDescent="0.3">
      <c r="D50">
        <v>29</v>
      </c>
      <c r="E50">
        <v>504079201.93489361</v>
      </c>
    </row>
    <row r="51" spans="4:5" x14ac:dyDescent="0.3">
      <c r="D51">
        <v>30</v>
      </c>
      <c r="E51">
        <v>818382216.5043062</v>
      </c>
    </row>
    <row r="52" spans="4:5" x14ac:dyDescent="0.3">
      <c r="D52">
        <v>31</v>
      </c>
      <c r="E52">
        <v>988985437.56885028</v>
      </c>
    </row>
    <row r="53" spans="4:5" x14ac:dyDescent="0.3">
      <c r="D53">
        <v>32</v>
      </c>
      <c r="E53">
        <v>863281590.35736966</v>
      </c>
    </row>
    <row r="54" spans="4:5" x14ac:dyDescent="0.3">
      <c r="D54">
        <v>33</v>
      </c>
      <c r="E54">
        <v>763898595.38031042</v>
      </c>
    </row>
    <row r="55" spans="4:5" x14ac:dyDescent="0.3">
      <c r="D55">
        <v>34</v>
      </c>
      <c r="E55">
        <v>1011279304.0298353</v>
      </c>
    </row>
    <row r="56" spans="4:5" x14ac:dyDescent="0.3">
      <c r="D56">
        <v>35</v>
      </c>
      <c r="E56">
        <v>969508113.71273136</v>
      </c>
    </row>
    <row r="57" spans="4:5" x14ac:dyDescent="0.3">
      <c r="D57">
        <v>36</v>
      </c>
      <c r="E57">
        <v>645420447.38926423</v>
      </c>
    </row>
    <row r="58" spans="4:5" x14ac:dyDescent="0.3">
      <c r="D58">
        <v>37</v>
      </c>
      <c r="E58">
        <v>876964661.6866461</v>
      </c>
    </row>
    <row r="59" spans="4:5" x14ac:dyDescent="0.3">
      <c r="D59">
        <v>38</v>
      </c>
      <c r="E59">
        <v>871722629.94820786</v>
      </c>
    </row>
    <row r="60" spans="4:5" x14ac:dyDescent="0.3">
      <c r="D60">
        <v>39</v>
      </c>
      <c r="E60">
        <v>766761151.57627141</v>
      </c>
    </row>
    <row r="61" spans="4:5" x14ac:dyDescent="0.3">
      <c r="D61">
        <v>40</v>
      </c>
      <c r="E61">
        <v>474277157.68094051</v>
      </c>
    </row>
    <row r="62" spans="4:5" x14ac:dyDescent="0.3">
      <c r="D62">
        <v>41</v>
      </c>
      <c r="E62">
        <v>654827271.63261735</v>
      </c>
    </row>
    <row r="63" spans="4:5" x14ac:dyDescent="0.3">
      <c r="D63">
        <v>42</v>
      </c>
      <c r="E63">
        <v>925887201.19754398</v>
      </c>
    </row>
    <row r="64" spans="4:5" x14ac:dyDescent="0.3">
      <c r="D64">
        <v>43</v>
      </c>
      <c r="E64">
        <v>761706090.90671921</v>
      </c>
    </row>
    <row r="65" spans="4:5" x14ac:dyDescent="0.3">
      <c r="D65">
        <v>44</v>
      </c>
      <c r="E65">
        <v>752710186.21732879</v>
      </c>
    </row>
    <row r="66" spans="4:5" x14ac:dyDescent="0.3">
      <c r="D66">
        <v>45</v>
      </c>
      <c r="E66">
        <v>770224813.29019666</v>
      </c>
    </row>
    <row r="67" spans="4:5" x14ac:dyDescent="0.3">
      <c r="D67">
        <v>46</v>
      </c>
      <c r="E67">
        <v>854403550.65777862</v>
      </c>
    </row>
    <row r="68" spans="4:5" x14ac:dyDescent="0.3">
      <c r="D68">
        <v>47</v>
      </c>
      <c r="E68">
        <v>869861617.06996083</v>
      </c>
    </row>
    <row r="69" spans="4:5" x14ac:dyDescent="0.3">
      <c r="D69">
        <v>48</v>
      </c>
      <c r="E69">
        <v>567852515.88806272</v>
      </c>
    </row>
    <row r="70" spans="4:5" x14ac:dyDescent="0.3">
      <c r="D70">
        <v>49</v>
      </c>
      <c r="E70">
        <v>793843245.12790465</v>
      </c>
    </row>
    <row r="71" spans="4:5" x14ac:dyDescent="0.3">
      <c r="D71">
        <v>50</v>
      </c>
      <c r="E71">
        <v>831355748.91999769</v>
      </c>
    </row>
    <row r="72" spans="4:5" x14ac:dyDescent="0.3">
      <c r="D72">
        <v>51</v>
      </c>
      <c r="E72">
        <v>659638877.50633264</v>
      </c>
    </row>
    <row r="73" spans="4:5" x14ac:dyDescent="0.3">
      <c r="D73">
        <v>52</v>
      </c>
      <c r="E73">
        <v>649933997.95778656</v>
      </c>
    </row>
    <row r="74" spans="4:5" x14ac:dyDescent="0.3">
      <c r="D74">
        <v>53</v>
      </c>
      <c r="E74">
        <v>584003882.47925723</v>
      </c>
    </row>
    <row r="75" spans="4:5" x14ac:dyDescent="0.3">
      <c r="D75">
        <v>54</v>
      </c>
      <c r="E75">
        <v>689077889.65556598</v>
      </c>
    </row>
    <row r="76" spans="4:5" x14ac:dyDescent="0.3">
      <c r="D76">
        <v>55</v>
      </c>
      <c r="E76">
        <v>823875854.46777213</v>
      </c>
    </row>
    <row r="77" spans="4:5" x14ac:dyDescent="0.3">
      <c r="D77">
        <v>56</v>
      </c>
      <c r="E77">
        <v>562081881.09114289</v>
      </c>
    </row>
    <row r="78" spans="4:5" x14ac:dyDescent="0.3">
      <c r="D78">
        <v>57</v>
      </c>
      <c r="E78">
        <v>677095353.10177147</v>
      </c>
    </row>
    <row r="79" spans="4:5" x14ac:dyDescent="0.3">
      <c r="D79">
        <v>58</v>
      </c>
      <c r="E79">
        <v>1055005721.2034106</v>
      </c>
    </row>
    <row r="80" spans="4:5" x14ac:dyDescent="0.3">
      <c r="D80">
        <v>59</v>
      </c>
      <c r="E80">
        <v>999237458.97703099</v>
      </c>
    </row>
    <row r="81" spans="4:5" x14ac:dyDescent="0.3">
      <c r="D81">
        <v>60</v>
      </c>
      <c r="E81">
        <v>1003026718.4975324</v>
      </c>
    </row>
    <row r="82" spans="4:5" x14ac:dyDescent="0.3">
      <c r="D82">
        <v>61</v>
      </c>
      <c r="E82">
        <v>826114778.04422045</v>
      </c>
    </row>
    <row r="83" spans="4:5" x14ac:dyDescent="0.3">
      <c r="D83">
        <v>62</v>
      </c>
      <c r="E83">
        <v>807836186.54928517</v>
      </c>
    </row>
    <row r="84" spans="4:5" x14ac:dyDescent="0.3">
      <c r="D84">
        <v>63</v>
      </c>
      <c r="E84">
        <v>713143166.75378251</v>
      </c>
    </row>
    <row r="85" spans="4:5" x14ac:dyDescent="0.3">
      <c r="D85">
        <v>64</v>
      </c>
      <c r="E85">
        <v>711771799.05098557</v>
      </c>
    </row>
    <row r="86" spans="4:5" x14ac:dyDescent="0.3">
      <c r="D86">
        <v>65</v>
      </c>
      <c r="E86">
        <v>601614675.46889198</v>
      </c>
    </row>
    <row r="87" spans="4:5" x14ac:dyDescent="0.3">
      <c r="D87">
        <v>66</v>
      </c>
      <c r="E87">
        <v>925662724.31166434</v>
      </c>
    </row>
    <row r="88" spans="4:5" x14ac:dyDescent="0.3">
      <c r="D88">
        <v>67</v>
      </c>
      <c r="E88">
        <v>867298911.19357681</v>
      </c>
    </row>
    <row r="89" spans="4:5" x14ac:dyDescent="0.3">
      <c r="D89">
        <v>68</v>
      </c>
      <c r="E89">
        <v>926260757.13383985</v>
      </c>
    </row>
    <row r="90" spans="4:5" x14ac:dyDescent="0.3">
      <c r="D90">
        <v>69</v>
      </c>
      <c r="E90">
        <v>680337075.66248369</v>
      </c>
    </row>
    <row r="91" spans="4:5" x14ac:dyDescent="0.3">
      <c r="D91">
        <v>70</v>
      </c>
      <c r="E91">
        <v>775611437.82278633</v>
      </c>
    </row>
    <row r="92" spans="4:5" x14ac:dyDescent="0.3">
      <c r="D92">
        <v>71</v>
      </c>
      <c r="E92">
        <v>924968060.68835843</v>
      </c>
    </row>
    <row r="93" spans="4:5" x14ac:dyDescent="0.3">
      <c r="D93">
        <v>72</v>
      </c>
      <c r="E93">
        <v>962223685.72028804</v>
      </c>
    </row>
    <row r="94" spans="4:5" x14ac:dyDescent="0.3">
      <c r="D94">
        <v>73</v>
      </c>
      <c r="E94">
        <v>811825966.97947288</v>
      </c>
    </row>
    <row r="95" spans="4:5" x14ac:dyDescent="0.3">
      <c r="D95">
        <v>74</v>
      </c>
      <c r="E95">
        <v>829906495.61403084</v>
      </c>
    </row>
    <row r="96" spans="4:5" x14ac:dyDescent="0.3">
      <c r="D96">
        <v>75</v>
      </c>
      <c r="E96">
        <v>481598729.9755317</v>
      </c>
    </row>
    <row r="97" spans="4:5" x14ac:dyDescent="0.3">
      <c r="D97">
        <v>76</v>
      </c>
      <c r="E97">
        <v>846727280.34403026</v>
      </c>
    </row>
    <row r="98" spans="4:5" x14ac:dyDescent="0.3">
      <c r="D98">
        <v>77</v>
      </c>
      <c r="E98">
        <v>728158289.68361521</v>
      </c>
    </row>
    <row r="99" spans="4:5" x14ac:dyDescent="0.3">
      <c r="D99">
        <v>78</v>
      </c>
      <c r="E99">
        <v>551477484.31379986</v>
      </c>
    </row>
    <row r="100" spans="4:5" x14ac:dyDescent="0.3">
      <c r="D100">
        <v>79</v>
      </c>
      <c r="E100">
        <v>739857405.01020038</v>
      </c>
    </row>
    <row r="101" spans="4:5" x14ac:dyDescent="0.3">
      <c r="D101">
        <v>80</v>
      </c>
      <c r="E101">
        <v>763023390.29360461</v>
      </c>
    </row>
    <row r="102" spans="4:5" x14ac:dyDescent="0.3">
      <c r="D102">
        <v>81</v>
      </c>
      <c r="E102">
        <v>759077355.42773473</v>
      </c>
    </row>
    <row r="103" spans="4:5" x14ac:dyDescent="0.3">
      <c r="D103">
        <v>82</v>
      </c>
      <c r="E103">
        <v>863098703.83467162</v>
      </c>
    </row>
    <row r="104" spans="4:5" x14ac:dyDescent="0.3">
      <c r="D104">
        <v>83</v>
      </c>
      <c r="E104">
        <v>763406257.74751341</v>
      </c>
    </row>
    <row r="105" spans="4:5" x14ac:dyDescent="0.3">
      <c r="D105">
        <v>84</v>
      </c>
      <c r="E105">
        <v>1038837834.9229834</v>
      </c>
    </row>
    <row r="106" spans="4:5" x14ac:dyDescent="0.3">
      <c r="D106">
        <v>85</v>
      </c>
      <c r="E106">
        <v>839568782.8335042</v>
      </c>
    </row>
    <row r="107" spans="4:5" x14ac:dyDescent="0.3">
      <c r="D107">
        <v>86</v>
      </c>
      <c r="E107">
        <v>567686504.84709382</v>
      </c>
    </row>
    <row r="108" spans="4:5" x14ac:dyDescent="0.3">
      <c r="D108">
        <v>87</v>
      </c>
      <c r="E108">
        <v>961939229.51319456</v>
      </c>
    </row>
    <row r="109" spans="4:5" x14ac:dyDescent="0.3">
      <c r="D109">
        <v>88</v>
      </c>
      <c r="E109">
        <v>882637129.97115648</v>
      </c>
    </row>
    <row r="110" spans="4:5" x14ac:dyDescent="0.3">
      <c r="D110">
        <v>89</v>
      </c>
      <c r="E110">
        <v>663258576.83181739</v>
      </c>
    </row>
    <row r="111" spans="4:5" x14ac:dyDescent="0.3">
      <c r="D111">
        <v>90</v>
      </c>
      <c r="E111">
        <v>294323379.48043251</v>
      </c>
    </row>
    <row r="112" spans="4:5" x14ac:dyDescent="0.3">
      <c r="D112">
        <v>91</v>
      </c>
      <c r="E112">
        <v>652040742.39245701</v>
      </c>
    </row>
    <row r="113" spans="4:5" x14ac:dyDescent="0.3">
      <c r="D113">
        <v>92</v>
      </c>
      <c r="E113">
        <v>613729128.48194337</v>
      </c>
    </row>
    <row r="114" spans="4:5" x14ac:dyDescent="0.3">
      <c r="D114">
        <v>93</v>
      </c>
      <c r="E114">
        <v>740503020.76682293</v>
      </c>
    </row>
    <row r="115" spans="4:5" x14ac:dyDescent="0.3">
      <c r="D115">
        <v>94</v>
      </c>
      <c r="E115">
        <v>915877980.89978504</v>
      </c>
    </row>
    <row r="116" spans="4:5" x14ac:dyDescent="0.3">
      <c r="D116">
        <v>95</v>
      </c>
      <c r="E116">
        <v>639923623.14406598</v>
      </c>
    </row>
    <row r="117" spans="4:5" x14ac:dyDescent="0.3">
      <c r="D117">
        <v>96</v>
      </c>
      <c r="E117">
        <v>790313286.95668042</v>
      </c>
    </row>
    <row r="118" spans="4:5" x14ac:dyDescent="0.3">
      <c r="D118">
        <v>97</v>
      </c>
      <c r="E118">
        <v>671050504.71774065</v>
      </c>
    </row>
    <row r="119" spans="4:5" x14ac:dyDescent="0.3">
      <c r="D119">
        <v>98</v>
      </c>
      <c r="E119">
        <v>730768532.25335479</v>
      </c>
    </row>
    <row r="120" spans="4:5" x14ac:dyDescent="0.3">
      <c r="D120">
        <v>99</v>
      </c>
      <c r="E120">
        <v>911801552.81136203</v>
      </c>
    </row>
    <row r="121" spans="4:5" x14ac:dyDescent="0.3">
      <c r="D121">
        <v>100</v>
      </c>
      <c r="E121">
        <v>683819549.11335993</v>
      </c>
    </row>
    <row r="122" spans="4:5" x14ac:dyDescent="0.3">
      <c r="D122">
        <v>101</v>
      </c>
      <c r="E122">
        <v>993969481.05933511</v>
      </c>
    </row>
    <row r="123" spans="4:5" x14ac:dyDescent="0.3">
      <c r="D123">
        <v>102</v>
      </c>
      <c r="E123">
        <v>636511102.47912061</v>
      </c>
    </row>
    <row r="124" spans="4:5" x14ac:dyDescent="0.3">
      <c r="D124">
        <v>103</v>
      </c>
      <c r="E124">
        <v>842092693.78730655</v>
      </c>
    </row>
    <row r="125" spans="4:5" x14ac:dyDescent="0.3">
      <c r="D125">
        <v>104</v>
      </c>
      <c r="E125">
        <v>927772090.05637395</v>
      </c>
    </row>
    <row r="126" spans="4:5" x14ac:dyDescent="0.3">
      <c r="D126">
        <v>105</v>
      </c>
      <c r="E126">
        <v>629475017.25887859</v>
      </c>
    </row>
    <row r="127" spans="4:5" x14ac:dyDescent="0.3">
      <c r="D127">
        <v>106</v>
      </c>
      <c r="E127">
        <v>305682915.52058971</v>
      </c>
    </row>
    <row r="128" spans="4:5" x14ac:dyDescent="0.3">
      <c r="D128">
        <v>107</v>
      </c>
      <c r="E128">
        <v>664358476.09387374</v>
      </c>
    </row>
    <row r="129" spans="4:5" x14ac:dyDescent="0.3">
      <c r="D129">
        <v>108</v>
      </c>
      <c r="E129">
        <v>823547601.3843838</v>
      </c>
    </row>
  </sheetData>
  <mergeCells count="1">
    <mergeCell ref="G19:G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008B-B268-4F57-A9BB-DAB8EFECC60F}">
  <dimension ref="A1:I129"/>
  <sheetViews>
    <sheetView topLeftCell="A10" workbookViewId="0">
      <selection activeCell="D10" sqref="D10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20.33203125" customWidth="1"/>
    <col min="6" max="8" width="18.6640625" customWidth="1"/>
  </cols>
  <sheetData>
    <row r="1" spans="1:8" ht="18" customHeight="1" x14ac:dyDescent="0.3">
      <c r="B1" s="27" t="str">
        <f>Mappings!B6</f>
        <v>New-improved</v>
      </c>
      <c r="C1" s="89" t="str">
        <f>Mappings!B7</f>
        <v>Local-only</v>
      </c>
      <c r="D1" s="89" t="str">
        <f>Mappings!B8</f>
        <v>Extant-improved</v>
      </c>
      <c r="F1" s="2" t="str">
        <f>MC_Middle_road!F1</f>
        <v>All dairy households</v>
      </c>
      <c r="G1" s="2"/>
      <c r="H1" s="2"/>
    </row>
    <row r="3" spans="1:8" x14ac:dyDescent="0.3">
      <c r="A3" t="str">
        <f>MC_High_ambition!A3</f>
        <v>Income per cow (USD/day)</v>
      </c>
      <c r="B3" s="17">
        <f>Mappings!N14/(365*Mappings!H14)</f>
        <v>0.47860871363990209</v>
      </c>
      <c r="C3" s="17">
        <f>Mappings!N15/(365*Mappings!H15)</f>
        <v>0.12286893941248975</v>
      </c>
      <c r="D3" s="49">
        <f>Mappings!N15/(365*Mappings!H16)</f>
        <v>0.12933572569735763</v>
      </c>
    </row>
    <row r="4" spans="1:8" x14ac:dyDescent="0.3">
      <c r="A4" t="str">
        <f>MC_High_ambition!A4</f>
        <v>Random value income per cow (USD/day)</v>
      </c>
      <c r="B4" s="17">
        <f ca="1">_xlfn.NORM.INV(RAND(),Mappings!N14,Mappings!O14)/(365*Mappings!H14)</f>
        <v>0.39111507632553838</v>
      </c>
      <c r="C4" s="17">
        <f ca="1">_xlfn.NORM.INV(RAND(),Mappings!N15,Mappings!O15)/(365*Mappings!H15)</f>
        <v>0.12865486551565691</v>
      </c>
      <c r="D4" s="17">
        <f ca="1">_xlfn.NORM.INV(RAND(),Mappings!N16,Mappings!O16)/(365*Mappings!H16)</f>
        <v>0.74769464344620906</v>
      </c>
    </row>
    <row r="5" spans="1:8" x14ac:dyDescent="0.3">
      <c r="A5" t="str">
        <f>MC_High_ambition!A5</f>
        <v>Average number of cows per household (head)</v>
      </c>
      <c r="B5" s="17">
        <f>Mappings!F14*Mappings!I14</f>
        <v>0.45013298640735189</v>
      </c>
      <c r="C5" s="17">
        <f>Mappings!F15*Mappings!I15</f>
        <v>6.1822945976325636</v>
      </c>
      <c r="D5" s="17">
        <f>Mappings!F16*Mappings!I16</f>
        <v>1.6129419500389124</v>
      </c>
    </row>
    <row r="6" spans="1:8" x14ac:dyDescent="0.3">
      <c r="A6" t="str">
        <f>MC_High_ambition!A6</f>
        <v>Random value cows per household (head)</v>
      </c>
      <c r="B6" s="17">
        <f ca="1">_xlfn.NORM.INV(RAND(),B5,B5*Mappings!E4)</f>
        <v>0.71545118148824671</v>
      </c>
      <c r="C6" s="17">
        <f ca="1">_xlfn.NORM.INV(RAND(),C5,C5*Mappings!E3)</f>
        <v>3.9461474094990927</v>
      </c>
      <c r="D6" s="17">
        <f ca="1">_xlfn.NORM.INV(RAND(),D5,D5*Mappings!E4)</f>
        <v>1.8482919949615031</v>
      </c>
    </row>
    <row r="7" spans="1:8" x14ac:dyDescent="0.3">
      <c r="A7" t="str">
        <f>MC_High_ambition!A7</f>
        <v>Estimated non dairy income (USD/person/day)</v>
      </c>
      <c r="B7" s="17">
        <f>Mappings!V14</f>
        <v>6622.628723224534</v>
      </c>
      <c r="C7" s="17">
        <f>Mappings!V15</f>
        <v>6495.4016792932989</v>
      </c>
      <c r="D7" s="17">
        <f>Mappings!V16</f>
        <v>7174.6219924302222</v>
      </c>
    </row>
    <row r="8" spans="1:8" x14ac:dyDescent="0.3">
      <c r="A8" t="str">
        <f>MC_High_ambition!A8</f>
        <v>Random value non dairy income (USD/person/day)</v>
      </c>
      <c r="B8" s="17">
        <f ca="1">_xlfn.NORM.INV(RAND(), B7, B7 * 25/100)</f>
        <v>7252.9303891945456</v>
      </c>
      <c r="C8" s="17">
        <f ca="1">_xlfn.NORM.INV(RAND(), C7, C7* 25/100)</f>
        <v>5733.4782954291459</v>
      </c>
      <c r="D8" s="17">
        <f ca="1">_xlfn.NORM.INV(RAND(), D7, D7* 25/100)</f>
        <v>5513.5744051816309</v>
      </c>
    </row>
    <row r="9" spans="1:8" x14ac:dyDescent="0.3">
      <c r="A9" t="str">
        <f>MC_Middle_road!A9</f>
        <v>Reduction in non-dairy income through crop area change</v>
      </c>
      <c r="B9" s="17">
        <f>Mappings!Q14</f>
        <v>-14.335972498255618</v>
      </c>
      <c r="C9" s="17">
        <f>Mappings!Q15</f>
        <v>111.9793656159642</v>
      </c>
      <c r="D9" s="17">
        <f>Mappings!Q16</f>
        <v>64.161816888138034</v>
      </c>
    </row>
    <row r="10" spans="1:8" x14ac:dyDescent="0.3">
      <c r="A10" t="str">
        <f>MC_Middle_road!A10</f>
        <v>Random value reduction/increase in non-dairy income (USD/yr)</v>
      </c>
      <c r="B10" s="17">
        <f ca="1">IF(B9&gt;0,_xlfn.NORM.INV(RAND(),B9,B9*Dairy_Income_Roadmap!L36),_xlfn.NORM.INV(RAND(),ABS(B9),ABS(B9)*Dairy_Income_Roadmap!L36))</f>
        <v>17.867291498035275</v>
      </c>
      <c r="C10" s="17">
        <f ca="1">IF(C9&gt;0,_xlfn.NORM.INV(RAND(),C9,C9*Dairy_Income_Roadmap!L36),_xlfn.NORM.INV(RAND(),ABS(C9),ABS(C9)*Dairy_Income_Roadmap!L36))</f>
        <v>-82.320896210971327</v>
      </c>
      <c r="D10" s="17">
        <f ca="1">IF(D9&gt;0,_xlfn.NORM.INV(RAND(),D9,D9*Dairy_Income_Roadmap!L38),_xlfn.NORM.INV(RAND(),ABS(D9),ABS(D9)*Dairy_Income_Roadmap!L38))</f>
        <v>110.51384940369961</v>
      </c>
    </row>
    <row r="11" spans="1:8" x14ac:dyDescent="0.3">
      <c r="A11" t="str">
        <f>MC_High_ambition!A11</f>
        <v>Quantity households</v>
      </c>
      <c r="B11" s="17">
        <f>Mappings!D14</f>
        <v>2380.2201439356131</v>
      </c>
      <c r="C11" s="4">
        <f>Mappings!D15</f>
        <v>76960.45132058482</v>
      </c>
      <c r="D11" s="4">
        <f>Mappings!D16</f>
        <v>27803.992397123129</v>
      </c>
    </row>
    <row r="12" spans="1:8" x14ac:dyDescent="0.3">
      <c r="A12" t="str">
        <f>MC_High_ambition!A12</f>
        <v>SD quantity households</v>
      </c>
      <c r="B12" s="17">
        <f>Mappings!Z14*Mappings!D14</f>
        <v>61.805292481074623</v>
      </c>
      <c r="C12" s="17">
        <f>Mappings!Z15*Mappings!D15</f>
        <v>1998.371123554746</v>
      </c>
      <c r="D12" s="4">
        <f>Mappings!Z16*Mappings!D16</f>
        <v>721.96426310567983</v>
      </c>
    </row>
    <row r="13" spans="1:8" x14ac:dyDescent="0.3">
      <c r="B13" s="17"/>
    </row>
    <row r="14" spans="1:8" x14ac:dyDescent="0.3">
      <c r="A14" t="str">
        <f>MC_High_ambition!A14</f>
        <v>Dairy Income (USD/household/year)</v>
      </c>
      <c r="B14" s="17">
        <f ca="1">B4*B6*365*Mappings!H14</f>
        <v>612.81399816638918</v>
      </c>
      <c r="C14" s="17">
        <f ca="1">C4*C6*365*Mappings!H15</f>
        <v>1111.8434307601995</v>
      </c>
      <c r="D14" s="17">
        <f ca="1">D4*D6*365*Mappings!H16</f>
        <v>2875.1636692591037</v>
      </c>
    </row>
    <row r="15" spans="1:8" x14ac:dyDescent="0.3">
      <c r="A15" t="str">
        <f>MC_High_ambition!A15</f>
        <v>Non dairy income (USD/household/year)</v>
      </c>
      <c r="B15" s="17">
        <f ca="1">D8-IF(D9&gt;0,D10,(-1)*D10)</f>
        <v>5403.0605557779318</v>
      </c>
      <c r="C15" s="17">
        <f ca="1">C8-IF(C9&gt;0,C10,(-1)*C10)</f>
        <v>5815.799191640117</v>
      </c>
      <c r="D15" s="17">
        <f ca="1">D8-IF(D9&gt;0,D10,(-1)*D10)</f>
        <v>5403.0605557779318</v>
      </c>
    </row>
    <row r="16" spans="1:8" x14ac:dyDescent="0.3">
      <c r="A16" t="str">
        <f>MC_High_ambition!A16</f>
        <v>Quantity households</v>
      </c>
      <c r="B16" s="17">
        <f ca="1">_xlfn.NORM.INV(RAND(),B11,B12)</f>
        <v>2309.6010731003053</v>
      </c>
      <c r="C16" s="17">
        <f ca="1">_xlfn.NORM.INV(RAND(),C11,C12)</f>
        <v>75965.023847152013</v>
      </c>
      <c r="D16" s="17">
        <f t="shared" ref="D16" ca="1" si="0">_xlfn.NORM.INV(RAND(),D11,D12)</f>
        <v>27521.753156844796</v>
      </c>
    </row>
    <row r="18" spans="1:9" x14ac:dyDescent="0.3">
      <c r="A18" t="str">
        <f>MC_High_ambition!A18</f>
        <v>Estimated population income (USD/yr)</v>
      </c>
      <c r="B18" s="9">
        <f ca="1">(B14+B15)*B16</f>
        <v>13894270.325426623</v>
      </c>
      <c r="C18" s="9">
        <f ca="1">(C14+C15)*C16</f>
        <v>526258537.01518673</v>
      </c>
      <c r="D18" s="9">
        <f ca="1">(D14+D15)*D16</f>
        <v>227831243.69848213</v>
      </c>
      <c r="F18" s="30">
        <f ca="1">B18+C18+D18</f>
        <v>767984051.03909552</v>
      </c>
      <c r="G18" s="4"/>
      <c r="H18" s="4"/>
    </row>
    <row r="19" spans="1:9" x14ac:dyDescent="0.3">
      <c r="A19" t="s">
        <v>59</v>
      </c>
      <c r="B19" s="36" t="s">
        <v>58</v>
      </c>
      <c r="C19" s="36" t="s">
        <v>58</v>
      </c>
      <c r="D19" s="36" t="s">
        <v>58</v>
      </c>
      <c r="E19" s="4"/>
      <c r="F19" s="30">
        <f ca="1">STDEV(F22:F129)</f>
        <v>167738492.23906669</v>
      </c>
      <c r="H19" s="44" t="s">
        <v>62</v>
      </c>
    </row>
    <row r="20" spans="1:9" x14ac:dyDescent="0.3">
      <c r="A20" t="str">
        <f>MC_High_ambition!A20</f>
        <v>Mean population income (USD/yr)</v>
      </c>
      <c r="B20" s="36" t="s">
        <v>58</v>
      </c>
      <c r="C20" s="36" t="s">
        <v>58</v>
      </c>
      <c r="D20" s="36" t="s">
        <v>58</v>
      </c>
      <c r="E20" s="4"/>
      <c r="F20" s="30">
        <f ca="1">AVERAGE(F22:F129)</f>
        <v>882058243.05165148</v>
      </c>
      <c r="G20" s="4"/>
      <c r="H20" s="4"/>
      <c r="I20" s="43">
        <f ca="1">100*F19/F20</f>
        <v>19.016713869000629</v>
      </c>
    </row>
    <row r="21" spans="1:9" x14ac:dyDescent="0.3">
      <c r="F21" s="4"/>
      <c r="G21" s="4"/>
      <c r="H21" s="4"/>
    </row>
    <row r="22" spans="1:9" x14ac:dyDescent="0.3">
      <c r="B22" s="4"/>
      <c r="E22">
        <v>1</v>
      </c>
      <c r="F22" s="30">
        <f ca="1">F18</f>
        <v>767984051.03909552</v>
      </c>
      <c r="G22" s="4"/>
      <c r="H22" s="4"/>
    </row>
    <row r="23" spans="1:9" x14ac:dyDescent="0.3">
      <c r="E23">
        <v>2</v>
      </c>
      <c r="F23" s="30">
        <f t="dataTable" ref="F23:F129" dt2D="0" dtr="0" r1="F21" ca="1"/>
        <v>1013929886.2646804</v>
      </c>
      <c r="G23" s="4"/>
      <c r="H23" s="4"/>
    </row>
    <row r="24" spans="1:9" x14ac:dyDescent="0.3">
      <c r="E24">
        <v>3</v>
      </c>
      <c r="F24" s="30">
        <v>796705318.14462495</v>
      </c>
      <c r="G24" s="4"/>
      <c r="H24" s="4"/>
    </row>
    <row r="25" spans="1:9" x14ac:dyDescent="0.3">
      <c r="E25">
        <v>4</v>
      </c>
      <c r="F25" s="30">
        <v>1043927438.0581245</v>
      </c>
      <c r="G25" s="4"/>
      <c r="H25" s="4"/>
    </row>
    <row r="26" spans="1:9" x14ac:dyDescent="0.3">
      <c r="E26">
        <v>5</v>
      </c>
      <c r="F26" s="30">
        <v>945230908.71845484</v>
      </c>
      <c r="G26" s="4"/>
      <c r="H26" s="4"/>
    </row>
    <row r="27" spans="1:9" x14ac:dyDescent="0.3">
      <c r="E27">
        <v>6</v>
      </c>
      <c r="F27" s="30">
        <v>739788580.72614098</v>
      </c>
      <c r="G27" s="4"/>
      <c r="H27" s="4"/>
    </row>
    <row r="28" spans="1:9" x14ac:dyDescent="0.3">
      <c r="E28">
        <v>7</v>
      </c>
      <c r="F28" s="30">
        <v>722762396.7213583</v>
      </c>
      <c r="G28" s="4"/>
      <c r="H28" s="4"/>
    </row>
    <row r="29" spans="1:9" x14ac:dyDescent="0.3">
      <c r="E29">
        <v>8</v>
      </c>
      <c r="F29" s="30">
        <v>794558369.66730738</v>
      </c>
      <c r="G29" s="4"/>
      <c r="H29" s="4"/>
    </row>
    <row r="30" spans="1:9" x14ac:dyDescent="0.3">
      <c r="E30">
        <v>9</v>
      </c>
      <c r="F30" s="30">
        <v>990928615.35230184</v>
      </c>
      <c r="G30" s="4"/>
      <c r="H30" s="4"/>
    </row>
    <row r="31" spans="1:9" x14ac:dyDescent="0.3">
      <c r="E31">
        <v>10</v>
      </c>
      <c r="F31" s="30">
        <v>1182582492.7639117</v>
      </c>
      <c r="G31" s="4"/>
      <c r="H31" s="4"/>
    </row>
    <row r="32" spans="1:9" x14ac:dyDescent="0.3">
      <c r="E32">
        <v>11</v>
      </c>
      <c r="F32" s="30">
        <v>663875192.5804354</v>
      </c>
      <c r="G32" s="4"/>
      <c r="H32" s="4"/>
    </row>
    <row r="33" spans="5:8" x14ac:dyDescent="0.3">
      <c r="E33">
        <v>12</v>
      </c>
      <c r="F33" s="30">
        <v>558759352.57913578</v>
      </c>
      <c r="G33" s="4"/>
      <c r="H33" s="4"/>
    </row>
    <row r="34" spans="5:8" x14ac:dyDescent="0.3">
      <c r="E34">
        <v>13</v>
      </c>
      <c r="F34" s="30">
        <v>759947495.29127824</v>
      </c>
      <c r="G34" s="4"/>
      <c r="H34" s="4"/>
    </row>
    <row r="35" spans="5:8" x14ac:dyDescent="0.3">
      <c r="E35">
        <v>14</v>
      </c>
      <c r="F35" s="30">
        <v>768920417.24561191</v>
      </c>
      <c r="G35" s="4"/>
      <c r="H35" s="4"/>
    </row>
    <row r="36" spans="5:8" x14ac:dyDescent="0.3">
      <c r="E36">
        <v>15</v>
      </c>
      <c r="F36" s="30">
        <v>683100320.52684081</v>
      </c>
      <c r="G36" s="4"/>
      <c r="H36" s="4"/>
    </row>
    <row r="37" spans="5:8" x14ac:dyDescent="0.3">
      <c r="E37">
        <v>16</v>
      </c>
      <c r="F37" s="30">
        <v>855417363.06383622</v>
      </c>
      <c r="G37" s="4"/>
      <c r="H37" s="4"/>
    </row>
    <row r="38" spans="5:8" x14ac:dyDescent="0.3">
      <c r="E38">
        <v>17</v>
      </c>
      <c r="F38" s="30">
        <v>1154711872.2626982</v>
      </c>
      <c r="G38" s="4"/>
      <c r="H38" s="4"/>
    </row>
    <row r="39" spans="5:8" x14ac:dyDescent="0.3">
      <c r="E39">
        <v>18</v>
      </c>
      <c r="F39" s="30">
        <v>843512323.4259187</v>
      </c>
      <c r="G39" s="4"/>
      <c r="H39" s="4"/>
    </row>
    <row r="40" spans="5:8" x14ac:dyDescent="0.3">
      <c r="E40">
        <v>19</v>
      </c>
      <c r="F40" s="30">
        <v>709974331.8358382</v>
      </c>
      <c r="G40" s="4"/>
      <c r="H40" s="4"/>
    </row>
    <row r="41" spans="5:8" x14ac:dyDescent="0.3">
      <c r="E41">
        <v>20</v>
      </c>
      <c r="F41" s="30">
        <v>659563753.14154172</v>
      </c>
      <c r="G41" s="4"/>
      <c r="H41" s="4"/>
    </row>
    <row r="42" spans="5:8" x14ac:dyDescent="0.3">
      <c r="E42">
        <v>21</v>
      </c>
      <c r="F42" s="30">
        <v>992669990.40867257</v>
      </c>
      <c r="G42" s="4"/>
      <c r="H42" s="4"/>
    </row>
    <row r="43" spans="5:8" x14ac:dyDescent="0.3">
      <c r="E43">
        <v>22</v>
      </c>
      <c r="F43" s="30">
        <v>540771295.59285474</v>
      </c>
      <c r="G43" s="4"/>
      <c r="H43" s="4"/>
    </row>
    <row r="44" spans="5:8" x14ac:dyDescent="0.3">
      <c r="E44">
        <v>23</v>
      </c>
      <c r="F44" s="30">
        <v>1094223061.295346</v>
      </c>
      <c r="G44" s="4"/>
      <c r="H44" s="4"/>
    </row>
    <row r="45" spans="5:8" x14ac:dyDescent="0.3">
      <c r="E45">
        <v>24</v>
      </c>
      <c r="F45" s="30">
        <v>967681394.59622717</v>
      </c>
      <c r="G45" s="4"/>
      <c r="H45" s="4"/>
    </row>
    <row r="46" spans="5:8" x14ac:dyDescent="0.3">
      <c r="E46">
        <v>25</v>
      </c>
      <c r="F46" s="30">
        <v>724128345.08740377</v>
      </c>
      <c r="G46" s="4"/>
      <c r="H46" s="4"/>
    </row>
    <row r="47" spans="5:8" x14ac:dyDescent="0.3">
      <c r="E47">
        <v>26</v>
      </c>
      <c r="F47" s="30">
        <v>667073015.1391201</v>
      </c>
      <c r="G47" s="4"/>
      <c r="H47" s="4"/>
    </row>
    <row r="48" spans="5:8" x14ac:dyDescent="0.3">
      <c r="E48">
        <v>27</v>
      </c>
      <c r="F48" s="30">
        <v>830764600.32586467</v>
      </c>
      <c r="G48" s="4"/>
      <c r="H48" s="4"/>
    </row>
    <row r="49" spans="5:8" x14ac:dyDescent="0.3">
      <c r="E49">
        <v>28</v>
      </c>
      <c r="F49" s="30">
        <v>1056363431.3677249</v>
      </c>
      <c r="G49" s="4"/>
      <c r="H49" s="4"/>
    </row>
    <row r="50" spans="5:8" x14ac:dyDescent="0.3">
      <c r="E50">
        <v>29</v>
      </c>
      <c r="F50" s="30">
        <v>741271670.6252712</v>
      </c>
      <c r="G50" s="4"/>
      <c r="H50" s="4"/>
    </row>
    <row r="51" spans="5:8" x14ac:dyDescent="0.3">
      <c r="E51">
        <v>30</v>
      </c>
      <c r="F51" s="30">
        <v>783818495.18461478</v>
      </c>
      <c r="G51" s="4"/>
      <c r="H51" s="4"/>
    </row>
    <row r="52" spans="5:8" x14ac:dyDescent="0.3">
      <c r="E52">
        <v>31</v>
      </c>
      <c r="F52" s="30">
        <v>760357348.80749559</v>
      </c>
      <c r="G52" s="4"/>
      <c r="H52" s="4"/>
    </row>
    <row r="53" spans="5:8" x14ac:dyDescent="0.3">
      <c r="E53">
        <v>32</v>
      </c>
      <c r="F53" s="30">
        <v>657083804.16295195</v>
      </c>
      <c r="G53" s="4"/>
      <c r="H53" s="4"/>
    </row>
    <row r="54" spans="5:8" x14ac:dyDescent="0.3">
      <c r="E54">
        <v>33</v>
      </c>
      <c r="F54" s="30">
        <v>771653194.03634882</v>
      </c>
      <c r="G54" s="4"/>
      <c r="H54" s="4"/>
    </row>
    <row r="55" spans="5:8" x14ac:dyDescent="0.3">
      <c r="E55">
        <v>34</v>
      </c>
      <c r="F55" s="30">
        <v>965259609.70711493</v>
      </c>
      <c r="G55" s="4"/>
      <c r="H55" s="4"/>
    </row>
    <row r="56" spans="5:8" x14ac:dyDescent="0.3">
      <c r="E56">
        <v>35</v>
      </c>
      <c r="F56" s="30">
        <v>828190087.81502843</v>
      </c>
      <c r="G56" s="4"/>
      <c r="H56" s="4"/>
    </row>
    <row r="57" spans="5:8" x14ac:dyDescent="0.3">
      <c r="E57">
        <v>36</v>
      </c>
      <c r="F57" s="30">
        <v>887728494.74348128</v>
      </c>
      <c r="G57" s="4"/>
      <c r="H57" s="4"/>
    </row>
    <row r="58" spans="5:8" x14ac:dyDescent="0.3">
      <c r="E58">
        <v>37</v>
      </c>
      <c r="F58" s="30">
        <v>876526941.01863277</v>
      </c>
      <c r="G58" s="4"/>
      <c r="H58" s="4"/>
    </row>
    <row r="59" spans="5:8" x14ac:dyDescent="0.3">
      <c r="E59">
        <v>38</v>
      </c>
      <c r="F59" s="30">
        <v>714862875.97344804</v>
      </c>
      <c r="G59" s="4"/>
      <c r="H59" s="4"/>
    </row>
    <row r="60" spans="5:8" x14ac:dyDescent="0.3">
      <c r="E60">
        <v>39</v>
      </c>
      <c r="F60" s="30">
        <v>963099516.34342349</v>
      </c>
      <c r="G60" s="4"/>
      <c r="H60" s="4"/>
    </row>
    <row r="61" spans="5:8" x14ac:dyDescent="0.3">
      <c r="E61">
        <v>40</v>
      </c>
      <c r="F61" s="30">
        <v>998669832.90463114</v>
      </c>
      <c r="G61" s="4"/>
      <c r="H61" s="4"/>
    </row>
    <row r="62" spans="5:8" x14ac:dyDescent="0.3">
      <c r="E62">
        <v>41</v>
      </c>
      <c r="F62" s="30">
        <v>998039800.63407683</v>
      </c>
      <c r="G62" s="4"/>
      <c r="H62" s="4"/>
    </row>
    <row r="63" spans="5:8" x14ac:dyDescent="0.3">
      <c r="E63">
        <v>42</v>
      </c>
      <c r="F63" s="30">
        <v>607855448.41558301</v>
      </c>
      <c r="G63" s="4"/>
      <c r="H63" s="4"/>
    </row>
    <row r="64" spans="5:8" x14ac:dyDescent="0.3">
      <c r="E64">
        <v>43</v>
      </c>
      <c r="F64" s="30">
        <v>1029094367.0160016</v>
      </c>
      <c r="G64" s="4"/>
      <c r="H64" s="4"/>
    </row>
    <row r="65" spans="5:8" x14ac:dyDescent="0.3">
      <c r="E65">
        <v>44</v>
      </c>
      <c r="F65" s="30">
        <v>830004187.43996096</v>
      </c>
      <c r="G65" s="4"/>
      <c r="H65" s="4"/>
    </row>
    <row r="66" spans="5:8" x14ac:dyDescent="0.3">
      <c r="E66">
        <v>45</v>
      </c>
      <c r="F66" s="30">
        <v>1098241442.908906</v>
      </c>
      <c r="G66" s="4"/>
      <c r="H66" s="4"/>
    </row>
    <row r="67" spans="5:8" x14ac:dyDescent="0.3">
      <c r="E67">
        <v>46</v>
      </c>
      <c r="F67" s="30">
        <v>1151156505.903266</v>
      </c>
      <c r="G67" s="4"/>
      <c r="H67" s="4"/>
    </row>
    <row r="68" spans="5:8" x14ac:dyDescent="0.3">
      <c r="E68">
        <v>47</v>
      </c>
      <c r="F68" s="30">
        <v>953464385.27267861</v>
      </c>
      <c r="G68" s="4"/>
      <c r="H68" s="4"/>
    </row>
    <row r="69" spans="5:8" x14ac:dyDescent="0.3">
      <c r="E69">
        <v>48</v>
      </c>
      <c r="F69" s="30">
        <v>1066113637.6116266</v>
      </c>
      <c r="G69" s="4"/>
      <c r="H69" s="4"/>
    </row>
    <row r="70" spans="5:8" x14ac:dyDescent="0.3">
      <c r="E70">
        <v>49</v>
      </c>
      <c r="F70" s="30">
        <v>848264669.95036066</v>
      </c>
      <c r="G70" s="4"/>
      <c r="H70" s="4"/>
    </row>
    <row r="71" spans="5:8" x14ac:dyDescent="0.3">
      <c r="E71">
        <v>50</v>
      </c>
      <c r="F71" s="30">
        <v>1151820004.1850376</v>
      </c>
      <c r="G71" s="4"/>
      <c r="H71" s="4"/>
    </row>
    <row r="72" spans="5:8" x14ac:dyDescent="0.3">
      <c r="E72">
        <v>51</v>
      </c>
      <c r="F72" s="30">
        <v>1141613958.7817893</v>
      </c>
      <c r="G72" s="4"/>
      <c r="H72" s="4"/>
    </row>
    <row r="73" spans="5:8" x14ac:dyDescent="0.3">
      <c r="E73">
        <v>52</v>
      </c>
      <c r="F73" s="30">
        <v>768556834.6742909</v>
      </c>
      <c r="G73" s="4"/>
      <c r="H73" s="4"/>
    </row>
    <row r="74" spans="5:8" x14ac:dyDescent="0.3">
      <c r="E74">
        <v>53</v>
      </c>
      <c r="F74" s="30">
        <v>1139930811.2924304</v>
      </c>
      <c r="G74" s="4"/>
      <c r="H74" s="4"/>
    </row>
    <row r="75" spans="5:8" x14ac:dyDescent="0.3">
      <c r="E75">
        <v>54</v>
      </c>
      <c r="F75" s="30">
        <v>716043870.58936477</v>
      </c>
      <c r="G75" s="4"/>
      <c r="H75" s="4"/>
    </row>
    <row r="76" spans="5:8" x14ac:dyDescent="0.3">
      <c r="E76">
        <v>55</v>
      </c>
      <c r="F76" s="30">
        <v>693031992.52911592</v>
      </c>
      <c r="G76" s="4"/>
      <c r="H76" s="4"/>
    </row>
    <row r="77" spans="5:8" x14ac:dyDescent="0.3">
      <c r="E77">
        <v>56</v>
      </c>
      <c r="F77" s="30">
        <v>851983318.84523678</v>
      </c>
      <c r="G77" s="4"/>
      <c r="H77" s="4"/>
    </row>
    <row r="78" spans="5:8" x14ac:dyDescent="0.3">
      <c r="E78">
        <v>57</v>
      </c>
      <c r="F78" s="30">
        <v>978352663.6880424</v>
      </c>
      <c r="G78" s="4"/>
      <c r="H78" s="4"/>
    </row>
    <row r="79" spans="5:8" x14ac:dyDescent="0.3">
      <c r="E79">
        <v>58</v>
      </c>
      <c r="F79" s="30">
        <v>843650655.08321357</v>
      </c>
      <c r="G79" s="4"/>
      <c r="H79" s="4"/>
    </row>
    <row r="80" spans="5:8" x14ac:dyDescent="0.3">
      <c r="E80">
        <v>59</v>
      </c>
      <c r="F80" s="30">
        <v>865786389.60306072</v>
      </c>
      <c r="G80" s="4"/>
      <c r="H80" s="4"/>
    </row>
    <row r="81" spans="5:8" x14ac:dyDescent="0.3">
      <c r="E81">
        <v>60</v>
      </c>
      <c r="F81" s="30">
        <v>1073888517.5594306</v>
      </c>
      <c r="G81" s="4"/>
      <c r="H81" s="4"/>
    </row>
    <row r="82" spans="5:8" x14ac:dyDescent="0.3">
      <c r="E82">
        <v>61</v>
      </c>
      <c r="F82" s="30">
        <v>882286467.45568824</v>
      </c>
      <c r="G82" s="4"/>
      <c r="H82" s="4"/>
    </row>
    <row r="83" spans="5:8" x14ac:dyDescent="0.3">
      <c r="E83">
        <v>62</v>
      </c>
      <c r="F83" s="30">
        <v>832161372.58412075</v>
      </c>
      <c r="G83" s="4"/>
      <c r="H83" s="4"/>
    </row>
    <row r="84" spans="5:8" x14ac:dyDescent="0.3">
      <c r="E84">
        <v>63</v>
      </c>
      <c r="F84" s="30">
        <v>667173775.01382565</v>
      </c>
      <c r="G84" s="4"/>
      <c r="H84" s="4"/>
    </row>
    <row r="85" spans="5:8" x14ac:dyDescent="0.3">
      <c r="E85">
        <v>64</v>
      </c>
      <c r="F85" s="30">
        <v>885543806.0282042</v>
      </c>
      <c r="G85" s="4"/>
      <c r="H85" s="4"/>
    </row>
    <row r="86" spans="5:8" x14ac:dyDescent="0.3">
      <c r="E86">
        <v>65</v>
      </c>
      <c r="F86" s="30">
        <v>819162284.72095501</v>
      </c>
      <c r="G86" s="4"/>
      <c r="H86" s="4"/>
    </row>
    <row r="87" spans="5:8" x14ac:dyDescent="0.3">
      <c r="E87">
        <v>66</v>
      </c>
      <c r="F87" s="30">
        <v>1075403060.141463</v>
      </c>
      <c r="G87" s="4"/>
      <c r="H87" s="4"/>
    </row>
    <row r="88" spans="5:8" x14ac:dyDescent="0.3">
      <c r="E88">
        <v>67</v>
      </c>
      <c r="F88" s="30">
        <v>965730699.12543428</v>
      </c>
      <c r="G88" s="4"/>
      <c r="H88" s="4"/>
    </row>
    <row r="89" spans="5:8" x14ac:dyDescent="0.3">
      <c r="E89">
        <v>68</v>
      </c>
      <c r="F89" s="30">
        <v>1142581842.5791144</v>
      </c>
      <c r="G89" s="4"/>
      <c r="H89" s="4"/>
    </row>
    <row r="90" spans="5:8" x14ac:dyDescent="0.3">
      <c r="E90">
        <v>69</v>
      </c>
      <c r="F90" s="30">
        <v>1126835723.1149387</v>
      </c>
      <c r="G90" s="4"/>
      <c r="H90" s="4"/>
    </row>
    <row r="91" spans="5:8" x14ac:dyDescent="0.3">
      <c r="E91">
        <v>70</v>
      </c>
      <c r="F91" s="30">
        <v>1067938363.1282361</v>
      </c>
      <c r="G91" s="4"/>
      <c r="H91" s="4"/>
    </row>
    <row r="92" spans="5:8" x14ac:dyDescent="0.3">
      <c r="E92">
        <v>71</v>
      </c>
      <c r="F92" s="30">
        <v>949344792.12692547</v>
      </c>
      <c r="G92" s="4"/>
      <c r="H92" s="4"/>
    </row>
    <row r="93" spans="5:8" x14ac:dyDescent="0.3">
      <c r="E93">
        <v>72</v>
      </c>
      <c r="F93" s="30">
        <v>1107525101.0318711</v>
      </c>
      <c r="G93" s="4"/>
      <c r="H93" s="4"/>
    </row>
    <row r="94" spans="5:8" x14ac:dyDescent="0.3">
      <c r="E94">
        <v>73</v>
      </c>
      <c r="F94" s="30">
        <v>839560401.03178942</v>
      </c>
      <c r="G94" s="4"/>
      <c r="H94" s="4"/>
    </row>
    <row r="95" spans="5:8" x14ac:dyDescent="0.3">
      <c r="E95">
        <v>74</v>
      </c>
      <c r="F95" s="30">
        <v>766783857.30217409</v>
      </c>
      <c r="G95" s="4"/>
      <c r="H95" s="4"/>
    </row>
    <row r="96" spans="5:8" x14ac:dyDescent="0.3">
      <c r="E96">
        <v>75</v>
      </c>
      <c r="F96" s="30">
        <v>930470305.40179372</v>
      </c>
      <c r="G96" s="4"/>
      <c r="H96" s="4"/>
    </row>
    <row r="97" spans="5:8" x14ac:dyDescent="0.3">
      <c r="E97">
        <v>76</v>
      </c>
      <c r="F97" s="30">
        <v>865468659.11902928</v>
      </c>
      <c r="G97" s="4"/>
      <c r="H97" s="4"/>
    </row>
    <row r="98" spans="5:8" x14ac:dyDescent="0.3">
      <c r="E98">
        <v>77</v>
      </c>
      <c r="F98" s="30">
        <v>789773967.48037148</v>
      </c>
      <c r="G98" s="4"/>
      <c r="H98" s="4"/>
    </row>
    <row r="99" spans="5:8" x14ac:dyDescent="0.3">
      <c r="E99">
        <v>78</v>
      </c>
      <c r="F99" s="30">
        <v>820486395.10396028</v>
      </c>
      <c r="G99" s="4"/>
      <c r="H99" s="4"/>
    </row>
    <row r="100" spans="5:8" x14ac:dyDescent="0.3">
      <c r="E100">
        <v>79</v>
      </c>
      <c r="F100" s="30">
        <v>1025828552.553643</v>
      </c>
      <c r="G100" s="4"/>
      <c r="H100" s="4"/>
    </row>
    <row r="101" spans="5:8" x14ac:dyDescent="0.3">
      <c r="E101">
        <v>80</v>
      </c>
      <c r="F101" s="30">
        <v>620639856.99391627</v>
      </c>
      <c r="G101" s="4"/>
      <c r="H101" s="4"/>
    </row>
    <row r="102" spans="5:8" x14ac:dyDescent="0.3">
      <c r="E102">
        <v>81</v>
      </c>
      <c r="F102" s="30">
        <v>1103545846.8471091</v>
      </c>
      <c r="G102" s="4"/>
      <c r="H102" s="4"/>
    </row>
    <row r="103" spans="5:8" x14ac:dyDescent="0.3">
      <c r="E103">
        <v>82</v>
      </c>
      <c r="F103" s="30">
        <v>933848121.5786345</v>
      </c>
      <c r="G103" s="4"/>
      <c r="H103" s="4"/>
    </row>
    <row r="104" spans="5:8" x14ac:dyDescent="0.3">
      <c r="E104">
        <v>83</v>
      </c>
      <c r="F104" s="30">
        <v>871349281.2148993</v>
      </c>
      <c r="G104" s="4"/>
      <c r="H104" s="4"/>
    </row>
    <row r="105" spans="5:8" x14ac:dyDescent="0.3">
      <c r="E105">
        <v>84</v>
      </c>
      <c r="F105" s="30">
        <v>936904410.37600601</v>
      </c>
      <c r="G105" s="4"/>
      <c r="H105" s="4"/>
    </row>
    <row r="106" spans="5:8" x14ac:dyDescent="0.3">
      <c r="E106">
        <v>85</v>
      </c>
      <c r="F106" s="30">
        <v>1021836915.6074111</v>
      </c>
      <c r="G106" s="4"/>
      <c r="H106" s="4"/>
    </row>
    <row r="107" spans="5:8" x14ac:dyDescent="0.3">
      <c r="E107">
        <v>86</v>
      </c>
      <c r="F107" s="30">
        <v>859868525.82508612</v>
      </c>
      <c r="G107" s="4"/>
      <c r="H107" s="4"/>
    </row>
    <row r="108" spans="5:8" x14ac:dyDescent="0.3">
      <c r="E108">
        <v>87</v>
      </c>
      <c r="F108" s="30">
        <v>830572981.98693907</v>
      </c>
      <c r="G108" s="4"/>
      <c r="H108" s="4"/>
    </row>
    <row r="109" spans="5:8" x14ac:dyDescent="0.3">
      <c r="E109">
        <v>88</v>
      </c>
      <c r="F109" s="30">
        <v>960405540.49912882</v>
      </c>
      <c r="G109" s="4"/>
      <c r="H109" s="4"/>
    </row>
    <row r="110" spans="5:8" x14ac:dyDescent="0.3">
      <c r="E110">
        <v>89</v>
      </c>
      <c r="F110" s="30">
        <v>733561232.73122942</v>
      </c>
      <c r="G110" s="4"/>
      <c r="H110" s="4"/>
    </row>
    <row r="111" spans="5:8" x14ac:dyDescent="0.3">
      <c r="E111">
        <v>90</v>
      </c>
      <c r="F111" s="30">
        <v>991393527.0529294</v>
      </c>
      <c r="G111" s="4"/>
      <c r="H111" s="4"/>
    </row>
    <row r="112" spans="5:8" x14ac:dyDescent="0.3">
      <c r="E112">
        <v>91</v>
      </c>
      <c r="F112" s="30">
        <v>694186610.73567617</v>
      </c>
      <c r="G112" s="4"/>
      <c r="H112" s="4"/>
    </row>
    <row r="113" spans="5:8" x14ac:dyDescent="0.3">
      <c r="E113">
        <v>92</v>
      </c>
      <c r="F113" s="30">
        <v>843932516.58149719</v>
      </c>
      <c r="G113" s="4"/>
      <c r="H113" s="4"/>
    </row>
    <row r="114" spans="5:8" x14ac:dyDescent="0.3">
      <c r="E114">
        <v>93</v>
      </c>
      <c r="F114" s="30">
        <v>546986918.67127144</v>
      </c>
      <c r="G114" s="4"/>
      <c r="H114" s="4"/>
    </row>
    <row r="115" spans="5:8" x14ac:dyDescent="0.3">
      <c r="E115">
        <v>94</v>
      </c>
      <c r="F115" s="30">
        <v>747965482.70254838</v>
      </c>
      <c r="G115" s="4"/>
      <c r="H115" s="4"/>
    </row>
    <row r="116" spans="5:8" x14ac:dyDescent="0.3">
      <c r="E116">
        <v>95</v>
      </c>
      <c r="F116" s="30">
        <v>627688400.93535566</v>
      </c>
      <c r="G116" s="4"/>
      <c r="H116" s="4"/>
    </row>
    <row r="117" spans="5:8" x14ac:dyDescent="0.3">
      <c r="E117">
        <v>96</v>
      </c>
      <c r="F117" s="30">
        <v>857399757.49398708</v>
      </c>
      <c r="G117" s="4"/>
      <c r="H117" s="4"/>
    </row>
    <row r="118" spans="5:8" x14ac:dyDescent="0.3">
      <c r="E118">
        <v>97</v>
      </c>
      <c r="F118" s="30">
        <v>991709008.69036889</v>
      </c>
      <c r="G118" s="4"/>
      <c r="H118" s="4"/>
    </row>
    <row r="119" spans="5:8" x14ac:dyDescent="0.3">
      <c r="E119">
        <v>98</v>
      </c>
      <c r="F119" s="30">
        <v>891397217.58206367</v>
      </c>
      <c r="G119" s="4"/>
      <c r="H119" s="4"/>
    </row>
    <row r="120" spans="5:8" x14ac:dyDescent="0.3">
      <c r="E120">
        <v>99</v>
      </c>
      <c r="F120" s="30">
        <v>1218681588.3983698</v>
      </c>
      <c r="G120" s="4"/>
      <c r="H120" s="4"/>
    </row>
    <row r="121" spans="5:8" x14ac:dyDescent="0.3">
      <c r="E121">
        <v>100</v>
      </c>
      <c r="F121" s="30">
        <v>1161757131.3520737</v>
      </c>
      <c r="G121" s="4"/>
      <c r="H121" s="4"/>
    </row>
    <row r="122" spans="5:8" x14ac:dyDescent="0.3">
      <c r="E122">
        <v>101</v>
      </c>
      <c r="F122" s="30">
        <v>733284896.59158659</v>
      </c>
      <c r="G122" s="4"/>
      <c r="H122" s="4"/>
    </row>
    <row r="123" spans="5:8" x14ac:dyDescent="0.3">
      <c r="E123">
        <v>102</v>
      </c>
      <c r="F123" s="30">
        <v>848878930.41587281</v>
      </c>
      <c r="G123" s="4"/>
      <c r="H123" s="4"/>
    </row>
    <row r="124" spans="5:8" x14ac:dyDescent="0.3">
      <c r="E124">
        <v>103</v>
      </c>
      <c r="F124" s="30">
        <v>1081757855.3575132</v>
      </c>
      <c r="G124" s="4"/>
      <c r="H124" s="4"/>
    </row>
    <row r="125" spans="5:8" x14ac:dyDescent="0.3">
      <c r="E125">
        <v>104</v>
      </c>
      <c r="F125" s="30">
        <v>932266881.1436944</v>
      </c>
      <c r="G125" s="4"/>
      <c r="H125" s="4"/>
    </row>
    <row r="126" spans="5:8" x14ac:dyDescent="0.3">
      <c r="E126">
        <v>105</v>
      </c>
      <c r="F126" s="30">
        <v>785609121.8812542</v>
      </c>
      <c r="G126" s="4"/>
      <c r="H126" s="4"/>
    </row>
    <row r="127" spans="5:8" x14ac:dyDescent="0.3">
      <c r="E127">
        <v>106</v>
      </c>
      <c r="F127" s="30">
        <v>744309501.90412235</v>
      </c>
      <c r="G127" s="4"/>
      <c r="H127" s="4"/>
    </row>
    <row r="128" spans="5:8" x14ac:dyDescent="0.3">
      <c r="E128">
        <v>107</v>
      </c>
      <c r="F128" s="30">
        <v>552825420.60900986</v>
      </c>
      <c r="G128" s="4"/>
      <c r="H128" s="4"/>
    </row>
    <row r="129" spans="5:8" x14ac:dyDescent="0.3">
      <c r="E129">
        <v>108</v>
      </c>
      <c r="F129" s="30">
        <v>1292396396.2470136</v>
      </c>
      <c r="G129" s="4"/>
      <c r="H129" s="4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4750-6D9D-48BF-98E9-D99C5052989C}">
  <dimension ref="A1:I129"/>
  <sheetViews>
    <sheetView workbookViewId="0">
      <selection activeCell="G8" sqref="G8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26.33203125" customWidth="1"/>
    <col min="6" max="6" width="16.109375" bestFit="1" customWidth="1"/>
    <col min="7" max="8" width="16.109375" customWidth="1"/>
  </cols>
  <sheetData>
    <row r="1" spans="1:9" ht="18" customHeight="1" x14ac:dyDescent="0.3">
      <c r="B1" s="27" t="str">
        <f>Mappings!B6</f>
        <v>New-improved</v>
      </c>
      <c r="C1" s="89" t="str">
        <f>Mappings!B7</f>
        <v>Local-only</v>
      </c>
      <c r="D1" s="89" t="str">
        <f>Mappings!B8</f>
        <v>Extant-improved</v>
      </c>
      <c r="F1" s="2" t="str">
        <f>MC_High_ambition!F1</f>
        <v>All dairy households</v>
      </c>
      <c r="G1" s="2"/>
      <c r="H1" s="2"/>
    </row>
    <row r="3" spans="1:9" x14ac:dyDescent="0.3">
      <c r="A3" t="str">
        <f>MC_High_ambition!A3</f>
        <v>Income per cow (USD/day)</v>
      </c>
      <c r="B3" s="28">
        <f>Mappings!N10</f>
        <v>1048.1530828713855</v>
      </c>
      <c r="C3" s="28">
        <f>Mappings!N11</f>
        <v>269.08297731335256</v>
      </c>
      <c r="D3" s="28">
        <f>Mappings!N12</f>
        <v>1177.4869003216895</v>
      </c>
      <c r="E3" s="34"/>
      <c r="F3" s="34"/>
      <c r="G3" s="34"/>
      <c r="H3" s="34"/>
    </row>
    <row r="4" spans="1:9" x14ac:dyDescent="0.3">
      <c r="A4" t="str">
        <f>MC_High_ambition!A4</f>
        <v>Random value income per cow (USD/day)</v>
      </c>
      <c r="B4" s="28">
        <f ca="1">_xlfn.NORM.INV(RAND(),Mappings!N10,Mappings!O10)</f>
        <v>791.72990858155242</v>
      </c>
      <c r="C4" s="28">
        <f ca="1">_xlfn.NORM.INV(RAND(),Mappings!N11,Mappings!O11)</f>
        <v>322.47064142019963</v>
      </c>
      <c r="D4" s="28">
        <f ca="1">_xlfn.NORM.INV(RAND(),Mappings!N12,Mappings!O12)</f>
        <v>1386.8753080368524</v>
      </c>
      <c r="E4" s="34"/>
      <c r="F4" s="34"/>
      <c r="G4" s="34"/>
      <c r="H4" s="34"/>
    </row>
    <row r="5" spans="1:9" x14ac:dyDescent="0.3">
      <c r="A5" t="str">
        <f>MC_High_ambition!A5</f>
        <v>Average number of cows per household (head)</v>
      </c>
      <c r="B5" s="28">
        <f>Mappings!F10*Mappings!I10</f>
        <v>0.70960239351756271</v>
      </c>
      <c r="C5" s="28">
        <f>Mappings!F7</f>
        <v>9.5092811270676005</v>
      </c>
      <c r="D5" s="28">
        <f>Mappings!F8</f>
        <v>3.2256487206449256</v>
      </c>
      <c r="E5" s="34"/>
      <c r="F5" s="34"/>
      <c r="G5" s="34"/>
      <c r="H5" s="34"/>
    </row>
    <row r="6" spans="1:9" x14ac:dyDescent="0.3">
      <c r="A6" t="str">
        <f>MC_High_ambition!A6</f>
        <v>Random value cows per household (head)</v>
      </c>
      <c r="B6" s="28">
        <f ca="1">_xlfn.NORM.INV(RAND(),B5,B5*Mappings!E4)</f>
        <v>1.080581372698374</v>
      </c>
      <c r="C6" s="28">
        <f ca="1">_xlfn.NORM.INV(RAND(),C5,C5*Mappings!E3)</f>
        <v>13.125773049958049</v>
      </c>
      <c r="D6" s="28">
        <f ca="1">_xlfn.NORM.INV(RAND(),D5,D5*Mappings!E4)</f>
        <v>4.063094001634421</v>
      </c>
      <c r="E6" s="34"/>
      <c r="F6" s="34"/>
      <c r="G6" s="34"/>
      <c r="H6" s="34"/>
    </row>
    <row r="7" spans="1:9" x14ac:dyDescent="0.3">
      <c r="A7" t="str">
        <f>MC_High_ambition!A7</f>
        <v>Estimated non dairy income (USD/person/day)</v>
      </c>
      <c r="B7" s="28">
        <f>Mappings!V10</f>
        <v>6583.6958969725702</v>
      </c>
      <c r="C7" s="28">
        <f>Mappings!V11</f>
        <v>6543.7374483942003</v>
      </c>
      <c r="D7" s="28">
        <f>Mappings!V12</f>
        <v>7155.9616647617731</v>
      </c>
      <c r="E7" s="34"/>
      <c r="F7" s="34"/>
      <c r="G7" s="34"/>
      <c r="H7" s="34"/>
    </row>
    <row r="8" spans="1:9" x14ac:dyDescent="0.3">
      <c r="A8" t="str">
        <f>MC_High_ambition!A8</f>
        <v>Random value non dairy income (USD/person/day)</v>
      </c>
      <c r="B8" s="28">
        <f ca="1">_xlfn.NORM.INV(RAND(), B7, B7 * 25/100)</f>
        <v>6862.6838006967391</v>
      </c>
      <c r="C8" s="28">
        <f ca="1">_xlfn.NORM.INV(RAND(), C7, C7* 25/100)</f>
        <v>7577.8771987716391</v>
      </c>
      <c r="D8" s="28">
        <f ca="1">_xlfn.NORM.INV(RAND(), D7, D7* 25/100)</f>
        <v>7784.1701730742425</v>
      </c>
      <c r="E8" s="34"/>
      <c r="F8" s="34"/>
      <c r="G8" s="34"/>
      <c r="H8" s="34"/>
    </row>
    <row r="9" spans="1:9" x14ac:dyDescent="0.3">
      <c r="A9" t="str">
        <f>MC_High_ambition!A9</f>
        <v>Reduction in non-dairy income through crop area change</v>
      </c>
      <c r="B9" s="28">
        <f>Mappings!Q10</f>
        <v>24.398210102241187</v>
      </c>
      <c r="C9" s="28">
        <f>Mappings!Q11</f>
        <v>64.033955126241921</v>
      </c>
      <c r="D9" s="28">
        <f>Mappings!Q12</f>
        <v>82.643628223038363</v>
      </c>
      <c r="E9" s="34"/>
      <c r="F9" s="34"/>
      <c r="G9" s="34"/>
      <c r="H9" s="34"/>
    </row>
    <row r="10" spans="1:9" x14ac:dyDescent="0.3">
      <c r="A10" t="str">
        <f>MC_High_ambition!A10</f>
        <v>Random value reduction/increase in non-dairy income (USD/yr)</v>
      </c>
      <c r="B10" s="17">
        <f ca="1">IF(B9&gt;0,_xlfn.NORM.INV(RAND(),B9,B9*Dairy_Income_Roadmap!L36),_xlfn.NORM.INV(RAND(),ABS(B9),ABS(B9)*Dairy_Income_Roadmap!L36))</f>
        <v>46.532139842179269</v>
      </c>
      <c r="C10" s="17">
        <f ca="1">IF(C9&gt;0,_xlfn.NORM.INV(RAND(),C9,C9*Dairy_Income_Roadmap!L36),_xlfn.NORM.INV(RAND(),ABS(C9),ABS(C9)*Dairy_Income_Roadmap!L36))</f>
        <v>38.604434724972791</v>
      </c>
      <c r="D10" s="17">
        <f ca="1">IF(D9&gt;0,_xlfn.NORM.INV(RAND(),D9,D9*Dairy_Income_Roadmap!L38),_xlfn.NORM.INV(RAND(),ABS(D9),ABS(D9)*Dairy_Income_Roadmap!L38))</f>
        <v>87.663562874473513</v>
      </c>
      <c r="E10" s="34"/>
      <c r="F10" s="34"/>
      <c r="G10" s="34"/>
      <c r="H10" s="34"/>
    </row>
    <row r="11" spans="1:9" x14ac:dyDescent="0.3">
      <c r="A11" t="str">
        <f>MC_High_ambition!A11</f>
        <v>Quantity households</v>
      </c>
      <c r="B11" s="28">
        <f>Mappings!D10</f>
        <v>15074.72757825888</v>
      </c>
      <c r="C11" s="28">
        <f>Mappings!D11</f>
        <v>64265.943886261557</v>
      </c>
      <c r="D11" s="28">
        <f>Mappings!D12</f>
        <v>27803.992397123129</v>
      </c>
      <c r="F11" s="34"/>
      <c r="G11" s="34"/>
      <c r="H11" s="34"/>
      <c r="I11" s="34"/>
    </row>
    <row r="12" spans="1:9" x14ac:dyDescent="0.3">
      <c r="A12" t="str">
        <f>MC_High_ambition!A12</f>
        <v>SD quantity households</v>
      </c>
      <c r="B12" s="28">
        <f>Mappings!Z10*B11</f>
        <v>391.43351904680588</v>
      </c>
      <c r="C12" s="28">
        <f>Mappings!Z11*C11</f>
        <v>1668.742896989015</v>
      </c>
      <c r="D12" s="28">
        <f>Mappings!Z12*D11</f>
        <v>721.96426310567983</v>
      </c>
      <c r="F12" s="34"/>
      <c r="G12" s="34"/>
      <c r="H12" s="34"/>
      <c r="I12" s="34"/>
    </row>
    <row r="13" spans="1:9" x14ac:dyDescent="0.3">
      <c r="B13" s="28"/>
      <c r="C13" s="28"/>
      <c r="D13" s="28"/>
      <c r="E13" s="34"/>
      <c r="F13" s="34"/>
      <c r="G13" s="34"/>
      <c r="H13" s="34"/>
    </row>
    <row r="14" spans="1:9" x14ac:dyDescent="0.3">
      <c r="A14" t="str">
        <f>MC_High_ambition!A14</f>
        <v>Dairy Income (USD/household/year)</v>
      </c>
      <c r="B14" s="28">
        <f ca="1">B4*B6</f>
        <v>855.52859142141199</v>
      </c>
      <c r="C14" s="28">
        <f ca="1">C4*C6</f>
        <v>4232.6764545559417</v>
      </c>
      <c r="D14" s="28">
        <f ca="1">D4*D6</f>
        <v>5635.0047450994252</v>
      </c>
      <c r="E14" s="34"/>
      <c r="F14" s="34"/>
      <c r="G14" s="34"/>
      <c r="H14" s="34"/>
    </row>
    <row r="15" spans="1:9" x14ac:dyDescent="0.3">
      <c r="A15" t="str">
        <f>MC_High_ambition!A15</f>
        <v>Non dairy income (USD/household/year)</v>
      </c>
      <c r="B15" s="28">
        <f ca="1">D8-IF(D9&gt;0,D10,(-1)*D10)</f>
        <v>7696.5066101997691</v>
      </c>
      <c r="C15" s="28">
        <f t="shared" ref="C15" ca="1" si="0">C8-C10</f>
        <v>7539.2727640466665</v>
      </c>
      <c r="D15" s="28">
        <f ca="1">D8-IF(D9&gt;0,D10,(-1)*D10)</f>
        <v>7696.5066101997691</v>
      </c>
      <c r="E15" s="34"/>
      <c r="F15" s="34"/>
      <c r="G15" s="34"/>
      <c r="H15" s="34"/>
    </row>
    <row r="16" spans="1:9" x14ac:dyDescent="0.3">
      <c r="A16" t="str">
        <f>MC_High_ambition!A16</f>
        <v>Quantity households</v>
      </c>
      <c r="B16" s="28">
        <f ca="1">_xlfn.NORM.INV(RAND(),B11,B12)</f>
        <v>15679.906215207866</v>
      </c>
      <c r="C16" s="28">
        <f ca="1">_xlfn.NORM.INV(RAND(),C11,C12)</f>
        <v>61966.655878065889</v>
      </c>
      <c r="D16" s="28">
        <f ca="1">_xlfn.NORM.INV(RAND(),D11,D12)</f>
        <v>27068.811293629264</v>
      </c>
      <c r="E16" s="34"/>
      <c r="F16" s="34"/>
      <c r="G16" s="34"/>
      <c r="H16" s="34"/>
    </row>
    <row r="17" spans="1:9" x14ac:dyDescent="0.3">
      <c r="B17" s="28"/>
      <c r="C17" s="28"/>
      <c r="D17" s="28"/>
      <c r="E17" s="34"/>
      <c r="F17" s="34"/>
      <c r="G17" s="34"/>
      <c r="H17" s="34"/>
    </row>
    <row r="18" spans="1:9" x14ac:dyDescent="0.3">
      <c r="A18" t="str">
        <f>MC_High_ambition!A18</f>
        <v>Estimated population income (USD/yr)</v>
      </c>
      <c r="B18" s="38">
        <f ca="1">(B14+B15)*B16</f>
        <v>134095109.91057642</v>
      </c>
      <c r="C18" s="38">
        <f ca="1">(C14+C15)*C16</f>
        <v>729468326.24321437</v>
      </c>
      <c r="D18" s="38">
        <f ca="1">(D14+D15)*D16</f>
        <v>360868165.13546956</v>
      </c>
      <c r="E18" s="34"/>
      <c r="F18" s="28">
        <f ca="1">B18+C18+D18</f>
        <v>1224431601.2892604</v>
      </c>
      <c r="G18" s="34"/>
      <c r="H18" s="34"/>
    </row>
    <row r="19" spans="1:9" x14ac:dyDescent="0.3">
      <c r="A19" t="s">
        <v>59</v>
      </c>
      <c r="B19" s="39" t="s">
        <v>58</v>
      </c>
      <c r="C19" s="39" t="s">
        <v>58</v>
      </c>
      <c r="D19" s="39" t="s">
        <v>58</v>
      </c>
      <c r="E19" s="34"/>
      <c r="F19" s="28">
        <f ca="1">STDEV(F22:F129)</f>
        <v>146580672.06642663</v>
      </c>
      <c r="G19" s="34"/>
      <c r="H19" s="44" t="s">
        <v>62</v>
      </c>
      <c r="I19" s="2"/>
    </row>
    <row r="20" spans="1:9" x14ac:dyDescent="0.3">
      <c r="A20" t="str">
        <f>MC_High_ambition!A20</f>
        <v>Mean population income (USD/yr)</v>
      </c>
      <c r="B20" s="39" t="s">
        <v>58</v>
      </c>
      <c r="C20" s="39" t="s">
        <v>58</v>
      </c>
      <c r="D20" s="39" t="s">
        <v>58</v>
      </c>
      <c r="E20" s="34"/>
      <c r="F20" s="28">
        <f ca="1">AVERAGE(F22:F129)</f>
        <v>978768055.60451877</v>
      </c>
      <c r="G20" s="34"/>
      <c r="H20" s="44"/>
      <c r="I20" s="43">
        <f ca="1">100*F19/F20</f>
        <v>14.97603760432227</v>
      </c>
    </row>
    <row r="21" spans="1:9" x14ac:dyDescent="0.3">
      <c r="B21" s="34"/>
      <c r="C21" s="34"/>
      <c r="D21" s="34"/>
      <c r="E21" s="34"/>
      <c r="F21" s="34"/>
      <c r="G21" s="34"/>
      <c r="H21" s="34"/>
    </row>
    <row r="22" spans="1:9" x14ac:dyDescent="0.3">
      <c r="B22" s="34"/>
      <c r="C22" s="34"/>
      <c r="D22" s="34"/>
      <c r="E22" s="34">
        <v>1</v>
      </c>
      <c r="F22" s="28">
        <f ca="1">F18</f>
        <v>1224431601.2892604</v>
      </c>
      <c r="G22" s="34"/>
      <c r="H22" s="34"/>
    </row>
    <row r="23" spans="1:9" x14ac:dyDescent="0.3">
      <c r="E23">
        <v>2</v>
      </c>
      <c r="F23" s="28">
        <f t="dataTable" ref="F23:F129" dt2D="0" dtr="0" r1="F21" ca="1"/>
        <v>1360402977.0931516</v>
      </c>
      <c r="G23" s="4"/>
      <c r="H23" s="4"/>
    </row>
    <row r="24" spans="1:9" x14ac:dyDescent="0.3">
      <c r="E24">
        <v>3</v>
      </c>
      <c r="F24" s="28">
        <v>878839334.22732043</v>
      </c>
      <c r="G24" s="4"/>
      <c r="H24" s="4"/>
    </row>
    <row r="25" spans="1:9" x14ac:dyDescent="0.3">
      <c r="E25">
        <v>4</v>
      </c>
      <c r="F25" s="28">
        <v>942213671.35208297</v>
      </c>
      <c r="G25" s="4"/>
      <c r="H25" s="4"/>
    </row>
    <row r="26" spans="1:9" x14ac:dyDescent="0.3">
      <c r="E26">
        <v>5</v>
      </c>
      <c r="F26" s="28">
        <v>1016773752.118397</v>
      </c>
      <c r="G26" s="4"/>
      <c r="H26" s="4"/>
    </row>
    <row r="27" spans="1:9" x14ac:dyDescent="0.3">
      <c r="E27">
        <v>6</v>
      </c>
      <c r="F27" s="28">
        <v>885371226.5824008</v>
      </c>
      <c r="G27" s="4"/>
      <c r="H27" s="4"/>
    </row>
    <row r="28" spans="1:9" x14ac:dyDescent="0.3">
      <c r="E28">
        <v>7</v>
      </c>
      <c r="F28" s="28">
        <v>966216825.56362796</v>
      </c>
      <c r="G28" s="4"/>
      <c r="H28" s="4"/>
    </row>
    <row r="29" spans="1:9" x14ac:dyDescent="0.3">
      <c r="E29">
        <v>8</v>
      </c>
      <c r="F29" s="28">
        <v>1036245155.7074149</v>
      </c>
      <c r="G29" s="4"/>
      <c r="H29" s="4"/>
    </row>
    <row r="30" spans="1:9" x14ac:dyDescent="0.3">
      <c r="E30">
        <v>9</v>
      </c>
      <c r="F30" s="28">
        <v>826258080.6189611</v>
      </c>
      <c r="G30" s="4"/>
      <c r="H30" s="4"/>
    </row>
    <row r="31" spans="1:9" x14ac:dyDescent="0.3">
      <c r="E31">
        <v>10</v>
      </c>
      <c r="F31" s="28">
        <v>1092189757.7672353</v>
      </c>
      <c r="G31" s="4"/>
      <c r="H31" s="4"/>
    </row>
    <row r="32" spans="1:9" x14ac:dyDescent="0.3">
      <c r="E32">
        <v>11</v>
      </c>
      <c r="F32" s="28">
        <v>980149537.73582935</v>
      </c>
      <c r="G32" s="4"/>
      <c r="H32" s="4"/>
    </row>
    <row r="33" spans="5:8" x14ac:dyDescent="0.3">
      <c r="E33">
        <v>12</v>
      </c>
      <c r="F33" s="28">
        <v>1052139326.2462509</v>
      </c>
      <c r="G33" s="4"/>
      <c r="H33" s="4"/>
    </row>
    <row r="34" spans="5:8" x14ac:dyDescent="0.3">
      <c r="E34">
        <v>13</v>
      </c>
      <c r="F34" s="28">
        <v>938556844.57724452</v>
      </c>
      <c r="G34" s="4"/>
      <c r="H34" s="4"/>
    </row>
    <row r="35" spans="5:8" x14ac:dyDescent="0.3">
      <c r="E35">
        <v>14</v>
      </c>
      <c r="F35" s="28">
        <v>1140954889.0858588</v>
      </c>
      <c r="G35" s="4"/>
      <c r="H35" s="4"/>
    </row>
    <row r="36" spans="5:8" x14ac:dyDescent="0.3">
      <c r="E36">
        <v>15</v>
      </c>
      <c r="F36" s="28">
        <v>753805274.91585422</v>
      </c>
      <c r="G36" s="4"/>
      <c r="H36" s="4"/>
    </row>
    <row r="37" spans="5:8" x14ac:dyDescent="0.3">
      <c r="E37">
        <v>16</v>
      </c>
      <c r="F37" s="28">
        <v>1025256655.4286406</v>
      </c>
      <c r="G37" s="4"/>
      <c r="H37" s="4"/>
    </row>
    <row r="38" spans="5:8" x14ac:dyDescent="0.3">
      <c r="E38">
        <v>17</v>
      </c>
      <c r="F38" s="28">
        <v>910106898.93960905</v>
      </c>
      <c r="G38" s="4"/>
      <c r="H38" s="4"/>
    </row>
    <row r="39" spans="5:8" x14ac:dyDescent="0.3">
      <c r="E39">
        <v>18</v>
      </c>
      <c r="F39" s="28">
        <v>1218688447.1232133</v>
      </c>
      <c r="G39" s="4"/>
      <c r="H39" s="4"/>
    </row>
    <row r="40" spans="5:8" x14ac:dyDescent="0.3">
      <c r="E40">
        <v>19</v>
      </c>
      <c r="F40" s="28">
        <v>994177530.97146666</v>
      </c>
      <c r="G40" s="4"/>
      <c r="H40" s="4"/>
    </row>
    <row r="41" spans="5:8" x14ac:dyDescent="0.3">
      <c r="E41">
        <v>20</v>
      </c>
      <c r="F41" s="28">
        <v>772865563.0904274</v>
      </c>
      <c r="G41" s="4"/>
      <c r="H41" s="4"/>
    </row>
    <row r="42" spans="5:8" x14ac:dyDescent="0.3">
      <c r="E42">
        <v>21</v>
      </c>
      <c r="F42" s="28">
        <v>853074142.7874403</v>
      </c>
      <c r="G42" s="4"/>
      <c r="H42" s="4"/>
    </row>
    <row r="43" spans="5:8" x14ac:dyDescent="0.3">
      <c r="E43">
        <v>22</v>
      </c>
      <c r="F43" s="28">
        <v>763596889.69157815</v>
      </c>
      <c r="G43" s="4"/>
      <c r="H43" s="4"/>
    </row>
    <row r="44" spans="5:8" x14ac:dyDescent="0.3">
      <c r="E44">
        <v>23</v>
      </c>
      <c r="F44" s="28">
        <v>1254459239.8866029</v>
      </c>
      <c r="G44" s="4"/>
      <c r="H44" s="4"/>
    </row>
    <row r="45" spans="5:8" x14ac:dyDescent="0.3">
      <c r="E45">
        <v>24</v>
      </c>
      <c r="F45" s="28">
        <v>1082911755.4037824</v>
      </c>
      <c r="G45" s="4"/>
      <c r="H45" s="4"/>
    </row>
    <row r="46" spans="5:8" x14ac:dyDescent="0.3">
      <c r="E46">
        <v>25</v>
      </c>
      <c r="F46" s="28">
        <v>993034830.80845571</v>
      </c>
      <c r="G46" s="4"/>
      <c r="H46" s="4"/>
    </row>
    <row r="47" spans="5:8" x14ac:dyDescent="0.3">
      <c r="E47">
        <v>26</v>
      </c>
      <c r="F47" s="28">
        <v>1021038146.2559521</v>
      </c>
      <c r="G47" s="4"/>
      <c r="H47" s="4"/>
    </row>
    <row r="48" spans="5:8" x14ac:dyDescent="0.3">
      <c r="E48">
        <v>27</v>
      </c>
      <c r="F48" s="28">
        <v>1193334014.0598381</v>
      </c>
      <c r="G48" s="4"/>
      <c r="H48" s="4"/>
    </row>
    <row r="49" spans="5:8" x14ac:dyDescent="0.3">
      <c r="E49">
        <v>28</v>
      </c>
      <c r="F49" s="28">
        <v>1126989410.6879089</v>
      </c>
      <c r="G49" s="4"/>
      <c r="H49" s="4"/>
    </row>
    <row r="50" spans="5:8" x14ac:dyDescent="0.3">
      <c r="E50">
        <v>29</v>
      </c>
      <c r="F50" s="28">
        <v>1313544614.3431482</v>
      </c>
      <c r="G50" s="4"/>
      <c r="H50" s="4"/>
    </row>
    <row r="51" spans="5:8" x14ac:dyDescent="0.3">
      <c r="E51">
        <v>30</v>
      </c>
      <c r="F51" s="28">
        <v>928886191.57044339</v>
      </c>
      <c r="G51" s="4"/>
      <c r="H51" s="4"/>
    </row>
    <row r="52" spans="5:8" x14ac:dyDescent="0.3">
      <c r="E52">
        <v>31</v>
      </c>
      <c r="F52" s="28">
        <v>801430835.62961543</v>
      </c>
      <c r="G52" s="4"/>
      <c r="H52" s="4"/>
    </row>
    <row r="53" spans="5:8" x14ac:dyDescent="0.3">
      <c r="E53">
        <v>32</v>
      </c>
      <c r="F53" s="28">
        <v>992083163.4867121</v>
      </c>
      <c r="G53" s="4"/>
      <c r="H53" s="4"/>
    </row>
    <row r="54" spans="5:8" x14ac:dyDescent="0.3">
      <c r="E54">
        <v>33</v>
      </c>
      <c r="F54" s="28">
        <v>1091855031.4714785</v>
      </c>
      <c r="G54" s="4"/>
      <c r="H54" s="4"/>
    </row>
    <row r="55" spans="5:8" x14ac:dyDescent="0.3">
      <c r="E55">
        <v>34</v>
      </c>
      <c r="F55" s="28">
        <v>1128812472.7759099</v>
      </c>
      <c r="G55" s="4"/>
      <c r="H55" s="4"/>
    </row>
    <row r="56" spans="5:8" x14ac:dyDescent="0.3">
      <c r="E56">
        <v>35</v>
      </c>
      <c r="F56" s="28">
        <v>935666639.6791805</v>
      </c>
      <c r="G56" s="4"/>
      <c r="H56" s="4"/>
    </row>
    <row r="57" spans="5:8" x14ac:dyDescent="0.3">
      <c r="E57">
        <v>36</v>
      </c>
      <c r="F57" s="28">
        <v>820713526.79627347</v>
      </c>
      <c r="G57" s="4"/>
      <c r="H57" s="4"/>
    </row>
    <row r="58" spans="5:8" x14ac:dyDescent="0.3">
      <c r="E58">
        <v>37</v>
      </c>
      <c r="F58" s="28">
        <v>849007549.56478333</v>
      </c>
      <c r="G58" s="4"/>
      <c r="H58" s="4"/>
    </row>
    <row r="59" spans="5:8" x14ac:dyDescent="0.3">
      <c r="E59">
        <v>38</v>
      </c>
      <c r="F59" s="28">
        <v>858984963.9977963</v>
      </c>
      <c r="G59" s="4"/>
      <c r="H59" s="4"/>
    </row>
    <row r="60" spans="5:8" x14ac:dyDescent="0.3">
      <c r="E60">
        <v>39</v>
      </c>
      <c r="F60" s="28">
        <v>803390016.50571525</v>
      </c>
      <c r="G60" s="4"/>
      <c r="H60" s="4"/>
    </row>
    <row r="61" spans="5:8" x14ac:dyDescent="0.3">
      <c r="E61">
        <v>40</v>
      </c>
      <c r="F61" s="28">
        <v>972817369.90698457</v>
      </c>
      <c r="G61" s="4"/>
      <c r="H61" s="4"/>
    </row>
    <row r="62" spans="5:8" x14ac:dyDescent="0.3">
      <c r="E62">
        <v>41</v>
      </c>
      <c r="F62" s="28">
        <v>1003358375.3281407</v>
      </c>
      <c r="G62" s="4"/>
      <c r="H62" s="4"/>
    </row>
    <row r="63" spans="5:8" x14ac:dyDescent="0.3">
      <c r="E63">
        <v>42</v>
      </c>
      <c r="F63" s="28">
        <v>797962007.44271481</v>
      </c>
      <c r="G63" s="4"/>
      <c r="H63" s="4"/>
    </row>
    <row r="64" spans="5:8" x14ac:dyDescent="0.3">
      <c r="E64">
        <v>43</v>
      </c>
      <c r="F64" s="28">
        <v>872751482.7885623</v>
      </c>
      <c r="G64" s="4"/>
      <c r="H64" s="4"/>
    </row>
    <row r="65" spans="5:8" x14ac:dyDescent="0.3">
      <c r="E65">
        <v>44</v>
      </c>
      <c r="F65" s="28">
        <v>948643417.87480879</v>
      </c>
      <c r="G65" s="4"/>
      <c r="H65" s="4"/>
    </row>
    <row r="66" spans="5:8" x14ac:dyDescent="0.3">
      <c r="E66">
        <v>45</v>
      </c>
      <c r="F66" s="28">
        <v>801911405.09206557</v>
      </c>
      <c r="G66" s="4"/>
      <c r="H66" s="4"/>
    </row>
    <row r="67" spans="5:8" x14ac:dyDescent="0.3">
      <c r="E67">
        <v>46</v>
      </c>
      <c r="F67" s="28">
        <v>926883851.28904176</v>
      </c>
      <c r="G67" s="4"/>
      <c r="H67" s="4"/>
    </row>
    <row r="68" spans="5:8" x14ac:dyDescent="0.3">
      <c r="E68">
        <v>47</v>
      </c>
      <c r="F68" s="28">
        <v>1117932010.5105052</v>
      </c>
      <c r="G68" s="4"/>
      <c r="H68" s="4"/>
    </row>
    <row r="69" spans="5:8" x14ac:dyDescent="0.3">
      <c r="E69">
        <v>48</v>
      </c>
      <c r="F69" s="28">
        <v>951456384.04146314</v>
      </c>
      <c r="G69" s="4"/>
      <c r="H69" s="4"/>
    </row>
    <row r="70" spans="5:8" x14ac:dyDescent="0.3">
      <c r="E70">
        <v>49</v>
      </c>
      <c r="F70" s="28">
        <v>840558063.78900993</v>
      </c>
      <c r="G70" s="4"/>
      <c r="H70" s="4"/>
    </row>
    <row r="71" spans="5:8" x14ac:dyDescent="0.3">
      <c r="E71">
        <v>50</v>
      </c>
      <c r="F71" s="28">
        <v>882782366.5477407</v>
      </c>
      <c r="G71" s="4"/>
      <c r="H71" s="4"/>
    </row>
    <row r="72" spans="5:8" x14ac:dyDescent="0.3">
      <c r="E72">
        <v>51</v>
      </c>
      <c r="F72" s="28">
        <v>975339181.9137001</v>
      </c>
      <c r="G72" s="4"/>
      <c r="H72" s="4"/>
    </row>
    <row r="73" spans="5:8" x14ac:dyDescent="0.3">
      <c r="E73">
        <v>52</v>
      </c>
      <c r="F73" s="28">
        <v>841562121.95789933</v>
      </c>
      <c r="G73" s="4"/>
      <c r="H73" s="4"/>
    </row>
    <row r="74" spans="5:8" x14ac:dyDescent="0.3">
      <c r="E74">
        <v>53</v>
      </c>
      <c r="F74" s="28">
        <v>1155079857.1682286</v>
      </c>
      <c r="G74" s="4"/>
      <c r="H74" s="4"/>
    </row>
    <row r="75" spans="5:8" x14ac:dyDescent="0.3">
      <c r="E75">
        <v>54</v>
      </c>
      <c r="F75" s="28">
        <v>1123794361.2931423</v>
      </c>
      <c r="G75" s="4"/>
      <c r="H75" s="4"/>
    </row>
    <row r="76" spans="5:8" x14ac:dyDescent="0.3">
      <c r="E76">
        <v>55</v>
      </c>
      <c r="F76" s="28">
        <v>1087288756.4066863</v>
      </c>
      <c r="G76" s="4"/>
      <c r="H76" s="4"/>
    </row>
    <row r="77" spans="5:8" x14ac:dyDescent="0.3">
      <c r="E77">
        <v>56</v>
      </c>
      <c r="F77" s="28">
        <v>1120732561.2044668</v>
      </c>
      <c r="G77" s="4"/>
      <c r="H77" s="4"/>
    </row>
    <row r="78" spans="5:8" x14ac:dyDescent="0.3">
      <c r="E78">
        <v>57</v>
      </c>
      <c r="F78" s="28">
        <v>1042850748.6655116</v>
      </c>
      <c r="G78" s="4"/>
      <c r="H78" s="4"/>
    </row>
    <row r="79" spans="5:8" x14ac:dyDescent="0.3">
      <c r="E79">
        <v>58</v>
      </c>
      <c r="F79" s="28">
        <v>992318809.12086606</v>
      </c>
      <c r="G79" s="4"/>
      <c r="H79" s="4"/>
    </row>
    <row r="80" spans="5:8" x14ac:dyDescent="0.3">
      <c r="E80">
        <v>59</v>
      </c>
      <c r="F80" s="28">
        <v>1253124646.7442601</v>
      </c>
      <c r="G80" s="4"/>
      <c r="H80" s="4"/>
    </row>
    <row r="81" spans="5:8" x14ac:dyDescent="0.3">
      <c r="E81">
        <v>60</v>
      </c>
      <c r="F81" s="28">
        <v>831204263.78619897</v>
      </c>
      <c r="G81" s="4"/>
      <c r="H81" s="4"/>
    </row>
    <row r="82" spans="5:8" x14ac:dyDescent="0.3">
      <c r="E82">
        <v>61</v>
      </c>
      <c r="F82" s="28">
        <v>1026415237.0883656</v>
      </c>
      <c r="G82" s="4"/>
      <c r="H82" s="4"/>
    </row>
    <row r="83" spans="5:8" x14ac:dyDescent="0.3">
      <c r="E83">
        <v>62</v>
      </c>
      <c r="F83" s="28">
        <v>1067558150.5326047</v>
      </c>
      <c r="G83" s="4"/>
      <c r="H83" s="4"/>
    </row>
    <row r="84" spans="5:8" x14ac:dyDescent="0.3">
      <c r="E84">
        <v>63</v>
      </c>
      <c r="F84" s="28">
        <v>701169238.48218167</v>
      </c>
      <c r="G84" s="4"/>
      <c r="H84" s="4"/>
    </row>
    <row r="85" spans="5:8" x14ac:dyDescent="0.3">
      <c r="E85">
        <v>64</v>
      </c>
      <c r="F85" s="28">
        <v>1174469305.4373043</v>
      </c>
      <c r="G85" s="4"/>
      <c r="H85" s="4"/>
    </row>
    <row r="86" spans="5:8" x14ac:dyDescent="0.3">
      <c r="E86">
        <v>65</v>
      </c>
      <c r="F86" s="28">
        <v>899267932.55867338</v>
      </c>
      <c r="G86" s="4"/>
      <c r="H86" s="4"/>
    </row>
    <row r="87" spans="5:8" x14ac:dyDescent="0.3">
      <c r="E87">
        <v>66</v>
      </c>
      <c r="F87" s="28">
        <v>814505210.01877499</v>
      </c>
      <c r="G87" s="4"/>
      <c r="H87" s="4"/>
    </row>
    <row r="88" spans="5:8" x14ac:dyDescent="0.3">
      <c r="E88">
        <v>67</v>
      </c>
      <c r="F88" s="28">
        <v>673156542.09185743</v>
      </c>
      <c r="G88" s="4"/>
      <c r="H88" s="4"/>
    </row>
    <row r="89" spans="5:8" x14ac:dyDescent="0.3">
      <c r="E89">
        <v>68</v>
      </c>
      <c r="F89" s="28">
        <v>679193235.89464855</v>
      </c>
      <c r="G89" s="4"/>
      <c r="H89" s="4"/>
    </row>
    <row r="90" spans="5:8" x14ac:dyDescent="0.3">
      <c r="E90">
        <v>69</v>
      </c>
      <c r="F90" s="28">
        <v>1088518330.9487221</v>
      </c>
      <c r="G90" s="4"/>
      <c r="H90" s="4"/>
    </row>
    <row r="91" spans="5:8" x14ac:dyDescent="0.3">
      <c r="E91">
        <v>70</v>
      </c>
      <c r="F91" s="28">
        <v>1227353939.0305331</v>
      </c>
      <c r="G91" s="4"/>
      <c r="H91" s="4"/>
    </row>
    <row r="92" spans="5:8" x14ac:dyDescent="0.3">
      <c r="E92">
        <v>71</v>
      </c>
      <c r="F92" s="28">
        <v>1057662505.3988115</v>
      </c>
      <c r="G92" s="4"/>
      <c r="H92" s="4"/>
    </row>
    <row r="93" spans="5:8" x14ac:dyDescent="0.3">
      <c r="E93">
        <v>72</v>
      </c>
      <c r="F93" s="28">
        <v>1019389942.3884231</v>
      </c>
      <c r="G93" s="4"/>
      <c r="H93" s="4"/>
    </row>
    <row r="94" spans="5:8" x14ac:dyDescent="0.3">
      <c r="E94">
        <v>73</v>
      </c>
      <c r="F94" s="28">
        <v>719851398.70436192</v>
      </c>
      <c r="G94" s="4"/>
      <c r="H94" s="4"/>
    </row>
    <row r="95" spans="5:8" x14ac:dyDescent="0.3">
      <c r="E95">
        <v>74</v>
      </c>
      <c r="F95" s="28">
        <v>1039729501.3362515</v>
      </c>
      <c r="G95" s="4"/>
      <c r="H95" s="4"/>
    </row>
    <row r="96" spans="5:8" x14ac:dyDescent="0.3">
      <c r="E96">
        <v>75</v>
      </c>
      <c r="F96" s="28">
        <v>732782650.73330855</v>
      </c>
      <c r="G96" s="4"/>
      <c r="H96" s="4"/>
    </row>
    <row r="97" spans="5:8" x14ac:dyDescent="0.3">
      <c r="E97">
        <v>76</v>
      </c>
      <c r="F97" s="28">
        <v>877758171.10588253</v>
      </c>
      <c r="G97" s="4"/>
      <c r="H97" s="4"/>
    </row>
    <row r="98" spans="5:8" x14ac:dyDescent="0.3">
      <c r="E98">
        <v>77</v>
      </c>
      <c r="F98" s="28">
        <v>1166719664.7649508</v>
      </c>
      <c r="G98" s="4"/>
      <c r="H98" s="4"/>
    </row>
    <row r="99" spans="5:8" x14ac:dyDescent="0.3">
      <c r="E99">
        <v>78</v>
      </c>
      <c r="F99" s="28">
        <v>1004797986.8364279</v>
      </c>
      <c r="G99" s="4"/>
      <c r="H99" s="4"/>
    </row>
    <row r="100" spans="5:8" x14ac:dyDescent="0.3">
      <c r="E100">
        <v>79</v>
      </c>
      <c r="F100" s="28">
        <v>890642267.92521024</v>
      </c>
      <c r="G100" s="4"/>
      <c r="H100" s="4"/>
    </row>
    <row r="101" spans="5:8" x14ac:dyDescent="0.3">
      <c r="E101">
        <v>80</v>
      </c>
      <c r="F101" s="28">
        <v>982206810.23563194</v>
      </c>
      <c r="G101" s="4"/>
      <c r="H101" s="4"/>
    </row>
    <row r="102" spans="5:8" x14ac:dyDescent="0.3">
      <c r="E102">
        <v>81</v>
      </c>
      <c r="F102" s="28">
        <v>1099270600.060087</v>
      </c>
      <c r="G102" s="4"/>
      <c r="H102" s="4"/>
    </row>
    <row r="103" spans="5:8" x14ac:dyDescent="0.3">
      <c r="E103">
        <v>82</v>
      </c>
      <c r="F103" s="28">
        <v>894436558.89956522</v>
      </c>
      <c r="G103" s="4"/>
      <c r="H103" s="4"/>
    </row>
    <row r="104" spans="5:8" x14ac:dyDescent="0.3">
      <c r="E104">
        <v>83</v>
      </c>
      <c r="F104" s="28">
        <v>791254107.86665642</v>
      </c>
      <c r="G104" s="4"/>
      <c r="H104" s="4"/>
    </row>
    <row r="105" spans="5:8" x14ac:dyDescent="0.3">
      <c r="E105">
        <v>84</v>
      </c>
      <c r="F105" s="28">
        <v>968078855.30544829</v>
      </c>
      <c r="G105" s="4"/>
      <c r="H105" s="4"/>
    </row>
    <row r="106" spans="5:8" x14ac:dyDescent="0.3">
      <c r="E106">
        <v>85</v>
      </c>
      <c r="F106" s="28">
        <v>918961205.99703443</v>
      </c>
      <c r="G106" s="4"/>
      <c r="H106" s="4"/>
    </row>
    <row r="107" spans="5:8" x14ac:dyDescent="0.3">
      <c r="E107">
        <v>86</v>
      </c>
      <c r="F107" s="28">
        <v>1106280142.3572469</v>
      </c>
      <c r="G107" s="4"/>
      <c r="H107" s="4"/>
    </row>
    <row r="108" spans="5:8" x14ac:dyDescent="0.3">
      <c r="E108">
        <v>87</v>
      </c>
      <c r="F108" s="28">
        <v>1203723114.6462579</v>
      </c>
      <c r="G108" s="4"/>
      <c r="H108" s="4"/>
    </row>
    <row r="109" spans="5:8" x14ac:dyDescent="0.3">
      <c r="E109">
        <v>88</v>
      </c>
      <c r="F109" s="28">
        <v>971660900.6780746</v>
      </c>
      <c r="G109" s="4"/>
      <c r="H109" s="4"/>
    </row>
    <row r="110" spans="5:8" x14ac:dyDescent="0.3">
      <c r="E110">
        <v>89</v>
      </c>
      <c r="F110" s="28">
        <v>956720991.12808454</v>
      </c>
      <c r="G110" s="4"/>
      <c r="H110" s="4"/>
    </row>
    <row r="111" spans="5:8" x14ac:dyDescent="0.3">
      <c r="E111">
        <v>90</v>
      </c>
      <c r="F111" s="28">
        <v>1211481223.3357346</v>
      </c>
      <c r="G111" s="4"/>
      <c r="H111" s="4"/>
    </row>
    <row r="112" spans="5:8" x14ac:dyDescent="0.3">
      <c r="E112">
        <v>91</v>
      </c>
      <c r="F112" s="28">
        <v>971728034.53010833</v>
      </c>
      <c r="G112" s="4"/>
      <c r="H112" s="4"/>
    </row>
    <row r="113" spans="5:8" x14ac:dyDescent="0.3">
      <c r="E113">
        <v>92</v>
      </c>
      <c r="F113" s="28">
        <v>983002874.57838297</v>
      </c>
      <c r="G113" s="4"/>
      <c r="H113" s="4"/>
    </row>
    <row r="114" spans="5:8" x14ac:dyDescent="0.3">
      <c r="E114">
        <v>93</v>
      </c>
      <c r="F114" s="28">
        <v>1026308011.0775568</v>
      </c>
      <c r="G114" s="4"/>
      <c r="H114" s="4"/>
    </row>
    <row r="115" spans="5:8" x14ac:dyDescent="0.3">
      <c r="E115">
        <v>94</v>
      </c>
      <c r="F115" s="28">
        <v>832655488.47050786</v>
      </c>
      <c r="G115" s="4"/>
      <c r="H115" s="4"/>
    </row>
    <row r="116" spans="5:8" x14ac:dyDescent="0.3">
      <c r="E116">
        <v>95</v>
      </c>
      <c r="F116" s="28">
        <v>1178475909.6403971</v>
      </c>
      <c r="G116" s="4"/>
      <c r="H116" s="4"/>
    </row>
    <row r="117" spans="5:8" x14ac:dyDescent="0.3">
      <c r="E117">
        <v>96</v>
      </c>
      <c r="F117" s="28">
        <v>1186557776.9630895</v>
      </c>
      <c r="G117" s="4"/>
      <c r="H117" s="4"/>
    </row>
    <row r="118" spans="5:8" x14ac:dyDescent="0.3">
      <c r="E118">
        <v>97</v>
      </c>
      <c r="F118" s="28">
        <v>970596368.38937473</v>
      </c>
      <c r="G118" s="4"/>
      <c r="H118" s="4"/>
    </row>
    <row r="119" spans="5:8" x14ac:dyDescent="0.3">
      <c r="E119">
        <v>98</v>
      </c>
      <c r="F119" s="28">
        <v>997985852.85882616</v>
      </c>
      <c r="G119" s="4"/>
      <c r="H119" s="4"/>
    </row>
    <row r="120" spans="5:8" x14ac:dyDescent="0.3">
      <c r="E120">
        <v>99</v>
      </c>
      <c r="F120" s="28">
        <v>928655693.42428303</v>
      </c>
      <c r="G120" s="4"/>
      <c r="H120" s="4"/>
    </row>
    <row r="121" spans="5:8" x14ac:dyDescent="0.3">
      <c r="E121">
        <v>100</v>
      </c>
      <c r="F121" s="28">
        <v>868782597.5654906</v>
      </c>
      <c r="G121" s="4"/>
      <c r="H121" s="4"/>
    </row>
    <row r="122" spans="5:8" x14ac:dyDescent="0.3">
      <c r="E122">
        <v>101</v>
      </c>
      <c r="F122" s="28">
        <v>825139476.162395</v>
      </c>
      <c r="G122" s="4"/>
      <c r="H122" s="4"/>
    </row>
    <row r="123" spans="5:8" x14ac:dyDescent="0.3">
      <c r="E123">
        <v>102</v>
      </c>
      <c r="F123" s="28">
        <v>953368742.23765612</v>
      </c>
      <c r="G123" s="4"/>
      <c r="H123" s="4"/>
    </row>
    <row r="124" spans="5:8" x14ac:dyDescent="0.3">
      <c r="E124">
        <v>103</v>
      </c>
      <c r="F124" s="28">
        <v>1008784993.6723735</v>
      </c>
      <c r="G124" s="4"/>
      <c r="H124" s="4"/>
    </row>
    <row r="125" spans="5:8" x14ac:dyDescent="0.3">
      <c r="E125">
        <v>104</v>
      </c>
      <c r="F125" s="28">
        <v>1072600440.6898806</v>
      </c>
      <c r="G125" s="4"/>
      <c r="H125" s="4"/>
    </row>
    <row r="126" spans="5:8" x14ac:dyDescent="0.3">
      <c r="E126">
        <v>105</v>
      </c>
      <c r="F126" s="28">
        <v>1031716224.857025</v>
      </c>
      <c r="G126" s="4"/>
      <c r="H126" s="4"/>
    </row>
    <row r="127" spans="5:8" x14ac:dyDescent="0.3">
      <c r="E127">
        <v>106</v>
      </c>
      <c r="F127" s="28">
        <v>802040442.72740746</v>
      </c>
      <c r="G127" s="4"/>
      <c r="H127" s="4"/>
    </row>
    <row r="128" spans="5:8" x14ac:dyDescent="0.3">
      <c r="E128">
        <v>107</v>
      </c>
      <c r="F128" s="28">
        <v>783516951.43231142</v>
      </c>
      <c r="G128" s="4"/>
      <c r="H128" s="4"/>
    </row>
    <row r="129" spans="5:8" x14ac:dyDescent="0.3">
      <c r="E129">
        <v>108</v>
      </c>
      <c r="F129" s="28">
        <v>951209575.5149467</v>
      </c>
      <c r="G129" s="4"/>
      <c r="H129" s="4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3C04-6B00-486D-B781-A66C466308A8}">
  <dimension ref="A1:I129"/>
  <sheetViews>
    <sheetView workbookViewId="0">
      <selection activeCell="B48" sqref="B48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17.44140625" customWidth="1"/>
    <col min="6" max="8" width="18.44140625" customWidth="1"/>
    <col min="9" max="9" width="12" bestFit="1" customWidth="1"/>
  </cols>
  <sheetData>
    <row r="1" spans="1:8" ht="18" customHeight="1" x14ac:dyDescent="0.3">
      <c r="B1" s="27" t="str">
        <f>Mappings!B6</f>
        <v>New-improved</v>
      </c>
      <c r="C1" s="41" t="str">
        <f>Mappings!B7</f>
        <v>Local-only</v>
      </c>
      <c r="D1" s="41" t="str">
        <f>Mappings!B8</f>
        <v>Extant-improved</v>
      </c>
      <c r="F1" s="2" t="s">
        <v>120</v>
      </c>
      <c r="G1" s="2"/>
      <c r="H1" s="2"/>
    </row>
    <row r="3" spans="1:8" x14ac:dyDescent="0.3">
      <c r="A3" t="s">
        <v>45</v>
      </c>
      <c r="B3" s="28">
        <f>Mappings!N6</f>
        <v>1048.1530828713855</v>
      </c>
      <c r="C3" s="28">
        <f>Mappings!N7</f>
        <v>269.08297731335256</v>
      </c>
      <c r="D3" s="28">
        <f>Mappings!N8</f>
        <v>1177.4869003216895</v>
      </c>
    </row>
    <row r="4" spans="1:8" x14ac:dyDescent="0.3">
      <c r="A4" t="s">
        <v>46</v>
      </c>
      <c r="B4" s="28">
        <f ca="1">_xlfn.NORM.INV(RAND(),Mappings!N6,Mappings!O6)</f>
        <v>1304.242138316479</v>
      </c>
      <c r="C4" s="28">
        <f ca="1">_xlfn.NORM.INV(RAND(),Mappings!N7,Mappings!O7)</f>
        <v>269.54782823150015</v>
      </c>
      <c r="D4" s="28">
        <f ca="1">_xlfn.NORM.INV(RAND(),Mappings!N8,Mappings!O8)</f>
        <v>1237.5476280003375</v>
      </c>
    </row>
    <row r="5" spans="1:8" x14ac:dyDescent="0.3">
      <c r="A5" t="s">
        <v>47</v>
      </c>
      <c r="B5" s="28">
        <f>Mappings!F6</f>
        <v>2.1531240709119301</v>
      </c>
      <c r="C5" s="28">
        <f>Mappings!F7</f>
        <v>9.5092811270676005</v>
      </c>
      <c r="D5" s="28">
        <f>Mappings!F8</f>
        <v>3.2256487206449256</v>
      </c>
    </row>
    <row r="6" spans="1:8" x14ac:dyDescent="0.3">
      <c r="A6" t="s">
        <v>48</v>
      </c>
      <c r="B6" s="28">
        <f ca="1">_xlfn.NORM.INV(RAND(),B5,B5*Mappings!E4)</f>
        <v>2.3855010168951285</v>
      </c>
      <c r="C6" s="28">
        <f ca="1">_xlfn.NORM.INV(RAND(),C5,C5*Mappings!E3)</f>
        <v>9.5546539777108084</v>
      </c>
      <c r="D6" s="28">
        <f ca="1">_xlfn.NORM.INV(RAND(),D5,D5*Mappings!E4)</f>
        <v>3.7553326429288267</v>
      </c>
    </row>
    <row r="7" spans="1:8" x14ac:dyDescent="0.3">
      <c r="A7" t="s">
        <v>44</v>
      </c>
      <c r="B7" s="28">
        <f>Mappings!V6</f>
        <v>6564.1137406830849</v>
      </c>
      <c r="C7" s="28">
        <f>Mappings!V7</f>
        <v>6573.4606657701306</v>
      </c>
      <c r="D7" s="28">
        <f>Mappings!V8</f>
        <v>7091.5443852009785</v>
      </c>
    </row>
    <row r="8" spans="1:8" x14ac:dyDescent="0.3">
      <c r="A8" t="s">
        <v>49</v>
      </c>
      <c r="B8" s="28">
        <f ca="1">_xlfn.NORM.INV(RAND(), B7, B7 * 25/100)</f>
        <v>7194.5163818263027</v>
      </c>
      <c r="C8" s="28">
        <f ca="1">_xlfn.NORM.INV(RAND(), C7, C7* 25/100)</f>
        <v>7355.8524532433958</v>
      </c>
      <c r="D8" s="28">
        <f ca="1">_xlfn.NORM.INV(RAND(), D7, D7* 25/100)</f>
        <v>5469.8428313038776</v>
      </c>
    </row>
    <row r="9" spans="1:8" x14ac:dyDescent="0.3">
      <c r="A9" t="str">
        <f>MC_Baseline!A9</f>
        <v>Reduction in non-dairy income through crop area change</v>
      </c>
      <c r="B9" s="28">
        <f>Mappings!Q6</f>
        <v>43.822221326998871</v>
      </c>
      <c r="C9" s="28">
        <f>Mappings!Q7</f>
        <v>34.550781801963971</v>
      </c>
      <c r="D9" s="28">
        <f>Mappings!Q8</f>
        <v>146.44465190833213</v>
      </c>
    </row>
    <row r="10" spans="1:8" x14ac:dyDescent="0.3">
      <c r="A10" t="str">
        <f>MC_Baseline!A10</f>
        <v>Random value reduction/increase in non-dairy income (USD/yr)</v>
      </c>
      <c r="B10" s="28">
        <f ca="1">IF(B9&gt;0,_xlfn.NORM.INV(RAND(),B9,B9*Dairy_Income_Roadmap!L36),_xlfn.NORM.INV(RAND(),ABS(B9),ABS(B9)*Dairy_Income_Roadmap!L36))</f>
        <v>112.37822044313572</v>
      </c>
      <c r="C10" s="28">
        <f ca="1">IF(C9&gt;0,_xlfn.NORM.INV(RAND(),C9,C9*Dairy_Income_Roadmap!L36),_xlfn.NORM.INV(RAND(),ABS(C9),ABS(C9)*Dairy_Income_Roadmap!L36))</f>
        <v>45.582612631581235</v>
      </c>
      <c r="D10" s="28">
        <f ca="1">IF(D9&gt;0,_xlfn.NORM.INV(RAND(),D9,D9*Dairy_Income_Roadmap!L38),_xlfn.NORM.INV(RAND(),ABS(D9),ABS(D9)*Dairy_Income_Roadmap!L38))</f>
        <v>437.47323954638102</v>
      </c>
    </row>
    <row r="11" spans="1:8" x14ac:dyDescent="0.3">
      <c r="A11" t="s">
        <v>50</v>
      </c>
      <c r="B11" s="28">
        <f>Mappings!D6</f>
        <v>27769.23501258215</v>
      </c>
      <c r="C11" s="28">
        <f>Mappings!D7</f>
        <v>51571.43645193828</v>
      </c>
      <c r="D11" s="28">
        <f>Mappings!D8</f>
        <v>27803.992397123129</v>
      </c>
    </row>
    <row r="12" spans="1:8" x14ac:dyDescent="0.3">
      <c r="A12" t="s">
        <v>51</v>
      </c>
      <c r="B12" s="28">
        <f>Mappings!Z6*Mappings!D6</f>
        <v>721.06174561253715</v>
      </c>
      <c r="C12" s="28">
        <f>Mappings!Z7*Mappings!D7</f>
        <v>1339.1146704232833</v>
      </c>
      <c r="D12" s="28">
        <f>Mappings!Z8*D11</f>
        <v>721.96426310567983</v>
      </c>
    </row>
    <row r="13" spans="1:8" x14ac:dyDescent="0.3">
      <c r="B13" s="28"/>
      <c r="C13" s="28"/>
      <c r="D13" s="28"/>
    </row>
    <row r="14" spans="1:8" x14ac:dyDescent="0.3">
      <c r="A14" t="s">
        <v>42</v>
      </c>
      <c r="B14" s="28">
        <f ca="1">B4*B6</f>
        <v>3111.2709472314373</v>
      </c>
      <c r="C14" s="28">
        <f ca="1">C4*C6</f>
        <v>2575.4362291954126</v>
      </c>
      <c r="D14" s="28">
        <f ca="1">D4*D6</f>
        <v>4647.4030046088074</v>
      </c>
    </row>
    <row r="15" spans="1:8" x14ac:dyDescent="0.3">
      <c r="A15" t="s">
        <v>43</v>
      </c>
      <c r="B15" s="28">
        <f ca="1">D8-IF(D9&gt;0,D10,(-1)*D10)</f>
        <v>5032.3695917574969</v>
      </c>
      <c r="C15" s="28">
        <f t="shared" ref="C15:D15" ca="1" si="0">C8-C10</f>
        <v>7310.2698406118143</v>
      </c>
      <c r="D15" s="28">
        <f t="shared" ca="1" si="0"/>
        <v>5032.3695917574969</v>
      </c>
    </row>
    <row r="16" spans="1:8" x14ac:dyDescent="0.3">
      <c r="A16" t="s">
        <v>50</v>
      </c>
      <c r="B16" s="28">
        <f ca="1">_xlfn.NORM.INV(RAND(),B11,B12)</f>
        <v>27526.134288396242</v>
      </c>
      <c r="C16" s="28">
        <f ca="1">_xlfn.NORM.INV(RAND(),C11,C12)</f>
        <v>50835.643859934753</v>
      </c>
      <c r="D16" s="28">
        <f t="shared" ref="D16" ca="1" si="1">_xlfn.NORM.INV(RAND(),D11,D12)</f>
        <v>28256.838724008423</v>
      </c>
    </row>
    <row r="17" spans="1:9" x14ac:dyDescent="0.3">
      <c r="B17" s="28"/>
      <c r="C17" s="28"/>
      <c r="D17" s="28"/>
    </row>
    <row r="18" spans="1:9" x14ac:dyDescent="0.3">
      <c r="A18" t="s">
        <v>52</v>
      </c>
      <c r="B18" s="38">
        <f ca="1">(B14+B15)*B16</f>
        <v>224162943.07263696</v>
      </c>
      <c r="C18" s="38">
        <f ca="1">(C14+C15)*C16</f>
        <v>502546233.06871551</v>
      </c>
      <c r="D18" s="38">
        <f ca="1">(D14+D15)*D16</f>
        <v>273519773.14059889</v>
      </c>
      <c r="F18" s="30">
        <f ca="1">B18+C18+D18</f>
        <v>1000228949.2819513</v>
      </c>
      <c r="G18" s="30"/>
      <c r="H18" s="30"/>
    </row>
    <row r="19" spans="1:9" x14ac:dyDescent="0.3">
      <c r="A19" t="s">
        <v>59</v>
      </c>
      <c r="B19" s="36" t="s">
        <v>58</v>
      </c>
      <c r="C19" s="36" t="s">
        <v>58</v>
      </c>
      <c r="D19" s="36" t="s">
        <v>58</v>
      </c>
      <c r="E19" s="4"/>
      <c r="F19" s="30">
        <f ca="1">STDEV(F22:F129)</f>
        <v>143577509.44045854</v>
      </c>
      <c r="G19" s="30"/>
      <c r="H19" s="42" t="s">
        <v>62</v>
      </c>
      <c r="I19" s="2"/>
    </row>
    <row r="20" spans="1:9" x14ac:dyDescent="0.3">
      <c r="A20" t="s">
        <v>53</v>
      </c>
      <c r="B20" s="36" t="s">
        <v>58</v>
      </c>
      <c r="C20" s="36" t="s">
        <v>58</v>
      </c>
      <c r="D20" s="36" t="s">
        <v>58</v>
      </c>
      <c r="E20" s="4"/>
      <c r="F20" s="30">
        <f ca="1">AVERAGE(F22:F129)</f>
        <v>1025440434.2606989</v>
      </c>
      <c r="G20" s="30"/>
      <c r="H20" s="42"/>
      <c r="I20" s="43">
        <f ca="1">100*F19/F20</f>
        <v>14.001545545058608</v>
      </c>
    </row>
    <row r="21" spans="1:9" x14ac:dyDescent="0.3">
      <c r="F21" s="4"/>
      <c r="G21" s="4"/>
      <c r="H21" s="4"/>
    </row>
    <row r="22" spans="1:9" x14ac:dyDescent="0.3">
      <c r="B22" s="4"/>
      <c r="E22">
        <v>1</v>
      </c>
      <c r="F22" s="30">
        <f ca="1">F18</f>
        <v>1000228949.2819513</v>
      </c>
      <c r="G22" s="37"/>
      <c r="H22" s="37"/>
    </row>
    <row r="23" spans="1:9" x14ac:dyDescent="0.3">
      <c r="E23">
        <v>2</v>
      </c>
      <c r="F23" s="30">
        <f t="dataTable" ref="F23:F129" dt2D="0" dtr="0" r1="F21" ca="1"/>
        <v>1185910747.8006363</v>
      </c>
      <c r="G23" s="37"/>
      <c r="H23" s="37"/>
    </row>
    <row r="24" spans="1:9" x14ac:dyDescent="0.3">
      <c r="E24">
        <v>3</v>
      </c>
      <c r="F24" s="30">
        <v>823440327.85419142</v>
      </c>
      <c r="G24" s="37"/>
      <c r="H24" s="37"/>
    </row>
    <row r="25" spans="1:9" x14ac:dyDescent="0.3">
      <c r="E25">
        <v>4</v>
      </c>
      <c r="F25" s="30">
        <v>987990197.39776278</v>
      </c>
      <c r="G25" s="37"/>
      <c r="H25" s="37"/>
    </row>
    <row r="26" spans="1:9" x14ac:dyDescent="0.3">
      <c r="E26">
        <v>5</v>
      </c>
      <c r="F26" s="30">
        <v>993647669.60291171</v>
      </c>
      <c r="G26" s="37"/>
      <c r="H26" s="37"/>
    </row>
    <row r="27" spans="1:9" x14ac:dyDescent="0.3">
      <c r="E27">
        <v>6</v>
      </c>
      <c r="F27" s="30">
        <v>1047479603.4553792</v>
      </c>
      <c r="G27" s="37"/>
      <c r="H27" s="37"/>
    </row>
    <row r="28" spans="1:9" x14ac:dyDescent="0.3">
      <c r="E28">
        <v>7</v>
      </c>
      <c r="F28" s="30">
        <v>1114826082.6342659</v>
      </c>
      <c r="G28" s="37"/>
      <c r="H28" s="37"/>
    </row>
    <row r="29" spans="1:9" x14ac:dyDescent="0.3">
      <c r="E29">
        <v>8</v>
      </c>
      <c r="F29" s="30">
        <v>1146369457.4032538</v>
      </c>
      <c r="G29" s="37"/>
      <c r="H29" s="37"/>
    </row>
    <row r="30" spans="1:9" x14ac:dyDescent="0.3">
      <c r="E30">
        <v>9</v>
      </c>
      <c r="F30" s="30">
        <v>829177569.19650722</v>
      </c>
      <c r="G30" s="37"/>
      <c r="H30" s="37"/>
    </row>
    <row r="31" spans="1:9" x14ac:dyDescent="0.3">
      <c r="E31">
        <v>10</v>
      </c>
      <c r="F31" s="30">
        <v>1272542845.1911237</v>
      </c>
      <c r="G31" s="37"/>
      <c r="H31" s="37"/>
    </row>
    <row r="32" spans="1:9" x14ac:dyDescent="0.3">
      <c r="E32">
        <v>11</v>
      </c>
      <c r="F32" s="30">
        <v>1005773929.1152909</v>
      </c>
      <c r="G32" s="37"/>
      <c r="H32" s="37"/>
    </row>
    <row r="33" spans="5:8" x14ac:dyDescent="0.3">
      <c r="E33">
        <v>12</v>
      </c>
      <c r="F33" s="30">
        <v>997505878.23755968</v>
      </c>
      <c r="G33" s="37"/>
      <c r="H33" s="37"/>
    </row>
    <row r="34" spans="5:8" x14ac:dyDescent="0.3">
      <c r="E34">
        <v>13</v>
      </c>
      <c r="F34" s="30">
        <v>1148676458.2495072</v>
      </c>
      <c r="G34" s="37"/>
      <c r="H34" s="37"/>
    </row>
    <row r="35" spans="5:8" x14ac:dyDescent="0.3">
      <c r="E35">
        <v>14</v>
      </c>
      <c r="F35" s="30">
        <v>1105606367.0562363</v>
      </c>
      <c r="G35" s="37"/>
      <c r="H35" s="37"/>
    </row>
    <row r="36" spans="5:8" x14ac:dyDescent="0.3">
      <c r="E36">
        <v>15</v>
      </c>
      <c r="F36" s="30">
        <v>826309407.66191733</v>
      </c>
      <c r="G36" s="37"/>
      <c r="H36" s="37"/>
    </row>
    <row r="37" spans="5:8" x14ac:dyDescent="0.3">
      <c r="E37">
        <v>16</v>
      </c>
      <c r="F37" s="30">
        <v>913665474.26724446</v>
      </c>
      <c r="G37" s="37"/>
      <c r="H37" s="37"/>
    </row>
    <row r="38" spans="5:8" x14ac:dyDescent="0.3">
      <c r="E38">
        <v>17</v>
      </c>
      <c r="F38" s="30">
        <v>1013705682.0678854</v>
      </c>
      <c r="G38" s="37"/>
      <c r="H38" s="37"/>
    </row>
    <row r="39" spans="5:8" x14ac:dyDescent="0.3">
      <c r="E39">
        <v>18</v>
      </c>
      <c r="F39" s="30">
        <v>1009311042.4611354</v>
      </c>
      <c r="G39" s="37"/>
      <c r="H39" s="37"/>
    </row>
    <row r="40" spans="5:8" x14ac:dyDescent="0.3">
      <c r="E40">
        <v>19</v>
      </c>
      <c r="F40" s="30">
        <v>1009335148.8260555</v>
      </c>
      <c r="G40" s="37"/>
      <c r="H40" s="37"/>
    </row>
    <row r="41" spans="5:8" x14ac:dyDescent="0.3">
      <c r="E41">
        <v>20</v>
      </c>
      <c r="F41" s="30">
        <v>998353320.42310274</v>
      </c>
      <c r="G41" s="37"/>
      <c r="H41" s="37"/>
    </row>
    <row r="42" spans="5:8" x14ac:dyDescent="0.3">
      <c r="E42">
        <v>21</v>
      </c>
      <c r="F42" s="30">
        <v>975186220.56274819</v>
      </c>
      <c r="G42" s="37"/>
      <c r="H42" s="37"/>
    </row>
    <row r="43" spans="5:8" x14ac:dyDescent="0.3">
      <c r="E43">
        <v>22</v>
      </c>
      <c r="F43" s="30">
        <v>836831541.17982292</v>
      </c>
      <c r="G43" s="37"/>
      <c r="H43" s="37"/>
    </row>
    <row r="44" spans="5:8" x14ac:dyDescent="0.3">
      <c r="E44">
        <v>23</v>
      </c>
      <c r="F44" s="30">
        <v>940708749.01231372</v>
      </c>
      <c r="G44" s="37"/>
      <c r="H44" s="37"/>
    </row>
    <row r="45" spans="5:8" x14ac:dyDescent="0.3">
      <c r="E45">
        <v>24</v>
      </c>
      <c r="F45" s="30">
        <v>1021923491.8303478</v>
      </c>
      <c r="G45" s="37"/>
      <c r="H45" s="37"/>
    </row>
    <row r="46" spans="5:8" x14ac:dyDescent="0.3">
      <c r="E46">
        <v>25</v>
      </c>
      <c r="F46" s="30">
        <v>1024495510.1092989</v>
      </c>
      <c r="G46" s="37"/>
      <c r="H46" s="37"/>
    </row>
    <row r="47" spans="5:8" x14ac:dyDescent="0.3">
      <c r="E47">
        <v>26</v>
      </c>
      <c r="F47" s="30">
        <v>1268951172.3718951</v>
      </c>
      <c r="G47" s="37"/>
      <c r="H47" s="37"/>
    </row>
    <row r="48" spans="5:8" x14ac:dyDescent="0.3">
      <c r="E48">
        <v>27</v>
      </c>
      <c r="F48" s="30">
        <v>766399484.64390409</v>
      </c>
      <c r="G48" s="37"/>
      <c r="H48" s="37"/>
    </row>
    <row r="49" spans="5:8" x14ac:dyDescent="0.3">
      <c r="E49">
        <v>28</v>
      </c>
      <c r="F49" s="30">
        <v>691830525.2144016</v>
      </c>
      <c r="G49" s="37"/>
      <c r="H49" s="37"/>
    </row>
    <row r="50" spans="5:8" x14ac:dyDescent="0.3">
      <c r="E50">
        <v>29</v>
      </c>
      <c r="F50" s="30">
        <v>1196921292.7188213</v>
      </c>
      <c r="G50" s="37"/>
      <c r="H50" s="37"/>
    </row>
    <row r="51" spans="5:8" x14ac:dyDescent="0.3">
      <c r="E51">
        <v>30</v>
      </c>
      <c r="F51" s="30">
        <v>1204179892.0043426</v>
      </c>
      <c r="G51" s="37"/>
      <c r="H51" s="37"/>
    </row>
    <row r="52" spans="5:8" x14ac:dyDescent="0.3">
      <c r="E52">
        <v>31</v>
      </c>
      <c r="F52" s="30">
        <v>1258962991.8924873</v>
      </c>
      <c r="G52" s="37"/>
      <c r="H52" s="37"/>
    </row>
    <row r="53" spans="5:8" x14ac:dyDescent="0.3">
      <c r="E53">
        <v>32</v>
      </c>
      <c r="F53" s="30">
        <v>820405412.27846909</v>
      </c>
      <c r="G53" s="37"/>
      <c r="H53" s="37"/>
    </row>
    <row r="54" spans="5:8" x14ac:dyDescent="0.3">
      <c r="E54">
        <v>33</v>
      </c>
      <c r="F54" s="30">
        <v>1103199323.8836803</v>
      </c>
      <c r="G54" s="37"/>
      <c r="H54" s="37"/>
    </row>
    <row r="55" spans="5:8" x14ac:dyDescent="0.3">
      <c r="E55">
        <v>34</v>
      </c>
      <c r="F55" s="30">
        <v>1211658831.0359144</v>
      </c>
      <c r="G55" s="37"/>
      <c r="H55" s="37"/>
    </row>
    <row r="56" spans="5:8" x14ac:dyDescent="0.3">
      <c r="E56">
        <v>35</v>
      </c>
      <c r="F56" s="30">
        <v>915025181.83639908</v>
      </c>
      <c r="G56" s="37"/>
      <c r="H56" s="37"/>
    </row>
    <row r="57" spans="5:8" x14ac:dyDescent="0.3">
      <c r="E57">
        <v>36</v>
      </c>
      <c r="F57" s="30">
        <v>859734846.09629226</v>
      </c>
      <c r="G57" s="37"/>
      <c r="H57" s="37"/>
    </row>
    <row r="58" spans="5:8" x14ac:dyDescent="0.3">
      <c r="E58">
        <v>37</v>
      </c>
      <c r="F58" s="30">
        <v>1013377562.6582026</v>
      </c>
      <c r="G58" s="37"/>
      <c r="H58" s="37"/>
    </row>
    <row r="59" spans="5:8" x14ac:dyDescent="0.3">
      <c r="E59">
        <v>38</v>
      </c>
      <c r="F59" s="30">
        <v>1344154263.4727278</v>
      </c>
      <c r="G59" s="37"/>
      <c r="H59" s="37"/>
    </row>
    <row r="60" spans="5:8" x14ac:dyDescent="0.3">
      <c r="E60">
        <v>39</v>
      </c>
      <c r="F60" s="30">
        <v>1068073353.3145804</v>
      </c>
      <c r="G60" s="37"/>
      <c r="H60" s="37"/>
    </row>
    <row r="61" spans="5:8" x14ac:dyDescent="0.3">
      <c r="E61">
        <v>40</v>
      </c>
      <c r="F61" s="30">
        <v>809508537.26782537</v>
      </c>
      <c r="G61" s="37"/>
      <c r="H61" s="37"/>
    </row>
    <row r="62" spans="5:8" x14ac:dyDescent="0.3">
      <c r="E62">
        <v>41</v>
      </c>
      <c r="F62" s="30">
        <v>1177977085.8793397</v>
      </c>
      <c r="G62" s="37"/>
      <c r="H62" s="37"/>
    </row>
    <row r="63" spans="5:8" x14ac:dyDescent="0.3">
      <c r="E63">
        <v>42</v>
      </c>
      <c r="F63" s="30">
        <v>1188794016.8727231</v>
      </c>
      <c r="G63" s="37"/>
      <c r="H63" s="37"/>
    </row>
    <row r="64" spans="5:8" x14ac:dyDescent="0.3">
      <c r="E64">
        <v>43</v>
      </c>
      <c r="F64" s="30">
        <v>985229996.72339499</v>
      </c>
      <c r="G64" s="37"/>
      <c r="H64" s="37"/>
    </row>
    <row r="65" spans="5:8" x14ac:dyDescent="0.3">
      <c r="E65">
        <v>44</v>
      </c>
      <c r="F65" s="30">
        <v>1043472828.2276776</v>
      </c>
      <c r="G65" s="37"/>
      <c r="H65" s="37"/>
    </row>
    <row r="66" spans="5:8" x14ac:dyDescent="0.3">
      <c r="E66">
        <v>45</v>
      </c>
      <c r="F66" s="30">
        <v>994095661.87321675</v>
      </c>
      <c r="G66" s="37"/>
      <c r="H66" s="37"/>
    </row>
    <row r="67" spans="5:8" x14ac:dyDescent="0.3">
      <c r="E67">
        <v>46</v>
      </c>
      <c r="F67" s="30">
        <v>1178778151.0582089</v>
      </c>
      <c r="G67" s="37"/>
      <c r="H67" s="37"/>
    </row>
    <row r="68" spans="5:8" x14ac:dyDescent="0.3">
      <c r="E68">
        <v>47</v>
      </c>
      <c r="F68" s="30">
        <v>1000320822.0553935</v>
      </c>
      <c r="G68" s="37"/>
      <c r="H68" s="37"/>
    </row>
    <row r="69" spans="5:8" x14ac:dyDescent="0.3">
      <c r="E69">
        <v>48</v>
      </c>
      <c r="F69" s="30">
        <v>1061788441.354234</v>
      </c>
      <c r="G69" s="37"/>
      <c r="H69" s="37"/>
    </row>
    <row r="70" spans="5:8" x14ac:dyDescent="0.3">
      <c r="E70">
        <v>49</v>
      </c>
      <c r="F70" s="30">
        <v>967918659.88093305</v>
      </c>
      <c r="G70" s="37"/>
      <c r="H70" s="37"/>
    </row>
    <row r="71" spans="5:8" x14ac:dyDescent="0.3">
      <c r="E71">
        <v>50</v>
      </c>
      <c r="F71" s="30">
        <v>1231735382.4677885</v>
      </c>
      <c r="G71" s="37"/>
      <c r="H71" s="37"/>
    </row>
    <row r="72" spans="5:8" x14ac:dyDescent="0.3">
      <c r="E72">
        <v>51</v>
      </c>
      <c r="F72" s="30">
        <v>1215750525.7050281</v>
      </c>
      <c r="G72" s="37"/>
      <c r="H72" s="37"/>
    </row>
    <row r="73" spans="5:8" x14ac:dyDescent="0.3">
      <c r="E73">
        <v>52</v>
      </c>
      <c r="F73" s="30">
        <v>958239037.45009363</v>
      </c>
      <c r="G73" s="37"/>
      <c r="H73" s="37"/>
    </row>
    <row r="74" spans="5:8" x14ac:dyDescent="0.3">
      <c r="E74">
        <v>53</v>
      </c>
      <c r="F74" s="30">
        <v>783050762.25474799</v>
      </c>
      <c r="G74" s="37"/>
      <c r="H74" s="37"/>
    </row>
    <row r="75" spans="5:8" x14ac:dyDescent="0.3">
      <c r="E75">
        <v>54</v>
      </c>
      <c r="F75" s="30">
        <v>1078203635.9026387</v>
      </c>
      <c r="G75" s="37"/>
      <c r="H75" s="37"/>
    </row>
    <row r="76" spans="5:8" x14ac:dyDescent="0.3">
      <c r="E76">
        <v>55</v>
      </c>
      <c r="F76" s="30">
        <v>1015753439.8347285</v>
      </c>
      <c r="G76" s="37"/>
      <c r="H76" s="37"/>
    </row>
    <row r="77" spans="5:8" x14ac:dyDescent="0.3">
      <c r="E77">
        <v>56</v>
      </c>
      <c r="F77" s="30">
        <v>1053747732.4645243</v>
      </c>
      <c r="G77" s="37"/>
      <c r="H77" s="37"/>
    </row>
    <row r="78" spans="5:8" x14ac:dyDescent="0.3">
      <c r="E78">
        <v>57</v>
      </c>
      <c r="F78" s="30">
        <v>1181367410.030395</v>
      </c>
      <c r="G78" s="37"/>
      <c r="H78" s="37"/>
    </row>
    <row r="79" spans="5:8" x14ac:dyDescent="0.3">
      <c r="E79">
        <v>58</v>
      </c>
      <c r="F79" s="30">
        <v>846535262.93495953</v>
      </c>
      <c r="G79" s="37"/>
      <c r="H79" s="37"/>
    </row>
    <row r="80" spans="5:8" x14ac:dyDescent="0.3">
      <c r="E80">
        <v>59</v>
      </c>
      <c r="F80" s="30">
        <v>1121819706.8199525</v>
      </c>
      <c r="G80" s="37"/>
      <c r="H80" s="37"/>
    </row>
    <row r="81" spans="5:8" x14ac:dyDescent="0.3">
      <c r="E81">
        <v>60</v>
      </c>
      <c r="F81" s="30">
        <v>1289019930.5996916</v>
      </c>
      <c r="G81" s="37"/>
      <c r="H81" s="37"/>
    </row>
    <row r="82" spans="5:8" x14ac:dyDescent="0.3">
      <c r="E82">
        <v>61</v>
      </c>
      <c r="F82" s="30">
        <v>1273052218.7973347</v>
      </c>
      <c r="G82" s="37"/>
      <c r="H82" s="37"/>
    </row>
    <row r="83" spans="5:8" x14ac:dyDescent="0.3">
      <c r="E83">
        <v>62</v>
      </c>
      <c r="F83" s="30">
        <v>1210194837.3045487</v>
      </c>
      <c r="G83" s="37"/>
      <c r="H83" s="37"/>
    </row>
    <row r="84" spans="5:8" x14ac:dyDescent="0.3">
      <c r="E84">
        <v>63</v>
      </c>
      <c r="F84" s="30">
        <v>850371474.4868114</v>
      </c>
      <c r="G84" s="37"/>
      <c r="H84" s="37"/>
    </row>
    <row r="85" spans="5:8" x14ac:dyDescent="0.3">
      <c r="E85">
        <v>64</v>
      </c>
      <c r="F85" s="30">
        <v>1094267420.5593598</v>
      </c>
      <c r="G85" s="37"/>
      <c r="H85" s="37"/>
    </row>
    <row r="86" spans="5:8" x14ac:dyDescent="0.3">
      <c r="E86">
        <v>65</v>
      </c>
      <c r="F86" s="30">
        <v>1125581752.8881621</v>
      </c>
      <c r="G86" s="37"/>
      <c r="H86" s="37"/>
    </row>
    <row r="87" spans="5:8" x14ac:dyDescent="0.3">
      <c r="E87">
        <v>66</v>
      </c>
      <c r="F87" s="30">
        <v>1037053649.3379505</v>
      </c>
      <c r="G87" s="37"/>
      <c r="H87" s="37"/>
    </row>
    <row r="88" spans="5:8" x14ac:dyDescent="0.3">
      <c r="E88">
        <v>67</v>
      </c>
      <c r="F88" s="30">
        <v>808892314.65772772</v>
      </c>
      <c r="G88" s="37"/>
      <c r="H88" s="37"/>
    </row>
    <row r="89" spans="5:8" x14ac:dyDescent="0.3">
      <c r="E89">
        <v>68</v>
      </c>
      <c r="F89" s="30">
        <v>954926724.51247835</v>
      </c>
      <c r="G89" s="37"/>
      <c r="H89" s="37"/>
    </row>
    <row r="90" spans="5:8" x14ac:dyDescent="0.3">
      <c r="E90">
        <v>69</v>
      </c>
      <c r="F90" s="30">
        <v>820621591.74420571</v>
      </c>
      <c r="G90" s="37"/>
      <c r="H90" s="37"/>
    </row>
    <row r="91" spans="5:8" x14ac:dyDescent="0.3">
      <c r="E91">
        <v>70</v>
      </c>
      <c r="F91" s="30">
        <v>1024214965.4214154</v>
      </c>
      <c r="G91" s="37"/>
      <c r="H91" s="37"/>
    </row>
    <row r="92" spans="5:8" x14ac:dyDescent="0.3">
      <c r="E92">
        <v>71</v>
      </c>
      <c r="F92" s="30">
        <v>925744969.90452433</v>
      </c>
      <c r="G92" s="37"/>
      <c r="H92" s="37"/>
    </row>
    <row r="93" spans="5:8" x14ac:dyDescent="0.3">
      <c r="E93">
        <v>72</v>
      </c>
      <c r="F93" s="30">
        <v>974030346.8289299</v>
      </c>
      <c r="G93" s="37"/>
      <c r="H93" s="37"/>
    </row>
    <row r="94" spans="5:8" x14ac:dyDescent="0.3">
      <c r="E94">
        <v>73</v>
      </c>
      <c r="F94" s="30">
        <v>1018840673.4889772</v>
      </c>
      <c r="G94" s="37"/>
      <c r="H94" s="37"/>
    </row>
    <row r="95" spans="5:8" x14ac:dyDescent="0.3">
      <c r="E95">
        <v>74</v>
      </c>
      <c r="F95" s="30">
        <v>979140908.34694481</v>
      </c>
      <c r="G95" s="37"/>
      <c r="H95" s="37"/>
    </row>
    <row r="96" spans="5:8" x14ac:dyDescent="0.3">
      <c r="E96">
        <v>75</v>
      </c>
      <c r="F96" s="30">
        <v>899655461.66112304</v>
      </c>
      <c r="G96" s="37"/>
      <c r="H96" s="37"/>
    </row>
    <row r="97" spans="5:8" x14ac:dyDescent="0.3">
      <c r="E97">
        <v>76</v>
      </c>
      <c r="F97" s="30">
        <v>936334486.86219943</v>
      </c>
      <c r="G97" s="37"/>
      <c r="H97" s="37"/>
    </row>
    <row r="98" spans="5:8" x14ac:dyDescent="0.3">
      <c r="E98">
        <v>77</v>
      </c>
      <c r="F98" s="30">
        <v>1123133891.9396157</v>
      </c>
      <c r="G98" s="37"/>
      <c r="H98" s="37"/>
    </row>
    <row r="99" spans="5:8" x14ac:dyDescent="0.3">
      <c r="E99">
        <v>78</v>
      </c>
      <c r="F99" s="30">
        <v>1015923292.2198349</v>
      </c>
      <c r="G99" s="37"/>
      <c r="H99" s="37"/>
    </row>
    <row r="100" spans="5:8" x14ac:dyDescent="0.3">
      <c r="E100">
        <v>79</v>
      </c>
      <c r="F100" s="30">
        <v>1156734291.7553144</v>
      </c>
      <c r="G100" s="37"/>
      <c r="H100" s="37"/>
    </row>
    <row r="101" spans="5:8" x14ac:dyDescent="0.3">
      <c r="E101">
        <v>80</v>
      </c>
      <c r="F101" s="30">
        <v>1005475828.9549379</v>
      </c>
      <c r="G101" s="37"/>
      <c r="H101" s="37"/>
    </row>
    <row r="102" spans="5:8" x14ac:dyDescent="0.3">
      <c r="E102">
        <v>81</v>
      </c>
      <c r="F102" s="30">
        <v>1068883845.5595698</v>
      </c>
      <c r="G102" s="37"/>
      <c r="H102" s="37"/>
    </row>
    <row r="103" spans="5:8" x14ac:dyDescent="0.3">
      <c r="E103">
        <v>82</v>
      </c>
      <c r="F103" s="30">
        <v>1027634173.5364854</v>
      </c>
      <c r="G103" s="37"/>
      <c r="H103" s="37"/>
    </row>
    <row r="104" spans="5:8" x14ac:dyDescent="0.3">
      <c r="E104">
        <v>83</v>
      </c>
      <c r="F104" s="30">
        <v>1130324234.9193177</v>
      </c>
      <c r="G104" s="37"/>
      <c r="H104" s="37"/>
    </row>
    <row r="105" spans="5:8" x14ac:dyDescent="0.3">
      <c r="E105">
        <v>84</v>
      </c>
      <c r="F105" s="30">
        <v>841316434.26863408</v>
      </c>
      <c r="G105" s="37"/>
      <c r="H105" s="37"/>
    </row>
    <row r="106" spans="5:8" x14ac:dyDescent="0.3">
      <c r="E106">
        <v>85</v>
      </c>
      <c r="F106" s="30">
        <v>1034380807.2771027</v>
      </c>
      <c r="G106" s="37"/>
      <c r="H106" s="37"/>
    </row>
    <row r="107" spans="5:8" x14ac:dyDescent="0.3">
      <c r="E107">
        <v>86</v>
      </c>
      <c r="F107" s="30">
        <v>900800586.89387751</v>
      </c>
      <c r="G107" s="37"/>
      <c r="H107" s="37"/>
    </row>
    <row r="108" spans="5:8" x14ac:dyDescent="0.3">
      <c r="E108">
        <v>87</v>
      </c>
      <c r="F108" s="30">
        <v>1013800578.9258466</v>
      </c>
      <c r="G108" s="37"/>
      <c r="H108" s="37"/>
    </row>
    <row r="109" spans="5:8" x14ac:dyDescent="0.3">
      <c r="E109">
        <v>88</v>
      </c>
      <c r="F109" s="30">
        <v>1099322454.0017614</v>
      </c>
      <c r="G109" s="37"/>
      <c r="H109" s="37"/>
    </row>
    <row r="110" spans="5:8" x14ac:dyDescent="0.3">
      <c r="E110">
        <v>89</v>
      </c>
      <c r="F110" s="30">
        <v>1236015433.3810182</v>
      </c>
      <c r="G110" s="37"/>
      <c r="H110" s="37"/>
    </row>
    <row r="111" spans="5:8" x14ac:dyDescent="0.3">
      <c r="E111">
        <v>90</v>
      </c>
      <c r="F111" s="30">
        <v>1308141590.1484964</v>
      </c>
      <c r="G111" s="37"/>
      <c r="H111" s="37"/>
    </row>
    <row r="112" spans="5:8" x14ac:dyDescent="0.3">
      <c r="E112">
        <v>91</v>
      </c>
      <c r="F112" s="30">
        <v>846409041.45828938</v>
      </c>
      <c r="G112" s="37"/>
      <c r="H112" s="37"/>
    </row>
    <row r="113" spans="5:8" x14ac:dyDescent="0.3">
      <c r="E113">
        <v>92</v>
      </c>
      <c r="F113" s="30">
        <v>812326990.83096659</v>
      </c>
      <c r="G113" s="37"/>
      <c r="H113" s="37"/>
    </row>
    <row r="114" spans="5:8" x14ac:dyDescent="0.3">
      <c r="E114">
        <v>93</v>
      </c>
      <c r="F114" s="30">
        <v>823775840.42678308</v>
      </c>
      <c r="G114" s="37"/>
      <c r="H114" s="37"/>
    </row>
    <row r="115" spans="5:8" x14ac:dyDescent="0.3">
      <c r="E115">
        <v>94</v>
      </c>
      <c r="F115" s="30">
        <v>916078453.63695908</v>
      </c>
      <c r="G115" s="37"/>
      <c r="H115" s="37"/>
    </row>
    <row r="116" spans="5:8" x14ac:dyDescent="0.3">
      <c r="E116">
        <v>95</v>
      </c>
      <c r="F116" s="30">
        <v>1058101242.0201473</v>
      </c>
      <c r="G116" s="37"/>
      <c r="H116" s="37"/>
    </row>
    <row r="117" spans="5:8" x14ac:dyDescent="0.3">
      <c r="E117">
        <v>96</v>
      </c>
      <c r="F117" s="30">
        <v>1095843286.4150815</v>
      </c>
      <c r="G117" s="37"/>
      <c r="H117" s="37"/>
    </row>
    <row r="118" spans="5:8" x14ac:dyDescent="0.3">
      <c r="E118">
        <v>97</v>
      </c>
      <c r="F118" s="30">
        <v>1059700314.0644228</v>
      </c>
      <c r="G118" s="37"/>
      <c r="H118" s="37"/>
    </row>
    <row r="119" spans="5:8" x14ac:dyDescent="0.3">
      <c r="E119">
        <v>98</v>
      </c>
      <c r="F119" s="30">
        <v>1154052515.5413022</v>
      </c>
      <c r="G119" s="37"/>
      <c r="H119" s="37"/>
    </row>
    <row r="120" spans="5:8" x14ac:dyDescent="0.3">
      <c r="E120">
        <v>99</v>
      </c>
      <c r="F120" s="30">
        <v>920594202.56046915</v>
      </c>
      <c r="G120" s="37"/>
      <c r="H120" s="37"/>
    </row>
    <row r="121" spans="5:8" x14ac:dyDescent="0.3">
      <c r="E121">
        <v>100</v>
      </c>
      <c r="F121" s="30">
        <v>643352196.71198583</v>
      </c>
      <c r="G121" s="37"/>
      <c r="H121" s="37"/>
    </row>
    <row r="122" spans="5:8" x14ac:dyDescent="0.3">
      <c r="E122">
        <v>101</v>
      </c>
      <c r="F122" s="30">
        <v>919849486.10584259</v>
      </c>
      <c r="G122" s="37"/>
      <c r="H122" s="37"/>
    </row>
    <row r="123" spans="5:8" x14ac:dyDescent="0.3">
      <c r="E123">
        <v>102</v>
      </c>
      <c r="F123" s="30">
        <v>1052422030.2032468</v>
      </c>
      <c r="G123" s="37"/>
      <c r="H123" s="37"/>
    </row>
    <row r="124" spans="5:8" x14ac:dyDescent="0.3">
      <c r="E124">
        <v>103</v>
      </c>
      <c r="F124" s="30">
        <v>865272081.7139014</v>
      </c>
      <c r="G124" s="37"/>
      <c r="H124" s="37"/>
    </row>
    <row r="125" spans="5:8" x14ac:dyDescent="0.3">
      <c r="E125">
        <v>104</v>
      </c>
      <c r="F125" s="30">
        <v>1100138421.8478315</v>
      </c>
      <c r="G125" s="37"/>
      <c r="H125" s="37"/>
    </row>
    <row r="126" spans="5:8" x14ac:dyDescent="0.3">
      <c r="E126">
        <v>105</v>
      </c>
      <c r="F126" s="30">
        <v>1173162889.1277952</v>
      </c>
      <c r="G126" s="37"/>
      <c r="H126" s="37"/>
    </row>
    <row r="127" spans="5:8" x14ac:dyDescent="0.3">
      <c r="E127">
        <v>106</v>
      </c>
      <c r="F127" s="30">
        <v>1067406967.4094676</v>
      </c>
      <c r="G127" s="37"/>
      <c r="H127" s="37"/>
    </row>
    <row r="128" spans="5:8" x14ac:dyDescent="0.3">
      <c r="E128">
        <v>107</v>
      </c>
      <c r="F128" s="30">
        <v>1205388768.594681</v>
      </c>
      <c r="G128" s="37"/>
      <c r="H128" s="37"/>
    </row>
    <row r="129" spans="5:8" x14ac:dyDescent="0.3">
      <c r="E129">
        <v>108</v>
      </c>
      <c r="F129" s="30">
        <v>1003898098.9437914</v>
      </c>
      <c r="G129" s="37"/>
      <c r="H129" s="37"/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B755-8EAF-4A6C-95FD-10B6760A73E8}">
  <dimension ref="A1:K129"/>
  <sheetViews>
    <sheetView workbookViewId="0">
      <selection activeCell="D5" sqref="D5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21" customWidth="1"/>
    <col min="6" max="8" width="18.6640625" customWidth="1"/>
  </cols>
  <sheetData>
    <row r="1" spans="1:11" ht="18" customHeight="1" x14ac:dyDescent="0.3">
      <c r="B1" s="27" t="str">
        <f>Mappings!B6</f>
        <v>New-improved</v>
      </c>
      <c r="C1" s="89" t="str">
        <f>Mappings!B7</f>
        <v>Local-only</v>
      </c>
      <c r="D1" s="89" t="str">
        <f>Mappings!B8</f>
        <v>Extant-improved</v>
      </c>
      <c r="F1" s="2" t="str">
        <f>MC_Status_quo!F1</f>
        <v>All dairy households</v>
      </c>
      <c r="G1" s="2"/>
      <c r="H1" s="2"/>
    </row>
    <row r="3" spans="1:11" x14ac:dyDescent="0.3">
      <c r="A3" t="str">
        <f>MC_High_ambition!A3</f>
        <v>Income per cow (USD/day)</v>
      </c>
      <c r="B3" s="17">
        <f>Mappings!N18</f>
        <v>1048.1530828713855</v>
      </c>
      <c r="C3" s="17">
        <f>Mappings!N19</f>
        <v>269.08297731335256</v>
      </c>
      <c r="D3" s="40">
        <f>Mappings!N15</f>
        <v>269.08297731335256</v>
      </c>
    </row>
    <row r="4" spans="1:11" x14ac:dyDescent="0.3">
      <c r="A4" t="str">
        <f>MC_High_ambition!A4</f>
        <v>Random value income per cow (USD/day)</v>
      </c>
      <c r="B4" s="17">
        <f ca="1">_xlfn.NORM.INV(RAND(),Mappings!N18,Mappings!O18)</f>
        <v>1404.6375655931652</v>
      </c>
      <c r="C4" s="17">
        <f ca="1">_xlfn.NORM.INV(RAND(),Mappings!N19,Mappings!O19)</f>
        <v>264.81210706211226</v>
      </c>
      <c r="D4" s="17">
        <f ca="1">_xlfn.NORM.INV(RAND(),Mappings!N20,Mappings!O20)</f>
        <v>1005.5053943686274</v>
      </c>
    </row>
    <row r="5" spans="1:11" x14ac:dyDescent="0.3">
      <c r="A5" t="str">
        <f>MC_High_ambition!A5</f>
        <v>Average number of cows per household (head)</v>
      </c>
      <c r="B5" s="17">
        <f>Mappings!F18*Mappings!I18</f>
        <v>1.0631764271303563</v>
      </c>
      <c r="C5" s="17">
        <f>Mappings!F19*Mappings!I19</f>
        <v>4.6955229704769739</v>
      </c>
      <c r="D5" s="17">
        <f>Mappings!F20*Mappings!I20</f>
        <v>2.0619152251974224</v>
      </c>
    </row>
    <row r="6" spans="1:11" x14ac:dyDescent="0.3">
      <c r="A6" t="str">
        <f>MC_High_ambition!A6</f>
        <v>Random value cows per household (head)</v>
      </c>
      <c r="B6" s="17">
        <f ca="1">_xlfn.NORM.INV(RAND(),B5,B5*Mappings!E4)</f>
        <v>1.1852655822928455</v>
      </c>
      <c r="C6" s="17">
        <f ca="1">_xlfn.NORM.INV(RAND(),C5,C5*Mappings!E3)</f>
        <v>4.3957408361638493</v>
      </c>
      <c r="D6" s="17">
        <f ca="1">_xlfn.NORM.INV(RAND(),D5,D5*Mappings!E4)</f>
        <v>1.4897675139279665</v>
      </c>
    </row>
    <row r="7" spans="1:11" x14ac:dyDescent="0.3">
      <c r="A7" t="str">
        <f>MC_High_ambition!A7</f>
        <v>Estimated non dairy income (USD/person/day)</v>
      </c>
      <c r="B7" s="17">
        <f>Mappings!V18</f>
        <v>6530.4838223773359</v>
      </c>
      <c r="C7" s="17">
        <f>Mappings!V19</f>
        <v>6542.318064147893</v>
      </c>
      <c r="D7" s="17">
        <f>Mappings!V20</f>
        <v>7133.8586666491456</v>
      </c>
    </row>
    <row r="8" spans="1:11" x14ac:dyDescent="0.3">
      <c r="A8" t="str">
        <f>MC_High_ambition!A8</f>
        <v>Random value non dairy income (USD/person/day)</v>
      </c>
      <c r="B8" s="17">
        <f ca="1">_xlfn.NORM.INV(RAND(), B7, B7 * 25/100)</f>
        <v>5231.8537042913122</v>
      </c>
      <c r="C8" s="17">
        <f ca="1">_xlfn.NORM.INV(RAND(), C7, C7* 25/100)</f>
        <v>5522.8205555242403</v>
      </c>
      <c r="D8" s="17">
        <f ca="1">_xlfn.NORM.INV(RAND(), D7, D7* 25/100)</f>
        <v>10574.594091804654</v>
      </c>
      <c r="K8" s="44"/>
    </row>
    <row r="9" spans="1:11" x14ac:dyDescent="0.3">
      <c r="A9" t="str">
        <f>MC_Status_quo!A9</f>
        <v>Reduction in non-dairy income through crop area change</v>
      </c>
      <c r="B9" s="17">
        <f>Mappings!Q18</f>
        <v>77.180545150068085</v>
      </c>
      <c r="C9" s="17">
        <f>Mappings!Q19</f>
        <v>65.441876456506094</v>
      </c>
      <c r="D9" s="17">
        <f>Mappings!Q20</f>
        <v>104.53517526933695</v>
      </c>
      <c r="K9" s="44"/>
    </row>
    <row r="10" spans="1:11" x14ac:dyDescent="0.3">
      <c r="A10" t="str">
        <f>MC_Status_quo!A10</f>
        <v>Random value reduction/increase in non-dairy income (USD/yr)</v>
      </c>
      <c r="B10" s="17">
        <f ca="1">IF(B9&gt;=0,_xlfn.NORM.INV(RAND(),B9,B9*Dairy_Income_Roadmap!L36),_xlfn.NORM.INV(RAND(),ABS(B9),ABS(B9)*Dairy_Income_Roadmap!L36))</f>
        <v>113.47700852752303</v>
      </c>
      <c r="C10" s="17">
        <f ca="1">IF(C9&gt;0,_xlfn.NORM.INV(RAND(),C9,C9*Dairy_Income_Roadmap!L36),_xlfn.NORM.INV(RAND(),ABS(C9),ABS(C9)*Dairy_Income_Roadmap!L36))</f>
        <v>129.52835340773953</v>
      </c>
      <c r="D10" s="17">
        <f ca="1">IF(D9&gt;0,_xlfn.NORM.INV(RAND(),D9,D9*Dairy_Income_Roadmap!L38),_xlfn.NORM.INV(RAND(),ABS(D9),ABS(D9)*Dairy_Income_Roadmap!L38))</f>
        <v>31.22311601432807</v>
      </c>
      <c r="K10" s="44"/>
    </row>
    <row r="11" spans="1:11" x14ac:dyDescent="0.3">
      <c r="A11" t="str">
        <f>MC_High_ambition!A11</f>
        <v>Quantity households</v>
      </c>
      <c r="B11" s="17">
        <f>Mappings!D18</f>
        <v>27769.23501258215</v>
      </c>
      <c r="C11" s="4">
        <f>Mappings!D19</f>
        <v>51571.436451938287</v>
      </c>
      <c r="D11" s="4">
        <f>Mappings!D20</f>
        <v>27803.992397123129</v>
      </c>
    </row>
    <row r="12" spans="1:11" x14ac:dyDescent="0.3">
      <c r="A12" t="str">
        <f>MC_High_ambition!A12</f>
        <v>SD quantity households</v>
      </c>
      <c r="B12" s="17">
        <f>Mappings!Z18*Mappings!D18</f>
        <v>721.06174561253715</v>
      </c>
      <c r="C12" s="17">
        <f>Mappings!Z19*Mappings!D19</f>
        <v>1339.1146704232835</v>
      </c>
      <c r="D12" s="4">
        <f>Mappings!Z20*Mappings!D20</f>
        <v>721.96426310567983</v>
      </c>
    </row>
    <row r="13" spans="1:11" x14ac:dyDescent="0.3">
      <c r="B13" s="17"/>
    </row>
    <row r="14" spans="1:11" x14ac:dyDescent="0.3">
      <c r="A14" t="str">
        <f>MC_High_ambition!A14</f>
        <v>Dairy Income (USD/household/year)</v>
      </c>
      <c r="B14" s="17">
        <f ca="1">B4*B6</f>
        <v>1664.8685620931878</v>
      </c>
      <c r="C14" s="17">
        <f ca="1">C4*C6</f>
        <v>1164.04539292352</v>
      </c>
      <c r="D14" s="17">
        <f ca="1">D4*D6</f>
        <v>1497.9692716097095</v>
      </c>
    </row>
    <row r="15" spans="1:11" x14ac:dyDescent="0.3">
      <c r="A15" t="str">
        <f>MC_High_ambition!A15</f>
        <v>Non dairy income (USD/household/year)</v>
      </c>
      <c r="B15" s="17">
        <f ca="1">B8-IF(B9&gt;0,B10,(-1)*B10)</f>
        <v>5118.376695763789</v>
      </c>
      <c r="C15" s="17">
        <f ca="1">C8-IF(C9&gt;0,C10,(-1)*C10)</f>
        <v>5393.2922021165004</v>
      </c>
      <c r="D15" s="17">
        <f ca="1">D8-IF(D9&gt;0,D10,(-1)*D10)</f>
        <v>10543.370975790327</v>
      </c>
    </row>
    <row r="16" spans="1:11" x14ac:dyDescent="0.3">
      <c r="A16" t="str">
        <f>MC_High_ambition!A16</f>
        <v>Quantity households</v>
      </c>
      <c r="B16" s="17">
        <f ca="1">_xlfn.NORM.INV(RAND(),B11,B12)</f>
        <v>28149.167408843747</v>
      </c>
      <c r="C16" s="17">
        <f ca="1">_xlfn.NORM.INV(RAND(),C11,C12)</f>
        <v>51024.166278266253</v>
      </c>
      <c r="D16" s="17">
        <f t="shared" ref="D16" ca="1" si="0">_xlfn.NORM.INV(RAND(),D11,D12)</f>
        <v>28002.464191982872</v>
      </c>
    </row>
    <row r="18" spans="1:9" x14ac:dyDescent="0.3">
      <c r="A18" t="str">
        <f>MC_High_ambition!A18</f>
        <v>Estimated population income (USD/yr)</v>
      </c>
      <c r="B18" s="9">
        <f ca="1">(B14+B15)*B16</f>
        <v>190942706.33866152</v>
      </c>
      <c r="C18" s="9">
        <f ca="1">(C14+C15)*C16</f>
        <v>334582683.79204857</v>
      </c>
      <c r="D18" s="9">
        <f ca="1">(D14+D15)*D16</f>
        <v>337187199.10130167</v>
      </c>
      <c r="F18" s="30">
        <f ca="1">B18+C18+D18</f>
        <v>862712589.2320118</v>
      </c>
      <c r="G18" s="37"/>
      <c r="H18" s="37"/>
    </row>
    <row r="19" spans="1:9" x14ac:dyDescent="0.3">
      <c r="A19" t="s">
        <v>59</v>
      </c>
      <c r="B19" s="36" t="s">
        <v>58</v>
      </c>
      <c r="C19" s="36" t="s">
        <v>58</v>
      </c>
      <c r="D19" s="36" t="s">
        <v>58</v>
      </c>
      <c r="E19" s="4"/>
      <c r="F19" s="30">
        <f ca="1">STDEV(F22:F129)</f>
        <v>117862152.06529197</v>
      </c>
      <c r="G19" s="37"/>
      <c r="H19" s="44" t="s">
        <v>62</v>
      </c>
    </row>
    <row r="20" spans="1:9" x14ac:dyDescent="0.3">
      <c r="A20" t="str">
        <f>MC_High_ambition!A20</f>
        <v>Mean population income (USD/yr)</v>
      </c>
      <c r="B20" s="36" t="s">
        <v>58</v>
      </c>
      <c r="C20" s="36" t="s">
        <v>58</v>
      </c>
      <c r="D20" s="36" t="s">
        <v>58</v>
      </c>
      <c r="E20" s="4"/>
      <c r="F20" s="30">
        <f ca="1">AVERAGE(F22:F129)</f>
        <v>870968609.03494859</v>
      </c>
      <c r="G20" s="37"/>
      <c r="H20" s="37"/>
      <c r="I20" s="43">
        <f ca="1">100*F19/F20</f>
        <v>13.532307690846137</v>
      </c>
    </row>
    <row r="21" spans="1:9" x14ac:dyDescent="0.3">
      <c r="F21" s="4"/>
      <c r="G21" s="4"/>
      <c r="H21" s="4"/>
    </row>
    <row r="22" spans="1:9" x14ac:dyDescent="0.3">
      <c r="B22" s="4"/>
      <c r="E22">
        <v>1</v>
      </c>
      <c r="F22" s="30">
        <f ca="1">F18</f>
        <v>862712589.2320118</v>
      </c>
      <c r="G22" s="4"/>
      <c r="H22" s="4"/>
    </row>
    <row r="23" spans="1:9" x14ac:dyDescent="0.3">
      <c r="E23">
        <v>2</v>
      </c>
      <c r="F23" s="30">
        <f t="dataTable" ref="F23:F129" dt2D="0" dtr="0" r1="F21" ca="1"/>
        <v>817553894.97571301</v>
      </c>
      <c r="G23" s="4"/>
      <c r="H23" s="4"/>
    </row>
    <row r="24" spans="1:9" x14ac:dyDescent="0.3">
      <c r="E24">
        <v>3</v>
      </c>
      <c r="F24" s="30">
        <v>818017845.28486848</v>
      </c>
      <c r="G24" s="4"/>
      <c r="H24" s="4"/>
    </row>
    <row r="25" spans="1:9" x14ac:dyDescent="0.3">
      <c r="E25">
        <v>4</v>
      </c>
      <c r="F25" s="30">
        <v>589906627.18497348</v>
      </c>
      <c r="G25" s="4"/>
      <c r="H25" s="4"/>
    </row>
    <row r="26" spans="1:9" x14ac:dyDescent="0.3">
      <c r="E26">
        <v>5</v>
      </c>
      <c r="F26" s="30">
        <v>900017889.99780905</v>
      </c>
      <c r="G26" s="4"/>
      <c r="H26" s="4"/>
    </row>
    <row r="27" spans="1:9" x14ac:dyDescent="0.3">
      <c r="E27">
        <v>6</v>
      </c>
      <c r="F27" s="30">
        <v>818899541.40282702</v>
      </c>
      <c r="G27" s="4"/>
      <c r="H27" s="4"/>
    </row>
    <row r="28" spans="1:9" x14ac:dyDescent="0.3">
      <c r="E28">
        <v>7</v>
      </c>
      <c r="F28" s="30">
        <v>744633670.5846597</v>
      </c>
      <c r="G28" s="4"/>
      <c r="H28" s="4"/>
    </row>
    <row r="29" spans="1:9" x14ac:dyDescent="0.3">
      <c r="E29">
        <v>8</v>
      </c>
      <c r="F29" s="30">
        <v>594258402.09167624</v>
      </c>
      <c r="G29" s="4"/>
      <c r="H29" s="4"/>
    </row>
    <row r="30" spans="1:9" x14ac:dyDescent="0.3">
      <c r="E30">
        <v>9</v>
      </c>
      <c r="F30" s="30">
        <v>1004362891.2165384</v>
      </c>
      <c r="G30" s="4"/>
      <c r="H30" s="4"/>
    </row>
    <row r="31" spans="1:9" x14ac:dyDescent="0.3">
      <c r="E31">
        <v>10</v>
      </c>
      <c r="F31" s="30">
        <v>1058420927.4595196</v>
      </c>
      <c r="G31" s="4"/>
      <c r="H31" s="4"/>
    </row>
    <row r="32" spans="1:9" x14ac:dyDescent="0.3">
      <c r="E32">
        <v>11</v>
      </c>
      <c r="F32" s="30">
        <v>891276859.63806105</v>
      </c>
      <c r="G32" s="4"/>
      <c r="H32" s="4"/>
    </row>
    <row r="33" spans="5:8" x14ac:dyDescent="0.3">
      <c r="E33">
        <v>12</v>
      </c>
      <c r="F33" s="30">
        <v>903316170.24323201</v>
      </c>
      <c r="G33" s="4"/>
      <c r="H33" s="4"/>
    </row>
    <row r="34" spans="5:8" x14ac:dyDescent="0.3">
      <c r="E34">
        <v>13</v>
      </c>
      <c r="F34" s="30">
        <v>805452068.15638423</v>
      </c>
      <c r="G34" s="4"/>
      <c r="H34" s="4"/>
    </row>
    <row r="35" spans="5:8" x14ac:dyDescent="0.3">
      <c r="E35">
        <v>14</v>
      </c>
      <c r="F35" s="30">
        <v>587955708.19643486</v>
      </c>
      <c r="G35" s="4"/>
      <c r="H35" s="4"/>
    </row>
    <row r="36" spans="5:8" x14ac:dyDescent="0.3">
      <c r="E36">
        <v>15</v>
      </c>
      <c r="F36" s="30">
        <v>781937649.17060852</v>
      </c>
      <c r="G36" s="4"/>
      <c r="H36" s="4"/>
    </row>
    <row r="37" spans="5:8" x14ac:dyDescent="0.3">
      <c r="E37">
        <v>16</v>
      </c>
      <c r="F37" s="30">
        <v>689939461.95189738</v>
      </c>
      <c r="G37" s="4"/>
      <c r="H37" s="4"/>
    </row>
    <row r="38" spans="5:8" x14ac:dyDescent="0.3">
      <c r="E38">
        <v>17</v>
      </c>
      <c r="F38" s="30">
        <v>849432690.91141272</v>
      </c>
      <c r="G38" s="4"/>
      <c r="H38" s="4"/>
    </row>
    <row r="39" spans="5:8" x14ac:dyDescent="0.3">
      <c r="E39">
        <v>18</v>
      </c>
      <c r="F39" s="30">
        <v>773991661.94266009</v>
      </c>
      <c r="G39" s="4"/>
      <c r="H39" s="4"/>
    </row>
    <row r="40" spans="5:8" x14ac:dyDescent="0.3">
      <c r="E40">
        <v>19</v>
      </c>
      <c r="F40" s="30">
        <v>745822250.60047269</v>
      </c>
      <c r="G40" s="4"/>
      <c r="H40" s="4"/>
    </row>
    <row r="41" spans="5:8" x14ac:dyDescent="0.3">
      <c r="E41">
        <v>20</v>
      </c>
      <c r="F41" s="30">
        <v>926089928.44128823</v>
      </c>
      <c r="G41" s="4"/>
      <c r="H41" s="4"/>
    </row>
    <row r="42" spans="5:8" x14ac:dyDescent="0.3">
      <c r="E42">
        <v>21</v>
      </c>
      <c r="F42" s="30">
        <v>841023859.61932206</v>
      </c>
      <c r="G42" s="4"/>
      <c r="H42" s="4"/>
    </row>
    <row r="43" spans="5:8" x14ac:dyDescent="0.3">
      <c r="E43">
        <v>22</v>
      </c>
      <c r="F43" s="30">
        <v>802300855.5978744</v>
      </c>
      <c r="G43" s="4"/>
      <c r="H43" s="4"/>
    </row>
    <row r="44" spans="5:8" x14ac:dyDescent="0.3">
      <c r="E44">
        <v>23</v>
      </c>
      <c r="F44" s="30">
        <v>773472672.66766715</v>
      </c>
      <c r="G44" s="4"/>
      <c r="H44" s="4"/>
    </row>
    <row r="45" spans="5:8" x14ac:dyDescent="0.3">
      <c r="E45">
        <v>24</v>
      </c>
      <c r="F45" s="30">
        <v>928647832.34147322</v>
      </c>
      <c r="G45" s="4"/>
      <c r="H45" s="4"/>
    </row>
    <row r="46" spans="5:8" x14ac:dyDescent="0.3">
      <c r="E46">
        <v>25</v>
      </c>
      <c r="F46" s="30">
        <v>815344296.22103882</v>
      </c>
      <c r="G46" s="4"/>
      <c r="H46" s="4"/>
    </row>
    <row r="47" spans="5:8" x14ac:dyDescent="0.3">
      <c r="E47">
        <v>26</v>
      </c>
      <c r="F47" s="30">
        <v>747220703.19921672</v>
      </c>
      <c r="G47" s="4"/>
      <c r="H47" s="4"/>
    </row>
    <row r="48" spans="5:8" x14ac:dyDescent="0.3">
      <c r="E48">
        <v>27</v>
      </c>
      <c r="F48" s="30">
        <v>936518624.77376795</v>
      </c>
      <c r="G48" s="4"/>
      <c r="H48" s="4"/>
    </row>
    <row r="49" spans="5:8" x14ac:dyDescent="0.3">
      <c r="E49">
        <v>28</v>
      </c>
      <c r="F49" s="30">
        <v>1038186145.8935637</v>
      </c>
      <c r="G49" s="4"/>
      <c r="H49" s="4"/>
    </row>
    <row r="50" spans="5:8" x14ac:dyDescent="0.3">
      <c r="E50">
        <v>29</v>
      </c>
      <c r="F50" s="30">
        <v>1007857612.3814845</v>
      </c>
      <c r="G50" s="4"/>
      <c r="H50" s="4"/>
    </row>
    <row r="51" spans="5:8" x14ac:dyDescent="0.3">
      <c r="E51">
        <v>30</v>
      </c>
      <c r="F51" s="30">
        <v>1017734171.9816761</v>
      </c>
      <c r="G51" s="4"/>
      <c r="H51" s="4"/>
    </row>
    <row r="52" spans="5:8" x14ac:dyDescent="0.3">
      <c r="E52">
        <v>31</v>
      </c>
      <c r="F52" s="30">
        <v>860491561.94220936</v>
      </c>
      <c r="G52" s="4"/>
      <c r="H52" s="4"/>
    </row>
    <row r="53" spans="5:8" x14ac:dyDescent="0.3">
      <c r="E53">
        <v>32</v>
      </c>
      <c r="F53" s="30">
        <v>730420877.02356267</v>
      </c>
      <c r="G53" s="4"/>
      <c r="H53" s="4"/>
    </row>
    <row r="54" spans="5:8" x14ac:dyDescent="0.3">
      <c r="E54">
        <v>33</v>
      </c>
      <c r="F54" s="30">
        <v>917225876.34758043</v>
      </c>
      <c r="G54" s="4"/>
      <c r="H54" s="4"/>
    </row>
    <row r="55" spans="5:8" x14ac:dyDescent="0.3">
      <c r="E55">
        <v>34</v>
      </c>
      <c r="F55" s="30">
        <v>783548206.666412</v>
      </c>
      <c r="G55" s="4"/>
      <c r="H55" s="4"/>
    </row>
    <row r="56" spans="5:8" x14ac:dyDescent="0.3">
      <c r="E56">
        <v>35</v>
      </c>
      <c r="F56" s="30">
        <v>817529851.32009161</v>
      </c>
      <c r="G56" s="4"/>
      <c r="H56" s="4"/>
    </row>
    <row r="57" spans="5:8" x14ac:dyDescent="0.3">
      <c r="E57">
        <v>36</v>
      </c>
      <c r="F57" s="30">
        <v>983528088.80205584</v>
      </c>
      <c r="G57" s="4"/>
      <c r="H57" s="4"/>
    </row>
    <row r="58" spans="5:8" x14ac:dyDescent="0.3">
      <c r="E58">
        <v>37</v>
      </c>
      <c r="F58" s="30">
        <v>1121057687.4480546</v>
      </c>
      <c r="G58" s="4"/>
      <c r="H58" s="4"/>
    </row>
    <row r="59" spans="5:8" x14ac:dyDescent="0.3">
      <c r="E59">
        <v>38</v>
      </c>
      <c r="F59" s="30">
        <v>784529044.0194869</v>
      </c>
      <c r="G59" s="4"/>
      <c r="H59" s="4"/>
    </row>
    <row r="60" spans="5:8" x14ac:dyDescent="0.3">
      <c r="E60">
        <v>39</v>
      </c>
      <c r="F60" s="30">
        <v>848514319.3111546</v>
      </c>
      <c r="G60" s="4"/>
      <c r="H60" s="4"/>
    </row>
    <row r="61" spans="5:8" x14ac:dyDescent="0.3">
      <c r="E61">
        <v>40</v>
      </c>
      <c r="F61" s="30">
        <v>815856265.98335564</v>
      </c>
      <c r="G61" s="4"/>
      <c r="H61" s="4"/>
    </row>
    <row r="62" spans="5:8" x14ac:dyDescent="0.3">
      <c r="E62">
        <v>41</v>
      </c>
      <c r="F62" s="30">
        <v>930861691.8633889</v>
      </c>
      <c r="G62" s="4"/>
      <c r="H62" s="4"/>
    </row>
    <row r="63" spans="5:8" x14ac:dyDescent="0.3">
      <c r="E63">
        <v>42</v>
      </c>
      <c r="F63" s="30">
        <v>776165342.41054296</v>
      </c>
      <c r="G63" s="4"/>
      <c r="H63" s="4"/>
    </row>
    <row r="64" spans="5:8" x14ac:dyDescent="0.3">
      <c r="E64">
        <v>43</v>
      </c>
      <c r="F64" s="30">
        <v>1006933377.1404247</v>
      </c>
      <c r="G64" s="4"/>
      <c r="H64" s="4"/>
    </row>
    <row r="65" spans="5:8" x14ac:dyDescent="0.3">
      <c r="E65">
        <v>44</v>
      </c>
      <c r="F65" s="30">
        <v>925729210.33779287</v>
      </c>
      <c r="G65" s="4"/>
      <c r="H65" s="4"/>
    </row>
    <row r="66" spans="5:8" x14ac:dyDescent="0.3">
      <c r="E66">
        <v>45</v>
      </c>
      <c r="F66" s="30">
        <v>973272422.27196777</v>
      </c>
      <c r="G66" s="4"/>
      <c r="H66" s="4"/>
    </row>
    <row r="67" spans="5:8" x14ac:dyDescent="0.3">
      <c r="E67">
        <v>46</v>
      </c>
      <c r="F67" s="30">
        <v>927846767.2480917</v>
      </c>
      <c r="G67" s="4"/>
      <c r="H67" s="4"/>
    </row>
    <row r="68" spans="5:8" x14ac:dyDescent="0.3">
      <c r="E68">
        <v>47</v>
      </c>
      <c r="F68" s="30">
        <v>1021763623.3820503</v>
      </c>
      <c r="G68" s="4"/>
      <c r="H68" s="4"/>
    </row>
    <row r="69" spans="5:8" x14ac:dyDescent="0.3">
      <c r="E69">
        <v>48</v>
      </c>
      <c r="F69" s="30">
        <v>929812530.86470199</v>
      </c>
      <c r="G69" s="4"/>
      <c r="H69" s="4"/>
    </row>
    <row r="70" spans="5:8" x14ac:dyDescent="0.3">
      <c r="E70">
        <v>49</v>
      </c>
      <c r="F70" s="30">
        <v>1007498961.1408989</v>
      </c>
      <c r="G70" s="4"/>
      <c r="H70" s="4"/>
    </row>
    <row r="71" spans="5:8" x14ac:dyDescent="0.3">
      <c r="E71">
        <v>50</v>
      </c>
      <c r="F71" s="30">
        <v>939463284.22492695</v>
      </c>
      <c r="G71" s="4"/>
      <c r="H71" s="4"/>
    </row>
    <row r="72" spans="5:8" x14ac:dyDescent="0.3">
      <c r="E72">
        <v>51</v>
      </c>
      <c r="F72" s="30">
        <v>857881226.78421307</v>
      </c>
      <c r="G72" s="4"/>
      <c r="H72" s="4"/>
    </row>
    <row r="73" spans="5:8" x14ac:dyDescent="0.3">
      <c r="E73">
        <v>52</v>
      </c>
      <c r="F73" s="30">
        <v>657488910.09599137</v>
      </c>
      <c r="G73" s="4"/>
      <c r="H73" s="4"/>
    </row>
    <row r="74" spans="5:8" x14ac:dyDescent="0.3">
      <c r="E74">
        <v>53</v>
      </c>
      <c r="F74" s="30">
        <v>889836664.96548367</v>
      </c>
      <c r="G74" s="4"/>
      <c r="H74" s="4"/>
    </row>
    <row r="75" spans="5:8" x14ac:dyDescent="0.3">
      <c r="E75">
        <v>54</v>
      </c>
      <c r="F75" s="30">
        <v>975627297.96384525</v>
      </c>
      <c r="G75" s="4"/>
      <c r="H75" s="4"/>
    </row>
    <row r="76" spans="5:8" x14ac:dyDescent="0.3">
      <c r="E76">
        <v>55</v>
      </c>
      <c r="F76" s="30">
        <v>1004031862.3990505</v>
      </c>
      <c r="G76" s="4"/>
      <c r="H76" s="4"/>
    </row>
    <row r="77" spans="5:8" x14ac:dyDescent="0.3">
      <c r="E77">
        <v>56</v>
      </c>
      <c r="F77" s="30">
        <v>790262947.21014464</v>
      </c>
      <c r="G77" s="4"/>
      <c r="H77" s="4"/>
    </row>
    <row r="78" spans="5:8" x14ac:dyDescent="0.3">
      <c r="E78">
        <v>57</v>
      </c>
      <c r="F78" s="30">
        <v>791207983.32645345</v>
      </c>
      <c r="G78" s="4"/>
      <c r="H78" s="4"/>
    </row>
    <row r="79" spans="5:8" x14ac:dyDescent="0.3">
      <c r="E79">
        <v>58</v>
      </c>
      <c r="F79" s="30">
        <v>893990236.00094616</v>
      </c>
      <c r="G79" s="4"/>
      <c r="H79" s="4"/>
    </row>
    <row r="80" spans="5:8" x14ac:dyDescent="0.3">
      <c r="E80">
        <v>59</v>
      </c>
      <c r="F80" s="30">
        <v>846232938.70996702</v>
      </c>
      <c r="G80" s="4"/>
      <c r="H80" s="4"/>
    </row>
    <row r="81" spans="5:8" x14ac:dyDescent="0.3">
      <c r="E81">
        <v>60</v>
      </c>
      <c r="F81" s="30">
        <v>729131125.36118639</v>
      </c>
      <c r="G81" s="4"/>
      <c r="H81" s="4"/>
    </row>
    <row r="82" spans="5:8" x14ac:dyDescent="0.3">
      <c r="E82">
        <v>61</v>
      </c>
      <c r="F82" s="30">
        <v>992653570.0073216</v>
      </c>
      <c r="G82" s="4"/>
      <c r="H82" s="4"/>
    </row>
    <row r="83" spans="5:8" x14ac:dyDescent="0.3">
      <c r="E83">
        <v>62</v>
      </c>
      <c r="F83" s="30">
        <v>972562104.2107079</v>
      </c>
      <c r="G83" s="4"/>
      <c r="H83" s="4"/>
    </row>
    <row r="84" spans="5:8" x14ac:dyDescent="0.3">
      <c r="E84">
        <v>63</v>
      </c>
      <c r="F84" s="30">
        <v>972696949.79073882</v>
      </c>
      <c r="G84" s="4"/>
      <c r="H84" s="4"/>
    </row>
    <row r="85" spans="5:8" x14ac:dyDescent="0.3">
      <c r="E85">
        <v>64</v>
      </c>
      <c r="F85" s="30">
        <v>658264839.65018404</v>
      </c>
      <c r="G85" s="4"/>
      <c r="H85" s="4"/>
    </row>
    <row r="86" spans="5:8" x14ac:dyDescent="0.3">
      <c r="E86">
        <v>65</v>
      </c>
      <c r="F86" s="30">
        <v>819960922.70421505</v>
      </c>
      <c r="G86" s="4"/>
      <c r="H86" s="4"/>
    </row>
    <row r="87" spans="5:8" x14ac:dyDescent="0.3">
      <c r="E87">
        <v>66</v>
      </c>
      <c r="F87" s="30">
        <v>972995092.85547519</v>
      </c>
      <c r="G87" s="4"/>
      <c r="H87" s="4"/>
    </row>
    <row r="88" spans="5:8" x14ac:dyDescent="0.3">
      <c r="E88">
        <v>67</v>
      </c>
      <c r="F88" s="30">
        <v>884856471.56369805</v>
      </c>
      <c r="G88" s="4"/>
      <c r="H88" s="4"/>
    </row>
    <row r="89" spans="5:8" x14ac:dyDescent="0.3">
      <c r="E89">
        <v>68</v>
      </c>
      <c r="F89" s="30">
        <v>825607932.37336087</v>
      </c>
      <c r="G89" s="4"/>
      <c r="H89" s="4"/>
    </row>
    <row r="90" spans="5:8" x14ac:dyDescent="0.3">
      <c r="E90">
        <v>69</v>
      </c>
      <c r="F90" s="30">
        <v>777507256.17068934</v>
      </c>
      <c r="G90" s="4"/>
      <c r="H90" s="4"/>
    </row>
    <row r="91" spans="5:8" x14ac:dyDescent="0.3">
      <c r="E91">
        <v>70</v>
      </c>
      <c r="F91" s="30">
        <v>660326228.40760255</v>
      </c>
      <c r="G91" s="4"/>
      <c r="H91" s="4"/>
    </row>
    <row r="92" spans="5:8" x14ac:dyDescent="0.3">
      <c r="E92">
        <v>71</v>
      </c>
      <c r="F92" s="30">
        <v>1037796115.6823668</v>
      </c>
      <c r="G92" s="4"/>
      <c r="H92" s="4"/>
    </row>
    <row r="93" spans="5:8" x14ac:dyDescent="0.3">
      <c r="E93">
        <v>72</v>
      </c>
      <c r="F93" s="30">
        <v>886942571.20479119</v>
      </c>
      <c r="G93" s="4"/>
      <c r="H93" s="4"/>
    </row>
    <row r="94" spans="5:8" x14ac:dyDescent="0.3">
      <c r="E94">
        <v>73</v>
      </c>
      <c r="F94" s="30">
        <v>1051656273.8188651</v>
      </c>
      <c r="G94" s="4"/>
      <c r="H94" s="4"/>
    </row>
    <row r="95" spans="5:8" x14ac:dyDescent="0.3">
      <c r="E95">
        <v>74</v>
      </c>
      <c r="F95" s="30">
        <v>1048914732.7267728</v>
      </c>
      <c r="G95" s="4"/>
      <c r="H95" s="4"/>
    </row>
    <row r="96" spans="5:8" x14ac:dyDescent="0.3">
      <c r="E96">
        <v>75</v>
      </c>
      <c r="F96" s="30">
        <v>873596630.48751783</v>
      </c>
      <c r="G96" s="4"/>
      <c r="H96" s="4"/>
    </row>
    <row r="97" spans="5:8" x14ac:dyDescent="0.3">
      <c r="E97">
        <v>76</v>
      </c>
      <c r="F97" s="30">
        <v>895149208.98993194</v>
      </c>
      <c r="G97" s="4"/>
      <c r="H97" s="4"/>
    </row>
    <row r="98" spans="5:8" x14ac:dyDescent="0.3">
      <c r="E98">
        <v>77</v>
      </c>
      <c r="F98" s="30">
        <v>1090837615.4101186</v>
      </c>
      <c r="G98" s="4"/>
      <c r="H98" s="4"/>
    </row>
    <row r="99" spans="5:8" x14ac:dyDescent="0.3">
      <c r="E99">
        <v>78</v>
      </c>
      <c r="F99" s="30">
        <v>1204665746.5504992</v>
      </c>
      <c r="G99" s="4"/>
      <c r="H99" s="4"/>
    </row>
    <row r="100" spans="5:8" x14ac:dyDescent="0.3">
      <c r="E100">
        <v>79</v>
      </c>
      <c r="F100" s="30">
        <v>959942269.06428051</v>
      </c>
      <c r="G100" s="4"/>
      <c r="H100" s="4"/>
    </row>
    <row r="101" spans="5:8" x14ac:dyDescent="0.3">
      <c r="E101">
        <v>80</v>
      </c>
      <c r="F101" s="30">
        <v>924476381.41506457</v>
      </c>
      <c r="G101" s="4"/>
      <c r="H101" s="4"/>
    </row>
    <row r="102" spans="5:8" x14ac:dyDescent="0.3">
      <c r="E102">
        <v>81</v>
      </c>
      <c r="F102" s="30">
        <v>994271548.522506</v>
      </c>
      <c r="G102" s="4"/>
      <c r="H102" s="4"/>
    </row>
    <row r="103" spans="5:8" x14ac:dyDescent="0.3">
      <c r="E103">
        <v>82</v>
      </c>
      <c r="F103" s="30">
        <v>892089646.7259481</v>
      </c>
      <c r="G103" s="4"/>
      <c r="H103" s="4"/>
    </row>
    <row r="104" spans="5:8" x14ac:dyDescent="0.3">
      <c r="E104">
        <v>83</v>
      </c>
      <c r="F104" s="30">
        <v>946134411.32498789</v>
      </c>
      <c r="G104" s="4"/>
      <c r="H104" s="4"/>
    </row>
    <row r="105" spans="5:8" x14ac:dyDescent="0.3">
      <c r="E105">
        <v>84</v>
      </c>
      <c r="F105" s="30">
        <v>739940558.87880814</v>
      </c>
      <c r="G105" s="4"/>
      <c r="H105" s="4"/>
    </row>
    <row r="106" spans="5:8" x14ac:dyDescent="0.3">
      <c r="E106">
        <v>85</v>
      </c>
      <c r="F106" s="30">
        <v>972982247.67054975</v>
      </c>
      <c r="G106" s="4"/>
      <c r="H106" s="4"/>
    </row>
    <row r="107" spans="5:8" x14ac:dyDescent="0.3">
      <c r="E107">
        <v>86</v>
      </c>
      <c r="F107" s="30">
        <v>883603211.19153953</v>
      </c>
      <c r="G107" s="4"/>
      <c r="H107" s="4"/>
    </row>
    <row r="108" spans="5:8" x14ac:dyDescent="0.3">
      <c r="E108">
        <v>87</v>
      </c>
      <c r="F108" s="30">
        <v>885406637.92941737</v>
      </c>
      <c r="G108" s="4"/>
      <c r="H108" s="4"/>
    </row>
    <row r="109" spans="5:8" x14ac:dyDescent="0.3">
      <c r="E109">
        <v>88</v>
      </c>
      <c r="F109" s="30">
        <v>935759584.45845735</v>
      </c>
      <c r="G109" s="4"/>
      <c r="H109" s="4"/>
    </row>
    <row r="110" spans="5:8" x14ac:dyDescent="0.3">
      <c r="E110">
        <v>89</v>
      </c>
      <c r="F110" s="30">
        <v>836198961.47990203</v>
      </c>
      <c r="G110" s="4"/>
      <c r="H110" s="4"/>
    </row>
    <row r="111" spans="5:8" x14ac:dyDescent="0.3">
      <c r="E111">
        <v>90</v>
      </c>
      <c r="F111" s="30">
        <v>730610253.06810594</v>
      </c>
      <c r="G111" s="4"/>
      <c r="H111" s="4"/>
    </row>
    <row r="112" spans="5:8" x14ac:dyDescent="0.3">
      <c r="E112">
        <v>91</v>
      </c>
      <c r="F112" s="30">
        <v>873611939.39895451</v>
      </c>
      <c r="G112" s="4"/>
      <c r="H112" s="4"/>
    </row>
    <row r="113" spans="5:8" x14ac:dyDescent="0.3">
      <c r="E113">
        <v>92</v>
      </c>
      <c r="F113" s="30">
        <v>956798268.75923467</v>
      </c>
      <c r="G113" s="4"/>
      <c r="H113" s="4"/>
    </row>
    <row r="114" spans="5:8" x14ac:dyDescent="0.3">
      <c r="E114">
        <v>93</v>
      </c>
      <c r="F114" s="30">
        <v>844431477.6455164</v>
      </c>
      <c r="G114" s="4"/>
      <c r="H114" s="4"/>
    </row>
    <row r="115" spans="5:8" x14ac:dyDescent="0.3">
      <c r="E115">
        <v>94</v>
      </c>
      <c r="F115" s="30">
        <v>798433945.58515239</v>
      </c>
      <c r="G115" s="4"/>
      <c r="H115" s="4"/>
    </row>
    <row r="116" spans="5:8" x14ac:dyDescent="0.3">
      <c r="E116">
        <v>95</v>
      </c>
      <c r="F116" s="30">
        <v>757348859.96561348</v>
      </c>
      <c r="G116" s="4"/>
      <c r="H116" s="4"/>
    </row>
    <row r="117" spans="5:8" x14ac:dyDescent="0.3">
      <c r="E117">
        <v>96</v>
      </c>
      <c r="F117" s="30">
        <v>789321898.16855335</v>
      </c>
      <c r="G117" s="4"/>
      <c r="H117" s="4"/>
    </row>
    <row r="118" spans="5:8" x14ac:dyDescent="0.3">
      <c r="E118">
        <v>97</v>
      </c>
      <c r="F118" s="30">
        <v>939697847.52450669</v>
      </c>
      <c r="G118" s="4"/>
      <c r="H118" s="4"/>
    </row>
    <row r="119" spans="5:8" x14ac:dyDescent="0.3">
      <c r="E119">
        <v>98</v>
      </c>
      <c r="F119" s="30">
        <v>903370433.48034108</v>
      </c>
      <c r="G119" s="4"/>
      <c r="H119" s="4"/>
    </row>
    <row r="120" spans="5:8" x14ac:dyDescent="0.3">
      <c r="E120">
        <v>99</v>
      </c>
      <c r="F120" s="30">
        <v>689591761.69056976</v>
      </c>
      <c r="G120" s="4"/>
      <c r="H120" s="4"/>
    </row>
    <row r="121" spans="5:8" x14ac:dyDescent="0.3">
      <c r="E121">
        <v>100</v>
      </c>
      <c r="F121" s="30">
        <v>719570692.31791091</v>
      </c>
      <c r="G121" s="4"/>
      <c r="H121" s="4"/>
    </row>
    <row r="122" spans="5:8" x14ac:dyDescent="0.3">
      <c r="E122">
        <v>101</v>
      </c>
      <c r="F122" s="30">
        <v>867359456.19005668</v>
      </c>
      <c r="G122" s="4"/>
      <c r="H122" s="4"/>
    </row>
    <row r="123" spans="5:8" x14ac:dyDescent="0.3">
      <c r="E123">
        <v>102</v>
      </c>
      <c r="F123" s="30">
        <v>835730779.08198738</v>
      </c>
      <c r="G123" s="4"/>
      <c r="H123" s="4"/>
    </row>
    <row r="124" spans="5:8" x14ac:dyDescent="0.3">
      <c r="E124">
        <v>103</v>
      </c>
      <c r="F124" s="30">
        <v>629502568.39285874</v>
      </c>
      <c r="G124" s="4"/>
      <c r="H124" s="4"/>
    </row>
    <row r="125" spans="5:8" x14ac:dyDescent="0.3">
      <c r="E125">
        <v>104</v>
      </c>
      <c r="F125" s="30">
        <v>935403227.51227069</v>
      </c>
      <c r="G125" s="4"/>
      <c r="H125" s="4"/>
    </row>
    <row r="126" spans="5:8" x14ac:dyDescent="0.3">
      <c r="E126">
        <v>105</v>
      </c>
      <c r="F126" s="30">
        <v>972258053.78229141</v>
      </c>
      <c r="G126" s="4"/>
      <c r="H126" s="4"/>
    </row>
    <row r="127" spans="5:8" x14ac:dyDescent="0.3">
      <c r="E127">
        <v>106</v>
      </c>
      <c r="F127" s="30">
        <v>806952283.21133041</v>
      </c>
      <c r="G127" s="4"/>
      <c r="H127" s="4"/>
    </row>
    <row r="128" spans="5:8" x14ac:dyDescent="0.3">
      <c r="E128">
        <v>107</v>
      </c>
      <c r="F128" s="30">
        <v>874690583.79948115</v>
      </c>
      <c r="G128" s="4"/>
      <c r="H128" s="4"/>
    </row>
    <row r="129" spans="5:8" x14ac:dyDescent="0.3">
      <c r="E129">
        <v>108</v>
      </c>
      <c r="F129" s="30">
        <v>932084039.00722158</v>
      </c>
      <c r="G129" s="4"/>
      <c r="H129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Dairy_Income_Roadmap</vt:lpstr>
      <vt:lpstr>Dairy_Income_Baseline</vt:lpstr>
      <vt:lpstr>Mappings</vt:lpstr>
      <vt:lpstr>MC_Baseline</vt:lpstr>
      <vt:lpstr>MC_Status_quo</vt:lpstr>
      <vt:lpstr>MC_Middle_road</vt:lpstr>
      <vt:lpstr>MC_High_ambition</vt:lpstr>
      <vt:lpstr>MC_High_ambition_plus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2021-04-19T13:15:38Z</dcterms:created>
  <dcterms:modified xsi:type="dcterms:W3CDTF">2022-07-19T06:13:33Z</dcterms:modified>
</cp:coreProperties>
</file>