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wkj\Documents\GitHub\Tanzania Dairy Mitigation Assessment\"/>
    </mc:Choice>
  </mc:AlternateContent>
  <xr:revisionPtr revIDLastSave="0" documentId="13_ncr:1_{ABC93900-5F27-4CE5-A6EE-4AD8E4A63D59}" xr6:coauthVersionLast="47" xr6:coauthVersionMax="47" xr10:uidLastSave="{00000000-0000-0000-0000-000000000000}"/>
  <bookViews>
    <workbookView xWindow="-108" yWindow="-108" windowWidth="23256" windowHeight="12456" xr2:uid="{64B7B528-6AFC-453E-A699-FBF307BA8192}"/>
  </bookViews>
  <sheets>
    <sheet name="Dairy_Income_Roadmap" sheetId="27" r:id="rId1"/>
    <sheet name="Dairy_Income_Baseline" sheetId="26" r:id="rId2"/>
    <sheet name="Mappings" sheetId="1" r:id="rId3"/>
    <sheet name="MC_Baseline" sheetId="25" r:id="rId4"/>
    <sheet name="MC_High_ambition" sheetId="20" r:id="rId5"/>
    <sheet name="MC_Middle_road" sheetId="18" r:id="rId6"/>
    <sheet name="MC_Status_quo" sheetId="19" r:id="rId7"/>
    <sheet name="MC_High_ambition_plus" sheetId="21" r:id="rId8"/>
  </sheets>
  <externalReferences>
    <externalReference r:id="rId9"/>
    <externalReference r:id="rId10"/>
    <externalReference r:id="rId11"/>
    <externalReference r:id="rId12"/>
    <externalReference r:id="rId13"/>
    <externalReference r:id="rId14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Z4" i="1" l="1"/>
  <c r="Z3" i="1"/>
  <c r="N23" i="1"/>
  <c r="N36" i="1"/>
  <c r="A13" i="20"/>
  <c r="A4" i="20"/>
  <c r="A5" i="20"/>
  <c r="A6" i="20"/>
  <c r="A7" i="20"/>
  <c r="A8" i="20"/>
  <c r="A9" i="20"/>
  <c r="A10" i="20"/>
  <c r="A11" i="20"/>
  <c r="A12" i="20"/>
  <c r="A14" i="20"/>
  <c r="A15" i="20"/>
  <c r="A16" i="20"/>
  <c r="A18" i="20"/>
  <c r="A18" i="21" s="1"/>
  <c r="A19" i="20"/>
  <c r="A19" i="21" s="1"/>
  <c r="A20" i="20"/>
  <c r="A20" i="21" s="1"/>
  <c r="A3" i="20"/>
  <c r="A3" i="18"/>
  <c r="E1" i="25"/>
  <c r="F1" i="21"/>
  <c r="F1" i="19"/>
  <c r="F1" i="18"/>
  <c r="C1" i="20"/>
  <c r="F3" i="1"/>
  <c r="A19" i="18" l="1"/>
  <c r="A20" i="18"/>
  <c r="A18" i="18"/>
  <c r="A20" i="19"/>
  <c r="A19" i="19"/>
  <c r="A18" i="19"/>
  <c r="D1" i="21" l="1"/>
  <c r="C1" i="21"/>
  <c r="B1" i="21"/>
  <c r="D1" i="19"/>
  <c r="C1" i="19"/>
  <c r="B1" i="19"/>
  <c r="D1" i="20"/>
  <c r="B1" i="20"/>
  <c r="C26" i="1" l="1"/>
  <c r="L3" i="1" s="1"/>
  <c r="D3" i="1" s="1"/>
  <c r="C25" i="1" l="1"/>
  <c r="C24" i="1"/>
  <c r="L4" i="1" s="1"/>
  <c r="D1" i="18" l="1"/>
  <c r="C1" i="18"/>
  <c r="C33" i="1" l="1"/>
  <c r="C31" i="1"/>
  <c r="C34" i="1" s="1"/>
  <c r="E4" i="1" l="1"/>
  <c r="E3" i="1"/>
  <c r="A10" i="18" l="1"/>
  <c r="A10" i="19" s="1"/>
  <c r="A10" i="21" s="1"/>
  <c r="A9" i="18"/>
  <c r="A9" i="19" s="1"/>
  <c r="A9" i="21" s="1"/>
  <c r="C29" i="1" l="1"/>
  <c r="C27" i="1"/>
  <c r="C30" i="1" s="1"/>
  <c r="C32" i="1" l="1"/>
  <c r="C28" i="1"/>
  <c r="B11" i="1"/>
  <c r="B15" i="1" s="1"/>
  <c r="B19" i="1" s="1"/>
  <c r="B12" i="1"/>
  <c r="B16" i="1" s="1"/>
  <c r="B20" i="1" s="1"/>
  <c r="B10" i="1"/>
  <c r="B14" i="1" s="1"/>
  <c r="B18" i="1" s="1"/>
  <c r="D59" i="26" l="1"/>
  <c r="B59" i="26"/>
  <c r="I4" i="1" l="1"/>
  <c r="I3" i="1"/>
  <c r="L14" i="26" l="1"/>
  <c r="L13" i="27" s="1"/>
  <c r="C15" i="27" s="1"/>
  <c r="L38" i="26" l="1"/>
  <c r="L36" i="26"/>
  <c r="L35" i="27" l="1"/>
  <c r="L37" i="27"/>
  <c r="L11" i="26"/>
  <c r="L16" i="27" l="1"/>
  <c r="G19" i="27" s="1"/>
  <c r="E19" i="27" l="1"/>
  <c r="C19" i="27"/>
  <c r="L30" i="27"/>
  <c r="L31" i="26" s="1"/>
  <c r="L29" i="27"/>
  <c r="L17" i="26"/>
  <c r="B3" i="26" s="1"/>
  <c r="K10" i="26"/>
  <c r="G15" i="27"/>
  <c r="E15" i="27"/>
  <c r="E28" i="26"/>
  <c r="E8" i="27" l="1"/>
  <c r="G8" i="27"/>
  <c r="C8" i="27"/>
  <c r="L37" i="26"/>
  <c r="B19" i="26"/>
  <c r="D19" i="26"/>
  <c r="L30" i="26"/>
  <c r="B8" i="26" s="1"/>
  <c r="L39" i="26"/>
  <c r="L38" i="27" s="1"/>
  <c r="L36" i="27"/>
  <c r="L27" i="27"/>
  <c r="L26" i="27"/>
  <c r="L23" i="27"/>
  <c r="L19" i="27"/>
  <c r="D10" i="26"/>
  <c r="C10" i="27" s="1"/>
  <c r="G10" i="27" s="1"/>
  <c r="D566" i="26"/>
  <c r="D565" i="26"/>
  <c r="D564" i="26"/>
  <c r="D563" i="26"/>
  <c r="D562" i="26"/>
  <c r="D561" i="26"/>
  <c r="D560" i="26"/>
  <c r="D559" i="26"/>
  <c r="D558" i="26"/>
  <c r="D557" i="26"/>
  <c r="D556" i="26"/>
  <c r="D555" i="26"/>
  <c r="D554" i="26"/>
  <c r="D553" i="26"/>
  <c r="D552" i="26"/>
  <c r="D551" i="26"/>
  <c r="D550" i="26"/>
  <c r="D549" i="26"/>
  <c r="D548" i="26"/>
  <c r="D547" i="26"/>
  <c r="D546" i="26"/>
  <c r="D545" i="26"/>
  <c r="D544" i="26"/>
  <c r="D543" i="26"/>
  <c r="D542" i="26"/>
  <c r="D541" i="26"/>
  <c r="D540" i="26"/>
  <c r="D539" i="26"/>
  <c r="D538" i="26"/>
  <c r="D537" i="26"/>
  <c r="D536" i="26"/>
  <c r="D535" i="26"/>
  <c r="D534" i="26"/>
  <c r="D533" i="26"/>
  <c r="D532" i="26"/>
  <c r="D531" i="26"/>
  <c r="D530" i="26"/>
  <c r="D529" i="26"/>
  <c r="D528" i="26"/>
  <c r="D527" i="26"/>
  <c r="D526" i="26"/>
  <c r="D525" i="26"/>
  <c r="D524" i="26"/>
  <c r="D523" i="26"/>
  <c r="D522" i="26"/>
  <c r="D521" i="26"/>
  <c r="D520" i="26"/>
  <c r="D519" i="26"/>
  <c r="D518" i="26"/>
  <c r="D517" i="26"/>
  <c r="D516" i="26"/>
  <c r="D515" i="26"/>
  <c r="D514" i="26"/>
  <c r="D513" i="26"/>
  <c r="D512" i="26"/>
  <c r="D511" i="26"/>
  <c r="D510" i="26"/>
  <c r="D509" i="26"/>
  <c r="D508" i="26"/>
  <c r="D507" i="26"/>
  <c r="D506" i="26"/>
  <c r="D505" i="26"/>
  <c r="D504" i="26"/>
  <c r="D503" i="26"/>
  <c r="D502" i="26"/>
  <c r="D501" i="26"/>
  <c r="D500" i="26"/>
  <c r="D499" i="26"/>
  <c r="D498" i="26"/>
  <c r="D497" i="26"/>
  <c r="D496" i="26"/>
  <c r="D495" i="26"/>
  <c r="D494" i="26"/>
  <c r="D493" i="26"/>
  <c r="D492" i="26"/>
  <c r="D491" i="26"/>
  <c r="D490" i="26"/>
  <c r="D489" i="26"/>
  <c r="D488" i="26"/>
  <c r="D487" i="26"/>
  <c r="D486" i="26"/>
  <c r="D485" i="26"/>
  <c r="D484" i="26"/>
  <c r="D483" i="26"/>
  <c r="D482" i="26"/>
  <c r="D481" i="26"/>
  <c r="D480" i="26"/>
  <c r="D479" i="26"/>
  <c r="D478" i="26"/>
  <c r="D477" i="26"/>
  <c r="D476" i="26"/>
  <c r="D475" i="26"/>
  <c r="D474" i="26"/>
  <c r="D473" i="26"/>
  <c r="D472" i="26"/>
  <c r="D471" i="26"/>
  <c r="D470" i="26"/>
  <c r="D469" i="26"/>
  <c r="D468" i="26"/>
  <c r="D467" i="26"/>
  <c r="D466" i="26"/>
  <c r="D465" i="26"/>
  <c r="D464" i="26"/>
  <c r="D463" i="26"/>
  <c r="D462" i="26"/>
  <c r="D461" i="26"/>
  <c r="D460" i="26"/>
  <c r="D459" i="26"/>
  <c r="D458" i="26"/>
  <c r="D457" i="26"/>
  <c r="D456" i="26"/>
  <c r="D455" i="26"/>
  <c r="D454" i="26"/>
  <c r="D453" i="26"/>
  <c r="D452" i="26"/>
  <c r="D451" i="26"/>
  <c r="D450" i="26"/>
  <c r="D449" i="26"/>
  <c r="D448" i="26"/>
  <c r="D447" i="26"/>
  <c r="D446" i="26"/>
  <c r="D445" i="26"/>
  <c r="D444" i="26"/>
  <c r="D443" i="26"/>
  <c r="D442" i="26"/>
  <c r="D441" i="26"/>
  <c r="D440" i="26"/>
  <c r="D439" i="26"/>
  <c r="D438" i="26"/>
  <c r="D437" i="26"/>
  <c r="D436" i="26"/>
  <c r="D435" i="26"/>
  <c r="D434" i="26"/>
  <c r="D433" i="26"/>
  <c r="D432" i="26"/>
  <c r="D431" i="26"/>
  <c r="D430" i="26"/>
  <c r="D429" i="26"/>
  <c r="D428" i="26"/>
  <c r="D427" i="26"/>
  <c r="D426" i="26"/>
  <c r="D425" i="26"/>
  <c r="D424" i="26"/>
  <c r="D423" i="26"/>
  <c r="D422" i="26"/>
  <c r="D421" i="26"/>
  <c r="D420" i="26"/>
  <c r="D419" i="26"/>
  <c r="D418" i="26"/>
  <c r="D417" i="26"/>
  <c r="D416" i="26"/>
  <c r="D415" i="26"/>
  <c r="D414" i="26"/>
  <c r="D413" i="26"/>
  <c r="D412" i="26"/>
  <c r="D411" i="26"/>
  <c r="D410" i="26"/>
  <c r="D409" i="26"/>
  <c r="D408" i="26"/>
  <c r="D407" i="26"/>
  <c r="D406" i="26"/>
  <c r="D405" i="26"/>
  <c r="D404" i="26"/>
  <c r="D403" i="26"/>
  <c r="D402" i="26"/>
  <c r="D401" i="26"/>
  <c r="D400" i="26"/>
  <c r="D399" i="26"/>
  <c r="D398" i="26"/>
  <c r="D397" i="26"/>
  <c r="D396" i="26"/>
  <c r="D395" i="26"/>
  <c r="D394" i="26"/>
  <c r="D393" i="26"/>
  <c r="D392" i="26"/>
  <c r="D391" i="26"/>
  <c r="D390" i="26"/>
  <c r="D389" i="26"/>
  <c r="D388" i="26"/>
  <c r="D387" i="26"/>
  <c r="D386" i="26"/>
  <c r="D385" i="26"/>
  <c r="D384" i="26"/>
  <c r="D383" i="26"/>
  <c r="D382" i="26"/>
  <c r="D381" i="26"/>
  <c r="D380" i="26"/>
  <c r="D379" i="26"/>
  <c r="D378" i="26"/>
  <c r="D377" i="26"/>
  <c r="D376" i="26"/>
  <c r="D375" i="26"/>
  <c r="D374" i="26"/>
  <c r="D373" i="26"/>
  <c r="D372" i="26"/>
  <c r="D371" i="26"/>
  <c r="D370" i="26"/>
  <c r="D369" i="26"/>
  <c r="D368" i="26"/>
  <c r="D367" i="26"/>
  <c r="D366" i="26"/>
  <c r="D365" i="26"/>
  <c r="D364" i="26"/>
  <c r="D363" i="26"/>
  <c r="D362" i="26"/>
  <c r="D361" i="26"/>
  <c r="D360" i="26"/>
  <c r="D359" i="26"/>
  <c r="D358" i="26"/>
  <c r="D357" i="26"/>
  <c r="D356" i="26"/>
  <c r="D355" i="26"/>
  <c r="D354" i="26"/>
  <c r="D353" i="26"/>
  <c r="D352" i="26"/>
  <c r="D351" i="26"/>
  <c r="D350" i="26"/>
  <c r="D349" i="26"/>
  <c r="D348" i="26"/>
  <c r="D347" i="26"/>
  <c r="D346" i="26"/>
  <c r="D345" i="26"/>
  <c r="D344" i="26"/>
  <c r="D343" i="26"/>
  <c r="D342" i="26"/>
  <c r="D341" i="26"/>
  <c r="D340" i="26"/>
  <c r="D339" i="26"/>
  <c r="D338" i="26"/>
  <c r="D337" i="26"/>
  <c r="D336" i="26"/>
  <c r="D335" i="26"/>
  <c r="D334" i="26"/>
  <c r="D333" i="26"/>
  <c r="D332" i="26"/>
  <c r="D331" i="26"/>
  <c r="D330" i="26"/>
  <c r="D329" i="26"/>
  <c r="D328" i="26"/>
  <c r="D327" i="26"/>
  <c r="D326" i="26"/>
  <c r="D325" i="26"/>
  <c r="D324" i="26"/>
  <c r="D323" i="26"/>
  <c r="D322" i="26"/>
  <c r="D321" i="26"/>
  <c r="D320" i="26"/>
  <c r="D319" i="26"/>
  <c r="D318" i="26"/>
  <c r="D317" i="26"/>
  <c r="D316" i="26"/>
  <c r="D315" i="26"/>
  <c r="D314" i="26"/>
  <c r="D313" i="26"/>
  <c r="D312" i="26"/>
  <c r="D311" i="26"/>
  <c r="D310" i="26"/>
  <c r="D309" i="26"/>
  <c r="D308" i="26"/>
  <c r="D307" i="26"/>
  <c r="D306" i="26"/>
  <c r="D305" i="26"/>
  <c r="D304" i="26"/>
  <c r="D303" i="26"/>
  <c r="D302" i="26"/>
  <c r="D301" i="26"/>
  <c r="D300" i="26"/>
  <c r="D299" i="26"/>
  <c r="D298" i="26"/>
  <c r="D297" i="26"/>
  <c r="D296" i="26"/>
  <c r="D295" i="26"/>
  <c r="D294" i="26"/>
  <c r="D293" i="26"/>
  <c r="D292" i="26"/>
  <c r="D291" i="26"/>
  <c r="D290" i="26"/>
  <c r="D289" i="26"/>
  <c r="D288" i="26"/>
  <c r="D287" i="26"/>
  <c r="D286" i="26"/>
  <c r="D285" i="26"/>
  <c r="D284" i="26"/>
  <c r="D283" i="26"/>
  <c r="D282" i="26"/>
  <c r="D281" i="26"/>
  <c r="D280" i="26"/>
  <c r="D279" i="26"/>
  <c r="D278" i="26"/>
  <c r="D277" i="26"/>
  <c r="D276" i="26"/>
  <c r="D275" i="26"/>
  <c r="D274" i="26"/>
  <c r="D273" i="26"/>
  <c r="D272" i="26"/>
  <c r="D271" i="26"/>
  <c r="D270" i="26"/>
  <c r="D269" i="26"/>
  <c r="D268" i="26"/>
  <c r="D267" i="26"/>
  <c r="D266" i="26"/>
  <c r="D265" i="26"/>
  <c r="D264" i="26"/>
  <c r="D263" i="26"/>
  <c r="D262" i="26"/>
  <c r="D261" i="26"/>
  <c r="D260" i="26"/>
  <c r="D259" i="26"/>
  <c r="D258" i="26"/>
  <c r="D257" i="26"/>
  <c r="D256" i="26"/>
  <c r="D255" i="26"/>
  <c r="D254" i="26"/>
  <c r="D253" i="26"/>
  <c r="D252" i="26"/>
  <c r="D251" i="26"/>
  <c r="D250" i="26"/>
  <c r="D249" i="26"/>
  <c r="D248" i="26"/>
  <c r="D247" i="26"/>
  <c r="D246" i="26"/>
  <c r="D245" i="26"/>
  <c r="D244" i="26"/>
  <c r="D243" i="26"/>
  <c r="D242" i="26"/>
  <c r="D241" i="26"/>
  <c r="D240" i="26"/>
  <c r="D239" i="26"/>
  <c r="D238" i="26"/>
  <c r="D237" i="26"/>
  <c r="D236" i="26"/>
  <c r="D235" i="26"/>
  <c r="D234" i="26"/>
  <c r="D233" i="26"/>
  <c r="D232" i="26"/>
  <c r="D231" i="26"/>
  <c r="D230" i="26"/>
  <c r="D229" i="26"/>
  <c r="D228" i="26"/>
  <c r="D227" i="26"/>
  <c r="D226" i="26"/>
  <c r="D225" i="26"/>
  <c r="D224" i="26"/>
  <c r="D223" i="26"/>
  <c r="D222" i="26"/>
  <c r="D221" i="26"/>
  <c r="D220" i="26"/>
  <c r="D219" i="26"/>
  <c r="D218" i="26"/>
  <c r="D217" i="26"/>
  <c r="D216" i="26"/>
  <c r="D215" i="26"/>
  <c r="D214" i="26"/>
  <c r="D213" i="26"/>
  <c r="D212" i="26"/>
  <c r="D211" i="26"/>
  <c r="D210" i="26"/>
  <c r="D209" i="26"/>
  <c r="D208" i="26"/>
  <c r="D207" i="26"/>
  <c r="D206" i="26"/>
  <c r="D205" i="26"/>
  <c r="D204" i="26"/>
  <c r="D203" i="26"/>
  <c r="D202" i="26"/>
  <c r="D201" i="26"/>
  <c r="D200" i="26"/>
  <c r="D199" i="26"/>
  <c r="D198" i="26"/>
  <c r="D197" i="26"/>
  <c r="D196" i="26"/>
  <c r="D195" i="26"/>
  <c r="D194" i="26"/>
  <c r="D193" i="26"/>
  <c r="D192" i="26"/>
  <c r="D191" i="26"/>
  <c r="D190" i="26"/>
  <c r="D189" i="26"/>
  <c r="D188" i="26"/>
  <c r="D187" i="26"/>
  <c r="D186" i="26"/>
  <c r="D185" i="26"/>
  <c r="D184" i="26"/>
  <c r="D183" i="26"/>
  <c r="D182" i="26"/>
  <c r="D181" i="26"/>
  <c r="D180" i="26"/>
  <c r="D179" i="26"/>
  <c r="D178" i="26"/>
  <c r="D177" i="26"/>
  <c r="D176" i="26"/>
  <c r="D175" i="26"/>
  <c r="D174" i="26"/>
  <c r="D173" i="26"/>
  <c r="D172" i="26"/>
  <c r="D171" i="26"/>
  <c r="D170" i="26"/>
  <c r="D169" i="26"/>
  <c r="D168" i="26"/>
  <c r="D167" i="26"/>
  <c r="D166" i="26"/>
  <c r="D165" i="26"/>
  <c r="D164" i="26"/>
  <c r="D163" i="26"/>
  <c r="D162" i="26"/>
  <c r="D161" i="26"/>
  <c r="D160" i="26"/>
  <c r="D159" i="26"/>
  <c r="D158" i="26"/>
  <c r="D157" i="26"/>
  <c r="D156" i="26"/>
  <c r="D155" i="26"/>
  <c r="D154" i="26"/>
  <c r="D153" i="26"/>
  <c r="D152" i="26"/>
  <c r="D151" i="26"/>
  <c r="D150" i="26"/>
  <c r="D149" i="26"/>
  <c r="D148" i="26"/>
  <c r="D147" i="26"/>
  <c r="D146" i="26"/>
  <c r="D145" i="26"/>
  <c r="D144" i="26"/>
  <c r="D143" i="26"/>
  <c r="D142" i="26"/>
  <c r="D141" i="26"/>
  <c r="D140" i="26"/>
  <c r="D139" i="26"/>
  <c r="D138" i="26"/>
  <c r="D137" i="26"/>
  <c r="D136" i="26"/>
  <c r="D135" i="26"/>
  <c r="D134" i="26"/>
  <c r="D133" i="26"/>
  <c r="D132" i="26"/>
  <c r="D131" i="26"/>
  <c r="D130" i="26"/>
  <c r="D129" i="26"/>
  <c r="D128" i="26"/>
  <c r="D127" i="26"/>
  <c r="D126" i="26"/>
  <c r="D125" i="26"/>
  <c r="D124" i="26"/>
  <c r="D123" i="26"/>
  <c r="D122" i="26"/>
  <c r="D121" i="26"/>
  <c r="D120" i="26"/>
  <c r="D119" i="26"/>
  <c r="D118" i="26"/>
  <c r="D117" i="26"/>
  <c r="D116" i="26"/>
  <c r="D115" i="26"/>
  <c r="D114" i="26"/>
  <c r="D113" i="26"/>
  <c r="D112" i="26"/>
  <c r="D111" i="26"/>
  <c r="D110" i="26"/>
  <c r="D109" i="26"/>
  <c r="D108" i="26"/>
  <c r="D107" i="26"/>
  <c r="D106" i="26"/>
  <c r="D105" i="26"/>
  <c r="D104" i="26"/>
  <c r="D103" i="26"/>
  <c r="D102" i="26"/>
  <c r="D101" i="26"/>
  <c r="D100" i="26"/>
  <c r="D99" i="26"/>
  <c r="D98" i="26"/>
  <c r="D97" i="26"/>
  <c r="D96" i="26"/>
  <c r="D95" i="26"/>
  <c r="D94" i="26"/>
  <c r="D93" i="26"/>
  <c r="D92" i="26"/>
  <c r="D91" i="26"/>
  <c r="D90" i="26"/>
  <c r="D89" i="26"/>
  <c r="D88" i="26"/>
  <c r="D87" i="26"/>
  <c r="D86" i="26"/>
  <c r="D85" i="26"/>
  <c r="D84" i="26"/>
  <c r="D83" i="26"/>
  <c r="D82" i="26"/>
  <c r="D81" i="26"/>
  <c r="D80" i="26"/>
  <c r="D79" i="26"/>
  <c r="D78" i="26"/>
  <c r="D77" i="26"/>
  <c r="D76" i="26"/>
  <c r="D75" i="26"/>
  <c r="D74" i="26"/>
  <c r="D73" i="26"/>
  <c r="D72" i="26"/>
  <c r="D71" i="26"/>
  <c r="D70" i="26"/>
  <c r="D69" i="26"/>
  <c r="D68" i="26"/>
  <c r="D67" i="26"/>
  <c r="K39" i="26"/>
  <c r="K38" i="26"/>
  <c r="K37" i="26"/>
  <c r="K36" i="26"/>
  <c r="L34" i="26"/>
  <c r="K34" i="26"/>
  <c r="L33" i="26"/>
  <c r="K33" i="26"/>
  <c r="K31" i="26"/>
  <c r="K30" i="26"/>
  <c r="L28" i="26"/>
  <c r="K28" i="26"/>
  <c r="L27" i="26"/>
  <c r="K27" i="26"/>
  <c r="L25" i="26"/>
  <c r="K25" i="26"/>
  <c r="K23" i="26"/>
  <c r="K20" i="26"/>
  <c r="K19" i="26"/>
  <c r="K14" i="26"/>
  <c r="B1" i="18"/>
  <c r="D8" i="26" l="1"/>
  <c r="E40" i="27"/>
  <c r="C40" i="27"/>
  <c r="D11" i="26"/>
  <c r="C11" i="27" s="1"/>
  <c r="G11" i="27" s="1"/>
  <c r="D9" i="26"/>
  <c r="C9" i="27" s="1"/>
  <c r="G9" i="27" s="1"/>
  <c r="F4" i="1"/>
  <c r="G40" i="27" l="1"/>
  <c r="A16" i="21" l="1"/>
  <c r="A15" i="21"/>
  <c r="A14" i="21"/>
  <c r="A12" i="21"/>
  <c r="A11" i="21"/>
  <c r="A8" i="21"/>
  <c r="A7" i="21"/>
  <c r="A6" i="21"/>
  <c r="A5" i="21"/>
  <c r="A4" i="21"/>
  <c r="A3" i="21"/>
  <c r="A16" i="19"/>
  <c r="A15" i="19"/>
  <c r="A14" i="19"/>
  <c r="A12" i="19"/>
  <c r="A11" i="19"/>
  <c r="A8" i="19"/>
  <c r="A7" i="19"/>
  <c r="A6" i="19"/>
  <c r="A5" i="19"/>
  <c r="A4" i="19"/>
  <c r="A3" i="19"/>
  <c r="A16" i="18"/>
  <c r="A15" i="18"/>
  <c r="A14" i="18"/>
  <c r="A12" i="18"/>
  <c r="A11" i="18"/>
  <c r="A8" i="18"/>
  <c r="A7" i="18"/>
  <c r="A6" i="18"/>
  <c r="A5" i="18"/>
  <c r="A4" i="18"/>
  <c r="B30" i="1"/>
  <c r="B34" i="1" s="1"/>
  <c r="B38" i="1" s="1"/>
  <c r="B29" i="1"/>
  <c r="B33" i="1" s="1"/>
  <c r="B37" i="1" s="1"/>
  <c r="B28" i="1"/>
  <c r="B32" i="1" s="1"/>
  <c r="B36" i="1" s="1"/>
  <c r="B27" i="1"/>
  <c r="B31" i="1" s="1"/>
  <c r="B35" i="1" s="1"/>
  <c r="H13" i="1"/>
  <c r="K8" i="1"/>
  <c r="E8" i="1"/>
  <c r="K6" i="1"/>
  <c r="E6" i="1"/>
  <c r="V4" i="1"/>
  <c r="I8" i="1"/>
  <c r="H4" i="1"/>
  <c r="V3" i="1"/>
  <c r="H3" i="1"/>
  <c r="H8" i="1" l="1"/>
  <c r="H12" i="1" s="1"/>
  <c r="H16" i="1" s="1"/>
  <c r="H20" i="1" s="1"/>
  <c r="H7" i="1"/>
  <c r="H11" i="1" s="1"/>
  <c r="H15" i="1" s="1"/>
  <c r="H19" i="1" s="1"/>
  <c r="H17" i="1"/>
  <c r="E12" i="1"/>
  <c r="E16" i="1" s="1"/>
  <c r="E20" i="1" s="1"/>
  <c r="E10" i="1"/>
  <c r="C7" i="25"/>
  <c r="C8" i="25" s="1"/>
  <c r="I12" i="1"/>
  <c r="E7" i="1"/>
  <c r="B7" i="25"/>
  <c r="B8" i="25" s="1"/>
  <c r="H6" i="1"/>
  <c r="H10" i="1" s="1"/>
  <c r="H14" i="1" s="1"/>
  <c r="H18" i="1" s="1"/>
  <c r="C5" i="25"/>
  <c r="C6" i="25" s="1"/>
  <c r="E14" i="1" l="1"/>
  <c r="I16" i="1"/>
  <c r="E11" i="1"/>
  <c r="E18" i="1" l="1"/>
  <c r="E15" i="1"/>
  <c r="I20" i="1"/>
  <c r="E19" i="1" l="1"/>
  <c r="W4" i="1" l="1"/>
  <c r="W3" i="1"/>
  <c r="W8" i="1" l="1"/>
  <c r="W12" i="1" s="1"/>
  <c r="W16" i="1" s="1"/>
  <c r="W20" i="1" s="1"/>
  <c r="W7" i="1"/>
  <c r="W11" i="1" s="1"/>
  <c r="W15" i="1" s="1"/>
  <c r="W19" i="1" s="1"/>
  <c r="W6" i="1"/>
  <c r="W10" i="1" s="1"/>
  <c r="W14" i="1" s="1"/>
  <c r="W18" i="1" s="1"/>
  <c r="I7" i="1" l="1"/>
  <c r="I15" i="1"/>
  <c r="B5" i="25"/>
  <c r="B6" i="25" s="1"/>
  <c r="I6" i="1"/>
  <c r="I19" i="1" l="1"/>
  <c r="I11" i="1"/>
  <c r="I10" i="1"/>
  <c r="I14" i="1" l="1"/>
  <c r="I18" i="1" l="1"/>
  <c r="L20" i="26" l="1"/>
  <c r="D38" i="26" l="1"/>
  <c r="D12" i="26"/>
  <c r="D42" i="26" s="1"/>
  <c r="B12" i="26"/>
  <c r="B42" i="26" s="1"/>
  <c r="E38" i="27" s="1"/>
  <c r="B40" i="26"/>
  <c r="E36" i="27" s="1"/>
  <c r="B10" i="26"/>
  <c r="E10" i="27" s="1"/>
  <c r="D39" i="26"/>
  <c r="B41" i="26"/>
  <c r="E37" i="27" s="1"/>
  <c r="D36" i="26"/>
  <c r="B36" i="26"/>
  <c r="E32" i="27" s="1"/>
  <c r="B39" i="26"/>
  <c r="E35" i="27" s="1"/>
  <c r="D41" i="26"/>
  <c r="D40" i="26"/>
  <c r="B11" i="26"/>
  <c r="E11" i="27" s="1"/>
  <c r="B9" i="26"/>
  <c r="E9" i="27" s="1"/>
  <c r="B38" i="26"/>
  <c r="E34" i="27" s="1"/>
  <c r="C34" i="27" l="1"/>
  <c r="G34" i="27"/>
  <c r="D14" i="26"/>
  <c r="B14" i="26"/>
  <c r="B52" i="26"/>
  <c r="B53" i="26"/>
  <c r="G32" i="27"/>
  <c r="C32" i="27"/>
  <c r="B51" i="26"/>
  <c r="C35" i="27"/>
  <c r="G35" i="27"/>
  <c r="D52" i="26"/>
  <c r="C37" i="27"/>
  <c r="G37" i="27"/>
  <c r="D54" i="26"/>
  <c r="D44" i="26"/>
  <c r="D57" i="26" s="1"/>
  <c r="D51" i="26"/>
  <c r="B44" i="26"/>
  <c r="B57" i="26" s="1"/>
  <c r="B54" i="26"/>
  <c r="G36" i="27"/>
  <c r="C36" i="27"/>
  <c r="D53" i="26"/>
  <c r="G38" i="27"/>
  <c r="C38" i="27"/>
  <c r="E49" i="27"/>
  <c r="E48" i="27"/>
  <c r="G49" i="27" l="1"/>
  <c r="C47" i="27"/>
  <c r="C49" i="27"/>
  <c r="C48" i="27"/>
  <c r="G48" i="27"/>
  <c r="G47" i="27"/>
  <c r="E47" i="27"/>
  <c r="L23" i="26" l="1"/>
  <c r="G3" i="27" l="1"/>
  <c r="D3" i="26"/>
  <c r="B48" i="26"/>
  <c r="E3" i="27" l="1"/>
  <c r="C3" i="27"/>
  <c r="C43" i="27" s="1"/>
  <c r="G43" i="27"/>
  <c r="D48" i="26"/>
  <c r="E43" i="27" l="1"/>
  <c r="K14" i="1" l="1"/>
  <c r="K16" i="1"/>
  <c r="K12" i="1"/>
  <c r="K10" i="1" l="1"/>
  <c r="K18" i="1" l="1"/>
  <c r="K20" i="1"/>
  <c r="C46" i="27" l="1"/>
  <c r="C52" i="27" s="1"/>
  <c r="C13" i="27"/>
  <c r="G46" i="27"/>
  <c r="G52" i="27" s="1"/>
  <c r="G13" i="27"/>
  <c r="E46" i="27" l="1"/>
  <c r="E52" i="27" s="1"/>
  <c r="E13" i="27"/>
  <c r="G21" i="27" l="1"/>
  <c r="E21" i="27"/>
  <c r="C21" i="27"/>
  <c r="D22" i="26" l="1"/>
  <c r="D23" i="26" s="1"/>
  <c r="B22" i="26"/>
  <c r="B23" i="26" s="1"/>
  <c r="E20" i="27" l="1"/>
  <c r="C20" i="27"/>
  <c r="G20" i="27"/>
  <c r="B20" i="26" l="1"/>
  <c r="B21" i="26" s="1"/>
  <c r="D20" i="26"/>
  <c r="D21" i="26" s="1"/>
  <c r="G23" i="27"/>
  <c r="G24" i="27" s="1"/>
  <c r="G22" i="27"/>
  <c r="G39" i="27"/>
  <c r="C23" i="27"/>
  <c r="C24" i="27" s="1"/>
  <c r="C39" i="27"/>
  <c r="C22" i="27"/>
  <c r="E22" i="27"/>
  <c r="E23" i="27"/>
  <c r="E24" i="27" s="1"/>
  <c r="E39" i="27"/>
  <c r="D43" i="26" l="1"/>
  <c r="D56" i="26" s="1"/>
  <c r="D25" i="26"/>
  <c r="D26" i="26" s="1"/>
  <c r="D24" i="26"/>
  <c r="B25" i="26"/>
  <c r="B26" i="26" s="1"/>
  <c r="B43" i="26"/>
  <c r="B56" i="26" s="1"/>
  <c r="B24" i="26"/>
  <c r="D4" i="1" l="1"/>
  <c r="N22" i="1"/>
  <c r="J3" i="1"/>
  <c r="M4" i="1"/>
  <c r="J4" i="1" l="1"/>
  <c r="M3" i="1"/>
  <c r="G3" i="1" s="1"/>
  <c r="C3" i="1"/>
  <c r="D11" i="1"/>
  <c r="D10" i="1"/>
  <c r="D15" i="1"/>
  <c r="D19" i="1"/>
  <c r="D6" i="1"/>
  <c r="B11" i="25"/>
  <c r="D14" i="1"/>
  <c r="D18" i="1"/>
  <c r="D8" i="1"/>
  <c r="C11" i="25"/>
  <c r="G4" i="1"/>
  <c r="B4" i="26"/>
  <c r="B5" i="26" s="1"/>
  <c r="B28" i="26" s="1"/>
  <c r="D4" i="26"/>
  <c r="D7" i="1" l="1"/>
  <c r="C11" i="20" s="1"/>
  <c r="B11" i="18"/>
  <c r="C4" i="1"/>
  <c r="Z8" i="1" s="1"/>
  <c r="Z12" i="1" s="1"/>
  <c r="Z16" i="1" s="1"/>
  <c r="B12" i="25"/>
  <c r="B16" i="25" s="1"/>
  <c r="B11" i="19"/>
  <c r="B11" i="21"/>
  <c r="B11" i="20"/>
  <c r="C11" i="18"/>
  <c r="C11" i="21"/>
  <c r="P4" i="1"/>
  <c r="D12" i="1"/>
  <c r="D11" i="20"/>
  <c r="C11" i="19"/>
  <c r="B49" i="26"/>
  <c r="B61" i="26" s="1"/>
  <c r="C67" i="26" s="1"/>
  <c r="N3" i="1"/>
  <c r="U3" i="1" s="1"/>
  <c r="D49" i="26"/>
  <c r="D61" i="26" s="1"/>
  <c r="E67" i="26" s="1"/>
  <c r="D5" i="26"/>
  <c r="D28" i="26" s="1"/>
  <c r="N4" i="1" s="1"/>
  <c r="C10" i="1" l="1"/>
  <c r="P3" i="1"/>
  <c r="S3" i="1"/>
  <c r="C11" i="1"/>
  <c r="C8" i="1"/>
  <c r="C7" i="1"/>
  <c r="C6" i="1"/>
  <c r="C35" i="1" s="1"/>
  <c r="Z7" i="1"/>
  <c r="Z11" i="1"/>
  <c r="Z15" i="1" s="1"/>
  <c r="Z6" i="1"/>
  <c r="Z20" i="1"/>
  <c r="R4" i="1"/>
  <c r="Q4" i="1"/>
  <c r="D12" i="20"/>
  <c r="D16" i="20" s="1"/>
  <c r="D11" i="18"/>
  <c r="D12" i="18" s="1"/>
  <c r="D16" i="18" s="1"/>
  <c r="C12" i="1"/>
  <c r="D16" i="1"/>
  <c r="C12" i="25"/>
  <c r="C16" i="25" s="1"/>
  <c r="C3" i="25"/>
  <c r="U4" i="1"/>
  <c r="S4" i="1"/>
  <c r="D64" i="26"/>
  <c r="O4" i="1" s="1"/>
  <c r="T4" i="1" s="1"/>
  <c r="D63" i="26"/>
  <c r="X3" i="1"/>
  <c r="B3" i="25"/>
  <c r="B63" i="26"/>
  <c r="B64" i="26"/>
  <c r="O3" i="1" s="1"/>
  <c r="C36" i="1" l="1"/>
  <c r="C12" i="18"/>
  <c r="C16" i="18" s="1"/>
  <c r="C12" i="20"/>
  <c r="C16" i="20" s="1"/>
  <c r="Y4" i="1"/>
  <c r="T3" i="1"/>
  <c r="D11" i="19"/>
  <c r="C16" i="1"/>
  <c r="D20" i="1"/>
  <c r="C14" i="1"/>
  <c r="C37" i="1" s="1"/>
  <c r="C15" i="1"/>
  <c r="D12" i="19"/>
  <c r="Q3" i="1"/>
  <c r="R3" i="1"/>
  <c r="Z10" i="1"/>
  <c r="B12" i="20"/>
  <c r="B16" i="20" s="1"/>
  <c r="Z19" i="1"/>
  <c r="C12" i="21" s="1"/>
  <c r="C16" i="21" s="1"/>
  <c r="C12" i="19"/>
  <c r="C16" i="19" s="1"/>
  <c r="M11" i="1"/>
  <c r="J11" i="1" s="1"/>
  <c r="M10" i="1"/>
  <c r="U7" i="1"/>
  <c r="U6" i="1"/>
  <c r="M19" i="1"/>
  <c r="J19" i="1" s="1"/>
  <c r="M18" i="1"/>
  <c r="AA4" i="1"/>
  <c r="B4" i="25"/>
  <c r="B14" i="25" s="1"/>
  <c r="U8" i="1"/>
  <c r="X4" i="1"/>
  <c r="C4" i="25"/>
  <c r="C14" i="25" s="1"/>
  <c r="AA3" i="1"/>
  <c r="M15" i="1"/>
  <c r="J15" i="1" s="1"/>
  <c r="M14" i="1"/>
  <c r="M7" i="1"/>
  <c r="J7" i="1" s="1"/>
  <c r="M8" i="1"/>
  <c r="J8" i="1" s="1"/>
  <c r="M6" i="1"/>
  <c r="J6" i="1" s="1"/>
  <c r="E4" i="27"/>
  <c r="Y3" i="1" l="1"/>
  <c r="F19" i="1"/>
  <c r="C20" i="1"/>
  <c r="D11" i="21"/>
  <c r="C19" i="1"/>
  <c r="C18" i="1"/>
  <c r="C38" i="1" s="1"/>
  <c r="F11" i="1"/>
  <c r="D16" i="19"/>
  <c r="F15" i="1"/>
  <c r="D12" i="21"/>
  <c r="F6" i="1"/>
  <c r="F8" i="1"/>
  <c r="F7" i="1"/>
  <c r="AB4" i="1"/>
  <c r="B12" i="18"/>
  <c r="B16" i="18" s="1"/>
  <c r="Z14" i="1"/>
  <c r="M20" i="1"/>
  <c r="J20" i="1" s="1"/>
  <c r="J18" i="1"/>
  <c r="U10" i="1"/>
  <c r="E44" i="27"/>
  <c r="E54" i="27" s="1"/>
  <c r="E60" i="27" s="1"/>
  <c r="E5" i="27"/>
  <c r="E27" i="27" s="1"/>
  <c r="U11" i="1"/>
  <c r="M12" i="1"/>
  <c r="J12" i="1" s="1"/>
  <c r="J10" i="1"/>
  <c r="U12" i="1"/>
  <c r="G4" i="27"/>
  <c r="C4" i="27"/>
  <c r="M16" i="1"/>
  <c r="J16" i="1" s="1"/>
  <c r="J14" i="1"/>
  <c r="P6" i="1" l="1"/>
  <c r="R6" i="1" s="1"/>
  <c r="P19" i="1"/>
  <c r="Q19" i="1" s="1"/>
  <c r="AB3" i="1"/>
  <c r="D16" i="21"/>
  <c r="C5" i="21"/>
  <c r="C6" i="21" s="1"/>
  <c r="P15" i="1"/>
  <c r="Q15" i="1" s="1"/>
  <c r="P11" i="1"/>
  <c r="R11" i="1" s="1"/>
  <c r="P8" i="1"/>
  <c r="Q8" i="1" s="1"/>
  <c r="D5" i="20"/>
  <c r="D6" i="20" s="1"/>
  <c r="C5" i="19"/>
  <c r="C6" i="19" s="1"/>
  <c r="C5" i="18"/>
  <c r="C6" i="18" s="1"/>
  <c r="F20" i="1"/>
  <c r="F18" i="1"/>
  <c r="F10" i="1"/>
  <c r="Z18" i="1"/>
  <c r="B12" i="21" s="1"/>
  <c r="B16" i="21" s="1"/>
  <c r="B12" i="19"/>
  <c r="B16" i="19" s="1"/>
  <c r="F12" i="1"/>
  <c r="P7" i="1"/>
  <c r="R7" i="1" s="1"/>
  <c r="C5" i="20"/>
  <c r="C6" i="20" s="1"/>
  <c r="F16" i="1"/>
  <c r="F14" i="1"/>
  <c r="B5" i="20"/>
  <c r="B6" i="20" s="1"/>
  <c r="G44" i="27"/>
  <c r="G54" i="27" s="1"/>
  <c r="G60" i="27" s="1"/>
  <c r="G5" i="27"/>
  <c r="G27" i="27" s="1"/>
  <c r="U15" i="1"/>
  <c r="E56" i="27"/>
  <c r="E57" i="27"/>
  <c r="U14" i="1"/>
  <c r="E28" i="27"/>
  <c r="N11" i="1"/>
  <c r="N15" i="1"/>
  <c r="N7" i="1"/>
  <c r="N19" i="1"/>
  <c r="U16" i="1"/>
  <c r="U20" i="1" s="1"/>
  <c r="C44" i="27"/>
  <c r="C54" i="27" s="1"/>
  <c r="C60" i="27" s="1"/>
  <c r="C5" i="27"/>
  <c r="C27" i="27" s="1"/>
  <c r="Q6" i="1" l="1"/>
  <c r="R19" i="1"/>
  <c r="R8" i="1"/>
  <c r="V8" i="1" s="1"/>
  <c r="R15" i="1"/>
  <c r="B5" i="19"/>
  <c r="B6" i="19" s="1"/>
  <c r="P16" i="1"/>
  <c r="Q16" i="1" s="1"/>
  <c r="Q11" i="1"/>
  <c r="V11" i="1" s="1"/>
  <c r="P12" i="1"/>
  <c r="Q12" i="1" s="1"/>
  <c r="D5" i="19"/>
  <c r="D6" i="19" s="1"/>
  <c r="P14" i="1"/>
  <c r="Q14" i="1" s="1"/>
  <c r="B9" i="19" s="1"/>
  <c r="B10" i="19" s="1"/>
  <c r="P18" i="1"/>
  <c r="Q18" i="1" s="1"/>
  <c r="B9" i="21" s="1"/>
  <c r="B10" i="21" s="1"/>
  <c r="B5" i="21"/>
  <c r="B6" i="21" s="1"/>
  <c r="V6" i="1"/>
  <c r="Q7" i="1"/>
  <c r="C9" i="20" s="1"/>
  <c r="C10" i="20" s="1"/>
  <c r="D5" i="21"/>
  <c r="D6" i="21" s="1"/>
  <c r="P20" i="1"/>
  <c r="R20" i="1" s="1"/>
  <c r="D5" i="18"/>
  <c r="D6" i="18" s="1"/>
  <c r="P10" i="1"/>
  <c r="Q10" i="1" s="1"/>
  <c r="B9" i="18" s="1"/>
  <c r="B10" i="18" s="1"/>
  <c r="B5" i="18"/>
  <c r="B6" i="18" s="1"/>
  <c r="C9" i="19"/>
  <c r="C10" i="19" s="1"/>
  <c r="V15" i="1"/>
  <c r="C7" i="19" s="1"/>
  <c r="C8" i="19" s="1"/>
  <c r="C3" i="18"/>
  <c r="S11" i="1"/>
  <c r="U19" i="1"/>
  <c r="C3" i="20"/>
  <c r="S7" i="1"/>
  <c r="C9" i="21"/>
  <c r="C10" i="21" s="1"/>
  <c r="V19" i="1"/>
  <c r="C7" i="21" s="1"/>
  <c r="C8" i="21" s="1"/>
  <c r="D9" i="20"/>
  <c r="D10" i="20" s="1"/>
  <c r="U18" i="1"/>
  <c r="B9" i="25"/>
  <c r="B10" i="25" s="1"/>
  <c r="B15" i="25" s="1"/>
  <c r="B18" i="25" s="1"/>
  <c r="B9" i="20"/>
  <c r="B10" i="20" s="1"/>
  <c r="C3" i="21"/>
  <c r="S19" i="1"/>
  <c r="C57" i="27"/>
  <c r="C56" i="27"/>
  <c r="D3" i="19"/>
  <c r="C3" i="19"/>
  <c r="S15" i="1"/>
  <c r="N14" i="1"/>
  <c r="N18" i="1"/>
  <c r="N6" i="1"/>
  <c r="C28" i="27"/>
  <c r="N10" i="1"/>
  <c r="N8" i="1"/>
  <c r="N12" i="1"/>
  <c r="N20" i="1"/>
  <c r="N16" i="1"/>
  <c r="G28" i="27"/>
  <c r="O19" i="1"/>
  <c r="T19" i="1" s="1"/>
  <c r="O15" i="1"/>
  <c r="T15" i="1" s="1"/>
  <c r="O11" i="1"/>
  <c r="T11" i="1" s="1"/>
  <c r="O7" i="1"/>
  <c r="T7" i="1" s="1"/>
  <c r="G56" i="27"/>
  <c r="G57" i="27"/>
  <c r="D9" i="19" l="1"/>
  <c r="D10" i="19" s="1"/>
  <c r="R12" i="1"/>
  <c r="V12" i="1" s="1"/>
  <c r="R14" i="1"/>
  <c r="R18" i="1"/>
  <c r="V18" i="1" s="1"/>
  <c r="B7" i="21" s="1"/>
  <c r="B8" i="21" s="1"/>
  <c r="B15" i="21" s="1"/>
  <c r="C9" i="18"/>
  <c r="C10" i="18" s="1"/>
  <c r="R16" i="1"/>
  <c r="V16" i="1" s="1"/>
  <c r="X16" i="1" s="1"/>
  <c r="Q20" i="1"/>
  <c r="V20" i="1" s="1"/>
  <c r="R10" i="1"/>
  <c r="V10" i="1" s="1"/>
  <c r="V7" i="1"/>
  <c r="C7" i="20" s="1"/>
  <c r="C9" i="25"/>
  <c r="C10" i="25" s="1"/>
  <c r="C15" i="25" s="1"/>
  <c r="C18" i="25" s="1"/>
  <c r="E18" i="25" s="1"/>
  <c r="E22" i="25" s="1"/>
  <c r="E19" i="25" s="1"/>
  <c r="C4" i="21"/>
  <c r="C14" i="21" s="1"/>
  <c r="X19" i="1"/>
  <c r="X15" i="1"/>
  <c r="B3" i="20"/>
  <c r="S6" i="1"/>
  <c r="AA19" i="1"/>
  <c r="Y19" i="1"/>
  <c r="D9" i="18"/>
  <c r="D10" i="18" s="1"/>
  <c r="C4" i="20"/>
  <c r="C14" i="20" s="1"/>
  <c r="O8" i="1"/>
  <c r="T8" i="1" s="1"/>
  <c r="O16" i="1"/>
  <c r="T16" i="1" s="1"/>
  <c r="O20" i="1"/>
  <c r="O12" i="1"/>
  <c r="T12" i="1" s="1"/>
  <c r="B3" i="19"/>
  <c r="S14" i="1"/>
  <c r="S16" i="1"/>
  <c r="C4" i="19"/>
  <c r="C14" i="19" s="1"/>
  <c r="D7" i="20"/>
  <c r="X8" i="1"/>
  <c r="AA7" i="1"/>
  <c r="AA15" i="1"/>
  <c r="Y15" i="1"/>
  <c r="D3" i="21"/>
  <c r="S20" i="1"/>
  <c r="D3" i="20"/>
  <c r="S8" i="1"/>
  <c r="AA11" i="1"/>
  <c r="Y11" i="1"/>
  <c r="B3" i="21"/>
  <c r="S18" i="1"/>
  <c r="D3" i="18"/>
  <c r="S12" i="1"/>
  <c r="V14" i="1"/>
  <c r="C7" i="18"/>
  <c r="C8" i="18" s="1"/>
  <c r="X11" i="1"/>
  <c r="C4" i="18"/>
  <c r="C14" i="18" s="1"/>
  <c r="O14" i="1"/>
  <c r="O18" i="1"/>
  <c r="O10" i="1"/>
  <c r="O6" i="1"/>
  <c r="B7" i="20"/>
  <c r="X6" i="1"/>
  <c r="C15" i="21"/>
  <c r="C15" i="19"/>
  <c r="B3" i="18"/>
  <c r="S10" i="1"/>
  <c r="C8" i="20" l="1"/>
  <c r="C15" i="20" s="1"/>
  <c r="C18" i="20" s="1"/>
  <c r="B8" i="20"/>
  <c r="B15" i="20" s="1"/>
  <c r="D8" i="20"/>
  <c r="D15" i="20" s="1"/>
  <c r="Y7" i="1"/>
  <c r="AB7" i="1" s="1"/>
  <c r="C15" i="18"/>
  <c r="C18" i="18" s="1"/>
  <c r="Y6" i="1"/>
  <c r="D7" i="19"/>
  <c r="T18" i="1"/>
  <c r="T14" i="1"/>
  <c r="T6" i="1"/>
  <c r="T10" i="1"/>
  <c r="X7" i="1"/>
  <c r="D9" i="21"/>
  <c r="D10" i="21" s="1"/>
  <c r="AA6" i="1"/>
  <c r="X18" i="1"/>
  <c r="E20" i="25"/>
  <c r="H20" i="25" s="1"/>
  <c r="C18" i="21"/>
  <c r="D4" i="18"/>
  <c r="D14" i="18" s="1"/>
  <c r="C18" i="19"/>
  <c r="AA8" i="1"/>
  <c r="Y8" i="1"/>
  <c r="AA12" i="1"/>
  <c r="Y12" i="1"/>
  <c r="AA20" i="1"/>
  <c r="Y20" i="1"/>
  <c r="AA16" i="1"/>
  <c r="Y16" i="1"/>
  <c r="D7" i="18"/>
  <c r="X12" i="1"/>
  <c r="B7" i="19"/>
  <c r="X14" i="1"/>
  <c r="Y18" i="1"/>
  <c r="AA18" i="1"/>
  <c r="D4" i="19"/>
  <c r="D14" i="19" s="1"/>
  <c r="D4" i="20"/>
  <c r="D14" i="20" s="1"/>
  <c r="B4" i="21"/>
  <c r="B14" i="21" s="1"/>
  <c r="B18" i="21" s="1"/>
  <c r="AB15" i="1"/>
  <c r="AA14" i="1"/>
  <c r="Y14" i="1"/>
  <c r="AB19" i="1"/>
  <c r="Y10" i="1"/>
  <c r="AA10" i="1"/>
  <c r="B4" i="19"/>
  <c r="B14" i="19" s="1"/>
  <c r="B4" i="18"/>
  <c r="B14" i="18" s="1"/>
  <c r="AB11" i="1"/>
  <c r="B4" i="20"/>
  <c r="B14" i="20" s="1"/>
  <c r="B7" i="18"/>
  <c r="X10" i="1"/>
  <c r="D7" i="21"/>
  <c r="D8" i="21" s="1"/>
  <c r="X20" i="1"/>
  <c r="D4" i="21"/>
  <c r="D14" i="21" s="1"/>
  <c r="T20" i="1"/>
  <c r="D8" i="18" l="1"/>
  <c r="D15" i="18" s="1"/>
  <c r="D18" i="18" s="1"/>
  <c r="D18" i="20"/>
  <c r="B18" i="20"/>
  <c r="B8" i="18"/>
  <c r="B15" i="18" s="1"/>
  <c r="B18" i="18" s="1"/>
  <c r="B8" i="19"/>
  <c r="B15" i="19" s="1"/>
  <c r="B18" i="19" s="1"/>
  <c r="D8" i="19"/>
  <c r="D15" i="19" s="1"/>
  <c r="D18" i="19" s="1"/>
  <c r="D15" i="21"/>
  <c r="D18" i="21" s="1"/>
  <c r="F18" i="21" s="1"/>
  <c r="F22" i="21" s="1"/>
  <c r="AB6" i="1"/>
  <c r="AB8" i="1"/>
  <c r="AD4" i="1"/>
  <c r="AB20" i="1"/>
  <c r="AB12" i="1"/>
  <c r="AB10" i="1"/>
  <c r="AB14" i="1"/>
  <c r="AB16" i="1"/>
  <c r="AB18" i="1"/>
  <c r="F18" i="20" l="1"/>
  <c r="F22" i="20" s="1"/>
  <c r="F20" i="20" s="1"/>
  <c r="AC12" i="1"/>
  <c r="AC20" i="1"/>
  <c r="AC8" i="1"/>
  <c r="AC16" i="1"/>
  <c r="F18" i="19"/>
  <c r="F22" i="19" s="1"/>
  <c r="F20" i="19" s="1"/>
  <c r="F18" i="18"/>
  <c r="F22" i="18" s="1"/>
  <c r="F20" i="18" s="1"/>
  <c r="F20" i="21"/>
  <c r="F19" i="21"/>
  <c r="F19" i="20" l="1"/>
  <c r="I20" i="20" s="1"/>
  <c r="AD8" i="1" s="1"/>
  <c r="F19" i="19"/>
  <c r="I20" i="19" s="1"/>
  <c r="F19" i="18"/>
  <c r="I20" i="18" s="1"/>
  <c r="I20" i="21"/>
  <c r="AD16" i="1" l="1"/>
  <c r="AD12" i="1"/>
  <c r="AD20" i="1"/>
</calcChain>
</file>

<file path=xl/sharedStrings.xml><?xml version="1.0" encoding="utf-8"?>
<sst xmlns="http://schemas.openxmlformats.org/spreadsheetml/2006/main" count="225" uniqueCount="141">
  <si>
    <t>Feeding expenses</t>
  </si>
  <si>
    <t>Replacements</t>
  </si>
  <si>
    <t>Health</t>
  </si>
  <si>
    <t>New animal</t>
  </si>
  <si>
    <t>Value milk production (USD/yr/cow)</t>
  </si>
  <si>
    <t>Reproductive inputs and services</t>
  </si>
  <si>
    <t>Net income gain over base</t>
  </si>
  <si>
    <t>Opportunity cost of land (USD/ha/yr)</t>
  </si>
  <si>
    <t>Change in cropping net income (USD)</t>
  </si>
  <si>
    <t>Price</t>
  </si>
  <si>
    <t>Feed expenses</t>
  </si>
  <si>
    <t>Standard deviation</t>
  </si>
  <si>
    <t>Reproductive inputs</t>
  </si>
  <si>
    <t>Mean</t>
  </si>
  <si>
    <t>Gilbert et al. (2018)</t>
  </si>
  <si>
    <t>Milk price (USD / l)</t>
  </si>
  <si>
    <t>Yield (L/year)</t>
  </si>
  <si>
    <t>Milk price</t>
  </si>
  <si>
    <t>Cropland allocation</t>
  </si>
  <si>
    <t>Cropland margin</t>
  </si>
  <si>
    <t>Scenario</t>
  </si>
  <si>
    <t>GLS (2019) and typology</t>
  </si>
  <si>
    <t>Household type</t>
  </si>
  <si>
    <t xml:space="preserve">Sample size </t>
  </si>
  <si>
    <t>SE (fraction)</t>
  </si>
  <si>
    <t>Parameters that are specified manually (i.e. as part of a scenario definition)</t>
  </si>
  <si>
    <t>Standard error (%) improved forage yield</t>
  </si>
  <si>
    <t>Market price Maize bran (USD/kg)</t>
  </si>
  <si>
    <t>Market price Sunflower cake (USD/kg)</t>
  </si>
  <si>
    <t>Napier yield (Mg/ha)</t>
  </si>
  <si>
    <t>Feeding expenses (based on change in other sheet)</t>
  </si>
  <si>
    <t>Standard error (fraction) of herd size per household type</t>
  </si>
  <si>
    <t xml:space="preserve">Feeding expenses </t>
  </si>
  <si>
    <t xml:space="preserve">Opportunity cost land strata 1 </t>
  </si>
  <si>
    <t>Opportunity cost land strata 2</t>
  </si>
  <si>
    <t>Base 2018 animals in subsector</t>
  </si>
  <si>
    <t>Fraction local cattle not owned by pastoralist households</t>
  </si>
  <si>
    <t>Average household size (# people)</t>
  </si>
  <si>
    <t>Fraction cows to total herd</t>
  </si>
  <si>
    <t>Proportion of specific farm type's herd of cattle to total herd of same breed in population</t>
  </si>
  <si>
    <t>Dairy Income (USD/household/year)</t>
  </si>
  <si>
    <t>Non dairy income (USD/household/year)</t>
  </si>
  <si>
    <t>Random value cows per household (head)</t>
  </si>
  <si>
    <t>Quantity households</t>
  </si>
  <si>
    <t>Estimated population income (USD/yr)</t>
  </si>
  <si>
    <t>Mean population income (USD/yr)</t>
  </si>
  <si>
    <t># projected animals in subsector (final year)</t>
  </si>
  <si>
    <t>Dairy income base year</t>
  </si>
  <si>
    <t xml:space="preserve">Net income </t>
  </si>
  <si>
    <t>--</t>
  </si>
  <si>
    <t>Pasture yield (Mg/ha)</t>
  </si>
  <si>
    <t xml:space="preserve">Change in napier allocation (ha) </t>
  </si>
  <si>
    <t>Standard error (%) district level</t>
  </si>
  <si>
    <t>Revenue</t>
  </si>
  <si>
    <t>Variable expenses (USD/cow/year)</t>
  </si>
  <si>
    <t>Health inputs/services</t>
  </si>
  <si>
    <t>Reproductive inputs/services</t>
  </si>
  <si>
    <t>Heifer</t>
  </si>
  <si>
    <t xml:space="preserve">Cropping expenses </t>
  </si>
  <si>
    <t>Forage seeding cost (USD/yr)</t>
  </si>
  <si>
    <t>Uncertainty quantification</t>
  </si>
  <si>
    <t>Standard deviations of revenue, cost parameters</t>
  </si>
  <si>
    <t>Random values of parameters</t>
  </si>
  <si>
    <t>Forage crop allocation</t>
  </si>
  <si>
    <t>Monte carlo simulations (n = 500)</t>
  </si>
  <si>
    <t>Milk price (USD/litre)</t>
  </si>
  <si>
    <t>Milk yield (litre/cow/year)</t>
  </si>
  <si>
    <t>Value milk produced (USD/year/cow)</t>
  </si>
  <si>
    <t>Price acquring new animal (USD/head)</t>
  </si>
  <si>
    <t>Cropping expenses</t>
  </si>
  <si>
    <t>Cropping parameters</t>
  </si>
  <si>
    <t>Forage seeding cost (USD/ha/yr)</t>
  </si>
  <si>
    <t>Change in pasture allocation (ha)</t>
  </si>
  <si>
    <t>Forage seeding cost (USD/year)</t>
  </si>
  <si>
    <t>Use efficiency napier</t>
  </si>
  <si>
    <t>Use efficiency pasture</t>
  </si>
  <si>
    <t>Napier fed (kg/yr)</t>
  </si>
  <si>
    <t xml:space="preserve">Napier land allocation (ha) </t>
  </si>
  <si>
    <t>Pasture fed (kg/yr)</t>
  </si>
  <si>
    <t xml:space="preserve">Pasture allocation (ha) </t>
  </si>
  <si>
    <t>Baseline</t>
  </si>
  <si>
    <t>Cropping expenses (USD)</t>
  </si>
  <si>
    <t>Total improved forage allocation (ha)</t>
  </si>
  <si>
    <t>Change in income from cropping (USD)</t>
  </si>
  <si>
    <t xml:space="preserve">Sources </t>
  </si>
  <si>
    <t>Total herd size base year (head)</t>
  </si>
  <si>
    <t>Total variable expenses (USD/head/year)</t>
  </si>
  <si>
    <t>Heifer cost (USD/head)</t>
  </si>
  <si>
    <t>Amortization period (years)</t>
  </si>
  <si>
    <t>Parameters (as defined in Table 1 and other sections of text) (based on TLSA, URT 2017)</t>
  </si>
  <si>
    <t xml:space="preserve"> Dairy income by household</t>
  </si>
  <si>
    <t xml:space="preserve">Standard error (%) of net household income intervention scenario not including dairy </t>
  </si>
  <si>
    <t>Basic income parameters</t>
  </si>
  <si>
    <t>Total dariy expenses</t>
  </si>
  <si>
    <t>Price deflator</t>
  </si>
  <si>
    <t>Forage seeding cost (USD)</t>
  </si>
  <si>
    <t>Reduction in non-dairy income through crop area change</t>
  </si>
  <si>
    <t>Total dairy income (USD/yr)</t>
  </si>
  <si>
    <t>Milk yield standard error (fraction)</t>
  </si>
  <si>
    <t>Milk yield</t>
  </si>
  <si>
    <t>New-improved</t>
  </si>
  <si>
    <t>Local-only</t>
  </si>
  <si>
    <t>Extant-improved</t>
  </si>
  <si>
    <t>High ambition</t>
  </si>
  <si>
    <t>Middle road</t>
  </si>
  <si>
    <t>Status quo</t>
  </si>
  <si>
    <t>High ambition ++</t>
  </si>
  <si>
    <t xml:space="preserve">Proportion of households within region  </t>
  </si>
  <si>
    <t>All dairy households</t>
  </si>
  <si>
    <t>Income per cow (USD/yr)</t>
  </si>
  <si>
    <t>Random value income per cow (USD/yr)</t>
  </si>
  <si>
    <t>Cows per household (head)</t>
  </si>
  <si>
    <t>Non-dairy income (USD/yr)</t>
  </si>
  <si>
    <t>Random value non dairy income (USD/yr)</t>
  </si>
  <si>
    <t>Random value reduction/increase in non-dairy income (USD/yr)</t>
  </si>
  <si>
    <t>SE quantity households</t>
  </si>
  <si>
    <t>SE population income (USD/yr)</t>
  </si>
  <si>
    <t>Number of households</t>
  </si>
  <si>
    <t>Average herd size (head</t>
  </si>
  <si>
    <t>Total number of cattle owned by households (head)</t>
  </si>
  <si>
    <t>Calculated income per cow (USD per cow per yr)</t>
  </si>
  <si>
    <t xml:space="preserve">Standard deviation income per cow </t>
  </si>
  <si>
    <t>Change in forage land area (ha)</t>
  </si>
  <si>
    <t>Net income from dairy enterprise</t>
  </si>
  <si>
    <t xml:space="preserve">Dairy Income </t>
  </si>
  <si>
    <t>District totals</t>
  </si>
  <si>
    <r>
      <t xml:space="preserve">Household income </t>
    </r>
    <r>
      <rPr>
        <sz val="12"/>
        <color theme="1"/>
        <rFont val="Calibri"/>
        <family val="2"/>
        <scheme val="minor"/>
      </rPr>
      <t>(USD/yr)</t>
    </r>
  </si>
  <si>
    <t>SD dairy income (USD per household)</t>
  </si>
  <si>
    <t>Projection from base year excluding dairy</t>
  </si>
  <si>
    <t xml:space="preserve">Total base year (2018) </t>
  </si>
  <si>
    <t>Total final year (simulated)</t>
  </si>
  <si>
    <t>Uncertainty in population percentage (used for quantifying uncertainty)</t>
  </si>
  <si>
    <t>Total income per household type (USD/yr)</t>
  </si>
  <si>
    <t>Aggregate absolute welfare gain/loss relative to Baseline (fraction)</t>
  </si>
  <si>
    <t>Standard error of imputed income at district level (%)</t>
  </si>
  <si>
    <t>Average herd size (head) in base year (2018)</t>
  </si>
  <si>
    <t>Fraction Improved owned by other base year</t>
  </si>
  <si>
    <t>Fraction Improved owned by other farms  final year</t>
  </si>
  <si>
    <t>Ratio improved cattle for which new adopters adopt</t>
  </si>
  <si>
    <t xml:space="preserve">Adoption rate (% of newly local cattle rearing hholds) </t>
  </si>
  <si>
    <t xml:space="preserve">Adoption rate (% of all dairy hholds)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</si>
</sst>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8" formatCode="&quot;$&quot;#,##0.00_);[Red]\(&quot;$&quot;#,##0.00\)"/>
    <numFmt numFmtId="43" formatCode="_(* #,##0.00_);_(* \(#,##0.00\);_(* &quot;-&quot;??_);_(@_)"/>
    <numFmt numFmtId="164" formatCode="0.0000"/>
    <numFmt numFmtId="165" formatCode="0.0"/>
    <numFmt numFmtId="166" formatCode="_(* #,##0.000_);_(* \(#,##0.000\);_(* &quot;-&quot;??_);_(@_)"/>
    <numFmt numFmtId="167" formatCode="_(* #,##0.0_);_(* \(#,##0.0\);_(* &quot;-&quot;??_);_(@_)"/>
    <numFmt numFmtId="168" formatCode="0.000"/>
  </numFmts>
  <fonts count="2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1"/>
      <color rgb="FF00B0F0"/>
      <name val="Calibri"/>
      <family val="2"/>
      <scheme val="minor"/>
    </font>
    <font>
      <b/>
      <sz val="11"/>
      <color rgb="FF00B050"/>
      <name val="Calibri"/>
      <family val="2"/>
      <scheme val="minor"/>
    </font>
    <font>
      <b/>
      <sz val="1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theme="5" tint="-0.249977111117893"/>
      <name val="Calibri"/>
      <family val="2"/>
      <scheme val="minor"/>
    </font>
    <font>
      <sz val="11"/>
      <name val="Calibri"/>
      <family val="2"/>
      <scheme val="minor"/>
    </font>
    <font>
      <sz val="11"/>
      <color rgb="FF00B050"/>
      <name val="Calibri"/>
      <family val="2"/>
      <scheme val="minor"/>
    </font>
    <font>
      <sz val="11"/>
      <color theme="5"/>
      <name val="Calibri"/>
      <family val="2"/>
      <scheme val="minor"/>
    </font>
    <font>
      <b/>
      <sz val="11"/>
      <color rgb="FF0070C0"/>
      <name val="Calibri"/>
      <family val="2"/>
      <scheme val="minor"/>
    </font>
    <font>
      <sz val="11"/>
      <color rgb="FFC0C0C0"/>
      <name val="Calibri"/>
      <family val="2"/>
      <scheme val="minor"/>
    </font>
    <font>
      <sz val="11"/>
      <color rgb="FF0070C0"/>
      <name val="Calibri"/>
      <family val="2"/>
      <scheme val="minor"/>
    </font>
    <font>
      <sz val="12"/>
      <color rgb="FF222222"/>
      <name val="Arial"/>
      <family val="2"/>
    </font>
    <font>
      <sz val="11"/>
      <color rgb="FF00B0F0"/>
      <name val="Calibri"/>
      <family val="2"/>
      <scheme val="minor"/>
    </font>
    <font>
      <i/>
      <sz val="11"/>
      <name val="Calibri"/>
      <family val="2"/>
      <scheme val="minor"/>
    </font>
    <font>
      <sz val="11"/>
      <color rgb="FFCC00CC"/>
      <name val="Calibri"/>
      <family val="2"/>
      <scheme val="minor"/>
    </font>
    <font>
      <b/>
      <sz val="11"/>
      <color rgb="FFB88C00"/>
      <name val="Calibri"/>
      <family val="2"/>
      <scheme val="minor"/>
    </font>
    <font>
      <sz val="11"/>
      <color rgb="FFB88C00"/>
      <name val="Calibri"/>
      <family val="2"/>
      <scheme val="minor"/>
    </font>
    <font>
      <b/>
      <sz val="12"/>
      <color rgb="FF00B0F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7" fillId="0" borderId="0" applyNumberFormat="0" applyFill="0" applyBorder="0" applyAlignment="0" applyProtection="0"/>
  </cellStyleXfs>
  <cellXfs count="111">
    <xf numFmtId="0" fontId="0" fillId="0" borderId="0" xfId="0"/>
    <xf numFmtId="0" fontId="2" fillId="0" borderId="0" xfId="0" applyFont="1"/>
    <xf numFmtId="43" fontId="0" fillId="0" borderId="0" xfId="1" applyFont="1" applyAlignment="1">
      <alignment horizontal="center"/>
    </xf>
    <xf numFmtId="43" fontId="0" fillId="0" borderId="0" xfId="0" applyNumberFormat="1"/>
    <xf numFmtId="0" fontId="3" fillId="0" borderId="0" xfId="0" applyFont="1" applyAlignment="1">
      <alignment horizontal="center"/>
    </xf>
    <xf numFmtId="2" fontId="0" fillId="0" borderId="0" xfId="0" applyNumberFormat="1" applyAlignment="1">
      <alignment horizontal="center"/>
    </xf>
    <xf numFmtId="8" fontId="0" fillId="0" borderId="0" xfId="0" applyNumberFormat="1" applyAlignment="1">
      <alignment horizontal="center"/>
    </xf>
    <xf numFmtId="0" fontId="5" fillId="0" borderId="0" xfId="0" applyFont="1"/>
    <xf numFmtId="0" fontId="6" fillId="0" borderId="0" xfId="0" applyFont="1"/>
    <xf numFmtId="164" fontId="4" fillId="0" borderId="0" xfId="0" applyNumberFormat="1" applyFont="1"/>
    <xf numFmtId="164" fontId="0" fillId="0" borderId="0" xfId="0" applyNumberFormat="1"/>
    <xf numFmtId="0" fontId="9" fillId="0" borderId="0" xfId="0" applyFont="1"/>
    <xf numFmtId="0" fontId="9" fillId="0" borderId="0" xfId="0" applyFont="1" applyAlignment="1">
      <alignment horizontal="center"/>
    </xf>
    <xf numFmtId="0" fontId="10" fillId="0" borderId="0" xfId="0" applyFont="1"/>
    <xf numFmtId="0" fontId="8" fillId="0" borderId="0" xfId="0" applyFont="1"/>
    <xf numFmtId="0" fontId="11" fillId="0" borderId="0" xfId="0" applyFont="1"/>
    <xf numFmtId="2" fontId="0" fillId="0" borderId="0" xfId="0" applyNumberFormat="1"/>
    <xf numFmtId="43" fontId="12" fillId="0" borderId="0" xfId="1" applyFont="1"/>
    <xf numFmtId="0" fontId="0" fillId="0" borderId="0" xfId="0" applyAlignment="1">
      <alignment horizontal="center"/>
    </xf>
    <xf numFmtId="0" fontId="13" fillId="0" borderId="0" xfId="0" applyFont="1"/>
    <xf numFmtId="0" fontId="14" fillId="0" borderId="0" xfId="0" applyFont="1"/>
    <xf numFmtId="0" fontId="15" fillId="0" borderId="0" xfId="0" applyFont="1"/>
    <xf numFmtId="0" fontId="16" fillId="0" borderId="0" xfId="0" applyFont="1"/>
    <xf numFmtId="0" fontId="17" fillId="0" borderId="0" xfId="0" applyFont="1"/>
    <xf numFmtId="43" fontId="15" fillId="0" borderId="0" xfId="0" applyNumberFormat="1" applyFont="1"/>
    <xf numFmtId="0" fontId="12" fillId="0" borderId="0" xfId="2" applyFont="1"/>
    <xf numFmtId="0" fontId="0" fillId="0" borderId="0" xfId="1" applyNumberFormat="1" applyFont="1" applyAlignment="1">
      <alignment horizontal="center"/>
    </xf>
    <xf numFmtId="0" fontId="2" fillId="0" borderId="0" xfId="0" applyFont="1" applyAlignment="1">
      <alignment horizontal="center" vertical="center"/>
    </xf>
    <xf numFmtId="165" fontId="0" fillId="0" borderId="0" xfId="0" applyNumberFormat="1"/>
    <xf numFmtId="43" fontId="0" fillId="0" borderId="0" xfId="1" applyNumberFormat="1" applyFont="1" applyAlignment="1">
      <alignment horizontal="center"/>
    </xf>
    <xf numFmtId="167" fontId="0" fillId="0" borderId="0" xfId="0" applyNumberFormat="1"/>
    <xf numFmtId="166" fontId="0" fillId="0" borderId="0" xfId="1" applyNumberFormat="1" applyFont="1" applyAlignment="1">
      <alignment horizontal="center"/>
    </xf>
    <xf numFmtId="164" fontId="0" fillId="0" borderId="0" xfId="0" applyNumberFormat="1" applyAlignment="1">
      <alignment horizontal="center"/>
    </xf>
    <xf numFmtId="166" fontId="0" fillId="0" borderId="0" xfId="0" applyNumberFormat="1"/>
    <xf numFmtId="0" fontId="18" fillId="0" borderId="0" xfId="0" applyFont="1"/>
    <xf numFmtId="0" fontId="0" fillId="0" borderId="0" xfId="0"/>
    <xf numFmtId="165" fontId="0" fillId="0" borderId="0" xfId="1" applyNumberFormat="1" applyFont="1"/>
    <xf numFmtId="167" fontId="0" fillId="0" borderId="0" xfId="1" applyNumberFormat="1" applyFont="1" applyAlignment="1">
      <alignment horizontal="center"/>
    </xf>
    <xf numFmtId="0" fontId="2" fillId="0" borderId="0" xfId="0" applyFont="1" applyAlignment="1">
      <alignment horizontal="center"/>
    </xf>
    <xf numFmtId="2" fontId="2" fillId="0" borderId="0" xfId="0" applyNumberFormat="1" applyFont="1"/>
    <xf numFmtId="43" fontId="2" fillId="0" borderId="0" xfId="0" applyNumberFormat="1" applyFont="1"/>
    <xf numFmtId="0" fontId="0" fillId="0" borderId="0" xfId="0" applyAlignment="1">
      <alignment horizontal="center"/>
    </xf>
    <xf numFmtId="167" fontId="12" fillId="0" borderId="0" xfId="1" applyNumberFormat="1" applyFont="1"/>
    <xf numFmtId="167" fontId="3" fillId="0" borderId="0" xfId="0" applyNumberFormat="1" applyFont="1" applyAlignment="1">
      <alignment horizontal="center"/>
    </xf>
    <xf numFmtId="167" fontId="2" fillId="0" borderId="0" xfId="0" applyNumberFormat="1" applyFont="1" applyAlignment="1">
      <alignment horizontal="center"/>
    </xf>
    <xf numFmtId="167" fontId="0" fillId="0" borderId="0" xfId="1" applyNumberFormat="1" applyFont="1"/>
    <xf numFmtId="165" fontId="0" fillId="0" borderId="0" xfId="0" applyNumberFormat="1" applyAlignment="1">
      <alignment horizontal="center"/>
    </xf>
    <xf numFmtId="165" fontId="0" fillId="0" borderId="0" xfId="1" applyNumberFormat="1" applyFont="1" applyAlignment="1">
      <alignment horizontal="center"/>
    </xf>
    <xf numFmtId="0" fontId="0" fillId="0" borderId="0" xfId="0" applyAlignment="1">
      <alignment horizontal="center"/>
    </xf>
    <xf numFmtId="165" fontId="0" fillId="0" borderId="0" xfId="0" applyNumberFormat="1" applyAlignment="1">
      <alignment horizontal="center"/>
    </xf>
    <xf numFmtId="0" fontId="0" fillId="0" borderId="0" xfId="0"/>
    <xf numFmtId="168" fontId="0" fillId="0" borderId="0" xfId="0" applyNumberFormat="1"/>
    <xf numFmtId="1" fontId="0" fillId="0" borderId="0" xfId="0" applyNumberFormat="1"/>
    <xf numFmtId="0" fontId="2" fillId="0" borderId="0" xfId="0" applyFont="1" applyAlignment="1"/>
    <xf numFmtId="0" fontId="0" fillId="0" borderId="0" xfId="0" applyAlignment="1">
      <alignment horizontal="center"/>
    </xf>
    <xf numFmtId="165" fontId="0" fillId="0" borderId="0" xfId="0" applyNumberFormat="1" applyAlignment="1">
      <alignment horizontal="center"/>
    </xf>
    <xf numFmtId="0" fontId="0" fillId="0" borderId="0" xfId="0"/>
    <xf numFmtId="0" fontId="0" fillId="0" borderId="0" xfId="0"/>
    <xf numFmtId="167" fontId="20" fillId="0" borderId="0" xfId="0" applyNumberFormat="1" applyFont="1" applyAlignment="1">
      <alignment horizontal="center"/>
    </xf>
    <xf numFmtId="0" fontId="21" fillId="0" borderId="0" xfId="0" applyFont="1"/>
    <xf numFmtId="0" fontId="19" fillId="0" borderId="0" xfId="0" applyFont="1"/>
    <xf numFmtId="0" fontId="4" fillId="0" borderId="0" xfId="0" applyFont="1"/>
    <xf numFmtId="166" fontId="6" fillId="0" borderId="0" xfId="0" applyNumberFormat="1" applyFont="1"/>
    <xf numFmtId="167" fontId="12" fillId="0" borderId="0" xfId="0" applyNumberFormat="1" applyFont="1"/>
    <xf numFmtId="43" fontId="12" fillId="0" borderId="0" xfId="0" applyNumberFormat="1" applyFont="1"/>
    <xf numFmtId="166" fontId="12" fillId="0" borderId="0" xfId="0" applyNumberFormat="1" applyFont="1"/>
    <xf numFmtId="167" fontId="12" fillId="0" borderId="0" xfId="1" applyNumberFormat="1" applyFont="1" applyAlignment="1">
      <alignment horizontal="center"/>
    </xf>
    <xf numFmtId="2" fontId="6" fillId="0" borderId="0" xfId="0" applyNumberFormat="1" applyFont="1"/>
    <xf numFmtId="165" fontId="21" fillId="0" borderId="0" xfId="0" applyNumberFormat="1" applyFont="1" applyAlignment="1">
      <alignment horizontal="center"/>
    </xf>
    <xf numFmtId="166" fontId="21" fillId="0" borderId="0" xfId="0" applyNumberFormat="1" applyFont="1"/>
    <xf numFmtId="167" fontId="21" fillId="0" borderId="0" xfId="0" applyNumberFormat="1" applyFont="1"/>
    <xf numFmtId="168" fontId="19" fillId="0" borderId="0" xfId="0" applyNumberFormat="1" applyFont="1"/>
    <xf numFmtId="0" fontId="22" fillId="0" borderId="0" xfId="0" applyFont="1"/>
    <xf numFmtId="43" fontId="23" fillId="0" borderId="0" xfId="0" applyNumberFormat="1" applyFont="1"/>
    <xf numFmtId="0" fontId="23" fillId="0" borderId="0" xfId="0" applyFont="1"/>
    <xf numFmtId="0" fontId="0" fillId="0" borderId="0" xfId="0"/>
    <xf numFmtId="0" fontId="0" fillId="0" borderId="0" xfId="0"/>
    <xf numFmtId="165" fontId="0" fillId="0" borderId="0" xfId="0" applyNumberFormat="1" applyAlignment="1">
      <alignment horizontal="center"/>
    </xf>
    <xf numFmtId="0" fontId="0" fillId="0" borderId="0" xfId="0"/>
    <xf numFmtId="0" fontId="0" fillId="0" borderId="0" xfId="0"/>
    <xf numFmtId="0" fontId="0" fillId="0" borderId="0" xfId="0"/>
    <xf numFmtId="166" fontId="19" fillId="0" borderId="0" xfId="0" applyNumberFormat="1" applyFont="1"/>
    <xf numFmtId="165" fontId="0" fillId="0" borderId="0" xfId="0" applyNumberFormat="1" applyAlignment="1">
      <alignment horizontal="center"/>
    </xf>
    <xf numFmtId="0" fontId="0" fillId="0" borderId="0" xfId="0"/>
    <xf numFmtId="2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/>
    <xf numFmtId="168" fontId="0" fillId="0" borderId="0" xfId="0" applyNumberFormat="1" applyAlignment="1">
      <alignment horizontal="center"/>
    </xf>
    <xf numFmtId="0" fontId="24" fillId="0" borderId="0" xfId="0" applyFont="1"/>
    <xf numFmtId="0" fontId="0" fillId="0" borderId="0" xfId="0" applyAlignment="1">
      <alignment horizontal="center"/>
    </xf>
    <xf numFmtId="165" fontId="0" fillId="0" borderId="0" xfId="0" applyNumberFormat="1" applyAlignment="1">
      <alignment horizontal="center"/>
    </xf>
    <xf numFmtId="0" fontId="0" fillId="0" borderId="0" xfId="0"/>
    <xf numFmtId="0" fontId="9" fillId="0" borderId="0" xfId="0" applyFon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center"/>
    </xf>
    <xf numFmtId="0" fontId="0" fillId="0" borderId="0" xfId="0"/>
    <xf numFmtId="165" fontId="0" fillId="0" borderId="0" xfId="0" applyNumberFormat="1" applyAlignment="1">
      <alignment horizontal="center"/>
    </xf>
    <xf numFmtId="0" fontId="0" fillId="0" borderId="0" xfId="0"/>
    <xf numFmtId="2" fontId="19" fillId="0" borderId="0" xfId="0" applyNumberFormat="1" applyFont="1"/>
    <xf numFmtId="0" fontId="0" fillId="0" borderId="0" xfId="0" applyAlignment="1">
      <alignment horizontal="center"/>
    </xf>
    <xf numFmtId="165" fontId="0" fillId="0" borderId="0" xfId="0" applyNumberFormat="1" applyAlignment="1">
      <alignment horizontal="center"/>
    </xf>
    <xf numFmtId="0" fontId="0" fillId="0" borderId="0" xfId="0"/>
    <xf numFmtId="0" fontId="2" fillId="0" borderId="0" xfId="0" applyFont="1" applyAlignment="1">
      <alignment horizontal="center"/>
    </xf>
    <xf numFmtId="168" fontId="0" fillId="0" borderId="0" xfId="0" applyNumberFormat="1" applyAlignment="1">
      <alignment horizontal="center"/>
    </xf>
    <xf numFmtId="2" fontId="0" fillId="0" borderId="0" xfId="0" applyNumberFormat="1" applyAlignment="1">
      <alignment horizontal="center"/>
    </xf>
    <xf numFmtId="0" fontId="9" fillId="0" borderId="0" xfId="0" applyFont="1" applyAlignment="1">
      <alignment horizontal="center"/>
    </xf>
    <xf numFmtId="165" fontId="12" fillId="0" borderId="0" xfId="0" applyNumberFormat="1" applyFont="1" applyAlignment="1">
      <alignment horizontal="center"/>
    </xf>
    <xf numFmtId="0" fontId="10" fillId="0" borderId="0" xfId="0" applyFont="1" applyAlignment="1">
      <alignment horizontal="center"/>
    </xf>
    <xf numFmtId="0" fontId="0" fillId="0" borderId="0" xfId="0" applyFont="1" applyAlignment="1">
      <alignment horizontal="center"/>
    </xf>
  </cellXfs>
  <cellStyles count="3">
    <cellStyle name="Comma" xfId="1" builtinId="3"/>
    <cellStyle name="Hyperlink" xfId="2" builtinId="8"/>
    <cellStyle name="Normal" xfId="0" builtinId="0"/>
  </cellStyles>
  <dxfs count="0"/>
  <tableStyles count="0" defaultTableStyle="TableStyleMedium2" defaultPivotStyle="PivotStyleLight16"/>
  <colors>
    <mruColors>
      <color rgb="FFCC00CC"/>
      <color rgb="FFB88C00"/>
      <color rgb="FF00B0F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5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externalLink" Target="externalLinks/externalLink4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externalLink" Target="externalLinks/externalLink3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externalLink" Target="externalLinks/externalLink2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1.xml"/><Relationship Id="rId14" Type="http://schemas.openxmlformats.org/officeDocument/2006/relationships/externalLink" Target="externalLinks/externalLink6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hawkj/Documents/GitHub/sm/new%20version/livsim/examples/notebooks/sectoral%20model%20files/regional%20data%20files/district_summary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hawkj/Documents/GitHub/sm/new%20version/livsim/examples/notebooks/sectoral%20model%20files/scenario_parameters_LSA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hawkj/Documents/GitHub/sm/new%20version/livsim/examples/notebooks/sectoral%20model%20files/regional%20data%20files/Currency_converters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hawkj/Documents/GitHub/sm/new%20version/livsim/examples/notebooks/sectoral%20model%20files/regional%20data%20files/global_parameters.xlsx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hawkj/Documents/GitHub/sm/new%20version/livsim/examples/notebooks/sectoral%20model%20files/regional%20data%20files/interpolation_Rungwe.xlsx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hawkj/Documents/GitHub/sm/new%20version/livsim/examples/notebooks/sectoral%20model%20files/output_ncc_m12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ll"/>
      <sheetName val="Sensitiity analysis"/>
    </sheetNames>
    <sheetDataSet>
      <sheetData sheetId="0">
        <row r="3">
          <cell r="E3">
            <v>3858</v>
          </cell>
          <cell r="I3">
            <v>0.39</v>
          </cell>
          <cell r="J3">
            <v>6</v>
          </cell>
        </row>
        <row r="4">
          <cell r="I4">
            <v>0.50487289999999996</v>
          </cell>
          <cell r="J4">
            <v>5.7</v>
          </cell>
        </row>
        <row r="6">
          <cell r="E6">
            <v>1922.9</v>
          </cell>
          <cell r="F6">
            <v>113.99999999999999</v>
          </cell>
          <cell r="G6">
            <v>10.5</v>
          </cell>
          <cell r="H6">
            <v>0.504</v>
          </cell>
          <cell r="L6">
            <v>0.31040000000000001</v>
          </cell>
          <cell r="M6">
            <v>254.1</v>
          </cell>
          <cell r="N6">
            <v>250.33</v>
          </cell>
          <cell r="P6">
            <v>1.1000000000000001</v>
          </cell>
          <cell r="Q6">
            <v>6.5</v>
          </cell>
          <cell r="R6">
            <v>1.3013561929000014E-4</v>
          </cell>
          <cell r="S6">
            <v>0.14000000000000001</v>
          </cell>
          <cell r="U6">
            <v>382</v>
          </cell>
          <cell r="V6">
            <v>40.200000000000003</v>
          </cell>
          <cell r="W6">
            <v>6.2</v>
          </cell>
          <cell r="X6">
            <v>8.1</v>
          </cell>
          <cell r="Y6">
            <v>1.3013561929000014E-5</v>
          </cell>
        </row>
        <row r="7">
          <cell r="E7">
            <v>3172.4</v>
          </cell>
          <cell r="F7">
            <v>120.75400327827512</v>
          </cell>
          <cell r="G7">
            <v>2.8148149999999998</v>
          </cell>
          <cell r="H7">
            <v>0.40899999999999997</v>
          </cell>
          <cell r="L7">
            <v>0.4365</v>
          </cell>
          <cell r="N7">
            <v>260.7</v>
          </cell>
          <cell r="P7">
            <v>6</v>
          </cell>
          <cell r="Q7">
            <v>14.3</v>
          </cell>
          <cell r="R7">
            <v>0.1</v>
          </cell>
          <cell r="S7">
            <v>0.06</v>
          </cell>
          <cell r="U7">
            <v>344.6</v>
          </cell>
          <cell r="V7">
            <v>153.30000000000001</v>
          </cell>
          <cell r="W7">
            <v>34.4</v>
          </cell>
          <cell r="X7">
            <v>10.4</v>
          </cell>
          <cell r="Y7">
            <v>0.6</v>
          </cell>
        </row>
        <row r="12">
          <cell r="B12">
            <v>285</v>
          </cell>
        </row>
      </sheetData>
      <sheetData sheetId="1">
        <row r="4">
          <cell r="C4">
            <v>1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ilk_yield_changes "/>
      <sheetName val="Herd_size_changes "/>
      <sheetName val="numerical_resu"/>
      <sheetName val="prod_herd_data"/>
      <sheetName val="concentrate_feeding"/>
      <sheetName val="feeding_change_data"/>
      <sheetName val="FEEDING_base"/>
      <sheetName val="feeding_change_data_pasture"/>
      <sheetName val="Household_adoption"/>
    </sheetNames>
    <sheetDataSet>
      <sheetData sheetId="0"/>
      <sheetData sheetId="1"/>
      <sheetData sheetId="2"/>
      <sheetData sheetId="3">
        <row r="3">
          <cell r="D3">
            <v>0.58220000000000005</v>
          </cell>
          <cell r="H3">
            <v>0.1053</v>
          </cell>
        </row>
        <row r="8">
          <cell r="H8">
            <v>43585.894058653299</v>
          </cell>
          <cell r="I8">
            <v>931852.83384149941</v>
          </cell>
        </row>
        <row r="9">
          <cell r="H9">
            <v>7635.6487800574387</v>
          </cell>
          <cell r="I9">
            <v>163247.79169012548</v>
          </cell>
        </row>
        <row r="10">
          <cell r="H10">
            <v>57224.195384828163</v>
          </cell>
          <cell r="I10">
            <v>1223435.4665730442</v>
          </cell>
        </row>
        <row r="17">
          <cell r="H17">
            <v>320.35867062067865</v>
          </cell>
        </row>
        <row r="18">
          <cell r="H18">
            <v>1025.9808491887786</v>
          </cell>
        </row>
        <row r="25">
          <cell r="H25">
            <v>0.27</v>
          </cell>
          <cell r="I25">
            <v>0.27</v>
          </cell>
        </row>
        <row r="26">
          <cell r="H26">
            <v>0.73</v>
          </cell>
          <cell r="I26">
            <v>0.73</v>
          </cell>
        </row>
        <row r="31">
          <cell r="H31">
            <v>24796.000698349853</v>
          </cell>
          <cell r="I31">
            <v>644519.50062790862</v>
          </cell>
        </row>
        <row r="34">
          <cell r="H34">
            <v>0.18765000000000001</v>
          </cell>
          <cell r="I34">
            <v>0.18765000000000001</v>
          </cell>
        </row>
        <row r="35">
          <cell r="H35">
            <v>0.81235000000000002</v>
          </cell>
          <cell r="I35">
            <v>0.81235000000000002</v>
          </cell>
        </row>
        <row r="38">
          <cell r="H38">
            <v>700.85860951581117</v>
          </cell>
        </row>
        <row r="39">
          <cell r="H39">
            <v>2415.9750381708586</v>
          </cell>
        </row>
        <row r="40">
          <cell r="H40">
            <v>29693.882326319799</v>
          </cell>
          <cell r="I40">
            <v>738038.4328237744</v>
          </cell>
        </row>
        <row r="43">
          <cell r="H43">
            <v>0.1053</v>
          </cell>
          <cell r="I43">
            <v>0.1053</v>
          </cell>
        </row>
        <row r="44">
          <cell r="H44">
            <v>0.89470000000000005</v>
          </cell>
          <cell r="I44">
            <v>0.89470000000000005</v>
          </cell>
        </row>
        <row r="49">
          <cell r="H49">
            <v>34034.419863930329</v>
          </cell>
          <cell r="I49">
            <v>855590.08934018319</v>
          </cell>
        </row>
        <row r="52">
          <cell r="H52">
            <v>0.27</v>
          </cell>
          <cell r="I52">
            <v>0.27</v>
          </cell>
        </row>
        <row r="53">
          <cell r="H53">
            <v>0.73</v>
          </cell>
          <cell r="I53">
            <v>0.73</v>
          </cell>
        </row>
        <row r="58">
          <cell r="H58">
            <v>30274.186899148077</v>
          </cell>
          <cell r="I58">
            <v>786913.34378988843</v>
          </cell>
        </row>
      </sheetData>
      <sheetData sheetId="4">
        <row r="17">
          <cell r="D17">
            <v>147</v>
          </cell>
          <cell r="H17">
            <v>147</v>
          </cell>
        </row>
        <row r="18">
          <cell r="H18">
            <v>147</v>
          </cell>
        </row>
        <row r="20">
          <cell r="H20">
            <v>569.92306261097906</v>
          </cell>
        </row>
        <row r="21">
          <cell r="H21">
            <v>569.92306261097906</v>
          </cell>
        </row>
        <row r="23">
          <cell r="H23">
            <v>569.92306261097906</v>
          </cell>
        </row>
        <row r="24">
          <cell r="H24">
            <v>569.92306261097906</v>
          </cell>
        </row>
      </sheetData>
      <sheetData sheetId="5">
        <row r="4">
          <cell r="D4">
            <v>0.13015924266423304</v>
          </cell>
          <cell r="H4">
            <v>1.0828001912931132E-2</v>
          </cell>
          <cell r="I4">
            <v>0.23149930695072707</v>
          </cell>
        </row>
        <row r="19">
          <cell r="H19">
            <v>417.73663709796864</v>
          </cell>
        </row>
        <row r="22">
          <cell r="H22">
            <v>609.45687108918105</v>
          </cell>
        </row>
        <row r="25">
          <cell r="H25">
            <v>738.49367595283331</v>
          </cell>
        </row>
      </sheetData>
      <sheetData sheetId="6">
        <row r="17">
          <cell r="D17">
            <v>3.6798211462832722</v>
          </cell>
          <cell r="H17">
            <v>65.903968091080245</v>
          </cell>
        </row>
        <row r="18">
          <cell r="H18">
            <v>242.19092645087474</v>
          </cell>
        </row>
        <row r="23">
          <cell r="H23">
            <v>164.13593743222623</v>
          </cell>
        </row>
        <row r="24">
          <cell r="H24">
            <v>446.03483369129145</v>
          </cell>
        </row>
      </sheetData>
      <sheetData sheetId="7">
        <row r="4">
          <cell r="E4">
            <v>1.5695177221061046E-2</v>
          </cell>
          <cell r="H4">
            <v>1.0828001912931132E-2</v>
          </cell>
          <cell r="I4">
            <v>0.23149930695072707</v>
          </cell>
        </row>
        <row r="19">
          <cell r="H19">
            <v>-893.71558203971506</v>
          </cell>
        </row>
        <row r="22">
          <cell r="H22">
            <v>551.17641606587858</v>
          </cell>
        </row>
        <row r="25">
          <cell r="H25">
            <v>-253.39426891657976</v>
          </cell>
        </row>
      </sheetData>
      <sheetData sheetId="8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Sheet2"/>
      <sheetName val="World bank data"/>
    </sheetNames>
    <sheetDataSet>
      <sheetData sheetId="0">
        <row r="6">
          <cell r="B6">
            <v>1.2771565952446682</v>
          </cell>
        </row>
        <row r="9">
          <cell r="B9">
            <v>1.7128804434230893</v>
          </cell>
        </row>
      </sheetData>
      <sheetData sheetId="1"/>
      <sheetData sheetId="2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</sheetNames>
    <sheetDataSet>
      <sheetData sheetId="0">
        <row r="5">
          <cell r="B5">
            <v>28</v>
          </cell>
        </row>
        <row r="6">
          <cell r="B6">
            <v>0.75</v>
          </cell>
        </row>
      </sheetData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NPV_Roadmap"/>
      <sheetName val="NPV_Baseline"/>
      <sheetName val="Mappings"/>
      <sheetName val="MC_sims_Base"/>
      <sheetName val="MC_sims_Inclusive"/>
      <sheetName val="MC_sims_Inequitable"/>
      <sheetName val="MC_sims_Status_quo"/>
      <sheetName val="MC_sims_Middle_rd"/>
    </sheetNames>
    <sheetDataSet>
      <sheetData sheetId="0" refreshError="1">
        <row r="14">
          <cell r="K14" t="str">
            <v>Price acquring new animal (USD/head)</v>
          </cell>
        </row>
        <row r="24">
          <cell r="K24" t="str">
            <v>Cropping parameters</v>
          </cell>
        </row>
        <row r="25">
          <cell r="K25" t="str">
            <v>Forage seeding cost (USD/ha/yr)</v>
          </cell>
          <cell r="L25">
            <v>28</v>
          </cell>
        </row>
        <row r="28">
          <cell r="K28" t="str">
            <v>Use efficiency napier</v>
          </cell>
          <cell r="L28">
            <v>0.75</v>
          </cell>
        </row>
        <row r="29">
          <cell r="K29" t="str">
            <v>Use efficiency pasture</v>
          </cell>
          <cell r="L29">
            <v>0.5</v>
          </cell>
        </row>
        <row r="31">
          <cell r="K31" t="str">
            <v>Standard error (%) improved forage yield</v>
          </cell>
          <cell r="L31">
            <v>7.5</v>
          </cell>
        </row>
        <row r="32">
          <cell r="K32" t="str">
            <v>Standard error (%) improved forage yield</v>
          </cell>
          <cell r="L32">
            <v>20</v>
          </cell>
        </row>
        <row r="34">
          <cell r="K34" t="str">
            <v>Market price Sunflower cake (USD/kg)</v>
          </cell>
        </row>
        <row r="35">
          <cell r="K35" t="str">
            <v>Market price Maize bran (USD/kg)</v>
          </cell>
        </row>
        <row r="37">
          <cell r="K37" t="str">
            <v>Napier yield (Mg/ha)</v>
          </cell>
          <cell r="L37">
            <v>13</v>
          </cell>
        </row>
        <row r="38">
          <cell r="K38" t="str">
            <v>Pasture yield (Mg/ha)</v>
          </cell>
          <cell r="L38">
            <v>5</v>
          </cell>
        </row>
        <row r="40">
          <cell r="K40" t="str">
            <v xml:space="preserve">Opportunity cost land strata 1 </v>
          </cell>
        </row>
        <row r="41">
          <cell r="K41" t="str">
            <v>SE (fraction)</v>
          </cell>
        </row>
        <row r="42">
          <cell r="K42" t="str">
            <v>Opportunity cost land strata 2</v>
          </cell>
        </row>
        <row r="43">
          <cell r="K43" t="str">
            <v>SE (fraction)</v>
          </cell>
        </row>
      </sheetData>
      <sheetData sheetId="1" refreshError="1">
        <row r="3">
          <cell r="C3">
            <v>0.51465014185725644</v>
          </cell>
        </row>
        <row r="33">
          <cell r="E33">
            <v>159.61062489481509</v>
          </cell>
        </row>
      </sheetData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</sheetNames>
    <sheetDataSet>
      <sheetData sheetId="0">
        <row r="2">
          <cell r="QG2">
            <v>458.13829545773842</v>
          </cell>
        </row>
        <row r="20">
          <cell r="QG20">
            <v>133.39271250228001</v>
          </cell>
          <cell r="QH20">
            <v>1.982685454238192</v>
          </cell>
          <cell r="QO20">
            <v>205.7582485590861</v>
          </cell>
          <cell r="QP20">
            <v>54.164959786990593</v>
          </cell>
        </row>
        <row r="29">
          <cell r="QG29">
            <v>78.306462549562184</v>
          </cell>
          <cell r="QH29">
            <v>8.4085047590099129E-3</v>
          </cell>
          <cell r="QP29">
            <v>51.420249457894244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182B2D-8B3A-454E-B3EB-69DA32B2F807}">
  <dimension ref="A1:N758"/>
  <sheetViews>
    <sheetView tabSelected="1" topLeftCell="A16" workbookViewId="0">
      <selection activeCell="E24" sqref="E24:F24"/>
    </sheetView>
  </sheetViews>
  <sheetFormatPr defaultRowHeight="14.4" x14ac:dyDescent="0.3"/>
  <cols>
    <col min="1" max="1" width="32.88671875" customWidth="1"/>
    <col min="2" max="2" width="5.33203125" customWidth="1"/>
    <col min="4" max="4" width="4.109375" customWidth="1"/>
    <col min="5" max="5" width="10.44140625" customWidth="1"/>
    <col min="6" max="6" width="4.44140625" customWidth="1"/>
    <col min="7" max="7" width="14.77734375" customWidth="1"/>
  </cols>
  <sheetData>
    <row r="1" spans="1:14" ht="15.6" x14ac:dyDescent="0.3">
      <c r="A1" s="35"/>
      <c r="B1" s="35"/>
      <c r="C1" s="107" t="s">
        <v>90</v>
      </c>
      <c r="D1" s="109"/>
      <c r="E1" s="109"/>
      <c r="F1" s="109"/>
      <c r="G1" s="109"/>
      <c r="H1" s="35"/>
      <c r="I1" s="35"/>
      <c r="J1" s="35"/>
      <c r="K1" s="35"/>
      <c r="L1" s="35"/>
      <c r="M1" s="35"/>
      <c r="N1" s="35"/>
    </row>
    <row r="2" spans="1:14" x14ac:dyDescent="0.3">
      <c r="A2" s="1" t="s">
        <v>53</v>
      </c>
      <c r="B2" s="4"/>
      <c r="C2" s="101" t="s">
        <v>100</v>
      </c>
      <c r="D2" s="101"/>
      <c r="E2" s="101" t="s">
        <v>101</v>
      </c>
      <c r="F2" s="101"/>
      <c r="G2" s="91" t="s">
        <v>102</v>
      </c>
      <c r="H2" s="35"/>
      <c r="I2" s="35"/>
      <c r="J2" s="35"/>
      <c r="K2" s="35"/>
      <c r="L2" s="35"/>
      <c r="M2" s="35"/>
      <c r="N2" s="35"/>
    </row>
    <row r="3" spans="1:14" x14ac:dyDescent="0.3">
      <c r="A3" s="35" t="s">
        <v>65</v>
      </c>
      <c r="B3" s="41"/>
      <c r="C3" s="106">
        <f>G3</f>
        <v>0.55747885382429763</v>
      </c>
      <c r="D3" s="106"/>
      <c r="E3" s="106">
        <f>Dairy_Income_Baseline!B3</f>
        <v>0.39642940716394504</v>
      </c>
      <c r="F3" s="106"/>
      <c r="G3" s="5">
        <f>[1]All!$L$7*L16</f>
        <v>0.55747885382429763</v>
      </c>
      <c r="H3" s="35"/>
      <c r="I3" s="35"/>
      <c r="J3" s="35"/>
      <c r="K3" s="35"/>
      <c r="L3" s="35"/>
      <c r="M3" s="35"/>
      <c r="N3" s="35"/>
    </row>
    <row r="4" spans="1:14" x14ac:dyDescent="0.3">
      <c r="A4" s="35" t="s">
        <v>66</v>
      </c>
      <c r="B4" s="41"/>
      <c r="C4" s="102">
        <f>[2]prod_herd_data!H39</f>
        <v>2415.9750381708586</v>
      </c>
      <c r="D4" s="102"/>
      <c r="E4" s="102">
        <f>[2]prod_herd_data!H38</f>
        <v>700.85860951581117</v>
      </c>
      <c r="F4" s="102"/>
      <c r="G4" s="46">
        <f>[2]prod_herd_data!H39</f>
        <v>2415.9750381708586</v>
      </c>
      <c r="H4" s="35"/>
      <c r="I4" s="35"/>
      <c r="J4" s="35"/>
      <c r="K4" s="35"/>
      <c r="L4" s="35"/>
      <c r="M4" s="35"/>
      <c r="N4" s="35"/>
    </row>
    <row r="5" spans="1:14" x14ac:dyDescent="0.3">
      <c r="A5" s="35" t="s">
        <v>67</v>
      </c>
      <c r="B5" s="41"/>
      <c r="C5" s="102">
        <f>C4*C3*(12*L11-9)/(12*L11)</f>
        <v>1262.6765579508788</v>
      </c>
      <c r="D5" s="102"/>
      <c r="E5" s="102">
        <f>E4*E3</f>
        <v>277.84096307609985</v>
      </c>
      <c r="F5" s="102"/>
      <c r="G5" s="46">
        <f>G4*G3</f>
        <v>1346.8549951476041</v>
      </c>
      <c r="H5" s="35"/>
      <c r="I5" s="35"/>
      <c r="J5" s="35"/>
      <c r="K5" s="35"/>
      <c r="L5" s="35"/>
      <c r="M5" s="35"/>
      <c r="N5" s="35"/>
    </row>
    <row r="6" spans="1:14" x14ac:dyDescent="0.3">
      <c r="A6" s="35"/>
      <c r="B6" s="41"/>
      <c r="C6" s="102"/>
      <c r="D6" s="102"/>
      <c r="E6" s="102"/>
      <c r="F6" s="102"/>
      <c r="G6" s="46"/>
      <c r="H6" s="35"/>
      <c r="I6" s="35"/>
      <c r="J6" s="35"/>
      <c r="K6" s="35"/>
      <c r="L6" s="35"/>
      <c r="M6" s="35"/>
      <c r="N6" s="35"/>
    </row>
    <row r="7" spans="1:14" x14ac:dyDescent="0.3">
      <c r="A7" s="1" t="s">
        <v>54</v>
      </c>
      <c r="B7" s="41"/>
      <c r="C7" s="102"/>
      <c r="D7" s="102"/>
      <c r="E7" s="102"/>
      <c r="F7" s="102"/>
      <c r="G7" s="46"/>
      <c r="H7" s="35"/>
      <c r="I7" s="35"/>
      <c r="J7" s="35"/>
      <c r="K7" s="35"/>
      <c r="L7" s="35"/>
      <c r="M7" s="35"/>
      <c r="N7" s="35"/>
    </row>
    <row r="8" spans="1:14" x14ac:dyDescent="0.3">
      <c r="A8" s="35" t="s">
        <v>32</v>
      </c>
      <c r="B8" s="41"/>
      <c r="C8" s="102">
        <f>(([2]concentrate_feeding!$H$23*L29)+([2]concentrate_feeding!$H$24*L30))</f>
        <v>334.82525916999987</v>
      </c>
      <c r="D8" s="102"/>
      <c r="E8" s="102">
        <f>(([2]concentrate_feeding!$H$17*L29)+([2]concentrate_feeding!$H$18*L30))</f>
        <v>86.361328970444461</v>
      </c>
      <c r="F8" s="102"/>
      <c r="G8" s="46">
        <f>(([2]concentrate_feeding!$H$20*L29)+([2]concentrate_feeding!$H$21*L30))</f>
        <v>334.82525916999987</v>
      </c>
      <c r="H8" s="35"/>
      <c r="I8" s="35"/>
      <c r="J8" s="35"/>
      <c r="K8" s="35"/>
      <c r="L8" s="35"/>
      <c r="M8" s="35"/>
      <c r="N8" s="35"/>
    </row>
    <row r="9" spans="1:14" x14ac:dyDescent="0.3">
      <c r="A9" s="35" t="s">
        <v>1</v>
      </c>
      <c r="B9" s="41"/>
      <c r="C9" s="102">
        <f>Dairy_Income_Baseline!D9</f>
        <v>7.6629395714680086</v>
      </c>
      <c r="D9" s="102"/>
      <c r="E9" s="102">
        <f>Dairy_Income_Baseline!B9</f>
        <v>1.404872254769135</v>
      </c>
      <c r="F9" s="102"/>
      <c r="G9" s="46">
        <f>C9</f>
        <v>7.6629395714680086</v>
      </c>
      <c r="H9" s="35"/>
      <c r="I9" s="35"/>
      <c r="J9" s="35"/>
      <c r="K9" s="35"/>
      <c r="L9" s="35"/>
      <c r="M9" s="35"/>
      <c r="N9" s="35"/>
    </row>
    <row r="10" spans="1:14" x14ac:dyDescent="0.3">
      <c r="A10" s="35" t="s">
        <v>55</v>
      </c>
      <c r="B10" s="41"/>
      <c r="C10" s="102">
        <f>Dairy_Income_Baseline!D10</f>
        <v>18.263339311998756</v>
      </c>
      <c r="D10" s="102"/>
      <c r="E10" s="102">
        <f>Dairy_Income_Baseline!B10</f>
        <v>8.3015178690903433</v>
      </c>
      <c r="F10" s="102"/>
      <c r="G10" s="82">
        <f t="shared" ref="G10:G11" si="0">C10</f>
        <v>18.263339311998756</v>
      </c>
      <c r="H10" s="35"/>
      <c r="I10" s="35"/>
      <c r="J10" s="35"/>
      <c r="K10" s="1" t="s">
        <v>92</v>
      </c>
      <c r="L10" s="35"/>
      <c r="M10" s="35"/>
      <c r="N10" s="35"/>
    </row>
    <row r="11" spans="1:14" x14ac:dyDescent="0.3">
      <c r="A11" s="35" t="s">
        <v>56</v>
      </c>
      <c r="B11" s="41"/>
      <c r="C11" s="102">
        <f>Dairy_Income_Baseline!D11</f>
        <v>0.12771565952446681</v>
      </c>
      <c r="D11" s="102"/>
      <c r="E11" s="102">
        <f>Dairy_Income_Baseline!B11</f>
        <v>1.6620356445247293E-4</v>
      </c>
      <c r="F11" s="102"/>
      <c r="G11" s="82">
        <f t="shared" si="0"/>
        <v>0.12771565952446681</v>
      </c>
      <c r="H11" s="35"/>
      <c r="I11" s="35"/>
      <c r="J11" s="35"/>
      <c r="K11" s="35" t="s">
        <v>88</v>
      </c>
      <c r="L11" s="35">
        <v>12</v>
      </c>
      <c r="M11" s="35"/>
      <c r="N11" s="35"/>
    </row>
    <row r="12" spans="1:14" x14ac:dyDescent="0.3">
      <c r="A12" s="35"/>
      <c r="B12" s="41"/>
      <c r="C12" s="102"/>
      <c r="D12" s="102"/>
      <c r="E12" s="102"/>
      <c r="F12" s="102"/>
      <c r="G12" s="46"/>
      <c r="H12" s="35"/>
      <c r="I12" s="35"/>
      <c r="J12" s="35"/>
      <c r="K12" s="35"/>
      <c r="L12" s="35"/>
      <c r="M12" s="35"/>
      <c r="N12" s="35"/>
    </row>
    <row r="13" spans="1:14" x14ac:dyDescent="0.3">
      <c r="A13" s="1" t="s">
        <v>86</v>
      </c>
      <c r="B13" s="41"/>
      <c r="C13" s="102">
        <f>SUM(C8:C11)</f>
        <v>360.87925371299116</v>
      </c>
      <c r="D13" s="102"/>
      <c r="E13" s="102">
        <f>SUM(E8:E11)</f>
        <v>96.067885297868386</v>
      </c>
      <c r="F13" s="102"/>
      <c r="G13" s="46">
        <f>SUM(G8:G11)</f>
        <v>360.87925371299116</v>
      </c>
      <c r="H13" s="35"/>
      <c r="I13" s="35"/>
      <c r="J13" s="35"/>
      <c r="K13" s="35" t="s">
        <v>68</v>
      </c>
      <c r="L13" s="35">
        <f>Dairy_Income_Baseline!L14</f>
        <v>254.1</v>
      </c>
      <c r="M13" s="35"/>
      <c r="N13" s="35"/>
    </row>
    <row r="14" spans="1:14" x14ac:dyDescent="0.3">
      <c r="A14" s="35"/>
      <c r="B14" s="41"/>
      <c r="C14" s="101"/>
      <c r="D14" s="101"/>
      <c r="E14" s="101"/>
      <c r="F14" s="101"/>
      <c r="G14" s="41"/>
      <c r="H14" s="35"/>
      <c r="I14" s="35"/>
      <c r="J14" s="35"/>
      <c r="K14" s="35"/>
      <c r="L14" s="35"/>
      <c r="M14" s="35"/>
      <c r="N14" s="35"/>
    </row>
    <row r="15" spans="1:14" x14ac:dyDescent="0.3">
      <c r="A15" s="1" t="s">
        <v>87</v>
      </c>
      <c r="B15" s="41"/>
      <c r="C15" s="102">
        <f>L13/L11</f>
        <v>21.175000000000001</v>
      </c>
      <c r="D15" s="102"/>
      <c r="E15" s="102">
        <f>0</f>
        <v>0</v>
      </c>
      <c r="F15" s="102"/>
      <c r="G15" s="46">
        <f>0</f>
        <v>0</v>
      </c>
      <c r="H15" s="35"/>
      <c r="I15" s="35"/>
      <c r="J15" s="35"/>
      <c r="K15" s="35"/>
      <c r="L15" s="35"/>
      <c r="M15" s="35"/>
      <c r="N15" s="35"/>
    </row>
    <row r="16" spans="1:14" x14ac:dyDescent="0.3">
      <c r="A16" s="35"/>
      <c r="B16" s="41"/>
      <c r="C16" s="102"/>
      <c r="D16" s="102"/>
      <c r="E16" s="102"/>
      <c r="F16" s="102"/>
      <c r="G16" s="46"/>
      <c r="H16" s="35"/>
      <c r="I16" s="35"/>
      <c r="J16" s="35"/>
      <c r="K16" s="35" t="s">
        <v>94</v>
      </c>
      <c r="L16" s="16">
        <f>[3]Sheet1!$B$6</f>
        <v>1.2771565952446682</v>
      </c>
      <c r="M16" s="35"/>
      <c r="N16" s="35"/>
    </row>
    <row r="17" spans="1:14" x14ac:dyDescent="0.3">
      <c r="A17" s="35"/>
      <c r="B17" s="41"/>
      <c r="C17" s="102"/>
      <c r="D17" s="102"/>
      <c r="E17" s="108"/>
      <c r="F17" s="108"/>
      <c r="G17" s="46"/>
      <c r="H17" s="35"/>
      <c r="I17" s="35"/>
      <c r="J17" s="35"/>
      <c r="K17" s="35"/>
      <c r="L17" s="35"/>
      <c r="M17" s="35"/>
      <c r="N17" s="35"/>
    </row>
    <row r="18" spans="1:14" x14ac:dyDescent="0.3">
      <c r="A18" s="35"/>
      <c r="B18" s="41"/>
      <c r="C18" s="104" t="s">
        <v>69</v>
      </c>
      <c r="D18" s="104"/>
      <c r="E18" s="104"/>
      <c r="F18" s="104"/>
      <c r="G18" s="104"/>
      <c r="H18" s="35"/>
      <c r="I18" s="35"/>
      <c r="J18" s="35"/>
      <c r="K18" s="1" t="s">
        <v>70</v>
      </c>
      <c r="L18" s="35"/>
      <c r="M18" s="35"/>
      <c r="N18" s="35"/>
    </row>
    <row r="19" spans="1:14" x14ac:dyDescent="0.3">
      <c r="A19" s="35" t="s">
        <v>7</v>
      </c>
      <c r="B19" s="41"/>
      <c r="C19" s="102">
        <f>L35*L16</f>
        <v>319.71061048759782</v>
      </c>
      <c r="D19" s="102"/>
      <c r="E19" s="102">
        <f>L35*L16</f>
        <v>319.71061048759782</v>
      </c>
      <c r="F19" s="102"/>
      <c r="G19" s="46">
        <f>L37*L16</f>
        <v>332.95472438028497</v>
      </c>
      <c r="H19" s="35"/>
      <c r="I19" s="35"/>
      <c r="J19" s="35"/>
      <c r="K19" s="35" t="s">
        <v>71</v>
      </c>
      <c r="L19" s="35">
        <f>[4]Sheet1!$B$5</f>
        <v>28</v>
      </c>
      <c r="M19" s="35"/>
      <c r="N19" s="35"/>
    </row>
    <row r="20" spans="1:14" x14ac:dyDescent="0.3">
      <c r="A20" s="35" t="s">
        <v>51</v>
      </c>
      <c r="B20" s="41"/>
      <c r="C20" s="102">
        <f>(((1/1000)*(1/L23)*[2]feeding_change_data!$H$25/L32))</f>
        <v>7.5742941123367519E-2</v>
      </c>
      <c r="D20" s="102"/>
      <c r="E20" s="102">
        <f>(((1/1000)*(1/L23)*[2]feeding_change_data!$H$19/L32))</f>
        <v>4.2844783292099349E-2</v>
      </c>
      <c r="F20" s="102"/>
      <c r="G20" s="46">
        <f>(((1/1000)*(1/L23)*[2]feeding_change_data!$H$22/L32))</f>
        <v>6.2508397034787805E-2</v>
      </c>
      <c r="H20" s="35"/>
      <c r="I20" s="35"/>
      <c r="J20" s="35"/>
      <c r="K20" s="35"/>
      <c r="L20" s="35"/>
      <c r="M20" s="35"/>
      <c r="N20" s="35"/>
    </row>
    <row r="21" spans="1:14" x14ac:dyDescent="0.3">
      <c r="A21" s="35" t="s">
        <v>72</v>
      </c>
      <c r="B21" s="41"/>
      <c r="C21" s="102">
        <f>(((1/1000)*(1/L24)*[2]feeding_change_data_pasture!$H$25/L33))</f>
        <v>-0.10135770756663191</v>
      </c>
      <c r="D21" s="102"/>
      <c r="E21" s="102">
        <f>(((1/1000)*(1/L24)*[2]feeding_change_data_pasture!$H$19/L33))</f>
        <v>-0.35748623281588604</v>
      </c>
      <c r="F21" s="102"/>
      <c r="G21" s="46">
        <f>(((1/1000)*(1/L24)*[2]feeding_change_data_pasture!$H$22/L33))</f>
        <v>0.22047056642635146</v>
      </c>
      <c r="H21" s="35"/>
      <c r="I21" s="35"/>
      <c r="J21" s="35"/>
      <c r="K21" s="35" t="s">
        <v>98</v>
      </c>
      <c r="L21" s="35">
        <v>0.15</v>
      </c>
      <c r="M21" s="35"/>
      <c r="N21" s="35"/>
    </row>
    <row r="22" spans="1:14" s="56" customFormat="1" x14ac:dyDescent="0.3">
      <c r="A22" s="56" t="s">
        <v>82</v>
      </c>
      <c r="B22" s="54"/>
      <c r="C22" s="102">
        <f>C20+C21</f>
        <v>-2.5614766443264395E-2</v>
      </c>
      <c r="D22" s="102"/>
      <c r="E22" s="102">
        <f>E20+E21</f>
        <v>-0.3146414495237867</v>
      </c>
      <c r="F22" s="102"/>
      <c r="G22" s="55">
        <f>G20+G21</f>
        <v>0.28297896346113927</v>
      </c>
    </row>
    <row r="23" spans="1:14" x14ac:dyDescent="0.3">
      <c r="A23" s="35" t="s">
        <v>73</v>
      </c>
      <c r="B23" s="41"/>
      <c r="C23" s="102">
        <f>L19*(C20+C21)</f>
        <v>-0.7172134604114031</v>
      </c>
      <c r="D23" s="102"/>
      <c r="E23" s="102">
        <f>L19*(E20+E21)</f>
        <v>-8.809960586666028</v>
      </c>
      <c r="F23" s="102"/>
      <c r="G23" s="46">
        <f>L19*(G20+G21)</f>
        <v>7.9234109769118994</v>
      </c>
      <c r="H23" s="35"/>
      <c r="I23" s="35"/>
      <c r="J23" s="35"/>
      <c r="K23" s="35" t="s">
        <v>74</v>
      </c>
      <c r="L23" s="35">
        <f>[4]Sheet1!$B$6</f>
        <v>0.75</v>
      </c>
      <c r="M23" s="35"/>
      <c r="N23" s="35"/>
    </row>
    <row r="24" spans="1:14" x14ac:dyDescent="0.3">
      <c r="A24" s="35" t="s">
        <v>8</v>
      </c>
      <c r="B24" s="41"/>
      <c r="C24" s="102">
        <f>(C20+C21)*C19+C23</f>
        <v>-8.9065260774846973</v>
      </c>
      <c r="D24" s="102"/>
      <c r="E24" s="102">
        <f>(E20+E21)*E19+E23</f>
        <v>-109.40417049861856</v>
      </c>
      <c r="F24" s="102"/>
      <c r="G24" s="46">
        <f>(G20+G21)*G19+G23</f>
        <v>102.14259376153426</v>
      </c>
      <c r="H24" s="35"/>
      <c r="I24" s="35"/>
      <c r="J24" s="35"/>
      <c r="K24" s="35" t="s">
        <v>75</v>
      </c>
      <c r="L24" s="35">
        <v>0.5</v>
      </c>
      <c r="M24" s="35"/>
      <c r="N24" s="35"/>
    </row>
    <row r="25" spans="1:14" x14ac:dyDescent="0.3">
      <c r="A25" s="35"/>
      <c r="B25" s="41"/>
      <c r="C25" s="102"/>
      <c r="D25" s="102"/>
      <c r="E25" s="102"/>
      <c r="F25" s="102"/>
      <c r="G25" s="46"/>
      <c r="H25" s="35"/>
      <c r="I25" s="35"/>
      <c r="J25" s="35"/>
      <c r="K25" s="35"/>
      <c r="L25" s="35"/>
      <c r="M25" s="35"/>
      <c r="N25" s="35"/>
    </row>
    <row r="26" spans="1:14" x14ac:dyDescent="0.3">
      <c r="A26" s="35"/>
      <c r="B26" s="41"/>
      <c r="C26" s="102"/>
      <c r="D26" s="102"/>
      <c r="E26" s="102"/>
      <c r="F26" s="102"/>
      <c r="G26" s="46"/>
      <c r="H26" s="35"/>
      <c r="I26" s="35"/>
      <c r="J26" s="35"/>
      <c r="K26" s="25" t="s">
        <v>26</v>
      </c>
      <c r="L26" s="35">
        <f>7.5</f>
        <v>7.5</v>
      </c>
      <c r="M26" s="35"/>
      <c r="N26" s="35"/>
    </row>
    <row r="27" spans="1:14" x14ac:dyDescent="0.3">
      <c r="A27" s="35" t="s">
        <v>48</v>
      </c>
      <c r="B27" s="6"/>
      <c r="C27" s="102">
        <f>C5-C13-C15</f>
        <v>880.62230423788765</v>
      </c>
      <c r="D27" s="102"/>
      <c r="E27" s="102">
        <f>E5-E13</f>
        <v>181.77307777823148</v>
      </c>
      <c r="F27" s="102"/>
      <c r="G27" s="46">
        <f>G5-G13</f>
        <v>985.97574143461293</v>
      </c>
      <c r="H27" s="35"/>
      <c r="I27" s="35"/>
      <c r="J27" s="35"/>
      <c r="K27" s="25" t="s">
        <v>26</v>
      </c>
      <c r="L27" s="35">
        <f>20</f>
        <v>20</v>
      </c>
      <c r="M27" s="35"/>
      <c r="N27" s="35"/>
    </row>
    <row r="28" spans="1:14" x14ac:dyDescent="0.3">
      <c r="A28" s="35" t="s">
        <v>6</v>
      </c>
      <c r="B28" s="6"/>
      <c r="C28" s="102">
        <f>C27-Dairy_Income_Baseline!B28</f>
        <v>849.32798976168749</v>
      </c>
      <c r="D28" s="102"/>
      <c r="E28" s="102">
        <f>E27-[5]NPV_Baseline!E33</f>
        <v>22.162452883416393</v>
      </c>
      <c r="F28" s="102"/>
      <c r="G28" s="46">
        <f>G27-[5]NPV_Baseline!E33</f>
        <v>826.36511653979778</v>
      </c>
      <c r="H28" s="35"/>
      <c r="I28" s="35"/>
      <c r="J28" s="35"/>
      <c r="K28" s="35"/>
      <c r="L28" s="35"/>
      <c r="M28" s="35"/>
      <c r="N28" s="35"/>
    </row>
    <row r="29" spans="1:14" x14ac:dyDescent="0.3">
      <c r="A29" s="35"/>
      <c r="B29" s="35"/>
      <c r="C29" s="101"/>
      <c r="D29" s="101"/>
      <c r="E29" s="101"/>
      <c r="F29" s="101"/>
      <c r="G29" s="35"/>
      <c r="H29" s="35"/>
      <c r="I29" s="35"/>
      <c r="J29" s="35"/>
      <c r="K29" s="35" t="s">
        <v>28</v>
      </c>
      <c r="L29" s="16">
        <f>0.25*L16*'[1]Sensitiity analysis'!$C$4</f>
        <v>0.31928914881116705</v>
      </c>
      <c r="M29" s="35"/>
      <c r="N29" s="35"/>
    </row>
    <row r="30" spans="1:14" ht="15.6" x14ac:dyDescent="0.3">
      <c r="A30" s="107" t="s">
        <v>60</v>
      </c>
      <c r="B30" s="107"/>
      <c r="C30" s="107"/>
      <c r="D30" s="107"/>
      <c r="E30" s="107"/>
      <c r="F30" s="107"/>
      <c r="G30" s="107"/>
      <c r="H30" s="35"/>
      <c r="I30" s="35"/>
      <c r="J30" s="35"/>
      <c r="K30" s="35" t="s">
        <v>27</v>
      </c>
      <c r="L30" s="16">
        <f>0.21*L16*'[1]Sensitiity analysis'!$C$4</f>
        <v>0.26820288500138029</v>
      </c>
      <c r="M30" s="35"/>
      <c r="N30" s="35"/>
    </row>
    <row r="31" spans="1:14" x14ac:dyDescent="0.3">
      <c r="A31" s="101" t="s">
        <v>61</v>
      </c>
      <c r="B31" s="101"/>
      <c r="C31" s="101"/>
      <c r="D31" s="101"/>
      <c r="E31" s="101"/>
      <c r="F31" s="101"/>
      <c r="G31" s="101"/>
      <c r="H31" s="35"/>
      <c r="I31" s="35"/>
      <c r="J31" s="35"/>
      <c r="K31" s="35"/>
      <c r="L31" s="35"/>
      <c r="M31" s="35"/>
      <c r="N31" s="35"/>
    </row>
    <row r="32" spans="1:14" x14ac:dyDescent="0.3">
      <c r="A32" s="35" t="s">
        <v>17</v>
      </c>
      <c r="B32" s="41"/>
      <c r="C32" s="106">
        <f>Dairy_Income_Baseline!D36</f>
        <v>7.6629395714680082E-2</v>
      </c>
      <c r="D32" s="106"/>
      <c r="E32" s="106">
        <f>Dairy_Income_Baseline!B36</f>
        <v>0.17880192333425357</v>
      </c>
      <c r="F32" s="106"/>
      <c r="G32" s="5">
        <f>Dairy_Income_Baseline!D36</f>
        <v>7.6629395714680082E-2</v>
      </c>
      <c r="H32" s="35"/>
      <c r="I32" s="35"/>
      <c r="J32" s="35"/>
      <c r="K32" s="35" t="s">
        <v>29</v>
      </c>
      <c r="L32" s="35">
        <v>13</v>
      </c>
      <c r="M32" s="101"/>
      <c r="N32" s="101"/>
    </row>
    <row r="33" spans="1:14" x14ac:dyDescent="0.3">
      <c r="A33" s="35"/>
      <c r="B33" s="41"/>
      <c r="C33" s="101"/>
      <c r="D33" s="101"/>
      <c r="E33" s="101"/>
      <c r="F33" s="101"/>
      <c r="G33" s="41"/>
      <c r="H33" s="35"/>
      <c r="I33" s="35"/>
      <c r="J33" s="35"/>
      <c r="K33" s="35" t="s">
        <v>50</v>
      </c>
      <c r="L33" s="35">
        <v>5</v>
      </c>
      <c r="M33" s="35"/>
      <c r="N33" s="35"/>
    </row>
    <row r="34" spans="1:14" x14ac:dyDescent="0.3">
      <c r="A34" s="35" t="s">
        <v>0</v>
      </c>
      <c r="B34" s="41"/>
      <c r="C34" s="106">
        <f>Dairy_Income_Baseline!D38</f>
        <v>195.78810605100765</v>
      </c>
      <c r="D34" s="106"/>
      <c r="E34" s="106">
        <f>Dairy_Income_Baseline!B38</f>
        <v>51.341695128835667</v>
      </c>
      <c r="F34" s="106"/>
      <c r="G34" s="5">
        <f>Dairy_Income_Baseline!D38</f>
        <v>195.78810605100765</v>
      </c>
      <c r="H34" s="35"/>
      <c r="I34" s="35"/>
      <c r="J34" s="35"/>
      <c r="K34" s="35"/>
      <c r="L34" s="35"/>
      <c r="M34" s="35"/>
      <c r="N34" s="35"/>
    </row>
    <row r="35" spans="1:14" x14ac:dyDescent="0.3">
      <c r="A35" s="35" t="s">
        <v>1</v>
      </c>
      <c r="B35" s="41"/>
      <c r="C35" s="106">
        <f>Dairy_Income_Baseline!D39</f>
        <v>43.934186876416582</v>
      </c>
      <c r="D35" s="106"/>
      <c r="E35" s="106">
        <f>Dairy_Income_Baseline!B39</f>
        <v>7.9183708905169432</v>
      </c>
      <c r="F35" s="106"/>
      <c r="G35" s="5">
        <f>Dairy_Income_Baseline!D39</f>
        <v>43.934186876416582</v>
      </c>
      <c r="H35" s="35"/>
      <c r="I35" s="35"/>
      <c r="J35" s="35"/>
      <c r="K35" s="35" t="s">
        <v>33</v>
      </c>
      <c r="L35" s="52">
        <f>Dairy_Income_Baseline!L36</f>
        <v>250.33</v>
      </c>
      <c r="M35" s="35"/>
      <c r="N35" s="35"/>
    </row>
    <row r="36" spans="1:14" x14ac:dyDescent="0.3">
      <c r="A36" s="35" t="s">
        <v>2</v>
      </c>
      <c r="B36" s="41"/>
      <c r="C36" s="106">
        <f>Dairy_Income_Baseline!D40</f>
        <v>13.28242859054455</v>
      </c>
      <c r="D36" s="106"/>
      <c r="E36" s="106">
        <f>Dairy_Income_Baseline!B40</f>
        <v>10.344968421481811</v>
      </c>
      <c r="F36" s="106"/>
      <c r="G36" s="5">
        <f>Dairy_Income_Baseline!D40</f>
        <v>13.28242859054455</v>
      </c>
      <c r="H36" s="35"/>
      <c r="I36" s="35"/>
      <c r="J36" s="35"/>
      <c r="K36" s="35" t="s">
        <v>24</v>
      </c>
      <c r="L36" s="16">
        <f>Dairy_Income_Baseline!L37</f>
        <v>1.9489226995704199</v>
      </c>
      <c r="M36" s="35"/>
      <c r="N36" s="35"/>
    </row>
    <row r="37" spans="1:14" x14ac:dyDescent="0.3">
      <c r="A37" s="35" t="s">
        <v>5</v>
      </c>
      <c r="B37" s="41"/>
      <c r="C37" s="106">
        <f>Dairy_Income_Baseline!D41</f>
        <v>0.76629395714680093</v>
      </c>
      <c r="D37" s="106"/>
      <c r="E37" s="106">
        <f>Dairy_Income_Baseline!B41</f>
        <v>1.6620356445247294E-5</v>
      </c>
      <c r="F37" s="106"/>
      <c r="G37" s="5">
        <f>Dairy_Income_Baseline!D41</f>
        <v>0.76629395714680093</v>
      </c>
      <c r="H37" s="35"/>
      <c r="I37" s="35"/>
      <c r="J37" s="35"/>
      <c r="K37" s="35" t="s">
        <v>34</v>
      </c>
      <c r="L37" s="52">
        <f>Dairy_Income_Baseline!L38</f>
        <v>260.7</v>
      </c>
      <c r="M37" s="35"/>
      <c r="N37" s="35"/>
    </row>
    <row r="38" spans="1:14" x14ac:dyDescent="0.3">
      <c r="A38" s="35" t="s">
        <v>3</v>
      </c>
      <c r="B38" s="41"/>
      <c r="C38" s="106">
        <f>Dairy_Income_Baseline!D42</f>
        <v>0</v>
      </c>
      <c r="D38" s="106"/>
      <c r="E38" s="106">
        <f>Dairy_Income_Baseline!B42</f>
        <v>0</v>
      </c>
      <c r="F38" s="106"/>
      <c r="G38" s="5">
        <f>Dairy_Income_Baseline!D42</f>
        <v>0</v>
      </c>
      <c r="H38" s="35"/>
      <c r="I38" s="35"/>
      <c r="J38" s="35"/>
      <c r="K38" s="35" t="s">
        <v>24</v>
      </c>
      <c r="L38" s="16">
        <f>Dairy_Income_Baseline!L39+0.3</f>
        <v>1.9881786065259406</v>
      </c>
      <c r="M38" s="35"/>
      <c r="N38" s="35"/>
    </row>
    <row r="39" spans="1:14" x14ac:dyDescent="0.3">
      <c r="A39" s="35" t="s">
        <v>18</v>
      </c>
      <c r="B39" s="41"/>
      <c r="C39" s="106">
        <f>(C20*L26+C21*L27)/100</f>
        <v>-1.4590820929073817E-2</v>
      </c>
      <c r="D39" s="106"/>
      <c r="E39" s="106">
        <f>(E20*L26+E21*L27)/100</f>
        <v>-6.8283887816269762E-2</v>
      </c>
      <c r="F39" s="106"/>
      <c r="G39" s="5">
        <f>(G20*L26+G21*L27)/100</f>
        <v>4.8782243062879378E-2</v>
      </c>
      <c r="H39" s="35"/>
      <c r="I39" s="35"/>
      <c r="J39" s="35"/>
      <c r="K39" s="35"/>
      <c r="L39" s="35"/>
      <c r="M39" s="35"/>
      <c r="N39" s="35"/>
    </row>
    <row r="40" spans="1:14" x14ac:dyDescent="0.3">
      <c r="A40" s="35" t="s">
        <v>19</v>
      </c>
      <c r="B40" s="41"/>
      <c r="C40" s="102">
        <f>C19*L36</f>
        <v>623.09126607279609</v>
      </c>
      <c r="D40" s="102"/>
      <c r="E40" s="102">
        <f>E19*L36</f>
        <v>623.09126607279609</v>
      </c>
      <c r="F40" s="102"/>
      <c r="G40" s="46">
        <f>G19*L38</f>
        <v>661.97345995462354</v>
      </c>
      <c r="H40" s="35"/>
      <c r="I40" s="35"/>
      <c r="J40" s="35"/>
      <c r="K40" s="35"/>
      <c r="L40" s="35"/>
      <c r="M40" s="35"/>
      <c r="N40" s="35"/>
    </row>
    <row r="41" spans="1:14" x14ac:dyDescent="0.3">
      <c r="A41" s="35"/>
      <c r="B41" s="35"/>
      <c r="C41" s="103"/>
      <c r="D41" s="103"/>
      <c r="E41" s="103"/>
      <c r="F41" s="103"/>
      <c r="G41" s="35"/>
      <c r="H41" s="35"/>
      <c r="I41" s="35"/>
      <c r="J41" s="35"/>
      <c r="K41" s="35"/>
      <c r="L41" s="35"/>
      <c r="M41" s="35"/>
      <c r="N41" s="35"/>
    </row>
    <row r="42" spans="1:14" x14ac:dyDescent="0.3">
      <c r="A42" s="35"/>
      <c r="B42" s="104" t="s">
        <v>62</v>
      </c>
      <c r="C42" s="104"/>
      <c r="D42" s="104"/>
      <c r="E42" s="104"/>
      <c r="F42" s="104"/>
      <c r="G42" s="104"/>
      <c r="H42" s="35"/>
      <c r="I42" s="35"/>
      <c r="J42" s="35"/>
      <c r="K42" s="35"/>
      <c r="L42" s="35"/>
      <c r="M42" s="35"/>
      <c r="N42" s="35"/>
    </row>
    <row r="43" spans="1:14" x14ac:dyDescent="0.3">
      <c r="A43" s="35" t="s">
        <v>9</v>
      </c>
      <c r="B43" s="35"/>
      <c r="C43" s="105">
        <f ca="1">_xlfn.NORM.INV(RAND(),C3,C32)</f>
        <v>0.50421741297765921</v>
      </c>
      <c r="D43" s="105"/>
      <c r="E43" s="105">
        <f ca="1">_xlfn.NORM.INV(RAND(),E3,E32)</f>
        <v>0.54100008899000296</v>
      </c>
      <c r="F43" s="105"/>
      <c r="G43" s="89">
        <f ca="1">_xlfn.NORM.INV(RAND(),G3,G32)</f>
        <v>0.56804406138735331</v>
      </c>
      <c r="H43" s="35"/>
      <c r="I43" s="35"/>
      <c r="J43" s="35"/>
      <c r="K43" s="35"/>
      <c r="L43" s="35"/>
      <c r="M43" s="35"/>
      <c r="N43" s="35"/>
    </row>
    <row r="44" spans="1:14" s="88" customFormat="1" x14ac:dyDescent="0.3">
      <c r="A44" s="88" t="s">
        <v>99</v>
      </c>
      <c r="C44" s="106">
        <f ca="1">_xlfn.NORM.INV(RAND(),C4,C4*L21)</f>
        <v>1855.2206394611835</v>
      </c>
      <c r="D44" s="106"/>
      <c r="E44" s="106">
        <f ca="1">_xlfn.NORM.INV(RAND(),E4,E4*L21)</f>
        <v>884.48824180193151</v>
      </c>
      <c r="F44" s="106"/>
      <c r="G44" s="84">
        <f ca="1">_xlfn.NORM.INV(RAND(),G4,G4*L21)</f>
        <v>1819.8059127327269</v>
      </c>
    </row>
    <row r="45" spans="1:14" x14ac:dyDescent="0.3">
      <c r="A45" s="35"/>
      <c r="B45" s="35"/>
      <c r="C45" s="101"/>
      <c r="D45" s="101"/>
      <c r="E45" s="101"/>
      <c r="F45" s="101"/>
      <c r="G45" s="86"/>
      <c r="H45" s="35"/>
      <c r="I45" s="35"/>
      <c r="J45" s="35"/>
      <c r="K45" s="35"/>
      <c r="L45" s="35"/>
      <c r="M45" s="35"/>
      <c r="N45" s="35"/>
    </row>
    <row r="46" spans="1:14" x14ac:dyDescent="0.3">
      <c r="A46" s="35" t="s">
        <v>10</v>
      </c>
      <c r="B46" s="35"/>
      <c r="C46" s="102">
        <f ca="1">_xlfn.NORM.INV(RAND(),C8,C34)</f>
        <v>131.70013114902233</v>
      </c>
      <c r="D46" s="102"/>
      <c r="E46" s="102">
        <f ca="1">_xlfn.NORM.INV(RAND(),E8,E34)</f>
        <v>97.776287672718041</v>
      </c>
      <c r="F46" s="102"/>
      <c r="G46" s="85">
        <f ca="1">_xlfn.NORM.INV(RAND(),G8,G34)</f>
        <v>429.62127396210082</v>
      </c>
      <c r="H46" s="35"/>
      <c r="I46" s="35"/>
      <c r="J46" s="35"/>
      <c r="K46" s="35"/>
      <c r="L46" s="35"/>
      <c r="M46" s="35"/>
      <c r="N46" s="35"/>
    </row>
    <row r="47" spans="1:14" x14ac:dyDescent="0.3">
      <c r="A47" s="35" t="s">
        <v>1</v>
      </c>
      <c r="B47" s="35"/>
      <c r="C47" s="102">
        <f ca="1">_xlfn.NORM.INV(RAND(),C9,C35)</f>
        <v>9.3043551758823195</v>
      </c>
      <c r="D47" s="102"/>
      <c r="E47" s="102">
        <f ca="1">_xlfn.NORM.INV(RAND(),E9,E35)</f>
        <v>-2.7327981563001797</v>
      </c>
      <c r="F47" s="102"/>
      <c r="G47" s="85">
        <f ca="1">_xlfn.NORM.INV(RAND(),G9,G35)</f>
        <v>-23.186473550814242</v>
      </c>
      <c r="H47" s="35"/>
      <c r="I47" s="35"/>
      <c r="J47" s="35"/>
      <c r="K47" s="35"/>
      <c r="L47" s="35"/>
      <c r="M47" s="35"/>
      <c r="N47" s="35"/>
    </row>
    <row r="48" spans="1:14" x14ac:dyDescent="0.3">
      <c r="A48" s="35" t="s">
        <v>2</v>
      </c>
      <c r="B48" s="35"/>
      <c r="C48" s="102">
        <f ca="1">_xlfn.NORM.INV(RAND(),C10,C36)</f>
        <v>18.093121881054149</v>
      </c>
      <c r="D48" s="102"/>
      <c r="E48" s="102">
        <f ca="1">_xlfn.NORM.INV(RAND(),E10,E36)</f>
        <v>-2.9656905777106282</v>
      </c>
      <c r="F48" s="102"/>
      <c r="G48" s="85">
        <f ca="1">_xlfn.NORM.INV(RAND(),G10,G36)</f>
        <v>0.14237160669415516</v>
      </c>
      <c r="H48" s="35"/>
      <c r="I48" s="35"/>
      <c r="J48" s="35"/>
      <c r="K48" s="35"/>
      <c r="L48" s="35"/>
      <c r="M48" s="35"/>
      <c r="N48" s="35"/>
    </row>
    <row r="49" spans="1:14" x14ac:dyDescent="0.3">
      <c r="A49" s="35" t="s">
        <v>12</v>
      </c>
      <c r="B49" s="35"/>
      <c r="C49" s="102">
        <f ca="1">_xlfn.NORM.INV(RAND(),C11,C37)</f>
        <v>1.4253737255098149</v>
      </c>
      <c r="D49" s="102"/>
      <c r="E49" s="102">
        <f ca="1">_xlfn.NORM.INV(RAND(),E11,E37)</f>
        <v>1.8040576817261923E-4</v>
      </c>
      <c r="F49" s="102"/>
      <c r="G49" s="85">
        <f ca="1">_xlfn.NORM.INV(RAND(),G11,G37)</f>
        <v>1.1571579263407707</v>
      </c>
      <c r="H49" s="35"/>
      <c r="I49" s="35"/>
      <c r="J49" s="35"/>
      <c r="K49" s="35"/>
      <c r="L49" s="35"/>
      <c r="M49" s="35"/>
      <c r="N49" s="35"/>
    </row>
    <row r="50" spans="1:14" x14ac:dyDescent="0.3">
      <c r="A50" s="35" t="s">
        <v>3</v>
      </c>
      <c r="B50" s="35"/>
      <c r="C50" s="102">
        <v>1E-4</v>
      </c>
      <c r="D50" s="102"/>
      <c r="E50" s="102">
        <v>1E-4</v>
      </c>
      <c r="F50" s="102"/>
      <c r="G50" s="85">
        <v>1E-4</v>
      </c>
      <c r="H50" s="35"/>
      <c r="I50" s="35"/>
      <c r="J50" s="35"/>
      <c r="K50" s="35"/>
      <c r="L50" s="35"/>
      <c r="M50" s="35"/>
      <c r="N50" s="35"/>
    </row>
    <row r="51" spans="1:14" x14ac:dyDescent="0.3">
      <c r="A51" s="35"/>
      <c r="B51" s="35"/>
      <c r="C51" s="102"/>
      <c r="D51" s="102"/>
      <c r="E51" s="102"/>
      <c r="F51" s="102"/>
      <c r="G51" s="85"/>
      <c r="H51" s="35"/>
      <c r="I51" s="35"/>
      <c r="J51" s="35"/>
      <c r="K51" s="35"/>
      <c r="L51" s="35"/>
      <c r="M51" s="35"/>
      <c r="N51" s="35"/>
    </row>
    <row r="52" spans="1:14" x14ac:dyDescent="0.3">
      <c r="A52" s="1" t="s">
        <v>93</v>
      </c>
      <c r="B52" s="35"/>
      <c r="C52" s="102">
        <f ca="1">SUM(C46:C50)</f>
        <v>160.5230819314686</v>
      </c>
      <c r="D52" s="102"/>
      <c r="E52" s="102">
        <f ca="1">SUM(E46:E50)</f>
        <v>92.078079344475412</v>
      </c>
      <c r="F52" s="102"/>
      <c r="G52" s="85">
        <f ca="1">SUM(G46:G50)</f>
        <v>407.73442994432145</v>
      </c>
      <c r="H52" s="35"/>
      <c r="I52" s="35"/>
      <c r="J52" s="35"/>
      <c r="K52" s="35"/>
      <c r="L52" s="35"/>
      <c r="M52" s="35"/>
      <c r="N52" s="35"/>
    </row>
    <row r="53" spans="1:14" x14ac:dyDescent="0.3">
      <c r="A53" s="1"/>
      <c r="B53" s="35"/>
      <c r="C53" s="102"/>
      <c r="D53" s="102"/>
      <c r="E53" s="102"/>
      <c r="F53" s="102"/>
      <c r="G53" s="85"/>
      <c r="H53" s="35"/>
      <c r="I53" s="35"/>
      <c r="J53" s="35"/>
      <c r="K53" s="35"/>
      <c r="L53" s="35"/>
      <c r="M53" s="35"/>
      <c r="N53" s="35"/>
    </row>
    <row r="54" spans="1:14" x14ac:dyDescent="0.3">
      <c r="A54" s="1" t="s">
        <v>48</v>
      </c>
      <c r="B54" s="35"/>
      <c r="C54" s="102">
        <f ca="1">C43*C44-C52</f>
        <v>774.91146940040801</v>
      </c>
      <c r="D54" s="102"/>
      <c r="E54" s="102">
        <f ca="1">E43*E44-E52</f>
        <v>386.43013818098075</v>
      </c>
      <c r="F54" s="102"/>
      <c r="G54" s="85">
        <f ca="1">G43*G44-G52</f>
        <v>625.99551166109632</v>
      </c>
      <c r="H54" s="35"/>
      <c r="I54" s="35"/>
      <c r="J54" s="35"/>
      <c r="K54" s="35"/>
      <c r="L54" s="35"/>
      <c r="M54" s="35"/>
      <c r="N54" s="35"/>
    </row>
    <row r="55" spans="1:14" x14ac:dyDescent="0.3">
      <c r="A55" s="1"/>
      <c r="B55" s="35"/>
      <c r="C55" s="102"/>
      <c r="D55" s="102"/>
      <c r="E55" s="102"/>
      <c r="F55" s="102"/>
      <c r="G55" s="85"/>
      <c r="H55" s="35"/>
      <c r="I55" s="35"/>
      <c r="J55" s="35"/>
      <c r="K55" s="35"/>
      <c r="L55" s="35"/>
      <c r="M55" s="35"/>
      <c r="N55" s="35"/>
    </row>
    <row r="56" spans="1:14" x14ac:dyDescent="0.3">
      <c r="A56" s="1" t="s">
        <v>13</v>
      </c>
      <c r="B56" s="35"/>
      <c r="C56" s="102">
        <f ca="1">AVERAGE(C60:C559)</f>
        <v>912.47076244969389</v>
      </c>
      <c r="D56" s="102"/>
      <c r="E56" s="102">
        <f ca="1">AVERAGE(E60:E559)</f>
        <v>3.0905378991443224</v>
      </c>
      <c r="F56" s="102"/>
      <c r="G56" s="85">
        <f ca="1">AVERAGE(G60:G559)</f>
        <v>952.10344596057632</v>
      </c>
      <c r="H56" s="35"/>
      <c r="I56" s="35"/>
      <c r="J56" s="35"/>
      <c r="K56" s="35"/>
      <c r="L56" s="35"/>
      <c r="M56" s="35"/>
      <c r="N56" s="35"/>
    </row>
    <row r="57" spans="1:14" x14ac:dyDescent="0.3">
      <c r="A57" s="1" t="s">
        <v>11</v>
      </c>
      <c r="B57" s="35"/>
      <c r="C57" s="102">
        <f ca="1">STDEVA(C60:C559)</f>
        <v>310.02535102731719</v>
      </c>
      <c r="D57" s="102"/>
      <c r="E57" s="102">
        <f t="shared" ref="E57:G57" ca="1" si="1">STDEVA(E60:E559)</f>
        <v>31.306494671805648</v>
      </c>
      <c r="F57" s="102"/>
      <c r="G57" s="85">
        <f t="shared" ca="1" si="1"/>
        <v>280.9729734793338</v>
      </c>
      <c r="H57" s="35"/>
      <c r="I57" s="35"/>
      <c r="J57" s="35"/>
      <c r="K57" s="35"/>
      <c r="L57" s="35"/>
      <c r="M57" s="35"/>
      <c r="N57" s="35"/>
    </row>
    <row r="58" spans="1:14" x14ac:dyDescent="0.3">
      <c r="A58" s="35"/>
      <c r="B58" s="35"/>
      <c r="C58" s="101"/>
      <c r="D58" s="101"/>
      <c r="E58" s="101"/>
      <c r="F58" s="101"/>
      <c r="G58" s="35"/>
      <c r="H58" s="35"/>
      <c r="I58" s="35"/>
      <c r="J58" s="35"/>
      <c r="K58" s="35"/>
      <c r="L58" s="35"/>
      <c r="M58" s="35"/>
      <c r="N58" s="35"/>
    </row>
    <row r="59" spans="1:14" x14ac:dyDescent="0.3">
      <c r="A59" s="1" t="s">
        <v>64</v>
      </c>
      <c r="B59" s="35"/>
      <c r="C59" s="101"/>
      <c r="D59" s="101"/>
      <c r="E59" s="101"/>
      <c r="F59" s="101"/>
      <c r="G59" s="35"/>
      <c r="H59" s="35"/>
      <c r="I59" s="35"/>
      <c r="J59" s="35"/>
      <c r="K59" s="35"/>
      <c r="L59" s="35"/>
      <c r="M59" s="35"/>
      <c r="N59" s="35"/>
    </row>
    <row r="60" spans="1:14" x14ac:dyDescent="0.3">
      <c r="A60" s="35"/>
      <c r="B60" s="48">
        <v>1</v>
      </c>
      <c r="C60" s="49">
        <f ca="1">C54</f>
        <v>774.91146940040801</v>
      </c>
      <c r="D60" s="48">
        <v>1</v>
      </c>
      <c r="E60" s="49">
        <f ca="1">E54</f>
        <v>386.43013818098075</v>
      </c>
      <c r="F60" s="48">
        <v>1</v>
      </c>
      <c r="G60" s="49">
        <f ca="1">G54</f>
        <v>625.99551166109632</v>
      </c>
      <c r="H60" s="35"/>
      <c r="I60" s="35"/>
      <c r="J60" s="35"/>
      <c r="K60" s="35"/>
      <c r="L60" s="35"/>
      <c r="M60" s="35"/>
      <c r="N60" s="35"/>
    </row>
    <row r="61" spans="1:14" x14ac:dyDescent="0.3">
      <c r="A61" s="35"/>
      <c r="B61" s="48">
        <v>2</v>
      </c>
      <c r="C61" s="49">
        <v>647.48089407370469</v>
      </c>
      <c r="D61" s="48">
        <v>2</v>
      </c>
      <c r="E61" s="49">
        <v>12.127653097521026</v>
      </c>
      <c r="F61" s="48">
        <v>2</v>
      </c>
      <c r="G61" s="49">
        <v>1139.3916887361852</v>
      </c>
      <c r="H61" s="35"/>
      <c r="I61" s="35"/>
      <c r="J61" s="35"/>
      <c r="K61" s="35"/>
      <c r="L61" s="35"/>
      <c r="M61" s="35"/>
      <c r="N61" s="35"/>
    </row>
    <row r="62" spans="1:14" x14ac:dyDescent="0.3">
      <c r="A62" s="35"/>
      <c r="B62" s="48">
        <v>3</v>
      </c>
      <c r="C62" s="49">
        <v>950.57242055467941</v>
      </c>
      <c r="D62" s="48">
        <v>3</v>
      </c>
      <c r="E62" s="49">
        <v>-2.9105307926755222</v>
      </c>
      <c r="F62" s="48">
        <v>3</v>
      </c>
      <c r="G62" s="49">
        <v>992.30964909646195</v>
      </c>
      <c r="H62" s="35"/>
      <c r="I62" s="35"/>
      <c r="J62" s="35"/>
      <c r="K62" s="35"/>
      <c r="L62" s="35"/>
      <c r="M62" s="35"/>
      <c r="N62" s="35"/>
    </row>
    <row r="63" spans="1:14" x14ac:dyDescent="0.3">
      <c r="A63" s="35"/>
      <c r="B63" s="48">
        <v>4</v>
      </c>
      <c r="C63" s="49">
        <v>1040.0613622371982</v>
      </c>
      <c r="D63" s="48">
        <v>4</v>
      </c>
      <c r="E63" s="49">
        <v>6.1633831100635827</v>
      </c>
      <c r="F63" s="48">
        <v>4</v>
      </c>
      <c r="G63" s="49">
        <v>1067.7047790706549</v>
      </c>
      <c r="H63" s="35"/>
      <c r="I63" s="35"/>
      <c r="J63" s="35"/>
      <c r="K63" s="35"/>
      <c r="L63" s="35"/>
      <c r="M63" s="35"/>
      <c r="N63" s="35"/>
    </row>
    <row r="64" spans="1:14" x14ac:dyDescent="0.3">
      <c r="A64" s="35"/>
      <c r="B64" s="48">
        <v>5</v>
      </c>
      <c r="C64" s="49">
        <v>647.51148827597797</v>
      </c>
      <c r="D64" s="48">
        <v>5</v>
      </c>
      <c r="E64" s="49">
        <v>-15.018199292960551</v>
      </c>
      <c r="F64" s="48">
        <v>5</v>
      </c>
      <c r="G64" s="49">
        <v>451.2000299791099</v>
      </c>
      <c r="H64" s="35"/>
      <c r="I64" s="35"/>
      <c r="J64" s="35"/>
      <c r="K64" s="35"/>
      <c r="L64" s="35"/>
      <c r="M64" s="35"/>
      <c r="N64" s="35"/>
    </row>
    <row r="65" spans="1:14" x14ac:dyDescent="0.3">
      <c r="A65" s="35"/>
      <c r="B65" s="48">
        <v>6</v>
      </c>
      <c r="C65" s="49">
        <v>1190.4329311372298</v>
      </c>
      <c r="D65" s="48">
        <v>6</v>
      </c>
      <c r="E65" s="49">
        <v>35.757903982888358</v>
      </c>
      <c r="F65" s="48">
        <v>6</v>
      </c>
      <c r="G65" s="49">
        <v>756.37652084464958</v>
      </c>
      <c r="H65" s="35"/>
      <c r="I65" s="35"/>
      <c r="J65" s="35"/>
      <c r="K65" s="35"/>
      <c r="L65" s="35"/>
      <c r="M65" s="35"/>
      <c r="N65" s="35"/>
    </row>
    <row r="66" spans="1:14" x14ac:dyDescent="0.3">
      <c r="A66" s="35"/>
      <c r="B66" s="48">
        <v>7</v>
      </c>
      <c r="C66" s="49">
        <v>649.65429493822671</v>
      </c>
      <c r="D66" s="48">
        <v>7</v>
      </c>
      <c r="E66" s="49">
        <v>-0.15232299011777228</v>
      </c>
      <c r="F66" s="48">
        <v>7</v>
      </c>
      <c r="G66" s="49">
        <v>1187.5089055402959</v>
      </c>
      <c r="H66" s="35"/>
      <c r="I66" s="35"/>
      <c r="J66" s="35"/>
      <c r="K66" s="35"/>
      <c r="L66" s="35"/>
      <c r="M66" s="35"/>
      <c r="N66" s="35"/>
    </row>
    <row r="67" spans="1:14" x14ac:dyDescent="0.3">
      <c r="A67" s="35"/>
      <c r="B67" s="48">
        <v>8</v>
      </c>
      <c r="C67" s="49">
        <v>1372.5361375258485</v>
      </c>
      <c r="D67" s="48">
        <v>8</v>
      </c>
      <c r="E67" s="49">
        <v>8.2674030045536817</v>
      </c>
      <c r="F67" s="48">
        <v>8</v>
      </c>
      <c r="G67" s="49">
        <v>1023.9706239036871</v>
      </c>
      <c r="H67" s="35"/>
      <c r="I67" s="35"/>
      <c r="J67" s="35"/>
      <c r="K67" s="35"/>
      <c r="L67" s="35"/>
      <c r="M67" s="35"/>
      <c r="N67" s="35"/>
    </row>
    <row r="68" spans="1:14" x14ac:dyDescent="0.3">
      <c r="A68" s="35"/>
      <c r="B68" s="48">
        <v>9</v>
      </c>
      <c r="C68" s="49">
        <v>937.70642614154531</v>
      </c>
      <c r="D68" s="48">
        <v>9</v>
      </c>
      <c r="E68" s="49">
        <v>-24.413469303169745</v>
      </c>
      <c r="F68" s="48">
        <v>9</v>
      </c>
      <c r="G68" s="49">
        <v>614.21592497609356</v>
      </c>
      <c r="H68" s="35"/>
      <c r="I68" s="35"/>
      <c r="J68" s="35"/>
      <c r="K68" s="35"/>
      <c r="L68" s="35"/>
      <c r="M68" s="35"/>
      <c r="N68" s="35"/>
    </row>
    <row r="69" spans="1:14" x14ac:dyDescent="0.3">
      <c r="A69" s="35"/>
      <c r="B69" s="48">
        <v>10</v>
      </c>
      <c r="C69" s="49">
        <v>1025.0579022590478</v>
      </c>
      <c r="D69" s="48">
        <v>10</v>
      </c>
      <c r="E69" s="49">
        <v>-22.129207978302766</v>
      </c>
      <c r="F69" s="48">
        <v>10</v>
      </c>
      <c r="G69" s="49">
        <v>1038.2786860288513</v>
      </c>
      <c r="H69" s="35"/>
      <c r="I69" s="35"/>
      <c r="J69" s="35"/>
      <c r="K69" s="35"/>
      <c r="L69" s="35"/>
      <c r="M69" s="35"/>
      <c r="N69" s="35"/>
    </row>
    <row r="70" spans="1:14" x14ac:dyDescent="0.3">
      <c r="A70" s="35"/>
      <c r="B70" s="48">
        <v>11</v>
      </c>
      <c r="C70" s="49">
        <v>1106.1767843569858</v>
      </c>
      <c r="D70" s="48">
        <v>11</v>
      </c>
      <c r="E70" s="49">
        <v>9.6871209815941306</v>
      </c>
      <c r="F70" s="48">
        <v>11</v>
      </c>
      <c r="G70" s="49">
        <v>624.47833062289817</v>
      </c>
      <c r="H70" s="35"/>
      <c r="I70" s="35"/>
      <c r="J70" s="35"/>
      <c r="K70" s="35"/>
      <c r="L70" s="35"/>
      <c r="M70" s="35"/>
      <c r="N70" s="35"/>
    </row>
    <row r="71" spans="1:14" x14ac:dyDescent="0.3">
      <c r="A71" s="35"/>
      <c r="B71" s="48">
        <v>12</v>
      </c>
      <c r="C71" s="49">
        <v>594.36986347304423</v>
      </c>
      <c r="D71" s="48">
        <v>12</v>
      </c>
      <c r="E71" s="49">
        <v>27.444952413791594</v>
      </c>
      <c r="F71" s="48">
        <v>12</v>
      </c>
      <c r="G71" s="49">
        <v>676.44040930269148</v>
      </c>
      <c r="H71" s="35"/>
      <c r="I71" s="35"/>
      <c r="J71" s="35"/>
      <c r="K71" s="35"/>
      <c r="L71" s="35"/>
      <c r="M71" s="35"/>
      <c r="N71" s="35"/>
    </row>
    <row r="72" spans="1:14" x14ac:dyDescent="0.3">
      <c r="A72" s="35"/>
      <c r="B72" s="48">
        <v>13</v>
      </c>
      <c r="C72" s="49">
        <v>554.39541282855009</v>
      </c>
      <c r="D72" s="48">
        <v>13</v>
      </c>
      <c r="E72" s="49">
        <v>-13.21795633500675</v>
      </c>
      <c r="F72" s="48">
        <v>13</v>
      </c>
      <c r="G72" s="49">
        <v>1088.5304697519132</v>
      </c>
      <c r="H72" s="35"/>
      <c r="I72" s="35"/>
      <c r="J72" s="35"/>
      <c r="K72" s="35"/>
      <c r="L72" s="35"/>
      <c r="M72" s="35"/>
      <c r="N72" s="35"/>
    </row>
    <row r="73" spans="1:14" x14ac:dyDescent="0.3">
      <c r="A73" s="35"/>
      <c r="B73" s="48">
        <v>14</v>
      </c>
      <c r="C73" s="49">
        <v>1177.1502584403631</v>
      </c>
      <c r="D73" s="48">
        <v>14</v>
      </c>
      <c r="E73" s="49">
        <v>-3.9962607821759333</v>
      </c>
      <c r="F73" s="48">
        <v>14</v>
      </c>
      <c r="G73" s="49">
        <v>947.92888149601526</v>
      </c>
      <c r="H73" s="35"/>
      <c r="I73" s="35"/>
      <c r="J73" s="35"/>
      <c r="K73" s="35"/>
      <c r="L73" s="35"/>
      <c r="M73" s="35"/>
      <c r="N73" s="35"/>
    </row>
    <row r="74" spans="1:14" x14ac:dyDescent="0.3">
      <c r="A74" s="35"/>
      <c r="B74" s="48">
        <v>15</v>
      </c>
      <c r="C74" s="49">
        <v>898.22110214106431</v>
      </c>
      <c r="D74" s="48">
        <v>15</v>
      </c>
      <c r="E74" s="49">
        <v>28.517098594036874</v>
      </c>
      <c r="F74" s="48">
        <v>15</v>
      </c>
      <c r="G74" s="49">
        <v>1509.4981167721767</v>
      </c>
      <c r="H74" s="35"/>
      <c r="I74" s="35"/>
      <c r="J74" s="35"/>
      <c r="K74" s="35"/>
      <c r="L74" s="35"/>
      <c r="M74" s="35"/>
      <c r="N74" s="35"/>
    </row>
    <row r="75" spans="1:14" x14ac:dyDescent="0.3">
      <c r="A75" s="35"/>
      <c r="B75" s="48">
        <v>16</v>
      </c>
      <c r="C75" s="49">
        <v>1142.2814146604017</v>
      </c>
      <c r="D75" s="48">
        <v>16</v>
      </c>
      <c r="E75" s="49">
        <v>-29.485281482941026</v>
      </c>
      <c r="F75" s="48">
        <v>16</v>
      </c>
      <c r="G75" s="49">
        <v>519.10039015047403</v>
      </c>
      <c r="H75" s="35"/>
      <c r="I75" s="35"/>
      <c r="J75" s="35"/>
      <c r="K75" s="35"/>
      <c r="L75" s="35"/>
      <c r="M75" s="35"/>
      <c r="N75" s="35"/>
    </row>
    <row r="76" spans="1:14" x14ac:dyDescent="0.3">
      <c r="A76" s="35"/>
      <c r="B76" s="48">
        <v>17</v>
      </c>
      <c r="C76" s="49">
        <v>1102.3581647551375</v>
      </c>
      <c r="D76" s="48">
        <v>17</v>
      </c>
      <c r="E76" s="49">
        <v>19.958256122605739</v>
      </c>
      <c r="F76" s="48">
        <v>17</v>
      </c>
      <c r="G76" s="49">
        <v>501.63035243948298</v>
      </c>
      <c r="H76" s="35"/>
      <c r="I76" s="35"/>
      <c r="J76" s="35"/>
      <c r="K76" s="35"/>
      <c r="L76" s="35"/>
      <c r="M76" s="35"/>
      <c r="N76" s="35"/>
    </row>
    <row r="77" spans="1:14" x14ac:dyDescent="0.3">
      <c r="A77" s="35"/>
      <c r="B77" s="48">
        <v>18</v>
      </c>
      <c r="C77" s="49">
        <v>553.06049485574249</v>
      </c>
      <c r="D77" s="48">
        <v>18</v>
      </c>
      <c r="E77" s="49">
        <v>-47.718890626927035</v>
      </c>
      <c r="F77" s="48">
        <v>18</v>
      </c>
      <c r="G77" s="49">
        <v>1086.146903152297</v>
      </c>
      <c r="H77" s="35"/>
      <c r="I77" s="35"/>
      <c r="J77" s="35"/>
      <c r="K77" s="35"/>
      <c r="L77" s="35"/>
      <c r="M77" s="35"/>
      <c r="N77" s="35"/>
    </row>
    <row r="78" spans="1:14" x14ac:dyDescent="0.3">
      <c r="A78" s="35"/>
      <c r="B78" s="48">
        <v>19</v>
      </c>
      <c r="C78" s="49">
        <v>1271.9349327431341</v>
      </c>
      <c r="D78" s="48">
        <v>19</v>
      </c>
      <c r="E78" s="49">
        <v>18.135377189943309</v>
      </c>
      <c r="F78" s="48">
        <v>19</v>
      </c>
      <c r="G78" s="49">
        <v>870.62354955893591</v>
      </c>
      <c r="H78" s="35"/>
      <c r="I78" s="35"/>
      <c r="J78" s="35"/>
      <c r="K78" s="35"/>
      <c r="L78" s="35"/>
      <c r="M78" s="35"/>
      <c r="N78" s="35"/>
    </row>
    <row r="79" spans="1:14" x14ac:dyDescent="0.3">
      <c r="A79" s="35"/>
      <c r="B79" s="48">
        <v>20</v>
      </c>
      <c r="C79" s="49">
        <v>743.10070044971087</v>
      </c>
      <c r="D79" s="48">
        <v>20</v>
      </c>
      <c r="E79" s="49">
        <v>2.6450448047888462</v>
      </c>
      <c r="F79" s="48">
        <v>20</v>
      </c>
      <c r="G79" s="49">
        <v>841.36442769635846</v>
      </c>
      <c r="H79" s="35"/>
      <c r="I79" s="35"/>
      <c r="J79" s="35"/>
      <c r="K79" s="35"/>
      <c r="L79" s="35"/>
      <c r="M79" s="35"/>
      <c r="N79" s="35"/>
    </row>
    <row r="80" spans="1:14" x14ac:dyDescent="0.3">
      <c r="A80" s="35"/>
      <c r="B80" s="48">
        <v>21</v>
      </c>
      <c r="C80" s="49">
        <v>939.87913370658157</v>
      </c>
      <c r="D80" s="48">
        <v>21</v>
      </c>
      <c r="E80" s="49">
        <v>3.5392295113111425</v>
      </c>
      <c r="F80" s="48">
        <v>21</v>
      </c>
      <c r="G80" s="49">
        <v>666.83985888765596</v>
      </c>
      <c r="H80" s="35"/>
      <c r="I80" s="35"/>
      <c r="J80" s="35"/>
      <c r="K80" s="35"/>
      <c r="L80" s="35"/>
      <c r="M80" s="35"/>
      <c r="N80" s="35"/>
    </row>
    <row r="81" spans="1:14" x14ac:dyDescent="0.3">
      <c r="A81" s="35"/>
      <c r="B81" s="48">
        <v>22</v>
      </c>
      <c r="C81" s="49">
        <v>699.06682017310345</v>
      </c>
      <c r="D81" s="48">
        <v>22</v>
      </c>
      <c r="E81" s="49">
        <v>5.4907390135802974</v>
      </c>
      <c r="F81" s="48">
        <v>22</v>
      </c>
      <c r="G81" s="49">
        <v>927.1607910091858</v>
      </c>
      <c r="H81" s="35"/>
      <c r="I81" s="35"/>
      <c r="J81" s="35"/>
      <c r="K81" s="35"/>
      <c r="L81" s="35"/>
      <c r="M81" s="35"/>
      <c r="N81" s="35"/>
    </row>
    <row r="82" spans="1:14" x14ac:dyDescent="0.3">
      <c r="A82" s="35"/>
      <c r="B82" s="48">
        <v>23</v>
      </c>
      <c r="C82" s="49">
        <v>319.54507347997458</v>
      </c>
      <c r="D82" s="48">
        <v>23</v>
      </c>
      <c r="E82" s="49">
        <v>72.890814833770776</v>
      </c>
      <c r="F82" s="48">
        <v>23</v>
      </c>
      <c r="G82" s="49">
        <v>903.12949104278982</v>
      </c>
      <c r="H82" s="35"/>
      <c r="I82" s="35"/>
      <c r="J82" s="35"/>
      <c r="K82" s="35"/>
      <c r="L82" s="35"/>
      <c r="M82" s="35"/>
      <c r="N82" s="35"/>
    </row>
    <row r="83" spans="1:14" x14ac:dyDescent="0.3">
      <c r="A83" s="35"/>
      <c r="B83" s="48">
        <v>24</v>
      </c>
      <c r="C83" s="49">
        <v>431.32787397554404</v>
      </c>
      <c r="D83" s="48">
        <v>24</v>
      </c>
      <c r="E83" s="49">
        <v>-24.559990096009017</v>
      </c>
      <c r="F83" s="48">
        <v>24</v>
      </c>
      <c r="G83" s="49">
        <v>904.09722617408499</v>
      </c>
      <c r="H83" s="35"/>
      <c r="I83" s="35"/>
      <c r="J83" s="35"/>
      <c r="K83" s="35"/>
      <c r="L83" s="35"/>
      <c r="M83" s="35"/>
      <c r="N83" s="35"/>
    </row>
    <row r="84" spans="1:14" x14ac:dyDescent="0.3">
      <c r="A84" s="35"/>
      <c r="B84" s="48">
        <v>25</v>
      </c>
      <c r="C84" s="49">
        <v>824.39251288954688</v>
      </c>
      <c r="D84" s="48">
        <v>25</v>
      </c>
      <c r="E84" s="49">
        <v>62.552969234548414</v>
      </c>
      <c r="F84" s="48">
        <v>25</v>
      </c>
      <c r="G84" s="49">
        <v>1238.6519690774001</v>
      </c>
      <c r="H84" s="35"/>
      <c r="I84" s="35"/>
      <c r="J84" s="35"/>
      <c r="K84" s="35"/>
      <c r="L84" s="35"/>
      <c r="M84" s="35"/>
      <c r="N84" s="35"/>
    </row>
    <row r="85" spans="1:14" x14ac:dyDescent="0.3">
      <c r="A85" s="35"/>
      <c r="B85" s="48">
        <v>26</v>
      </c>
      <c r="C85" s="49">
        <v>803.65541927351649</v>
      </c>
      <c r="D85" s="48">
        <v>26</v>
      </c>
      <c r="E85" s="49">
        <v>-25.424555215635849</v>
      </c>
      <c r="F85" s="48">
        <v>26</v>
      </c>
      <c r="G85" s="49">
        <v>959.26563705631236</v>
      </c>
      <c r="H85" s="35"/>
      <c r="I85" s="35"/>
      <c r="J85" s="35"/>
      <c r="K85" s="35"/>
      <c r="L85" s="35"/>
      <c r="M85" s="35"/>
      <c r="N85" s="35"/>
    </row>
    <row r="86" spans="1:14" x14ac:dyDescent="0.3">
      <c r="A86" s="35"/>
      <c r="B86" s="48">
        <v>27</v>
      </c>
      <c r="C86" s="49">
        <v>787.14835599944377</v>
      </c>
      <c r="D86" s="48">
        <v>27</v>
      </c>
      <c r="E86" s="49">
        <v>14.437357912673757</v>
      </c>
      <c r="F86" s="48">
        <v>27</v>
      </c>
      <c r="G86" s="49">
        <v>905.79131943912216</v>
      </c>
      <c r="H86" s="35"/>
      <c r="I86" s="35"/>
      <c r="J86" s="35"/>
      <c r="K86" s="35"/>
      <c r="L86" s="35"/>
      <c r="M86" s="35"/>
      <c r="N86" s="35"/>
    </row>
    <row r="87" spans="1:14" x14ac:dyDescent="0.3">
      <c r="A87" s="35"/>
      <c r="B87" s="48">
        <v>28</v>
      </c>
      <c r="C87" s="49">
        <v>1516.3307991428724</v>
      </c>
      <c r="D87" s="48">
        <v>28</v>
      </c>
      <c r="E87" s="49">
        <v>-2.2337658248511167</v>
      </c>
      <c r="F87" s="48">
        <v>28</v>
      </c>
      <c r="G87" s="49">
        <v>578.97159761047078</v>
      </c>
      <c r="H87" s="35"/>
      <c r="I87" s="35"/>
      <c r="J87" s="35"/>
      <c r="K87" s="35"/>
      <c r="L87" s="35"/>
      <c r="M87" s="35"/>
      <c r="N87" s="35"/>
    </row>
    <row r="88" spans="1:14" x14ac:dyDescent="0.3">
      <c r="A88" s="35"/>
      <c r="B88" s="48">
        <v>29</v>
      </c>
      <c r="C88" s="49">
        <v>734.78664723662041</v>
      </c>
      <c r="D88" s="48">
        <v>29</v>
      </c>
      <c r="E88" s="49">
        <v>-14.292508445142468</v>
      </c>
      <c r="F88" s="48">
        <v>29</v>
      </c>
      <c r="G88" s="49">
        <v>1096.977927088255</v>
      </c>
      <c r="H88" s="35"/>
      <c r="I88" s="35"/>
      <c r="J88" s="35"/>
      <c r="K88" s="35"/>
      <c r="L88" s="35"/>
      <c r="M88" s="35"/>
      <c r="N88" s="35"/>
    </row>
    <row r="89" spans="1:14" x14ac:dyDescent="0.3">
      <c r="A89" s="35"/>
      <c r="B89" s="48">
        <v>30</v>
      </c>
      <c r="C89" s="49">
        <v>764.88569817885241</v>
      </c>
      <c r="D89" s="48">
        <v>30</v>
      </c>
      <c r="E89" s="49">
        <v>66.591826913522723</v>
      </c>
      <c r="F89" s="48">
        <v>30</v>
      </c>
      <c r="G89" s="49">
        <v>565.95435788963243</v>
      </c>
      <c r="H89" s="35"/>
      <c r="I89" s="35"/>
      <c r="J89" s="35"/>
      <c r="K89" s="35"/>
      <c r="L89" s="35"/>
      <c r="M89" s="35"/>
      <c r="N89" s="35"/>
    </row>
    <row r="90" spans="1:14" x14ac:dyDescent="0.3">
      <c r="A90" s="35"/>
      <c r="B90" s="48">
        <v>31</v>
      </c>
      <c r="C90" s="49">
        <v>879.80754889249897</v>
      </c>
      <c r="D90" s="48">
        <v>31</v>
      </c>
      <c r="E90" s="49">
        <v>-40.697653484497557</v>
      </c>
      <c r="F90" s="48">
        <v>31</v>
      </c>
      <c r="G90" s="49">
        <v>503.14912087342327</v>
      </c>
      <c r="H90" s="35"/>
      <c r="I90" s="35"/>
      <c r="J90" s="35"/>
      <c r="K90" s="35"/>
      <c r="L90" s="35"/>
      <c r="M90" s="35"/>
      <c r="N90" s="35"/>
    </row>
    <row r="91" spans="1:14" x14ac:dyDescent="0.3">
      <c r="A91" s="35"/>
      <c r="B91" s="48">
        <v>32</v>
      </c>
      <c r="C91" s="49">
        <v>1182.1065374160225</v>
      </c>
      <c r="D91" s="48">
        <v>32</v>
      </c>
      <c r="E91" s="49">
        <v>15.379942933439017</v>
      </c>
      <c r="F91" s="48">
        <v>32</v>
      </c>
      <c r="G91" s="49">
        <v>1026.1019308451548</v>
      </c>
      <c r="H91" s="35"/>
      <c r="I91" s="35"/>
      <c r="J91" s="35"/>
      <c r="K91" s="35"/>
      <c r="L91" s="35"/>
      <c r="M91" s="35"/>
      <c r="N91" s="35"/>
    </row>
    <row r="92" spans="1:14" x14ac:dyDescent="0.3">
      <c r="A92" s="35"/>
      <c r="B92" s="48">
        <v>33</v>
      </c>
      <c r="C92" s="49">
        <v>1049.7881518196368</v>
      </c>
      <c r="D92" s="48">
        <v>33</v>
      </c>
      <c r="E92" s="49">
        <v>55.268866231872792</v>
      </c>
      <c r="F92" s="48">
        <v>33</v>
      </c>
      <c r="G92" s="49">
        <v>1194.6408273274415</v>
      </c>
      <c r="H92" s="35"/>
      <c r="I92" s="35"/>
      <c r="J92" s="35"/>
      <c r="K92" s="35"/>
      <c r="L92" s="35"/>
      <c r="M92" s="35"/>
      <c r="N92" s="35"/>
    </row>
    <row r="93" spans="1:14" x14ac:dyDescent="0.3">
      <c r="A93" s="35"/>
      <c r="B93" s="48">
        <v>34</v>
      </c>
      <c r="C93" s="49">
        <v>1449.8227552458288</v>
      </c>
      <c r="D93" s="48">
        <v>34</v>
      </c>
      <c r="E93" s="49">
        <v>11.27240068573167</v>
      </c>
      <c r="F93" s="48">
        <v>34</v>
      </c>
      <c r="G93" s="49">
        <v>581.78254913316744</v>
      </c>
      <c r="H93" s="35"/>
      <c r="I93" s="35"/>
      <c r="J93" s="35"/>
      <c r="K93" s="35"/>
      <c r="L93" s="35"/>
      <c r="M93" s="35"/>
      <c r="N93" s="35"/>
    </row>
    <row r="94" spans="1:14" x14ac:dyDescent="0.3">
      <c r="A94" s="35"/>
      <c r="B94" s="48">
        <v>35</v>
      </c>
      <c r="C94" s="49">
        <v>591.98282780417208</v>
      </c>
      <c r="D94" s="48">
        <v>35</v>
      </c>
      <c r="E94" s="49">
        <v>-18.616585311230917</v>
      </c>
      <c r="F94" s="48">
        <v>35</v>
      </c>
      <c r="G94" s="49">
        <v>830.51875451740671</v>
      </c>
      <c r="H94" s="35"/>
      <c r="I94" s="35"/>
      <c r="J94" s="35"/>
      <c r="K94" s="35"/>
      <c r="L94" s="35"/>
      <c r="M94" s="35"/>
      <c r="N94" s="35"/>
    </row>
    <row r="95" spans="1:14" x14ac:dyDescent="0.3">
      <c r="A95" s="35"/>
      <c r="B95" s="48">
        <v>36</v>
      </c>
      <c r="C95" s="49">
        <v>1042.3592458245155</v>
      </c>
      <c r="D95" s="48">
        <v>36</v>
      </c>
      <c r="E95" s="49">
        <v>-10.185309339427981</v>
      </c>
      <c r="F95" s="48">
        <v>36</v>
      </c>
      <c r="G95" s="49">
        <v>519.59464859851516</v>
      </c>
      <c r="H95" s="35"/>
      <c r="I95" s="35"/>
      <c r="J95" s="35"/>
      <c r="K95" s="35"/>
      <c r="L95" s="35"/>
      <c r="M95" s="35"/>
      <c r="N95" s="35"/>
    </row>
    <row r="96" spans="1:14" x14ac:dyDescent="0.3">
      <c r="A96" s="35"/>
      <c r="B96" s="48">
        <v>37</v>
      </c>
      <c r="C96" s="49">
        <v>1032.1183797105159</v>
      </c>
      <c r="D96" s="48">
        <v>37</v>
      </c>
      <c r="E96" s="49">
        <v>1.9659472273118728</v>
      </c>
      <c r="F96" s="48">
        <v>37</v>
      </c>
      <c r="G96" s="49">
        <v>455.96999923027869</v>
      </c>
      <c r="H96" s="35"/>
      <c r="I96" s="35"/>
      <c r="J96" s="35"/>
      <c r="K96" s="35"/>
      <c r="L96" s="35"/>
      <c r="M96" s="35"/>
      <c r="N96" s="35"/>
    </row>
    <row r="97" spans="1:14" x14ac:dyDescent="0.3">
      <c r="A97" s="35"/>
      <c r="B97" s="48">
        <v>38</v>
      </c>
      <c r="C97" s="49">
        <v>1229.3780820628649</v>
      </c>
      <c r="D97" s="48">
        <v>38</v>
      </c>
      <c r="E97" s="49">
        <v>25.751223956209042</v>
      </c>
      <c r="F97" s="48">
        <v>38</v>
      </c>
      <c r="G97" s="49">
        <v>885.24761117699018</v>
      </c>
      <c r="H97" s="35"/>
      <c r="I97" s="35"/>
      <c r="J97" s="35"/>
      <c r="K97" s="35"/>
      <c r="L97" s="35"/>
      <c r="M97" s="35"/>
      <c r="N97" s="35"/>
    </row>
    <row r="98" spans="1:14" x14ac:dyDescent="0.3">
      <c r="A98" s="35"/>
      <c r="B98" s="48">
        <v>39</v>
      </c>
      <c r="C98" s="49">
        <v>717.61663242098734</v>
      </c>
      <c r="D98" s="48">
        <v>39</v>
      </c>
      <c r="E98" s="49">
        <v>35.902999142649669</v>
      </c>
      <c r="F98" s="48">
        <v>39</v>
      </c>
      <c r="G98" s="49">
        <v>1041.2913204740405</v>
      </c>
      <c r="H98" s="35"/>
      <c r="I98" s="35"/>
      <c r="J98" s="35"/>
      <c r="K98" s="35"/>
      <c r="L98" s="35"/>
      <c r="M98" s="35"/>
      <c r="N98" s="35"/>
    </row>
    <row r="99" spans="1:14" x14ac:dyDescent="0.3">
      <c r="A99" s="35"/>
      <c r="B99" s="48">
        <v>40</v>
      </c>
      <c r="C99" s="49">
        <v>1026.9746827158108</v>
      </c>
      <c r="D99" s="48">
        <v>40</v>
      </c>
      <c r="E99" s="49">
        <v>36.093509238799257</v>
      </c>
      <c r="F99" s="48">
        <v>40</v>
      </c>
      <c r="G99" s="49">
        <v>1239.7413208232379</v>
      </c>
      <c r="H99" s="35"/>
      <c r="I99" s="35"/>
      <c r="J99" s="35"/>
      <c r="K99" s="35"/>
      <c r="L99" s="35"/>
      <c r="M99" s="35"/>
      <c r="N99" s="35"/>
    </row>
    <row r="100" spans="1:14" x14ac:dyDescent="0.3">
      <c r="A100" s="35"/>
      <c r="B100" s="48">
        <v>41</v>
      </c>
      <c r="C100" s="49">
        <v>541.07461347522371</v>
      </c>
      <c r="D100" s="48">
        <v>41</v>
      </c>
      <c r="E100" s="49">
        <v>-19.147815162205998</v>
      </c>
      <c r="F100" s="48">
        <v>41</v>
      </c>
      <c r="G100" s="49">
        <v>1102.2206272413141</v>
      </c>
      <c r="H100" s="35"/>
      <c r="I100" s="35"/>
      <c r="J100" s="35"/>
      <c r="K100" s="35"/>
      <c r="L100" s="35"/>
      <c r="M100" s="35"/>
      <c r="N100" s="35"/>
    </row>
    <row r="101" spans="1:14" x14ac:dyDescent="0.3">
      <c r="A101" s="35"/>
      <c r="B101" s="48">
        <v>42</v>
      </c>
      <c r="C101" s="49">
        <v>1344.2080919422474</v>
      </c>
      <c r="D101" s="48">
        <v>42</v>
      </c>
      <c r="E101" s="49">
        <v>62.706588747978891</v>
      </c>
      <c r="F101" s="48">
        <v>42</v>
      </c>
      <c r="G101" s="49">
        <v>96.113411261730192</v>
      </c>
      <c r="H101" s="35"/>
      <c r="I101" s="35"/>
      <c r="J101" s="35"/>
      <c r="K101" s="35"/>
      <c r="L101" s="35"/>
      <c r="M101" s="35"/>
      <c r="N101" s="35"/>
    </row>
    <row r="102" spans="1:14" x14ac:dyDescent="0.3">
      <c r="A102" s="35"/>
      <c r="B102" s="48">
        <v>43</v>
      </c>
      <c r="C102" s="49">
        <v>871.67075142537419</v>
      </c>
      <c r="D102" s="48">
        <v>43</v>
      </c>
      <c r="E102" s="49">
        <v>15.170363950061196</v>
      </c>
      <c r="F102" s="48">
        <v>43</v>
      </c>
      <c r="G102" s="49">
        <v>1034.0778488539531</v>
      </c>
      <c r="H102" s="35"/>
      <c r="I102" s="35"/>
      <c r="J102" s="35"/>
      <c r="K102" s="35"/>
      <c r="L102" s="35"/>
      <c r="M102" s="35"/>
      <c r="N102" s="35"/>
    </row>
    <row r="103" spans="1:14" x14ac:dyDescent="0.3">
      <c r="A103" s="35"/>
      <c r="B103" s="48">
        <v>44</v>
      </c>
      <c r="C103" s="49">
        <v>972.94864897470711</v>
      </c>
      <c r="D103" s="48">
        <v>44</v>
      </c>
      <c r="E103" s="49">
        <v>2.6342656731025951</v>
      </c>
      <c r="F103" s="48">
        <v>44</v>
      </c>
      <c r="G103" s="49">
        <v>949.08409443646178</v>
      </c>
      <c r="H103" s="35"/>
      <c r="I103" s="35"/>
      <c r="J103" s="35"/>
      <c r="K103" s="35"/>
      <c r="L103" s="35"/>
      <c r="M103" s="35"/>
      <c r="N103" s="35"/>
    </row>
    <row r="104" spans="1:14" x14ac:dyDescent="0.3">
      <c r="A104" s="35"/>
      <c r="B104" s="48">
        <v>45</v>
      </c>
      <c r="C104" s="49">
        <v>588.20639992923657</v>
      </c>
      <c r="D104" s="48">
        <v>45</v>
      </c>
      <c r="E104" s="49">
        <v>35.664273592012542</v>
      </c>
      <c r="F104" s="48">
        <v>45</v>
      </c>
      <c r="G104" s="49">
        <v>977.59320704982588</v>
      </c>
      <c r="H104" s="35"/>
      <c r="I104" s="35"/>
      <c r="J104" s="35"/>
      <c r="K104" s="35"/>
      <c r="L104" s="35"/>
      <c r="M104" s="35"/>
      <c r="N104" s="35"/>
    </row>
    <row r="105" spans="1:14" x14ac:dyDescent="0.3">
      <c r="A105" s="35"/>
      <c r="B105" s="48">
        <v>46</v>
      </c>
      <c r="C105" s="49">
        <v>879.90099780200126</v>
      </c>
      <c r="D105" s="48">
        <v>46</v>
      </c>
      <c r="E105" s="49">
        <v>12.09625325335502</v>
      </c>
      <c r="F105" s="48">
        <v>46</v>
      </c>
      <c r="G105" s="49">
        <v>772.73503955704348</v>
      </c>
      <c r="H105" s="35"/>
      <c r="I105" s="35"/>
      <c r="J105" s="35"/>
      <c r="K105" s="35"/>
      <c r="L105" s="35"/>
      <c r="M105" s="35"/>
      <c r="N105" s="35"/>
    </row>
    <row r="106" spans="1:14" x14ac:dyDescent="0.3">
      <c r="A106" s="35"/>
      <c r="B106" s="48">
        <v>47</v>
      </c>
      <c r="C106" s="49">
        <v>697.24214305952523</v>
      </c>
      <c r="D106" s="48">
        <v>47</v>
      </c>
      <c r="E106" s="49">
        <v>-4.8815492098169129</v>
      </c>
      <c r="F106" s="48">
        <v>47</v>
      </c>
      <c r="G106" s="49">
        <v>1101.9011649313184</v>
      </c>
      <c r="H106" s="35"/>
      <c r="I106" s="35"/>
      <c r="J106" s="35"/>
      <c r="K106" s="35"/>
      <c r="L106" s="35"/>
      <c r="M106" s="35"/>
      <c r="N106" s="35"/>
    </row>
    <row r="107" spans="1:14" x14ac:dyDescent="0.3">
      <c r="A107" s="35"/>
      <c r="B107" s="48">
        <v>48</v>
      </c>
      <c r="C107" s="49">
        <v>902.3514555095353</v>
      </c>
      <c r="D107" s="48">
        <v>48</v>
      </c>
      <c r="E107" s="49">
        <v>-14.543241683812635</v>
      </c>
      <c r="F107" s="48">
        <v>48</v>
      </c>
      <c r="G107" s="49">
        <v>1700.0620925296766</v>
      </c>
      <c r="H107" s="35"/>
      <c r="I107" s="35"/>
      <c r="J107" s="35"/>
      <c r="K107" s="35"/>
      <c r="L107" s="35"/>
      <c r="M107" s="35"/>
      <c r="N107" s="35"/>
    </row>
    <row r="108" spans="1:14" x14ac:dyDescent="0.3">
      <c r="A108" s="35"/>
      <c r="B108" s="48">
        <v>49</v>
      </c>
      <c r="C108" s="49">
        <v>1167.8444268416774</v>
      </c>
      <c r="D108" s="48">
        <v>49</v>
      </c>
      <c r="E108" s="49">
        <v>-14.058676480759129</v>
      </c>
      <c r="F108" s="48">
        <v>49</v>
      </c>
      <c r="G108" s="49">
        <v>1761.6045593531985</v>
      </c>
      <c r="H108" s="35"/>
      <c r="I108" s="35"/>
      <c r="J108" s="35"/>
      <c r="K108" s="35"/>
      <c r="L108" s="35"/>
      <c r="M108" s="35"/>
      <c r="N108" s="35"/>
    </row>
    <row r="109" spans="1:14" x14ac:dyDescent="0.3">
      <c r="A109" s="35"/>
      <c r="B109" s="48">
        <v>50</v>
      </c>
      <c r="C109" s="49">
        <v>1355.892371583584</v>
      </c>
      <c r="D109" s="48">
        <v>50</v>
      </c>
      <c r="E109" s="49">
        <v>17.527859914401397</v>
      </c>
      <c r="F109" s="48">
        <v>50</v>
      </c>
      <c r="G109" s="49">
        <v>888.71106786538235</v>
      </c>
      <c r="H109" s="35"/>
      <c r="I109" s="35"/>
      <c r="J109" s="35"/>
      <c r="K109" s="35"/>
      <c r="L109" s="35"/>
      <c r="M109" s="35"/>
      <c r="N109" s="35"/>
    </row>
    <row r="110" spans="1:14" x14ac:dyDescent="0.3">
      <c r="A110" s="35"/>
      <c r="B110" s="48">
        <v>51</v>
      </c>
      <c r="C110" s="49">
        <v>917.02820684868743</v>
      </c>
      <c r="D110" s="48">
        <v>51</v>
      </c>
      <c r="E110" s="49">
        <v>41.746561237248912</v>
      </c>
      <c r="F110" s="48">
        <v>51</v>
      </c>
      <c r="G110" s="49">
        <v>1549.5677949105223</v>
      </c>
      <c r="H110" s="35"/>
      <c r="I110" s="35"/>
      <c r="J110" s="35"/>
      <c r="K110" s="35"/>
      <c r="L110" s="35"/>
      <c r="M110" s="35"/>
      <c r="N110" s="35"/>
    </row>
    <row r="111" spans="1:14" x14ac:dyDescent="0.3">
      <c r="A111" s="35"/>
      <c r="B111" s="48">
        <v>52</v>
      </c>
      <c r="C111" s="49">
        <v>656.10487101276226</v>
      </c>
      <c r="D111" s="48">
        <v>52</v>
      </c>
      <c r="E111" s="49">
        <v>36.728770102318627</v>
      </c>
      <c r="F111" s="48">
        <v>52</v>
      </c>
      <c r="G111" s="49">
        <v>702.05519651064333</v>
      </c>
      <c r="H111" s="35"/>
      <c r="I111" s="35"/>
      <c r="J111" s="35"/>
      <c r="K111" s="35"/>
      <c r="L111" s="35"/>
      <c r="M111" s="35"/>
      <c r="N111" s="35"/>
    </row>
    <row r="112" spans="1:14" x14ac:dyDescent="0.3">
      <c r="A112" s="35"/>
      <c r="B112" s="48">
        <v>53</v>
      </c>
      <c r="C112" s="49">
        <v>766.45538814728673</v>
      </c>
      <c r="D112" s="48">
        <v>53</v>
      </c>
      <c r="E112" s="49">
        <v>-47.826305341009956</v>
      </c>
      <c r="F112" s="48">
        <v>53</v>
      </c>
      <c r="G112" s="49">
        <v>666.06889997084227</v>
      </c>
      <c r="H112" s="35"/>
      <c r="I112" s="35"/>
      <c r="J112" s="35"/>
      <c r="K112" s="35"/>
      <c r="L112" s="35"/>
      <c r="M112" s="35"/>
      <c r="N112" s="35"/>
    </row>
    <row r="113" spans="1:14" x14ac:dyDescent="0.3">
      <c r="A113" s="35"/>
      <c r="B113" s="48">
        <v>54</v>
      </c>
      <c r="C113" s="49">
        <v>803.19464654376895</v>
      </c>
      <c r="D113" s="48">
        <v>54</v>
      </c>
      <c r="E113" s="49">
        <v>-21.043004045943384</v>
      </c>
      <c r="F113" s="48">
        <v>54</v>
      </c>
      <c r="G113" s="49">
        <v>1376.0657296225497</v>
      </c>
      <c r="H113" s="35"/>
      <c r="I113" s="35"/>
      <c r="J113" s="35"/>
      <c r="K113" s="35"/>
      <c r="L113" s="35"/>
      <c r="M113" s="35"/>
      <c r="N113" s="35"/>
    </row>
    <row r="114" spans="1:14" x14ac:dyDescent="0.3">
      <c r="A114" s="35"/>
      <c r="B114" s="48">
        <v>55</v>
      </c>
      <c r="C114" s="49">
        <v>785.61253528336169</v>
      </c>
      <c r="D114" s="48">
        <v>55</v>
      </c>
      <c r="E114" s="49">
        <v>-33.670462877770817</v>
      </c>
      <c r="F114" s="48">
        <v>55</v>
      </c>
      <c r="G114" s="49">
        <v>834.96621151279282</v>
      </c>
      <c r="H114" s="35"/>
      <c r="I114" s="35"/>
      <c r="J114" s="35"/>
      <c r="K114" s="35"/>
      <c r="L114" s="35"/>
      <c r="M114" s="35"/>
      <c r="N114" s="35"/>
    </row>
    <row r="115" spans="1:14" x14ac:dyDescent="0.3">
      <c r="A115" s="35"/>
      <c r="B115" s="48">
        <v>56</v>
      </c>
      <c r="C115" s="49">
        <v>1009.6517467928894</v>
      </c>
      <c r="D115" s="48">
        <v>56</v>
      </c>
      <c r="E115" s="49">
        <v>-10.015798376910894</v>
      </c>
      <c r="F115" s="48">
        <v>56</v>
      </c>
      <c r="G115" s="49">
        <v>906.71225614714399</v>
      </c>
      <c r="H115" s="35"/>
      <c r="I115" s="35"/>
      <c r="J115" s="35"/>
      <c r="K115" s="35"/>
      <c r="L115" s="35"/>
      <c r="M115" s="35"/>
      <c r="N115" s="35"/>
    </row>
    <row r="116" spans="1:14" x14ac:dyDescent="0.3">
      <c r="A116" s="35"/>
      <c r="B116" s="48">
        <v>57</v>
      </c>
      <c r="C116" s="49">
        <v>572.09451940887766</v>
      </c>
      <c r="D116" s="48">
        <v>57</v>
      </c>
      <c r="E116" s="49">
        <v>18.419303023788434</v>
      </c>
      <c r="F116" s="48">
        <v>57</v>
      </c>
      <c r="G116" s="49">
        <v>890.45565066541224</v>
      </c>
      <c r="H116" s="35"/>
      <c r="I116" s="35"/>
      <c r="J116" s="35"/>
      <c r="K116" s="35"/>
      <c r="L116" s="35"/>
      <c r="M116" s="35"/>
      <c r="N116" s="35"/>
    </row>
    <row r="117" spans="1:14" x14ac:dyDescent="0.3">
      <c r="A117" s="35"/>
      <c r="B117" s="48">
        <v>58</v>
      </c>
      <c r="C117" s="49">
        <v>329.77450025287226</v>
      </c>
      <c r="D117" s="48">
        <v>58</v>
      </c>
      <c r="E117" s="49">
        <v>-12.673817116305475</v>
      </c>
      <c r="F117" s="48">
        <v>58</v>
      </c>
      <c r="G117" s="49">
        <v>583.13806016118872</v>
      </c>
      <c r="H117" s="35"/>
      <c r="I117" s="35"/>
      <c r="J117" s="35"/>
      <c r="K117" s="35"/>
      <c r="L117" s="35"/>
      <c r="M117" s="35"/>
      <c r="N117" s="35"/>
    </row>
    <row r="118" spans="1:14" x14ac:dyDescent="0.3">
      <c r="A118" s="35"/>
      <c r="B118" s="48">
        <v>59</v>
      </c>
      <c r="C118" s="49">
        <v>1125.080313916372</v>
      </c>
      <c r="D118" s="48">
        <v>59</v>
      </c>
      <c r="E118" s="49">
        <v>45.214177145849391</v>
      </c>
      <c r="F118" s="48">
        <v>59</v>
      </c>
      <c r="G118" s="49">
        <v>1108.1660582537158</v>
      </c>
      <c r="H118" s="35"/>
      <c r="I118" s="35"/>
      <c r="J118" s="35"/>
      <c r="K118" s="35"/>
      <c r="L118" s="35"/>
      <c r="M118" s="35"/>
      <c r="N118" s="35"/>
    </row>
    <row r="119" spans="1:14" x14ac:dyDescent="0.3">
      <c r="A119" s="35"/>
      <c r="B119" s="48">
        <v>60</v>
      </c>
      <c r="C119" s="49">
        <v>1152.6228664227697</v>
      </c>
      <c r="D119" s="48">
        <v>60</v>
      </c>
      <c r="E119" s="49">
        <v>-9.5206676449508603</v>
      </c>
      <c r="F119" s="48">
        <v>60</v>
      </c>
      <c r="G119" s="49">
        <v>1176.449737742882</v>
      </c>
      <c r="H119" s="35"/>
      <c r="I119" s="35"/>
      <c r="J119" s="35"/>
      <c r="K119" s="35"/>
      <c r="L119" s="35"/>
      <c r="M119" s="35"/>
      <c r="N119" s="35"/>
    </row>
    <row r="120" spans="1:14" x14ac:dyDescent="0.3">
      <c r="A120" s="35"/>
      <c r="B120" s="48">
        <v>61</v>
      </c>
      <c r="C120" s="49">
        <v>1111.6460317297237</v>
      </c>
      <c r="D120" s="48">
        <v>61</v>
      </c>
      <c r="E120" s="49">
        <v>9.6681297089975402</v>
      </c>
      <c r="F120" s="48">
        <v>61</v>
      </c>
      <c r="G120" s="49">
        <v>955.60736061955902</v>
      </c>
      <c r="H120" s="35"/>
      <c r="I120" s="35"/>
      <c r="J120" s="35"/>
      <c r="K120" s="35"/>
      <c r="L120" s="35"/>
      <c r="M120" s="35"/>
      <c r="N120" s="35"/>
    </row>
    <row r="121" spans="1:14" x14ac:dyDescent="0.3">
      <c r="A121" s="35"/>
      <c r="B121" s="48">
        <v>62</v>
      </c>
      <c r="C121" s="49">
        <v>1387.6248690987613</v>
      </c>
      <c r="D121" s="48">
        <v>62</v>
      </c>
      <c r="E121" s="49">
        <v>-13.70586590792025</v>
      </c>
      <c r="F121" s="48">
        <v>62</v>
      </c>
      <c r="G121" s="49">
        <v>635.97473248061624</v>
      </c>
      <c r="H121" s="35"/>
      <c r="I121" s="35"/>
      <c r="J121" s="35"/>
      <c r="K121" s="35"/>
      <c r="L121" s="35"/>
      <c r="M121" s="35"/>
      <c r="N121" s="35"/>
    </row>
    <row r="122" spans="1:14" x14ac:dyDescent="0.3">
      <c r="A122" s="35"/>
      <c r="B122" s="48">
        <v>63</v>
      </c>
      <c r="C122" s="49">
        <v>746.87986113809109</v>
      </c>
      <c r="D122" s="48">
        <v>63</v>
      </c>
      <c r="E122" s="49">
        <v>24.78944660343884</v>
      </c>
      <c r="F122" s="48">
        <v>63</v>
      </c>
      <c r="G122" s="49">
        <v>1188.9213904436399</v>
      </c>
      <c r="H122" s="35"/>
      <c r="I122" s="35"/>
      <c r="J122" s="35"/>
      <c r="K122" s="35"/>
      <c r="L122" s="35"/>
      <c r="M122" s="35"/>
      <c r="N122" s="35"/>
    </row>
    <row r="123" spans="1:14" x14ac:dyDescent="0.3">
      <c r="A123" s="35"/>
      <c r="B123" s="48">
        <v>64</v>
      </c>
      <c r="C123" s="49">
        <v>550.77324487725275</v>
      </c>
      <c r="D123" s="48">
        <v>64</v>
      </c>
      <c r="E123" s="49">
        <v>-23.835713081650972</v>
      </c>
      <c r="F123" s="48">
        <v>64</v>
      </c>
      <c r="G123" s="49">
        <v>1154.6091995223398</v>
      </c>
      <c r="H123" s="35"/>
      <c r="I123" s="35"/>
      <c r="J123" s="35"/>
      <c r="K123" s="35"/>
      <c r="L123" s="35"/>
      <c r="M123" s="35"/>
      <c r="N123" s="35"/>
    </row>
    <row r="124" spans="1:14" x14ac:dyDescent="0.3">
      <c r="A124" s="35"/>
      <c r="B124" s="48">
        <v>65</v>
      </c>
      <c r="C124" s="49">
        <v>901.77272341953017</v>
      </c>
      <c r="D124" s="48">
        <v>65</v>
      </c>
      <c r="E124" s="49">
        <v>20.148119850132808</v>
      </c>
      <c r="F124" s="48">
        <v>65</v>
      </c>
      <c r="G124" s="49">
        <v>789.86515634370664</v>
      </c>
      <c r="H124" s="35"/>
      <c r="I124" s="35"/>
      <c r="J124" s="35"/>
      <c r="K124" s="35"/>
      <c r="L124" s="35"/>
      <c r="M124" s="35"/>
      <c r="N124" s="35"/>
    </row>
    <row r="125" spans="1:14" x14ac:dyDescent="0.3">
      <c r="A125" s="35"/>
      <c r="B125" s="48">
        <v>66</v>
      </c>
      <c r="C125" s="49">
        <v>946.45679374969518</v>
      </c>
      <c r="D125" s="48">
        <v>66</v>
      </c>
      <c r="E125" s="49">
        <v>4.910222340758037</v>
      </c>
      <c r="F125" s="48">
        <v>66</v>
      </c>
      <c r="G125" s="49">
        <v>1172.3412820041654</v>
      </c>
      <c r="H125" s="35"/>
      <c r="I125" s="35"/>
      <c r="J125" s="35"/>
      <c r="K125" s="35"/>
      <c r="L125" s="35"/>
      <c r="M125" s="35"/>
      <c r="N125" s="35"/>
    </row>
    <row r="126" spans="1:14" x14ac:dyDescent="0.3">
      <c r="A126" s="35"/>
      <c r="B126" s="48">
        <v>67</v>
      </c>
      <c r="C126" s="49">
        <v>933.96779100794242</v>
      </c>
      <c r="D126" s="48">
        <v>67</v>
      </c>
      <c r="E126" s="49">
        <v>-20.822985766507731</v>
      </c>
      <c r="F126" s="48">
        <v>67</v>
      </c>
      <c r="G126" s="49">
        <v>827.42230826268644</v>
      </c>
      <c r="H126" s="35"/>
      <c r="I126" s="35"/>
      <c r="J126" s="35"/>
      <c r="K126" s="35"/>
      <c r="L126" s="35"/>
      <c r="M126" s="35"/>
      <c r="N126" s="35"/>
    </row>
    <row r="127" spans="1:14" x14ac:dyDescent="0.3">
      <c r="A127" s="35"/>
      <c r="B127" s="48">
        <v>68</v>
      </c>
      <c r="C127" s="49">
        <v>724.59677152839663</v>
      </c>
      <c r="D127" s="48">
        <v>68</v>
      </c>
      <c r="E127" s="49">
        <v>-13.060143533044343</v>
      </c>
      <c r="F127" s="48">
        <v>68</v>
      </c>
      <c r="G127" s="49">
        <v>1027.2398530609148</v>
      </c>
      <c r="H127" s="35"/>
      <c r="I127" s="35"/>
      <c r="J127" s="35"/>
      <c r="K127" s="35"/>
      <c r="L127" s="35"/>
      <c r="M127" s="35"/>
      <c r="N127" s="35"/>
    </row>
    <row r="128" spans="1:14" x14ac:dyDescent="0.3">
      <c r="A128" s="35"/>
      <c r="B128" s="48">
        <v>69</v>
      </c>
      <c r="C128" s="49">
        <v>973.8053721540482</v>
      </c>
      <c r="D128" s="48">
        <v>69</v>
      </c>
      <c r="E128" s="49">
        <v>-36.619388859924385</v>
      </c>
      <c r="F128" s="48">
        <v>69</v>
      </c>
      <c r="G128" s="49">
        <v>1017.0633849370446</v>
      </c>
      <c r="H128" s="35"/>
      <c r="I128" s="35"/>
      <c r="J128" s="35"/>
      <c r="K128" s="35"/>
      <c r="L128" s="35"/>
      <c r="M128" s="35"/>
      <c r="N128" s="35"/>
    </row>
    <row r="129" spans="1:14" x14ac:dyDescent="0.3">
      <c r="A129" s="35"/>
      <c r="B129" s="48">
        <v>70</v>
      </c>
      <c r="C129" s="49">
        <v>999.98722154053667</v>
      </c>
      <c r="D129" s="48">
        <v>70</v>
      </c>
      <c r="E129" s="49">
        <v>-12.525270845660685</v>
      </c>
      <c r="F129" s="48">
        <v>70</v>
      </c>
      <c r="G129" s="49">
        <v>882.82079731683075</v>
      </c>
      <c r="H129" s="35"/>
      <c r="I129" s="35"/>
      <c r="J129" s="35"/>
      <c r="K129" s="35"/>
      <c r="L129" s="35"/>
      <c r="M129" s="35"/>
      <c r="N129" s="35"/>
    </row>
    <row r="130" spans="1:14" x14ac:dyDescent="0.3">
      <c r="A130" s="35"/>
      <c r="B130" s="48">
        <v>71</v>
      </c>
      <c r="C130" s="49">
        <v>1062.2798724718934</v>
      </c>
      <c r="D130" s="48">
        <v>71</v>
      </c>
      <c r="E130" s="49">
        <v>-38.498048682513179</v>
      </c>
      <c r="F130" s="48">
        <v>71</v>
      </c>
      <c r="G130" s="49">
        <v>857.18040996274522</v>
      </c>
      <c r="H130" s="35"/>
      <c r="I130" s="35"/>
      <c r="J130" s="35"/>
      <c r="K130" s="35"/>
      <c r="L130" s="35"/>
      <c r="M130" s="35"/>
      <c r="N130" s="35"/>
    </row>
    <row r="131" spans="1:14" x14ac:dyDescent="0.3">
      <c r="A131" s="35"/>
      <c r="B131" s="48">
        <v>72</v>
      </c>
      <c r="C131" s="49">
        <v>1252.3307947343712</v>
      </c>
      <c r="D131" s="48">
        <v>72</v>
      </c>
      <c r="E131" s="49">
        <v>7.2749644766629276</v>
      </c>
      <c r="F131" s="48">
        <v>72</v>
      </c>
      <c r="G131" s="49">
        <v>1118.1069463869553</v>
      </c>
      <c r="H131" s="35"/>
      <c r="I131" s="35"/>
      <c r="J131" s="35"/>
      <c r="K131" s="35"/>
      <c r="L131" s="35"/>
      <c r="M131" s="35"/>
      <c r="N131" s="35"/>
    </row>
    <row r="132" spans="1:14" x14ac:dyDescent="0.3">
      <c r="A132" s="35"/>
      <c r="B132" s="48">
        <v>73</v>
      </c>
      <c r="C132" s="49">
        <v>364.17291137786549</v>
      </c>
      <c r="D132" s="48">
        <v>73</v>
      </c>
      <c r="E132" s="49">
        <v>-51.314322482003419</v>
      </c>
      <c r="F132" s="48">
        <v>73</v>
      </c>
      <c r="G132" s="49">
        <v>518.91433659147583</v>
      </c>
      <c r="H132" s="35"/>
      <c r="I132" s="35"/>
      <c r="J132" s="35"/>
      <c r="K132" s="35"/>
      <c r="L132" s="35"/>
      <c r="M132" s="35"/>
      <c r="N132" s="35"/>
    </row>
    <row r="133" spans="1:14" x14ac:dyDescent="0.3">
      <c r="A133" s="35"/>
      <c r="B133" s="48">
        <v>74</v>
      </c>
      <c r="C133" s="49">
        <v>1114.3904550274106</v>
      </c>
      <c r="D133" s="48">
        <v>74</v>
      </c>
      <c r="E133" s="49">
        <v>4.7239224274325675</v>
      </c>
      <c r="F133" s="48">
        <v>74</v>
      </c>
      <c r="G133" s="49">
        <v>708.99806163243454</v>
      </c>
      <c r="H133" s="35"/>
      <c r="I133" s="35"/>
      <c r="J133" s="35"/>
      <c r="K133" s="35"/>
      <c r="L133" s="35"/>
      <c r="M133" s="35"/>
      <c r="N133" s="35"/>
    </row>
    <row r="134" spans="1:14" x14ac:dyDescent="0.3">
      <c r="A134" s="35"/>
      <c r="B134" s="48">
        <v>75</v>
      </c>
      <c r="C134" s="49">
        <v>571.75532130694398</v>
      </c>
      <c r="D134" s="48">
        <v>75</v>
      </c>
      <c r="E134" s="49">
        <v>24.517050145052238</v>
      </c>
      <c r="F134" s="48">
        <v>75</v>
      </c>
      <c r="G134" s="49">
        <v>401.53238958609137</v>
      </c>
      <c r="H134" s="35"/>
      <c r="I134" s="35"/>
      <c r="J134" s="35"/>
      <c r="K134" s="35"/>
      <c r="L134" s="35"/>
      <c r="M134" s="35"/>
      <c r="N134" s="35"/>
    </row>
    <row r="135" spans="1:14" x14ac:dyDescent="0.3">
      <c r="A135" s="35"/>
      <c r="B135" s="48">
        <v>76</v>
      </c>
      <c r="C135" s="49">
        <v>1107.1135407659117</v>
      </c>
      <c r="D135" s="48">
        <v>76</v>
      </c>
      <c r="E135" s="49">
        <v>20.498198916721812</v>
      </c>
      <c r="F135" s="48">
        <v>76</v>
      </c>
      <c r="G135" s="49">
        <v>994.5622251744129</v>
      </c>
      <c r="H135" s="35"/>
      <c r="I135" s="35"/>
      <c r="J135" s="35"/>
      <c r="K135" s="35"/>
      <c r="L135" s="35"/>
      <c r="M135" s="35"/>
      <c r="N135" s="35"/>
    </row>
    <row r="136" spans="1:14" x14ac:dyDescent="0.3">
      <c r="A136" s="35"/>
      <c r="B136" s="48">
        <v>77</v>
      </c>
      <c r="C136" s="49">
        <v>1470.3215787398256</v>
      </c>
      <c r="D136" s="48">
        <v>77</v>
      </c>
      <c r="E136" s="49">
        <v>-26.744193786234867</v>
      </c>
      <c r="F136" s="48">
        <v>77</v>
      </c>
      <c r="G136" s="49">
        <v>593.17321485189632</v>
      </c>
      <c r="H136" s="35"/>
      <c r="I136" s="35"/>
      <c r="J136" s="35"/>
      <c r="K136" s="35"/>
      <c r="L136" s="35"/>
      <c r="M136" s="35"/>
      <c r="N136" s="35"/>
    </row>
    <row r="137" spans="1:14" x14ac:dyDescent="0.3">
      <c r="A137" s="35"/>
      <c r="B137" s="48">
        <v>78</v>
      </c>
      <c r="C137" s="49">
        <v>1032.9873922711058</v>
      </c>
      <c r="D137" s="48">
        <v>78</v>
      </c>
      <c r="E137" s="49">
        <v>10.883241367970118</v>
      </c>
      <c r="F137" s="48">
        <v>78</v>
      </c>
      <c r="G137" s="49">
        <v>1145.4612286951508</v>
      </c>
      <c r="H137" s="35"/>
      <c r="I137" s="35"/>
      <c r="J137" s="35"/>
      <c r="K137" s="35"/>
      <c r="L137" s="35"/>
      <c r="M137" s="35"/>
      <c r="N137" s="35"/>
    </row>
    <row r="138" spans="1:14" x14ac:dyDescent="0.3">
      <c r="A138" s="35"/>
      <c r="B138" s="48">
        <v>79</v>
      </c>
      <c r="C138" s="49">
        <v>1436.2763312862548</v>
      </c>
      <c r="D138" s="48">
        <v>79</v>
      </c>
      <c r="E138" s="49">
        <v>-12.664788229591503</v>
      </c>
      <c r="F138" s="48">
        <v>79</v>
      </c>
      <c r="G138" s="49">
        <v>1101.3327634920774</v>
      </c>
      <c r="H138" s="35"/>
      <c r="I138" s="35"/>
      <c r="J138" s="35"/>
      <c r="K138" s="35"/>
      <c r="L138" s="35"/>
      <c r="M138" s="35"/>
      <c r="N138" s="35"/>
    </row>
    <row r="139" spans="1:14" x14ac:dyDescent="0.3">
      <c r="A139" s="35"/>
      <c r="B139" s="48">
        <v>80</v>
      </c>
      <c r="C139" s="49">
        <v>1039.4832851344686</v>
      </c>
      <c r="D139" s="48">
        <v>80</v>
      </c>
      <c r="E139" s="49">
        <v>12.07119595064991</v>
      </c>
      <c r="F139" s="48">
        <v>80</v>
      </c>
      <c r="G139" s="49">
        <v>990.17507009933854</v>
      </c>
      <c r="H139" s="35"/>
      <c r="I139" s="35"/>
      <c r="J139" s="35"/>
      <c r="K139" s="35"/>
      <c r="L139" s="35"/>
      <c r="M139" s="35"/>
      <c r="N139" s="35"/>
    </row>
    <row r="140" spans="1:14" x14ac:dyDescent="0.3">
      <c r="A140" s="35"/>
      <c r="B140" s="48">
        <v>81</v>
      </c>
      <c r="C140" s="49">
        <v>1042.2812225262633</v>
      </c>
      <c r="D140" s="48">
        <v>81</v>
      </c>
      <c r="E140" s="49">
        <v>48.29948538850303</v>
      </c>
      <c r="F140" s="48">
        <v>81</v>
      </c>
      <c r="G140" s="49">
        <v>874.89723287623201</v>
      </c>
      <c r="H140" s="35"/>
      <c r="I140" s="35"/>
      <c r="J140" s="35"/>
      <c r="K140" s="35"/>
      <c r="L140" s="35"/>
      <c r="M140" s="35"/>
      <c r="N140" s="35"/>
    </row>
    <row r="141" spans="1:14" x14ac:dyDescent="0.3">
      <c r="A141" s="35"/>
      <c r="B141" s="48">
        <v>82</v>
      </c>
      <c r="C141" s="49">
        <v>1118.2024255320014</v>
      </c>
      <c r="D141" s="48">
        <v>82</v>
      </c>
      <c r="E141" s="49">
        <v>2.6925387277218196</v>
      </c>
      <c r="F141" s="48">
        <v>82</v>
      </c>
      <c r="G141" s="49">
        <v>524.74052791588815</v>
      </c>
      <c r="H141" s="35"/>
      <c r="I141" s="35"/>
      <c r="J141" s="35"/>
      <c r="K141" s="35"/>
      <c r="L141" s="35"/>
      <c r="M141" s="35"/>
      <c r="N141" s="35"/>
    </row>
    <row r="142" spans="1:14" x14ac:dyDescent="0.3">
      <c r="A142" s="35"/>
      <c r="B142" s="48">
        <v>83</v>
      </c>
      <c r="C142" s="49">
        <v>700.28748289682403</v>
      </c>
      <c r="D142" s="48">
        <v>83</v>
      </c>
      <c r="E142" s="49">
        <v>9.1483227815116646</v>
      </c>
      <c r="F142" s="48">
        <v>83</v>
      </c>
      <c r="G142" s="49">
        <v>866.99892049971061</v>
      </c>
      <c r="H142" s="35"/>
      <c r="I142" s="35"/>
      <c r="J142" s="35"/>
      <c r="K142" s="35"/>
      <c r="L142" s="35"/>
      <c r="M142" s="35"/>
      <c r="N142" s="35"/>
    </row>
    <row r="143" spans="1:14" x14ac:dyDescent="0.3">
      <c r="A143" s="35"/>
      <c r="B143" s="48">
        <v>84</v>
      </c>
      <c r="C143" s="49">
        <v>1000.4901819941886</v>
      </c>
      <c r="D143" s="48">
        <v>84</v>
      </c>
      <c r="E143" s="49">
        <v>19.922718787210489</v>
      </c>
      <c r="F143" s="48">
        <v>84</v>
      </c>
      <c r="G143" s="49">
        <v>1322.2129345021997</v>
      </c>
      <c r="H143" s="35"/>
      <c r="I143" s="35"/>
      <c r="J143" s="35"/>
      <c r="K143" s="35"/>
      <c r="L143" s="35"/>
      <c r="M143" s="35"/>
      <c r="N143" s="35"/>
    </row>
    <row r="144" spans="1:14" x14ac:dyDescent="0.3">
      <c r="A144" s="35"/>
      <c r="B144" s="48">
        <v>85</v>
      </c>
      <c r="C144" s="49">
        <v>1343.2562157673697</v>
      </c>
      <c r="D144" s="48">
        <v>85</v>
      </c>
      <c r="E144" s="49">
        <v>-7.6200154467025358</v>
      </c>
      <c r="F144" s="48">
        <v>85</v>
      </c>
      <c r="G144" s="49">
        <v>1049.245550855856</v>
      </c>
      <c r="H144" s="35"/>
      <c r="I144" s="35"/>
      <c r="J144" s="35"/>
      <c r="K144" s="35"/>
      <c r="L144" s="35"/>
      <c r="M144" s="35"/>
      <c r="N144" s="35"/>
    </row>
    <row r="145" spans="1:14" x14ac:dyDescent="0.3">
      <c r="A145" s="35"/>
      <c r="B145" s="48">
        <v>86</v>
      </c>
      <c r="C145" s="49">
        <v>1277.2334416393178</v>
      </c>
      <c r="D145" s="48">
        <v>86</v>
      </c>
      <c r="E145" s="49">
        <v>42.53279956588873</v>
      </c>
      <c r="F145" s="48">
        <v>86</v>
      </c>
      <c r="G145" s="49">
        <v>1297.212311645914</v>
      </c>
      <c r="H145" s="35"/>
      <c r="I145" s="35"/>
      <c r="J145" s="35"/>
      <c r="K145" s="35"/>
      <c r="L145" s="35"/>
      <c r="M145" s="35"/>
      <c r="N145" s="35"/>
    </row>
    <row r="146" spans="1:14" x14ac:dyDescent="0.3">
      <c r="A146" s="35"/>
      <c r="B146" s="48">
        <v>87</v>
      </c>
      <c r="C146" s="49">
        <v>1079.6405749351002</v>
      </c>
      <c r="D146" s="48">
        <v>87</v>
      </c>
      <c r="E146" s="49">
        <v>-5.9261465679076819</v>
      </c>
      <c r="F146" s="48">
        <v>87</v>
      </c>
      <c r="G146" s="49">
        <v>657.32474902259366</v>
      </c>
      <c r="H146" s="35"/>
      <c r="I146" s="35"/>
      <c r="J146" s="35"/>
      <c r="K146" s="35"/>
      <c r="L146" s="35"/>
      <c r="M146" s="35"/>
      <c r="N146" s="35"/>
    </row>
    <row r="147" spans="1:14" x14ac:dyDescent="0.3">
      <c r="A147" s="35"/>
      <c r="B147" s="48">
        <v>88</v>
      </c>
      <c r="C147" s="49">
        <v>853.41323887757881</v>
      </c>
      <c r="D147" s="48">
        <v>88</v>
      </c>
      <c r="E147" s="49">
        <v>-24.237476765117854</v>
      </c>
      <c r="F147" s="48">
        <v>88</v>
      </c>
      <c r="G147" s="49">
        <v>1347.7023087418697</v>
      </c>
      <c r="H147" s="35"/>
      <c r="I147" s="35"/>
      <c r="J147" s="35"/>
      <c r="K147" s="35"/>
      <c r="L147" s="35"/>
      <c r="M147" s="35"/>
      <c r="N147" s="35"/>
    </row>
    <row r="148" spans="1:14" x14ac:dyDescent="0.3">
      <c r="A148" s="35"/>
      <c r="B148" s="48">
        <v>89</v>
      </c>
      <c r="C148" s="49">
        <v>728.72008865534099</v>
      </c>
      <c r="D148" s="48">
        <v>89</v>
      </c>
      <c r="E148" s="49">
        <v>24.786443363886125</v>
      </c>
      <c r="F148" s="48">
        <v>89</v>
      </c>
      <c r="G148" s="49">
        <v>1210.7115763901782</v>
      </c>
      <c r="H148" s="35"/>
      <c r="I148" s="35"/>
      <c r="J148" s="35"/>
      <c r="K148" s="35"/>
      <c r="L148" s="35"/>
      <c r="M148" s="35"/>
      <c r="N148" s="35"/>
    </row>
    <row r="149" spans="1:14" x14ac:dyDescent="0.3">
      <c r="A149" s="35"/>
      <c r="B149" s="48">
        <v>90</v>
      </c>
      <c r="C149" s="49">
        <v>916.52622070732218</v>
      </c>
      <c r="D149" s="48">
        <v>90</v>
      </c>
      <c r="E149" s="49">
        <v>-26.542826830932558</v>
      </c>
      <c r="F149" s="48">
        <v>90</v>
      </c>
      <c r="G149" s="49">
        <v>1190.3583322045408</v>
      </c>
      <c r="H149" s="35"/>
      <c r="I149" s="35"/>
      <c r="J149" s="35"/>
      <c r="K149" s="35"/>
      <c r="L149" s="35"/>
      <c r="M149" s="35"/>
      <c r="N149" s="35"/>
    </row>
    <row r="150" spans="1:14" x14ac:dyDescent="0.3">
      <c r="A150" s="35"/>
      <c r="B150" s="48">
        <v>91</v>
      </c>
      <c r="C150" s="49">
        <v>727.38230920244428</v>
      </c>
      <c r="D150" s="48">
        <v>91</v>
      </c>
      <c r="E150" s="49">
        <v>-36.776819929359462</v>
      </c>
      <c r="F150" s="48">
        <v>91</v>
      </c>
      <c r="G150" s="49">
        <v>1273.9742577967695</v>
      </c>
      <c r="H150" s="35"/>
      <c r="I150" s="35"/>
      <c r="J150" s="35"/>
      <c r="K150" s="35"/>
      <c r="L150" s="35"/>
      <c r="M150" s="35"/>
      <c r="N150" s="35"/>
    </row>
    <row r="151" spans="1:14" x14ac:dyDescent="0.3">
      <c r="A151" s="35"/>
      <c r="B151" s="48">
        <v>92</v>
      </c>
      <c r="C151" s="49">
        <v>1178.0153433361211</v>
      </c>
      <c r="D151" s="48">
        <v>92</v>
      </c>
      <c r="E151" s="49">
        <v>22.638499153497492</v>
      </c>
      <c r="F151" s="48">
        <v>92</v>
      </c>
      <c r="G151" s="49">
        <v>1328.5894721819107</v>
      </c>
      <c r="H151" s="35"/>
      <c r="I151" s="35"/>
      <c r="J151" s="35"/>
      <c r="K151" s="35"/>
      <c r="L151" s="35"/>
      <c r="M151" s="35"/>
      <c r="N151" s="35"/>
    </row>
    <row r="152" spans="1:14" x14ac:dyDescent="0.3">
      <c r="A152" s="35"/>
      <c r="B152" s="48">
        <v>93</v>
      </c>
      <c r="C152" s="49">
        <v>1145.9023236300707</v>
      </c>
      <c r="D152" s="48">
        <v>93</v>
      </c>
      <c r="E152" s="49">
        <v>4.4484545218184897</v>
      </c>
      <c r="F152" s="48">
        <v>93</v>
      </c>
      <c r="G152" s="49">
        <v>1349.185740803196</v>
      </c>
      <c r="H152" s="35"/>
      <c r="I152" s="35"/>
      <c r="J152" s="35"/>
      <c r="K152" s="35"/>
      <c r="L152" s="35"/>
      <c r="M152" s="35"/>
      <c r="N152" s="35"/>
    </row>
    <row r="153" spans="1:14" x14ac:dyDescent="0.3">
      <c r="A153" s="35"/>
      <c r="B153" s="48">
        <v>94</v>
      </c>
      <c r="C153" s="49">
        <v>627.37081183047849</v>
      </c>
      <c r="D153" s="48">
        <v>94</v>
      </c>
      <c r="E153" s="49">
        <v>1.5140865080725676</v>
      </c>
      <c r="F153" s="48">
        <v>94</v>
      </c>
      <c r="G153" s="49">
        <v>1432.6770004578038</v>
      </c>
      <c r="H153" s="35"/>
      <c r="I153" s="35"/>
      <c r="J153" s="35"/>
      <c r="K153" s="35"/>
      <c r="L153" s="35"/>
      <c r="M153" s="35"/>
      <c r="N153" s="35"/>
    </row>
    <row r="154" spans="1:14" x14ac:dyDescent="0.3">
      <c r="A154" s="35"/>
      <c r="B154" s="48">
        <v>95</v>
      </c>
      <c r="C154" s="49">
        <v>1087.0643286608463</v>
      </c>
      <c r="D154" s="48">
        <v>95</v>
      </c>
      <c r="E154" s="49">
        <v>41.217089430450699</v>
      </c>
      <c r="F154" s="48">
        <v>95</v>
      </c>
      <c r="G154" s="49">
        <v>1072.8965139787285</v>
      </c>
      <c r="H154" s="35"/>
      <c r="I154" s="35"/>
      <c r="J154" s="35"/>
      <c r="K154" s="35"/>
      <c r="L154" s="35"/>
      <c r="M154" s="35"/>
      <c r="N154" s="35"/>
    </row>
    <row r="155" spans="1:14" x14ac:dyDescent="0.3">
      <c r="A155" s="35"/>
      <c r="B155" s="48">
        <v>96</v>
      </c>
      <c r="C155" s="49">
        <v>395.30509127925336</v>
      </c>
      <c r="D155" s="48">
        <v>96</v>
      </c>
      <c r="E155" s="49">
        <v>-22.84178293376198</v>
      </c>
      <c r="F155" s="48">
        <v>96</v>
      </c>
      <c r="G155" s="49">
        <v>653.5477004936522</v>
      </c>
      <c r="H155" s="35"/>
      <c r="I155" s="35"/>
      <c r="J155" s="35"/>
      <c r="K155" s="35"/>
      <c r="L155" s="35"/>
      <c r="M155" s="35"/>
      <c r="N155" s="35"/>
    </row>
    <row r="156" spans="1:14" x14ac:dyDescent="0.3">
      <c r="A156" s="35"/>
      <c r="B156" s="48">
        <v>97</v>
      </c>
      <c r="C156" s="49">
        <v>1087.0765697513853</v>
      </c>
      <c r="D156" s="48">
        <v>97</v>
      </c>
      <c r="E156" s="49">
        <v>-27.416774132535256</v>
      </c>
      <c r="F156" s="48">
        <v>97</v>
      </c>
      <c r="G156" s="49">
        <v>933.05622560334507</v>
      </c>
      <c r="H156" s="35"/>
      <c r="I156" s="35"/>
      <c r="J156" s="35"/>
      <c r="K156" s="35"/>
      <c r="L156" s="35"/>
      <c r="M156" s="35"/>
      <c r="N156" s="35"/>
    </row>
    <row r="157" spans="1:14" x14ac:dyDescent="0.3">
      <c r="A157" s="35"/>
      <c r="B157" s="48">
        <v>98</v>
      </c>
      <c r="C157" s="49">
        <v>754.66523682048569</v>
      </c>
      <c r="D157" s="48">
        <v>98</v>
      </c>
      <c r="E157" s="49">
        <v>1.7436039058785464</v>
      </c>
      <c r="F157" s="48">
        <v>98</v>
      </c>
      <c r="G157" s="49">
        <v>432.38476856388417</v>
      </c>
      <c r="H157" s="35"/>
      <c r="I157" s="35"/>
      <c r="J157" s="35"/>
      <c r="K157" s="35"/>
      <c r="L157" s="35"/>
      <c r="M157" s="35"/>
      <c r="N157" s="35"/>
    </row>
    <row r="158" spans="1:14" x14ac:dyDescent="0.3">
      <c r="A158" s="35"/>
      <c r="B158" s="48">
        <v>99</v>
      </c>
      <c r="C158" s="49">
        <v>1307.6338051442849</v>
      </c>
      <c r="D158" s="48">
        <v>99</v>
      </c>
      <c r="E158" s="49">
        <v>-1.4522586325679621</v>
      </c>
      <c r="F158" s="48">
        <v>99</v>
      </c>
      <c r="G158" s="49">
        <v>826.98113512077782</v>
      </c>
      <c r="H158" s="35"/>
      <c r="I158" s="35"/>
      <c r="J158" s="35"/>
      <c r="K158" s="35"/>
      <c r="L158" s="35"/>
      <c r="M158" s="35"/>
      <c r="N158" s="35"/>
    </row>
    <row r="159" spans="1:14" x14ac:dyDescent="0.3">
      <c r="A159" s="35"/>
      <c r="B159" s="48">
        <v>100</v>
      </c>
      <c r="C159" s="49">
        <v>1019.4570874304993</v>
      </c>
      <c r="D159" s="48">
        <v>100</v>
      </c>
      <c r="E159" s="49">
        <v>60.402737441457319</v>
      </c>
      <c r="F159" s="48">
        <v>100</v>
      </c>
      <c r="G159" s="49">
        <v>806.93275908875717</v>
      </c>
      <c r="H159" s="35"/>
      <c r="I159" s="35"/>
      <c r="J159" s="35"/>
      <c r="K159" s="35"/>
      <c r="L159" s="35"/>
      <c r="M159" s="35"/>
      <c r="N159" s="35"/>
    </row>
    <row r="160" spans="1:14" x14ac:dyDescent="0.3">
      <c r="A160" s="35"/>
      <c r="B160" s="48">
        <v>101</v>
      </c>
      <c r="C160" s="49">
        <v>1103.3851243802605</v>
      </c>
      <c r="D160" s="48">
        <v>101</v>
      </c>
      <c r="E160" s="49">
        <v>-15.912781557561877</v>
      </c>
      <c r="F160" s="48">
        <v>101</v>
      </c>
      <c r="G160" s="49">
        <v>886.15174205964956</v>
      </c>
      <c r="H160" s="35"/>
      <c r="I160" s="35"/>
      <c r="J160" s="35"/>
      <c r="K160" s="35"/>
      <c r="L160" s="35"/>
      <c r="M160" s="35"/>
      <c r="N160" s="35"/>
    </row>
    <row r="161" spans="1:14" x14ac:dyDescent="0.3">
      <c r="A161" s="35"/>
      <c r="B161" s="48">
        <v>102</v>
      </c>
      <c r="C161" s="49">
        <v>1113.6057310997762</v>
      </c>
      <c r="D161" s="48">
        <v>102</v>
      </c>
      <c r="E161" s="49">
        <v>-33.327041331863029</v>
      </c>
      <c r="F161" s="48">
        <v>102</v>
      </c>
      <c r="G161" s="49">
        <v>854.60335491690478</v>
      </c>
      <c r="H161" s="35"/>
      <c r="I161" s="35"/>
      <c r="J161" s="35"/>
      <c r="K161" s="35"/>
      <c r="L161" s="35"/>
      <c r="M161" s="35"/>
      <c r="N161" s="35"/>
    </row>
    <row r="162" spans="1:14" x14ac:dyDescent="0.3">
      <c r="A162" s="35"/>
      <c r="B162" s="48">
        <v>103</v>
      </c>
      <c r="C162" s="49">
        <v>1253.509501771779</v>
      </c>
      <c r="D162" s="48">
        <v>103</v>
      </c>
      <c r="E162" s="49">
        <v>29.625318554300588</v>
      </c>
      <c r="F162" s="48">
        <v>103</v>
      </c>
      <c r="G162" s="49">
        <v>552.3772223442495</v>
      </c>
      <c r="H162" s="35"/>
      <c r="I162" s="35"/>
      <c r="J162" s="35"/>
      <c r="K162" s="35"/>
      <c r="L162" s="35"/>
      <c r="M162" s="35"/>
      <c r="N162" s="35"/>
    </row>
    <row r="163" spans="1:14" x14ac:dyDescent="0.3">
      <c r="A163" s="35"/>
      <c r="B163" s="48">
        <v>104</v>
      </c>
      <c r="C163" s="49">
        <v>727.73942309577194</v>
      </c>
      <c r="D163" s="48">
        <v>104</v>
      </c>
      <c r="E163" s="49">
        <v>11.363050309009356</v>
      </c>
      <c r="F163" s="48">
        <v>104</v>
      </c>
      <c r="G163" s="49">
        <v>674.54367298799298</v>
      </c>
      <c r="H163" s="35"/>
      <c r="I163" s="35"/>
      <c r="J163" s="35"/>
      <c r="K163" s="35"/>
      <c r="L163" s="35"/>
      <c r="M163" s="35"/>
      <c r="N163" s="35"/>
    </row>
    <row r="164" spans="1:14" x14ac:dyDescent="0.3">
      <c r="A164" s="35"/>
      <c r="B164" s="48">
        <v>105</v>
      </c>
      <c r="C164" s="49">
        <v>1229.6512863669507</v>
      </c>
      <c r="D164" s="48">
        <v>105</v>
      </c>
      <c r="E164" s="49">
        <v>-1.622562433508838</v>
      </c>
      <c r="F164" s="48">
        <v>105</v>
      </c>
      <c r="G164" s="49">
        <v>764.61585567754935</v>
      </c>
      <c r="H164" s="35"/>
      <c r="I164" s="35"/>
      <c r="J164" s="35"/>
      <c r="K164" s="35"/>
      <c r="L164" s="35"/>
      <c r="M164" s="35"/>
      <c r="N164" s="35"/>
    </row>
    <row r="165" spans="1:14" x14ac:dyDescent="0.3">
      <c r="A165" s="35"/>
      <c r="B165" s="48">
        <v>106</v>
      </c>
      <c r="C165" s="49">
        <v>672.98083910565674</v>
      </c>
      <c r="D165" s="48">
        <v>106</v>
      </c>
      <c r="E165" s="49">
        <v>38.508492421763791</v>
      </c>
      <c r="F165" s="48">
        <v>106</v>
      </c>
      <c r="G165" s="49">
        <v>519.37479389055147</v>
      </c>
      <c r="H165" s="35"/>
      <c r="I165" s="35"/>
      <c r="J165" s="35"/>
      <c r="K165" s="35"/>
      <c r="L165" s="35"/>
      <c r="M165" s="35"/>
      <c r="N165" s="35"/>
    </row>
    <row r="166" spans="1:14" x14ac:dyDescent="0.3">
      <c r="A166" s="35"/>
      <c r="B166" s="48">
        <v>107</v>
      </c>
      <c r="C166" s="49">
        <v>809.20498181873893</v>
      </c>
      <c r="D166" s="48">
        <v>107</v>
      </c>
      <c r="E166" s="49">
        <v>-67.122846695141419</v>
      </c>
      <c r="F166" s="48">
        <v>107</v>
      </c>
      <c r="G166" s="49">
        <v>768.77812203950157</v>
      </c>
      <c r="H166" s="35"/>
      <c r="I166" s="35"/>
      <c r="J166" s="35"/>
      <c r="K166" s="35"/>
      <c r="L166" s="35"/>
      <c r="M166" s="35"/>
      <c r="N166" s="35"/>
    </row>
    <row r="167" spans="1:14" x14ac:dyDescent="0.3">
      <c r="A167" s="35"/>
      <c r="B167" s="48">
        <v>108</v>
      </c>
      <c r="C167" s="49">
        <v>996.82416039215423</v>
      </c>
      <c r="D167" s="48">
        <v>108</v>
      </c>
      <c r="E167" s="49">
        <v>46.373025726839558</v>
      </c>
      <c r="F167" s="48">
        <v>108</v>
      </c>
      <c r="G167" s="49">
        <v>879.65198926752169</v>
      </c>
      <c r="H167" s="35"/>
      <c r="I167" s="35"/>
      <c r="J167" s="35"/>
      <c r="K167" s="35"/>
      <c r="L167" s="35"/>
      <c r="M167" s="35"/>
      <c r="N167" s="35"/>
    </row>
    <row r="168" spans="1:14" x14ac:dyDescent="0.3">
      <c r="A168" s="35"/>
      <c r="B168" s="48">
        <v>109</v>
      </c>
      <c r="C168" s="49">
        <v>1107.449654341927</v>
      </c>
      <c r="D168" s="48">
        <v>109</v>
      </c>
      <c r="E168" s="49">
        <v>-31.216262799244589</v>
      </c>
      <c r="F168" s="48">
        <v>109</v>
      </c>
      <c r="G168" s="49">
        <v>726.75927320575761</v>
      </c>
      <c r="H168" s="35"/>
      <c r="I168" s="35"/>
      <c r="J168" s="35"/>
      <c r="K168" s="35"/>
      <c r="L168" s="35"/>
      <c r="M168" s="35"/>
      <c r="N168" s="35"/>
    </row>
    <row r="169" spans="1:14" x14ac:dyDescent="0.3">
      <c r="A169" s="35"/>
      <c r="B169" s="48">
        <v>110</v>
      </c>
      <c r="C169" s="49">
        <v>378.39460438421173</v>
      </c>
      <c r="D169" s="48">
        <v>110</v>
      </c>
      <c r="E169" s="49">
        <v>-1.6070030030289479</v>
      </c>
      <c r="F169" s="48">
        <v>110</v>
      </c>
      <c r="G169" s="49">
        <v>1298.7844620592268</v>
      </c>
      <c r="H169" s="35"/>
      <c r="I169" s="35"/>
      <c r="J169" s="35"/>
      <c r="K169" s="35"/>
      <c r="L169" s="35"/>
      <c r="M169" s="35"/>
      <c r="N169" s="35"/>
    </row>
    <row r="170" spans="1:14" x14ac:dyDescent="0.3">
      <c r="A170" s="35"/>
      <c r="B170" s="48">
        <v>111</v>
      </c>
      <c r="C170" s="49">
        <v>1023.0337727990327</v>
      </c>
      <c r="D170" s="48">
        <v>111</v>
      </c>
      <c r="E170" s="49">
        <v>-23.073367325785959</v>
      </c>
      <c r="F170" s="48">
        <v>111</v>
      </c>
      <c r="G170" s="49">
        <v>865.50844800790458</v>
      </c>
      <c r="H170" s="35"/>
      <c r="I170" s="35"/>
      <c r="J170" s="35"/>
      <c r="K170" s="35"/>
      <c r="L170" s="35"/>
      <c r="M170" s="35"/>
      <c r="N170" s="35"/>
    </row>
    <row r="171" spans="1:14" x14ac:dyDescent="0.3">
      <c r="A171" s="35"/>
      <c r="B171" s="48">
        <v>112</v>
      </c>
      <c r="C171" s="49">
        <v>1747.529925462851</v>
      </c>
      <c r="D171" s="48">
        <v>112</v>
      </c>
      <c r="E171" s="49">
        <v>-6.9580727601447734</v>
      </c>
      <c r="F171" s="48">
        <v>112</v>
      </c>
      <c r="G171" s="49">
        <v>820.96175535438033</v>
      </c>
      <c r="H171" s="35"/>
      <c r="I171" s="35"/>
      <c r="J171" s="35"/>
      <c r="K171" s="35"/>
      <c r="L171" s="35"/>
      <c r="M171" s="35"/>
      <c r="N171" s="35"/>
    </row>
    <row r="172" spans="1:14" x14ac:dyDescent="0.3">
      <c r="A172" s="35"/>
      <c r="B172" s="48">
        <v>113</v>
      </c>
      <c r="C172" s="49">
        <v>928.11502721481179</v>
      </c>
      <c r="D172" s="48">
        <v>113</v>
      </c>
      <c r="E172" s="49">
        <v>5.3585623770038424</v>
      </c>
      <c r="F172" s="48">
        <v>113</v>
      </c>
      <c r="G172" s="49">
        <v>698.84824556331409</v>
      </c>
      <c r="H172" s="35"/>
      <c r="I172" s="35"/>
      <c r="J172" s="35"/>
      <c r="K172" s="35"/>
      <c r="L172" s="35"/>
      <c r="M172" s="35"/>
      <c r="N172" s="35"/>
    </row>
    <row r="173" spans="1:14" x14ac:dyDescent="0.3">
      <c r="A173" s="35"/>
      <c r="B173" s="48">
        <v>114</v>
      </c>
      <c r="C173" s="49">
        <v>1159.694102640623</v>
      </c>
      <c r="D173" s="48">
        <v>114</v>
      </c>
      <c r="E173" s="49">
        <v>18.419907982036744</v>
      </c>
      <c r="F173" s="48">
        <v>114</v>
      </c>
      <c r="G173" s="49">
        <v>877.8218608161194</v>
      </c>
      <c r="H173" s="35"/>
      <c r="I173" s="35"/>
      <c r="J173" s="35"/>
      <c r="K173" s="35"/>
      <c r="L173" s="35"/>
      <c r="M173" s="35"/>
      <c r="N173" s="35"/>
    </row>
    <row r="174" spans="1:14" x14ac:dyDescent="0.3">
      <c r="A174" s="35"/>
      <c r="B174" s="48">
        <v>115</v>
      </c>
      <c r="C174" s="49">
        <v>422.33172783379632</v>
      </c>
      <c r="D174" s="48">
        <v>115</v>
      </c>
      <c r="E174" s="49">
        <v>10.37677990355072</v>
      </c>
      <c r="F174" s="48">
        <v>115</v>
      </c>
      <c r="G174" s="49">
        <v>908.01309203997084</v>
      </c>
      <c r="H174" s="35"/>
      <c r="I174" s="35"/>
      <c r="J174" s="35"/>
      <c r="K174" s="35"/>
      <c r="L174" s="35"/>
      <c r="M174" s="35"/>
      <c r="N174" s="35"/>
    </row>
    <row r="175" spans="1:14" x14ac:dyDescent="0.3">
      <c r="A175" s="35"/>
      <c r="B175" s="48">
        <v>116</v>
      </c>
      <c r="C175" s="49">
        <v>1059.143983231409</v>
      </c>
      <c r="D175" s="48">
        <v>116</v>
      </c>
      <c r="E175" s="49">
        <v>-8.9382032339359405</v>
      </c>
      <c r="F175" s="48">
        <v>116</v>
      </c>
      <c r="G175" s="49">
        <v>1104.2951305202155</v>
      </c>
      <c r="H175" s="35"/>
      <c r="I175" s="35"/>
      <c r="J175" s="35"/>
      <c r="K175" s="35"/>
      <c r="L175" s="35"/>
      <c r="M175" s="35"/>
      <c r="N175" s="35"/>
    </row>
    <row r="176" spans="1:14" x14ac:dyDescent="0.3">
      <c r="A176" s="35"/>
      <c r="B176" s="48">
        <v>117</v>
      </c>
      <c r="C176" s="49">
        <v>841.91075299499948</v>
      </c>
      <c r="D176" s="48">
        <v>117</v>
      </c>
      <c r="E176" s="49">
        <v>20.955766318648095</v>
      </c>
      <c r="F176" s="48">
        <v>117</v>
      </c>
      <c r="G176" s="49">
        <v>435.85467624364628</v>
      </c>
      <c r="H176" s="35"/>
      <c r="I176" s="35"/>
      <c r="J176" s="35"/>
      <c r="K176" s="35"/>
      <c r="L176" s="35"/>
      <c r="M176" s="35"/>
      <c r="N176" s="35"/>
    </row>
    <row r="177" spans="1:14" x14ac:dyDescent="0.3">
      <c r="A177" s="35"/>
      <c r="B177" s="48">
        <v>118</v>
      </c>
      <c r="C177" s="49">
        <v>670.01054656508154</v>
      </c>
      <c r="D177" s="48">
        <v>118</v>
      </c>
      <c r="E177" s="49">
        <v>-19.135723136866513</v>
      </c>
      <c r="F177" s="48">
        <v>118</v>
      </c>
      <c r="G177" s="49">
        <v>427.84067303008578</v>
      </c>
      <c r="H177" s="35"/>
      <c r="I177" s="35"/>
      <c r="J177" s="35"/>
      <c r="K177" s="35"/>
      <c r="L177" s="35"/>
      <c r="M177" s="35"/>
      <c r="N177" s="35"/>
    </row>
    <row r="178" spans="1:14" x14ac:dyDescent="0.3">
      <c r="A178" s="35"/>
      <c r="B178" s="48">
        <v>119</v>
      </c>
      <c r="C178" s="49">
        <v>1232.8174895783841</v>
      </c>
      <c r="D178" s="48">
        <v>119</v>
      </c>
      <c r="E178" s="49">
        <v>12.978277240882161</v>
      </c>
      <c r="F178" s="48">
        <v>119</v>
      </c>
      <c r="G178" s="49">
        <v>292.04539695994879</v>
      </c>
      <c r="H178" s="35"/>
      <c r="I178" s="35"/>
      <c r="J178" s="35"/>
      <c r="K178" s="35"/>
      <c r="L178" s="35"/>
      <c r="M178" s="35"/>
      <c r="N178" s="35"/>
    </row>
    <row r="179" spans="1:14" x14ac:dyDescent="0.3">
      <c r="A179" s="35"/>
      <c r="B179" s="48">
        <v>120</v>
      </c>
      <c r="C179" s="49">
        <v>1210.9196581362282</v>
      </c>
      <c r="D179" s="48">
        <v>120</v>
      </c>
      <c r="E179" s="49">
        <v>-5.4833572154005124</v>
      </c>
      <c r="F179" s="48">
        <v>120</v>
      </c>
      <c r="G179" s="49">
        <v>1366.8806655975002</v>
      </c>
      <c r="H179" s="35"/>
      <c r="I179" s="35"/>
      <c r="J179" s="35"/>
      <c r="K179" s="35"/>
      <c r="L179" s="35"/>
      <c r="M179" s="35"/>
      <c r="N179" s="35"/>
    </row>
    <row r="180" spans="1:14" x14ac:dyDescent="0.3">
      <c r="A180" s="35"/>
      <c r="B180" s="48">
        <v>121</v>
      </c>
      <c r="C180" s="49">
        <v>1123.5659430144915</v>
      </c>
      <c r="D180" s="48">
        <v>121</v>
      </c>
      <c r="E180" s="49">
        <v>-3.5845453696675955</v>
      </c>
      <c r="F180" s="48">
        <v>121</v>
      </c>
      <c r="G180" s="49">
        <v>593.19690059942855</v>
      </c>
      <c r="H180" s="35"/>
      <c r="I180" s="35"/>
      <c r="J180" s="35"/>
      <c r="K180" s="35"/>
      <c r="L180" s="35"/>
      <c r="M180" s="35"/>
      <c r="N180" s="35"/>
    </row>
    <row r="181" spans="1:14" x14ac:dyDescent="0.3">
      <c r="A181" s="35"/>
      <c r="B181" s="48">
        <v>122</v>
      </c>
      <c r="C181" s="49">
        <v>970.84029581396112</v>
      </c>
      <c r="D181" s="48">
        <v>122</v>
      </c>
      <c r="E181" s="49">
        <v>37.85288448654201</v>
      </c>
      <c r="F181" s="48">
        <v>122</v>
      </c>
      <c r="G181" s="49">
        <v>1109.9289719295327</v>
      </c>
      <c r="H181" s="35"/>
      <c r="I181" s="35"/>
      <c r="J181" s="35"/>
      <c r="K181" s="35"/>
      <c r="L181" s="35"/>
      <c r="M181" s="35"/>
      <c r="N181" s="35"/>
    </row>
    <row r="182" spans="1:14" x14ac:dyDescent="0.3">
      <c r="A182" s="35"/>
      <c r="B182" s="48">
        <v>123</v>
      </c>
      <c r="C182" s="49">
        <v>1167.4360149761499</v>
      </c>
      <c r="D182" s="48">
        <v>123</v>
      </c>
      <c r="E182" s="49">
        <v>17.773702756228918</v>
      </c>
      <c r="F182" s="48">
        <v>123</v>
      </c>
      <c r="G182" s="49">
        <v>941.46202799343132</v>
      </c>
      <c r="H182" s="35"/>
      <c r="I182" s="35"/>
      <c r="J182" s="35"/>
      <c r="K182" s="35"/>
      <c r="L182" s="35"/>
      <c r="M182" s="35"/>
      <c r="N182" s="35"/>
    </row>
    <row r="183" spans="1:14" x14ac:dyDescent="0.3">
      <c r="A183" s="35"/>
      <c r="B183" s="48">
        <v>124</v>
      </c>
      <c r="C183" s="49">
        <v>491.81929763075931</v>
      </c>
      <c r="D183" s="48">
        <v>124</v>
      </c>
      <c r="E183" s="49">
        <v>-3.3371096681219519</v>
      </c>
      <c r="F183" s="48">
        <v>124</v>
      </c>
      <c r="G183" s="49">
        <v>1382.9584462589596</v>
      </c>
      <c r="H183" s="35"/>
      <c r="I183" s="35"/>
      <c r="J183" s="35"/>
      <c r="K183" s="35"/>
      <c r="L183" s="35"/>
      <c r="M183" s="35"/>
      <c r="N183" s="35"/>
    </row>
    <row r="184" spans="1:14" x14ac:dyDescent="0.3">
      <c r="A184" s="35"/>
      <c r="B184" s="48">
        <v>125</v>
      </c>
      <c r="C184" s="49">
        <v>1081.4835786099163</v>
      </c>
      <c r="D184" s="48">
        <v>125</v>
      </c>
      <c r="E184" s="49">
        <v>14.886023099431759</v>
      </c>
      <c r="F184" s="48">
        <v>125</v>
      </c>
      <c r="G184" s="49">
        <v>1392.4499683082142</v>
      </c>
      <c r="H184" s="35"/>
      <c r="I184" s="35"/>
      <c r="J184" s="35"/>
      <c r="K184" s="35"/>
      <c r="L184" s="35"/>
      <c r="M184" s="35"/>
      <c r="N184" s="35"/>
    </row>
    <row r="185" spans="1:14" x14ac:dyDescent="0.3">
      <c r="A185" s="35"/>
      <c r="B185" s="48">
        <v>126</v>
      </c>
      <c r="C185" s="49">
        <v>737.53557659550324</v>
      </c>
      <c r="D185" s="48">
        <v>126</v>
      </c>
      <c r="E185" s="49">
        <v>76.558802297575781</v>
      </c>
      <c r="F185" s="48">
        <v>126</v>
      </c>
      <c r="G185" s="49">
        <v>757.14476905693891</v>
      </c>
      <c r="H185" s="35"/>
      <c r="I185" s="35"/>
      <c r="J185" s="35"/>
      <c r="K185" s="35"/>
      <c r="L185" s="35"/>
      <c r="M185" s="35"/>
      <c r="N185" s="35"/>
    </row>
    <row r="186" spans="1:14" x14ac:dyDescent="0.3">
      <c r="A186" s="35"/>
      <c r="B186" s="48">
        <v>127</v>
      </c>
      <c r="C186" s="49">
        <v>1193.6222509229638</v>
      </c>
      <c r="D186" s="48">
        <v>127</v>
      </c>
      <c r="E186" s="49">
        <v>-28.696230399926566</v>
      </c>
      <c r="F186" s="48">
        <v>127</v>
      </c>
      <c r="G186" s="49">
        <v>935.37988919195141</v>
      </c>
      <c r="H186" s="35"/>
      <c r="I186" s="35"/>
      <c r="J186" s="35"/>
      <c r="K186" s="35"/>
      <c r="L186" s="35"/>
      <c r="M186" s="35"/>
      <c r="N186" s="35"/>
    </row>
    <row r="187" spans="1:14" x14ac:dyDescent="0.3">
      <c r="A187" s="35"/>
      <c r="B187" s="48">
        <v>128</v>
      </c>
      <c r="C187" s="49">
        <v>724.74801094649797</v>
      </c>
      <c r="D187" s="48">
        <v>128</v>
      </c>
      <c r="E187" s="49">
        <v>29.621958618372151</v>
      </c>
      <c r="F187" s="48">
        <v>128</v>
      </c>
      <c r="G187" s="49">
        <v>1547.2115600771754</v>
      </c>
      <c r="H187" s="35"/>
      <c r="I187" s="35"/>
      <c r="J187" s="35"/>
      <c r="K187" s="35"/>
      <c r="L187" s="35"/>
      <c r="M187" s="35"/>
      <c r="N187" s="35"/>
    </row>
    <row r="188" spans="1:14" x14ac:dyDescent="0.3">
      <c r="A188" s="35"/>
      <c r="B188" s="48">
        <v>129</v>
      </c>
      <c r="C188" s="49">
        <v>507.08381172250455</v>
      </c>
      <c r="D188" s="48">
        <v>129</v>
      </c>
      <c r="E188" s="49">
        <v>-9.5153686227579328</v>
      </c>
      <c r="F188" s="48">
        <v>129</v>
      </c>
      <c r="G188" s="49">
        <v>1537.4992733553829</v>
      </c>
      <c r="H188" s="35"/>
      <c r="I188" s="35"/>
      <c r="J188" s="35"/>
      <c r="K188" s="35"/>
      <c r="L188" s="35"/>
      <c r="M188" s="35"/>
      <c r="N188" s="35"/>
    </row>
    <row r="189" spans="1:14" x14ac:dyDescent="0.3">
      <c r="A189" s="35"/>
      <c r="B189" s="48">
        <v>130</v>
      </c>
      <c r="C189" s="49">
        <v>533.91389982533269</v>
      </c>
      <c r="D189" s="48">
        <v>130</v>
      </c>
      <c r="E189" s="49">
        <v>-9.4824257387184687</v>
      </c>
      <c r="F189" s="48">
        <v>130</v>
      </c>
      <c r="G189" s="49">
        <v>706.47626964270751</v>
      </c>
      <c r="H189" s="35"/>
      <c r="I189" s="35"/>
      <c r="J189" s="35"/>
      <c r="K189" s="35"/>
      <c r="L189" s="35"/>
      <c r="M189" s="35"/>
      <c r="N189" s="35"/>
    </row>
    <row r="190" spans="1:14" x14ac:dyDescent="0.3">
      <c r="A190" s="35"/>
      <c r="B190" s="48">
        <v>131</v>
      </c>
      <c r="C190" s="49">
        <v>458.89380811636164</v>
      </c>
      <c r="D190" s="48">
        <v>131</v>
      </c>
      <c r="E190" s="49">
        <v>-9.4530051146613445</v>
      </c>
      <c r="F190" s="48">
        <v>131</v>
      </c>
      <c r="G190" s="49">
        <v>1259.2617001658077</v>
      </c>
      <c r="H190" s="35"/>
      <c r="I190" s="35"/>
      <c r="J190" s="35"/>
      <c r="K190" s="35"/>
      <c r="L190" s="35"/>
      <c r="M190" s="35"/>
      <c r="N190" s="35"/>
    </row>
    <row r="191" spans="1:14" x14ac:dyDescent="0.3">
      <c r="A191" s="35"/>
      <c r="B191" s="48">
        <v>132</v>
      </c>
      <c r="C191" s="49">
        <v>832.76891154375062</v>
      </c>
      <c r="D191" s="48">
        <v>132</v>
      </c>
      <c r="E191" s="49">
        <v>-10.659166216054915</v>
      </c>
      <c r="F191" s="48">
        <v>132</v>
      </c>
      <c r="G191" s="49">
        <v>832.67508410530445</v>
      </c>
      <c r="H191" s="35"/>
      <c r="I191" s="35"/>
      <c r="J191" s="35"/>
      <c r="K191" s="35"/>
      <c r="L191" s="35"/>
      <c r="M191" s="35"/>
      <c r="N191" s="35"/>
    </row>
    <row r="192" spans="1:14" x14ac:dyDescent="0.3">
      <c r="A192" s="35"/>
      <c r="B192" s="48">
        <v>133</v>
      </c>
      <c r="C192" s="49">
        <v>1332.5954975557956</v>
      </c>
      <c r="D192" s="48">
        <v>133</v>
      </c>
      <c r="E192" s="49">
        <v>29.939564344170911</v>
      </c>
      <c r="F192" s="48">
        <v>133</v>
      </c>
      <c r="G192" s="49">
        <v>516.56966062245476</v>
      </c>
      <c r="H192" s="35"/>
      <c r="I192" s="35"/>
      <c r="J192" s="35"/>
      <c r="K192" s="35"/>
      <c r="L192" s="35"/>
      <c r="M192" s="35"/>
      <c r="N192" s="35"/>
    </row>
    <row r="193" spans="1:14" x14ac:dyDescent="0.3">
      <c r="A193" s="35"/>
      <c r="B193" s="48">
        <v>134</v>
      </c>
      <c r="C193" s="49">
        <v>987.61232579847069</v>
      </c>
      <c r="D193" s="48">
        <v>134</v>
      </c>
      <c r="E193" s="49">
        <v>23.328989993880583</v>
      </c>
      <c r="F193" s="48">
        <v>134</v>
      </c>
      <c r="G193" s="49">
        <v>655.25202746521529</v>
      </c>
      <c r="H193" s="35"/>
      <c r="I193" s="35"/>
      <c r="J193" s="35"/>
      <c r="K193" s="35"/>
      <c r="L193" s="35"/>
      <c r="M193" s="35"/>
      <c r="N193" s="35"/>
    </row>
    <row r="194" spans="1:14" x14ac:dyDescent="0.3">
      <c r="A194" s="35"/>
      <c r="B194" s="48">
        <v>135</v>
      </c>
      <c r="C194" s="49">
        <v>771.64617669017036</v>
      </c>
      <c r="D194" s="48">
        <v>135</v>
      </c>
      <c r="E194" s="49">
        <v>-44.824058038293828</v>
      </c>
      <c r="F194" s="48">
        <v>135</v>
      </c>
      <c r="G194" s="49">
        <v>1480.8006315204534</v>
      </c>
      <c r="H194" s="35"/>
      <c r="I194" s="35"/>
      <c r="J194" s="35"/>
      <c r="K194" s="35"/>
      <c r="L194" s="35"/>
      <c r="M194" s="35"/>
      <c r="N194" s="35"/>
    </row>
    <row r="195" spans="1:14" x14ac:dyDescent="0.3">
      <c r="A195" s="35"/>
      <c r="B195" s="48">
        <v>136</v>
      </c>
      <c r="C195" s="49">
        <v>827.68147889788543</v>
      </c>
      <c r="D195" s="48">
        <v>136</v>
      </c>
      <c r="E195" s="49">
        <v>-34.465986500081769</v>
      </c>
      <c r="F195" s="48">
        <v>136</v>
      </c>
      <c r="G195" s="49">
        <v>918.02062711913823</v>
      </c>
      <c r="H195" s="35"/>
      <c r="I195" s="35"/>
      <c r="J195" s="35"/>
      <c r="K195" s="35"/>
      <c r="L195" s="35"/>
      <c r="M195" s="35"/>
      <c r="N195" s="35"/>
    </row>
    <row r="196" spans="1:14" x14ac:dyDescent="0.3">
      <c r="A196" s="35"/>
      <c r="B196" s="48">
        <v>137</v>
      </c>
      <c r="C196" s="49">
        <v>960.70974382070563</v>
      </c>
      <c r="D196" s="48">
        <v>137</v>
      </c>
      <c r="E196" s="49">
        <v>-35.791441147472518</v>
      </c>
      <c r="F196" s="48">
        <v>137</v>
      </c>
      <c r="G196" s="49">
        <v>1083.427735815817</v>
      </c>
      <c r="H196" s="35"/>
      <c r="I196" s="35"/>
      <c r="J196" s="35"/>
      <c r="K196" s="35"/>
      <c r="L196" s="35"/>
      <c r="M196" s="35"/>
      <c r="N196" s="35"/>
    </row>
    <row r="197" spans="1:14" x14ac:dyDescent="0.3">
      <c r="A197" s="35"/>
      <c r="B197" s="48">
        <v>138</v>
      </c>
      <c r="C197" s="49">
        <v>336.34756937101196</v>
      </c>
      <c r="D197" s="48">
        <v>138</v>
      </c>
      <c r="E197" s="49">
        <v>29.607443744415786</v>
      </c>
      <c r="F197" s="48">
        <v>138</v>
      </c>
      <c r="G197" s="49">
        <v>920.64515873018684</v>
      </c>
      <c r="H197" s="35"/>
      <c r="I197" s="35"/>
      <c r="J197" s="35"/>
      <c r="K197" s="35"/>
      <c r="L197" s="35"/>
      <c r="M197" s="35"/>
      <c r="N197" s="35"/>
    </row>
    <row r="198" spans="1:14" x14ac:dyDescent="0.3">
      <c r="A198" s="35"/>
      <c r="B198" s="48">
        <v>139</v>
      </c>
      <c r="C198" s="49">
        <v>782.34787881354293</v>
      </c>
      <c r="D198" s="48">
        <v>139</v>
      </c>
      <c r="E198" s="49">
        <v>-1.4379211011417778</v>
      </c>
      <c r="F198" s="48">
        <v>139</v>
      </c>
      <c r="G198" s="49">
        <v>730.2342827049431</v>
      </c>
      <c r="H198" s="35"/>
      <c r="I198" s="35"/>
      <c r="J198" s="35"/>
      <c r="K198" s="35"/>
      <c r="L198" s="35"/>
      <c r="M198" s="35"/>
      <c r="N198" s="35"/>
    </row>
    <row r="199" spans="1:14" x14ac:dyDescent="0.3">
      <c r="A199" s="35"/>
      <c r="B199" s="48">
        <v>140</v>
      </c>
      <c r="C199" s="49">
        <v>1058.7124438282342</v>
      </c>
      <c r="D199" s="48">
        <v>140</v>
      </c>
      <c r="E199" s="49">
        <v>11.408126774203668</v>
      </c>
      <c r="F199" s="48">
        <v>140</v>
      </c>
      <c r="G199" s="49">
        <v>1646.1225329808963</v>
      </c>
      <c r="H199" s="35"/>
      <c r="I199" s="35"/>
      <c r="J199" s="35"/>
      <c r="K199" s="35"/>
      <c r="L199" s="35"/>
      <c r="M199" s="35"/>
      <c r="N199" s="35"/>
    </row>
    <row r="200" spans="1:14" x14ac:dyDescent="0.3">
      <c r="A200" s="35"/>
      <c r="B200" s="48">
        <v>141</v>
      </c>
      <c r="C200" s="49">
        <v>629.46454021839645</v>
      </c>
      <c r="D200" s="48">
        <v>141</v>
      </c>
      <c r="E200" s="49">
        <v>-0.2092449298651966</v>
      </c>
      <c r="F200" s="48">
        <v>141</v>
      </c>
      <c r="G200" s="49">
        <v>852.31638933384386</v>
      </c>
      <c r="H200" s="35"/>
      <c r="I200" s="35"/>
      <c r="J200" s="35"/>
      <c r="K200" s="35"/>
      <c r="L200" s="35"/>
      <c r="M200" s="35"/>
      <c r="N200" s="35"/>
    </row>
    <row r="201" spans="1:14" x14ac:dyDescent="0.3">
      <c r="A201" s="35"/>
      <c r="B201" s="48">
        <v>142</v>
      </c>
      <c r="C201" s="49">
        <v>1237.5173677449743</v>
      </c>
      <c r="D201" s="48">
        <v>142</v>
      </c>
      <c r="E201" s="49">
        <v>40.015354038056756</v>
      </c>
      <c r="F201" s="48">
        <v>142</v>
      </c>
      <c r="G201" s="49">
        <v>834.10185857112378</v>
      </c>
      <c r="H201" s="35"/>
      <c r="I201" s="35"/>
      <c r="J201" s="35"/>
      <c r="K201" s="35"/>
      <c r="L201" s="35"/>
      <c r="M201" s="35"/>
      <c r="N201" s="35"/>
    </row>
    <row r="202" spans="1:14" x14ac:dyDescent="0.3">
      <c r="A202" s="35"/>
      <c r="B202" s="48">
        <v>143</v>
      </c>
      <c r="C202" s="49">
        <v>1210.1192352685539</v>
      </c>
      <c r="D202" s="48">
        <v>143</v>
      </c>
      <c r="E202" s="49">
        <v>-7.6438717382153483</v>
      </c>
      <c r="F202" s="48">
        <v>143</v>
      </c>
      <c r="G202" s="49">
        <v>879.59269577540692</v>
      </c>
      <c r="H202" s="35"/>
      <c r="I202" s="35"/>
      <c r="J202" s="35"/>
      <c r="K202" s="35"/>
      <c r="L202" s="35"/>
      <c r="M202" s="35"/>
      <c r="N202" s="35"/>
    </row>
    <row r="203" spans="1:14" x14ac:dyDescent="0.3">
      <c r="A203" s="35"/>
      <c r="B203" s="48">
        <v>144</v>
      </c>
      <c r="C203" s="49">
        <v>539.33184599148467</v>
      </c>
      <c r="D203" s="48">
        <v>144</v>
      </c>
      <c r="E203" s="49">
        <v>18.607134666459984</v>
      </c>
      <c r="F203" s="48">
        <v>144</v>
      </c>
      <c r="G203" s="49">
        <v>1169.8500106749091</v>
      </c>
      <c r="H203" s="35"/>
      <c r="I203" s="35"/>
      <c r="J203" s="35"/>
      <c r="K203" s="35"/>
      <c r="L203" s="35"/>
      <c r="M203" s="35"/>
      <c r="N203" s="35"/>
    </row>
    <row r="204" spans="1:14" x14ac:dyDescent="0.3">
      <c r="A204" s="35"/>
      <c r="B204" s="48">
        <v>145</v>
      </c>
      <c r="C204" s="49">
        <v>1631.407644806286</v>
      </c>
      <c r="D204" s="48">
        <v>145</v>
      </c>
      <c r="E204" s="49">
        <v>-35.362170281182109</v>
      </c>
      <c r="F204" s="48">
        <v>145</v>
      </c>
      <c r="G204" s="49">
        <v>837.22732393883291</v>
      </c>
      <c r="H204" s="35"/>
      <c r="I204" s="35"/>
      <c r="J204" s="35"/>
      <c r="K204" s="35"/>
      <c r="L204" s="35"/>
      <c r="M204" s="35"/>
      <c r="N204" s="35"/>
    </row>
    <row r="205" spans="1:14" x14ac:dyDescent="0.3">
      <c r="A205" s="35"/>
      <c r="B205" s="48">
        <v>146</v>
      </c>
      <c r="C205" s="49">
        <v>1217.9043416951304</v>
      </c>
      <c r="D205" s="48">
        <v>146</v>
      </c>
      <c r="E205" s="49">
        <v>-6.400288039265277</v>
      </c>
      <c r="F205" s="48">
        <v>146</v>
      </c>
      <c r="G205" s="49">
        <v>931.91861665396664</v>
      </c>
      <c r="H205" s="35"/>
      <c r="I205" s="35"/>
      <c r="J205" s="35"/>
      <c r="K205" s="35"/>
      <c r="L205" s="35"/>
      <c r="M205" s="35"/>
      <c r="N205" s="35"/>
    </row>
    <row r="206" spans="1:14" x14ac:dyDescent="0.3">
      <c r="A206" s="35"/>
      <c r="B206" s="48">
        <v>147</v>
      </c>
      <c r="C206" s="49">
        <v>922.03163972306606</v>
      </c>
      <c r="D206" s="48">
        <v>147</v>
      </c>
      <c r="E206" s="49">
        <v>5.2125576733696715</v>
      </c>
      <c r="F206" s="48">
        <v>147</v>
      </c>
      <c r="G206" s="49">
        <v>532.93091817269215</v>
      </c>
      <c r="H206" s="35"/>
      <c r="I206" s="35"/>
      <c r="J206" s="35"/>
      <c r="K206" s="35"/>
      <c r="L206" s="35"/>
      <c r="M206" s="35"/>
      <c r="N206" s="35"/>
    </row>
    <row r="207" spans="1:14" x14ac:dyDescent="0.3">
      <c r="A207" s="35"/>
      <c r="B207" s="48">
        <v>148</v>
      </c>
      <c r="C207" s="49">
        <v>440.29959570921767</v>
      </c>
      <c r="D207" s="48">
        <v>148</v>
      </c>
      <c r="E207" s="49">
        <v>19.469373037140677</v>
      </c>
      <c r="F207" s="48">
        <v>148</v>
      </c>
      <c r="G207" s="49">
        <v>913.63054995569837</v>
      </c>
      <c r="H207" s="35"/>
      <c r="I207" s="35"/>
      <c r="J207" s="35"/>
      <c r="K207" s="35"/>
      <c r="L207" s="35"/>
      <c r="M207" s="35"/>
      <c r="N207" s="35"/>
    </row>
    <row r="208" spans="1:14" x14ac:dyDescent="0.3">
      <c r="A208" s="35"/>
      <c r="B208" s="48">
        <v>149</v>
      </c>
      <c r="C208" s="49">
        <v>1112.3833349132472</v>
      </c>
      <c r="D208" s="48">
        <v>149</v>
      </c>
      <c r="E208" s="49">
        <v>17.891072782236893</v>
      </c>
      <c r="F208" s="48">
        <v>149</v>
      </c>
      <c r="G208" s="49">
        <v>821.57933427124919</v>
      </c>
      <c r="H208" s="35"/>
      <c r="I208" s="35"/>
      <c r="J208" s="35"/>
      <c r="K208" s="35"/>
      <c r="L208" s="35"/>
      <c r="M208" s="35"/>
      <c r="N208" s="35"/>
    </row>
    <row r="209" spans="1:14" x14ac:dyDescent="0.3">
      <c r="A209" s="35"/>
      <c r="B209" s="48">
        <v>150</v>
      </c>
      <c r="C209" s="49">
        <v>1001.4302323634347</v>
      </c>
      <c r="D209" s="48">
        <v>150</v>
      </c>
      <c r="E209" s="49">
        <v>-18.575471095609469</v>
      </c>
      <c r="F209" s="48">
        <v>150</v>
      </c>
      <c r="G209" s="49">
        <v>1487.326852647489</v>
      </c>
      <c r="H209" s="35"/>
      <c r="I209" s="35"/>
      <c r="J209" s="35"/>
      <c r="K209" s="35"/>
      <c r="L209" s="35"/>
      <c r="M209" s="35"/>
      <c r="N209" s="35"/>
    </row>
    <row r="210" spans="1:14" x14ac:dyDescent="0.3">
      <c r="A210" s="35"/>
      <c r="B210" s="48">
        <v>151</v>
      </c>
      <c r="C210" s="49">
        <v>1737.1497088480694</v>
      </c>
      <c r="D210" s="48">
        <v>151</v>
      </c>
      <c r="E210" s="49">
        <v>-3.8810173483570063</v>
      </c>
      <c r="F210" s="48">
        <v>151</v>
      </c>
      <c r="G210" s="49">
        <v>1092.2868950806333</v>
      </c>
      <c r="H210" s="35"/>
      <c r="I210" s="35"/>
      <c r="J210" s="35"/>
      <c r="K210" s="35"/>
      <c r="L210" s="35"/>
      <c r="M210" s="35"/>
      <c r="N210" s="35"/>
    </row>
    <row r="211" spans="1:14" x14ac:dyDescent="0.3">
      <c r="A211" s="35"/>
      <c r="B211" s="48">
        <v>152</v>
      </c>
      <c r="C211" s="49">
        <v>782.71656250091485</v>
      </c>
      <c r="D211" s="48">
        <v>152</v>
      </c>
      <c r="E211" s="49">
        <v>-20.122025597389559</v>
      </c>
      <c r="F211" s="48">
        <v>152</v>
      </c>
      <c r="G211" s="49">
        <v>829.55577978302244</v>
      </c>
      <c r="H211" s="35"/>
      <c r="I211" s="35"/>
      <c r="J211" s="35"/>
      <c r="K211" s="35"/>
      <c r="L211" s="35"/>
      <c r="M211" s="35"/>
      <c r="N211" s="35"/>
    </row>
    <row r="212" spans="1:14" x14ac:dyDescent="0.3">
      <c r="A212" s="35"/>
      <c r="B212" s="48">
        <v>153</v>
      </c>
      <c r="C212" s="49">
        <v>951.57550923145027</v>
      </c>
      <c r="D212" s="48">
        <v>153</v>
      </c>
      <c r="E212" s="49">
        <v>21.028135557871522</v>
      </c>
      <c r="F212" s="48">
        <v>153</v>
      </c>
      <c r="G212" s="49">
        <v>1284.0311539476647</v>
      </c>
      <c r="H212" s="35"/>
      <c r="I212" s="35"/>
      <c r="J212" s="35"/>
      <c r="K212" s="35"/>
      <c r="L212" s="35"/>
      <c r="M212" s="35"/>
      <c r="N212" s="35"/>
    </row>
    <row r="213" spans="1:14" x14ac:dyDescent="0.3">
      <c r="A213" s="35"/>
      <c r="B213" s="48">
        <v>154</v>
      </c>
      <c r="C213" s="49">
        <v>468.73739107213669</v>
      </c>
      <c r="D213" s="48">
        <v>154</v>
      </c>
      <c r="E213" s="49">
        <v>-29.044999826432974</v>
      </c>
      <c r="F213" s="48">
        <v>154</v>
      </c>
      <c r="G213" s="49">
        <v>1678.0187100530511</v>
      </c>
      <c r="H213" s="35"/>
      <c r="I213" s="35"/>
      <c r="J213" s="35"/>
      <c r="K213" s="35"/>
      <c r="L213" s="35"/>
      <c r="M213" s="35"/>
      <c r="N213" s="35"/>
    </row>
    <row r="214" spans="1:14" x14ac:dyDescent="0.3">
      <c r="A214" s="35"/>
      <c r="B214" s="48">
        <v>155</v>
      </c>
      <c r="C214" s="49">
        <v>1397.2780813468048</v>
      </c>
      <c r="D214" s="48">
        <v>155</v>
      </c>
      <c r="E214" s="49">
        <v>-8.2446054883355178</v>
      </c>
      <c r="F214" s="48">
        <v>155</v>
      </c>
      <c r="G214" s="49">
        <v>821.83655558478199</v>
      </c>
      <c r="H214" s="35"/>
      <c r="I214" s="35"/>
      <c r="J214" s="35"/>
      <c r="K214" s="35"/>
      <c r="L214" s="35"/>
      <c r="M214" s="35"/>
      <c r="N214" s="35"/>
    </row>
    <row r="215" spans="1:14" x14ac:dyDescent="0.3">
      <c r="A215" s="35"/>
      <c r="B215" s="48">
        <v>156</v>
      </c>
      <c r="C215" s="49">
        <v>881.66409101054046</v>
      </c>
      <c r="D215" s="48">
        <v>156</v>
      </c>
      <c r="E215" s="49">
        <v>20.904583478197683</v>
      </c>
      <c r="F215" s="48">
        <v>156</v>
      </c>
      <c r="G215" s="49">
        <v>1439.306046493524</v>
      </c>
      <c r="H215" s="35"/>
      <c r="I215" s="35"/>
      <c r="J215" s="35"/>
      <c r="K215" s="35"/>
      <c r="L215" s="35"/>
      <c r="M215" s="35"/>
      <c r="N215" s="35"/>
    </row>
    <row r="216" spans="1:14" x14ac:dyDescent="0.3">
      <c r="A216" s="35"/>
      <c r="B216" s="48">
        <v>157</v>
      </c>
      <c r="C216" s="49">
        <v>1043.7311959480071</v>
      </c>
      <c r="D216" s="48">
        <v>157</v>
      </c>
      <c r="E216" s="49">
        <v>17.294590844154719</v>
      </c>
      <c r="F216" s="48">
        <v>157</v>
      </c>
      <c r="G216" s="49">
        <v>1220.752120303817</v>
      </c>
      <c r="H216" s="35"/>
      <c r="I216" s="35"/>
      <c r="J216" s="35"/>
      <c r="K216" s="35"/>
      <c r="L216" s="35"/>
      <c r="M216" s="35"/>
      <c r="N216" s="35"/>
    </row>
    <row r="217" spans="1:14" x14ac:dyDescent="0.3">
      <c r="A217" s="35"/>
      <c r="B217" s="48">
        <v>158</v>
      </c>
      <c r="C217" s="49">
        <v>843.20357721303412</v>
      </c>
      <c r="D217" s="48">
        <v>158</v>
      </c>
      <c r="E217" s="49">
        <v>10.984741505499288</v>
      </c>
      <c r="F217" s="48">
        <v>158</v>
      </c>
      <c r="G217" s="49">
        <v>1446.115630949726</v>
      </c>
      <c r="H217" s="35"/>
      <c r="I217" s="35"/>
      <c r="J217" s="35"/>
      <c r="K217" s="35"/>
      <c r="L217" s="35"/>
      <c r="M217" s="35"/>
      <c r="N217" s="35"/>
    </row>
    <row r="218" spans="1:14" x14ac:dyDescent="0.3">
      <c r="A218" s="35"/>
      <c r="B218" s="48">
        <v>159</v>
      </c>
      <c r="C218" s="49">
        <v>1218.2637597038988</v>
      </c>
      <c r="D218" s="48">
        <v>159</v>
      </c>
      <c r="E218" s="49">
        <v>24.169360814675478</v>
      </c>
      <c r="F218" s="48">
        <v>159</v>
      </c>
      <c r="G218" s="49">
        <v>967.78801215227884</v>
      </c>
      <c r="H218" s="35"/>
      <c r="I218" s="35"/>
      <c r="J218" s="35"/>
      <c r="K218" s="35"/>
      <c r="L218" s="35"/>
      <c r="M218" s="35"/>
      <c r="N218" s="35"/>
    </row>
    <row r="219" spans="1:14" x14ac:dyDescent="0.3">
      <c r="A219" s="35"/>
      <c r="B219" s="48">
        <v>160</v>
      </c>
      <c r="C219" s="49">
        <v>1511.6883698477186</v>
      </c>
      <c r="D219" s="48">
        <v>160</v>
      </c>
      <c r="E219" s="49">
        <v>4.4547609753704629</v>
      </c>
      <c r="F219" s="48">
        <v>160</v>
      </c>
      <c r="G219" s="49">
        <v>1196.8406959262988</v>
      </c>
      <c r="H219" s="35"/>
      <c r="I219" s="35"/>
      <c r="J219" s="35"/>
      <c r="K219" s="35"/>
      <c r="L219" s="35"/>
      <c r="M219" s="35"/>
      <c r="N219" s="35"/>
    </row>
    <row r="220" spans="1:14" x14ac:dyDescent="0.3">
      <c r="A220" s="35"/>
      <c r="B220" s="48">
        <v>161</v>
      </c>
      <c r="C220" s="49">
        <v>1062.6395833208958</v>
      </c>
      <c r="D220" s="48">
        <v>161</v>
      </c>
      <c r="E220" s="49">
        <v>23.978741827400423</v>
      </c>
      <c r="F220" s="48">
        <v>161</v>
      </c>
      <c r="G220" s="49">
        <v>1312.8230233714351</v>
      </c>
      <c r="H220" s="35"/>
      <c r="I220" s="35"/>
      <c r="J220" s="35"/>
      <c r="K220" s="35"/>
      <c r="L220" s="35"/>
      <c r="M220" s="35"/>
      <c r="N220" s="35"/>
    </row>
    <row r="221" spans="1:14" x14ac:dyDescent="0.3">
      <c r="A221" s="35"/>
      <c r="B221" s="48">
        <v>162</v>
      </c>
      <c r="C221" s="49">
        <v>902.42015543611092</v>
      </c>
      <c r="D221" s="48">
        <v>162</v>
      </c>
      <c r="E221" s="49">
        <v>-9.4605835321499221</v>
      </c>
      <c r="F221" s="48">
        <v>162</v>
      </c>
      <c r="G221" s="49">
        <v>833.17531821328726</v>
      </c>
      <c r="H221" s="35"/>
      <c r="I221" s="35"/>
      <c r="J221" s="35"/>
      <c r="K221" s="35"/>
      <c r="L221" s="35"/>
      <c r="M221" s="35"/>
      <c r="N221" s="35"/>
    </row>
    <row r="222" spans="1:14" x14ac:dyDescent="0.3">
      <c r="A222" s="35"/>
      <c r="B222" s="48">
        <v>163</v>
      </c>
      <c r="C222" s="49">
        <v>884.60600786403597</v>
      </c>
      <c r="D222" s="48">
        <v>163</v>
      </c>
      <c r="E222" s="49">
        <v>-11.580020724727135</v>
      </c>
      <c r="F222" s="48">
        <v>163</v>
      </c>
      <c r="G222" s="49">
        <v>1152.7285070073062</v>
      </c>
      <c r="H222" s="35"/>
      <c r="I222" s="35"/>
      <c r="J222" s="35"/>
      <c r="K222" s="35"/>
      <c r="L222" s="35"/>
      <c r="M222" s="35"/>
      <c r="N222" s="35"/>
    </row>
    <row r="223" spans="1:14" x14ac:dyDescent="0.3">
      <c r="A223" s="35"/>
      <c r="B223" s="48">
        <v>164</v>
      </c>
      <c r="C223" s="49">
        <v>514.11926543842367</v>
      </c>
      <c r="D223" s="48">
        <v>164</v>
      </c>
      <c r="E223" s="49">
        <v>10.812912887044751</v>
      </c>
      <c r="F223" s="48">
        <v>164</v>
      </c>
      <c r="G223" s="49">
        <v>975.93567019549732</v>
      </c>
      <c r="H223" s="35"/>
      <c r="I223" s="35"/>
      <c r="J223" s="35"/>
      <c r="K223" s="35"/>
      <c r="L223" s="35"/>
      <c r="M223" s="35"/>
      <c r="N223" s="35"/>
    </row>
    <row r="224" spans="1:14" x14ac:dyDescent="0.3">
      <c r="A224" s="35"/>
      <c r="B224" s="48">
        <v>165</v>
      </c>
      <c r="C224" s="49">
        <v>1196.1584815416643</v>
      </c>
      <c r="D224" s="48">
        <v>165</v>
      </c>
      <c r="E224" s="49">
        <v>15.167102615867211</v>
      </c>
      <c r="F224" s="48">
        <v>165</v>
      </c>
      <c r="G224" s="49">
        <v>1409.439685230559</v>
      </c>
      <c r="H224" s="35"/>
      <c r="I224" s="35"/>
      <c r="J224" s="35"/>
      <c r="K224" s="35"/>
      <c r="L224" s="35"/>
      <c r="M224" s="35"/>
      <c r="N224" s="35"/>
    </row>
    <row r="225" spans="1:14" x14ac:dyDescent="0.3">
      <c r="A225" s="35"/>
      <c r="B225" s="48">
        <v>166</v>
      </c>
      <c r="C225" s="49">
        <v>1605.8163151436743</v>
      </c>
      <c r="D225" s="48">
        <v>166</v>
      </c>
      <c r="E225" s="49">
        <v>7.6695054421980657</v>
      </c>
      <c r="F225" s="48">
        <v>166</v>
      </c>
      <c r="G225" s="49">
        <v>636.5053564468642</v>
      </c>
      <c r="H225" s="35"/>
      <c r="I225" s="35"/>
      <c r="J225" s="35"/>
      <c r="K225" s="35"/>
      <c r="L225" s="35"/>
      <c r="M225" s="35"/>
      <c r="N225" s="35"/>
    </row>
    <row r="226" spans="1:14" x14ac:dyDescent="0.3">
      <c r="A226" s="35"/>
      <c r="B226" s="48">
        <v>167</v>
      </c>
      <c r="C226" s="49">
        <v>725.03685767365289</v>
      </c>
      <c r="D226" s="48">
        <v>167</v>
      </c>
      <c r="E226" s="49">
        <v>31.858983806755948</v>
      </c>
      <c r="F226" s="48">
        <v>167</v>
      </c>
      <c r="G226" s="49">
        <v>941.83578926797475</v>
      </c>
      <c r="H226" s="35"/>
      <c r="I226" s="35"/>
      <c r="J226" s="35"/>
      <c r="K226" s="35"/>
      <c r="L226" s="35"/>
      <c r="M226" s="35"/>
      <c r="N226" s="35"/>
    </row>
    <row r="227" spans="1:14" x14ac:dyDescent="0.3">
      <c r="A227" s="35"/>
      <c r="B227" s="48">
        <v>168</v>
      </c>
      <c r="C227" s="49">
        <v>425.98909999811912</v>
      </c>
      <c r="D227" s="48">
        <v>168</v>
      </c>
      <c r="E227" s="49">
        <v>-28.680789396275024</v>
      </c>
      <c r="F227" s="48">
        <v>168</v>
      </c>
      <c r="G227" s="49">
        <v>949.82983984493967</v>
      </c>
      <c r="H227" s="35"/>
      <c r="I227" s="35"/>
      <c r="J227" s="35"/>
      <c r="K227" s="35"/>
      <c r="L227" s="35"/>
      <c r="M227" s="35"/>
      <c r="N227" s="35"/>
    </row>
    <row r="228" spans="1:14" x14ac:dyDescent="0.3">
      <c r="A228" s="35"/>
      <c r="B228" s="48">
        <v>169</v>
      </c>
      <c r="C228" s="49">
        <v>1074.6136030774637</v>
      </c>
      <c r="D228" s="48">
        <v>169</v>
      </c>
      <c r="E228" s="49">
        <v>15.63921300910952</v>
      </c>
      <c r="F228" s="48">
        <v>169</v>
      </c>
      <c r="G228" s="49">
        <v>1207.4797496802516</v>
      </c>
      <c r="H228" s="35"/>
      <c r="I228" s="35"/>
      <c r="J228" s="35"/>
      <c r="K228" s="35"/>
      <c r="L228" s="35"/>
      <c r="M228" s="35"/>
      <c r="N228" s="35"/>
    </row>
    <row r="229" spans="1:14" x14ac:dyDescent="0.3">
      <c r="A229" s="35"/>
      <c r="B229" s="48">
        <v>170</v>
      </c>
      <c r="C229" s="49">
        <v>741.07035393884712</v>
      </c>
      <c r="D229" s="48">
        <v>170</v>
      </c>
      <c r="E229" s="49">
        <v>48.36597916304563</v>
      </c>
      <c r="F229" s="48">
        <v>170</v>
      </c>
      <c r="G229" s="49">
        <v>1886.2824777290309</v>
      </c>
      <c r="H229" s="35"/>
      <c r="I229" s="35"/>
      <c r="J229" s="35"/>
      <c r="K229" s="35"/>
      <c r="L229" s="35"/>
      <c r="M229" s="35"/>
      <c r="N229" s="35"/>
    </row>
    <row r="230" spans="1:14" x14ac:dyDescent="0.3">
      <c r="A230" s="35"/>
      <c r="B230" s="48">
        <v>171</v>
      </c>
      <c r="C230" s="49">
        <v>679.43939235189077</v>
      </c>
      <c r="D230" s="48">
        <v>171</v>
      </c>
      <c r="E230" s="49">
        <v>1.5689396457055298</v>
      </c>
      <c r="F230" s="48">
        <v>171</v>
      </c>
      <c r="G230" s="49">
        <v>721.86977160565607</v>
      </c>
      <c r="H230" s="35"/>
      <c r="I230" s="35"/>
      <c r="J230" s="35"/>
      <c r="K230" s="35"/>
      <c r="L230" s="35"/>
      <c r="M230" s="35"/>
      <c r="N230" s="35"/>
    </row>
    <row r="231" spans="1:14" x14ac:dyDescent="0.3">
      <c r="A231" s="35"/>
      <c r="B231" s="48">
        <v>172</v>
      </c>
      <c r="C231" s="49">
        <v>565.877091864769</v>
      </c>
      <c r="D231" s="48">
        <v>172</v>
      </c>
      <c r="E231" s="49">
        <v>-0.48998143560323204</v>
      </c>
      <c r="F231" s="48">
        <v>172</v>
      </c>
      <c r="G231" s="49">
        <v>1034.0600819234132</v>
      </c>
      <c r="H231" s="35"/>
      <c r="I231" s="35"/>
      <c r="J231" s="35"/>
      <c r="K231" s="35"/>
      <c r="L231" s="35"/>
      <c r="M231" s="35"/>
      <c r="N231" s="35"/>
    </row>
    <row r="232" spans="1:14" x14ac:dyDescent="0.3">
      <c r="A232" s="35"/>
      <c r="B232" s="48">
        <v>173</v>
      </c>
      <c r="C232" s="49">
        <v>939.73670631624896</v>
      </c>
      <c r="D232" s="48">
        <v>173</v>
      </c>
      <c r="E232" s="49">
        <v>-2.4546110848892866</v>
      </c>
      <c r="F232" s="48">
        <v>173</v>
      </c>
      <c r="G232" s="49">
        <v>347.43983764936462</v>
      </c>
      <c r="H232" s="35"/>
      <c r="I232" s="35"/>
      <c r="J232" s="35"/>
      <c r="K232" s="35"/>
      <c r="L232" s="35"/>
      <c r="M232" s="35"/>
      <c r="N232" s="35"/>
    </row>
    <row r="233" spans="1:14" x14ac:dyDescent="0.3">
      <c r="A233" s="35"/>
      <c r="B233" s="48">
        <v>174</v>
      </c>
      <c r="C233" s="49">
        <v>674.50942980468562</v>
      </c>
      <c r="D233" s="48">
        <v>174</v>
      </c>
      <c r="E233" s="49">
        <v>43.497609965341098</v>
      </c>
      <c r="F233" s="48">
        <v>174</v>
      </c>
      <c r="G233" s="49">
        <v>1137.0101499200787</v>
      </c>
      <c r="H233" s="35"/>
      <c r="I233" s="35"/>
      <c r="J233" s="35"/>
      <c r="K233" s="35"/>
      <c r="L233" s="35"/>
      <c r="M233" s="35"/>
      <c r="N233" s="35"/>
    </row>
    <row r="234" spans="1:14" x14ac:dyDescent="0.3">
      <c r="A234" s="35"/>
      <c r="B234" s="48">
        <v>175</v>
      </c>
      <c r="C234" s="49">
        <v>1001.5617317994938</v>
      </c>
      <c r="D234" s="48">
        <v>175</v>
      </c>
      <c r="E234" s="49">
        <v>10.208991268657975</v>
      </c>
      <c r="F234" s="48">
        <v>175</v>
      </c>
      <c r="G234" s="49">
        <v>1350.0417289284801</v>
      </c>
      <c r="H234" s="35"/>
      <c r="I234" s="35"/>
      <c r="J234" s="35"/>
      <c r="K234" s="35"/>
      <c r="L234" s="35"/>
      <c r="M234" s="35"/>
      <c r="N234" s="35"/>
    </row>
    <row r="235" spans="1:14" x14ac:dyDescent="0.3">
      <c r="A235" s="35"/>
      <c r="B235" s="48">
        <v>176</v>
      </c>
      <c r="C235" s="49">
        <v>1246.414553148709</v>
      </c>
      <c r="D235" s="48">
        <v>176</v>
      </c>
      <c r="E235" s="49">
        <v>-53.701433714519752</v>
      </c>
      <c r="F235" s="48">
        <v>176</v>
      </c>
      <c r="G235" s="49">
        <v>905.98039914812284</v>
      </c>
      <c r="H235" s="35"/>
      <c r="I235" s="35"/>
      <c r="J235" s="35"/>
      <c r="K235" s="35"/>
      <c r="L235" s="35"/>
      <c r="M235" s="35"/>
      <c r="N235" s="35"/>
    </row>
    <row r="236" spans="1:14" x14ac:dyDescent="0.3">
      <c r="A236" s="35"/>
      <c r="B236" s="48">
        <v>177</v>
      </c>
      <c r="C236" s="49">
        <v>738.54686504394863</v>
      </c>
      <c r="D236" s="48">
        <v>177</v>
      </c>
      <c r="E236" s="49">
        <v>-14.758696400323156</v>
      </c>
      <c r="F236" s="48">
        <v>177</v>
      </c>
      <c r="G236" s="49">
        <v>1514.2773162595868</v>
      </c>
      <c r="H236" s="35"/>
      <c r="I236" s="35"/>
      <c r="J236" s="35"/>
      <c r="K236" s="35"/>
      <c r="L236" s="35"/>
      <c r="M236" s="35"/>
      <c r="N236" s="35"/>
    </row>
    <row r="237" spans="1:14" x14ac:dyDescent="0.3">
      <c r="A237" s="35"/>
      <c r="B237" s="48">
        <v>178</v>
      </c>
      <c r="C237" s="49">
        <v>472.97335592354887</v>
      </c>
      <c r="D237" s="48">
        <v>178</v>
      </c>
      <c r="E237" s="49">
        <v>-44.835451509101219</v>
      </c>
      <c r="F237" s="48">
        <v>178</v>
      </c>
      <c r="G237" s="49">
        <v>271.91698511707523</v>
      </c>
      <c r="H237" s="35"/>
      <c r="I237" s="35"/>
      <c r="J237" s="35"/>
      <c r="K237" s="35"/>
      <c r="L237" s="35"/>
      <c r="M237" s="35"/>
      <c r="N237" s="35"/>
    </row>
    <row r="238" spans="1:14" x14ac:dyDescent="0.3">
      <c r="A238" s="35"/>
      <c r="B238" s="48">
        <v>179</v>
      </c>
      <c r="C238" s="49">
        <v>1412.3844807074468</v>
      </c>
      <c r="D238" s="48">
        <v>179</v>
      </c>
      <c r="E238" s="49">
        <v>1.0677031693507675</v>
      </c>
      <c r="F238" s="48">
        <v>179</v>
      </c>
      <c r="G238" s="49">
        <v>1085.67515236586</v>
      </c>
      <c r="H238" s="35"/>
      <c r="I238" s="35"/>
      <c r="J238" s="35"/>
      <c r="K238" s="35"/>
      <c r="L238" s="35"/>
      <c r="M238" s="35"/>
      <c r="N238" s="35"/>
    </row>
    <row r="239" spans="1:14" x14ac:dyDescent="0.3">
      <c r="A239" s="35"/>
      <c r="B239" s="48">
        <v>180</v>
      </c>
      <c r="C239" s="49">
        <v>986.3624986763092</v>
      </c>
      <c r="D239" s="48">
        <v>180</v>
      </c>
      <c r="E239" s="49">
        <v>-1.5635306993079028</v>
      </c>
      <c r="F239" s="48">
        <v>180</v>
      </c>
      <c r="G239" s="49">
        <v>817.14208887123323</v>
      </c>
      <c r="H239" s="35"/>
      <c r="I239" s="35"/>
      <c r="J239" s="35"/>
      <c r="K239" s="35"/>
      <c r="L239" s="35"/>
      <c r="M239" s="35"/>
      <c r="N239" s="35"/>
    </row>
    <row r="240" spans="1:14" x14ac:dyDescent="0.3">
      <c r="A240" s="35"/>
      <c r="B240" s="48">
        <v>181</v>
      </c>
      <c r="C240" s="49">
        <v>454.7799208848237</v>
      </c>
      <c r="D240" s="48">
        <v>181</v>
      </c>
      <c r="E240" s="49">
        <v>-4.549227163573569</v>
      </c>
      <c r="F240" s="48">
        <v>181</v>
      </c>
      <c r="G240" s="49">
        <v>1200.4373976687598</v>
      </c>
      <c r="H240" s="35"/>
      <c r="I240" s="35"/>
      <c r="J240" s="35"/>
      <c r="K240" s="35"/>
      <c r="L240" s="35"/>
      <c r="M240" s="35"/>
      <c r="N240" s="35"/>
    </row>
    <row r="241" spans="1:14" x14ac:dyDescent="0.3">
      <c r="A241" s="35"/>
      <c r="B241" s="48">
        <v>182</v>
      </c>
      <c r="C241" s="49">
        <v>825.49328941884391</v>
      </c>
      <c r="D241" s="48">
        <v>182</v>
      </c>
      <c r="E241" s="49">
        <v>-36.29726203076747</v>
      </c>
      <c r="F241" s="48">
        <v>182</v>
      </c>
      <c r="G241" s="49">
        <v>545.41589783527183</v>
      </c>
      <c r="H241" s="35"/>
      <c r="I241" s="35"/>
      <c r="J241" s="35"/>
      <c r="K241" s="35"/>
      <c r="L241" s="35"/>
      <c r="M241" s="35"/>
      <c r="N241" s="35"/>
    </row>
    <row r="242" spans="1:14" x14ac:dyDescent="0.3">
      <c r="A242" s="35"/>
      <c r="B242" s="48">
        <v>183</v>
      </c>
      <c r="C242" s="49">
        <v>1105.7005418856947</v>
      </c>
      <c r="D242" s="48">
        <v>183</v>
      </c>
      <c r="E242" s="49">
        <v>-50.475790985458353</v>
      </c>
      <c r="F242" s="48">
        <v>183</v>
      </c>
      <c r="G242" s="49">
        <v>1386.5278752303107</v>
      </c>
      <c r="H242" s="35"/>
      <c r="I242" s="35"/>
      <c r="J242" s="35"/>
      <c r="K242" s="35"/>
      <c r="L242" s="35"/>
      <c r="M242" s="35"/>
      <c r="N242" s="35"/>
    </row>
    <row r="243" spans="1:14" x14ac:dyDescent="0.3">
      <c r="A243" s="35"/>
      <c r="B243" s="48">
        <v>184</v>
      </c>
      <c r="C243" s="49">
        <v>865.99326588608108</v>
      </c>
      <c r="D243" s="48">
        <v>184</v>
      </c>
      <c r="E243" s="49">
        <v>-6.9568386695845206</v>
      </c>
      <c r="F243" s="48">
        <v>184</v>
      </c>
      <c r="G243" s="49">
        <v>964.95057988302653</v>
      </c>
      <c r="H243" s="35"/>
      <c r="I243" s="35"/>
      <c r="J243" s="35"/>
      <c r="K243" s="35"/>
      <c r="L243" s="35"/>
      <c r="M243" s="35"/>
      <c r="N243" s="35"/>
    </row>
    <row r="244" spans="1:14" x14ac:dyDescent="0.3">
      <c r="A244" s="35"/>
      <c r="B244" s="48">
        <v>185</v>
      </c>
      <c r="C244" s="49">
        <v>881.79847280684885</v>
      </c>
      <c r="D244" s="48">
        <v>185</v>
      </c>
      <c r="E244" s="49">
        <v>4.6729257306631338</v>
      </c>
      <c r="F244" s="48">
        <v>185</v>
      </c>
      <c r="G244" s="49">
        <v>1107.299706278855</v>
      </c>
      <c r="H244" s="35"/>
      <c r="I244" s="35"/>
      <c r="J244" s="35"/>
      <c r="K244" s="35"/>
      <c r="L244" s="35"/>
      <c r="M244" s="35"/>
      <c r="N244" s="35"/>
    </row>
    <row r="245" spans="1:14" x14ac:dyDescent="0.3">
      <c r="A245" s="35"/>
      <c r="B245" s="48">
        <v>186</v>
      </c>
      <c r="C245" s="49">
        <v>1067.1386322285948</v>
      </c>
      <c r="D245" s="48">
        <v>186</v>
      </c>
      <c r="E245" s="49">
        <v>20.795975390356894</v>
      </c>
      <c r="F245" s="48">
        <v>186</v>
      </c>
      <c r="G245" s="49">
        <v>729.5578420954123</v>
      </c>
      <c r="H245" s="35"/>
      <c r="I245" s="35"/>
      <c r="J245" s="35"/>
      <c r="K245" s="35"/>
      <c r="L245" s="35"/>
      <c r="M245" s="35"/>
      <c r="N245" s="35"/>
    </row>
    <row r="246" spans="1:14" x14ac:dyDescent="0.3">
      <c r="A246" s="35"/>
      <c r="B246" s="48">
        <v>187</v>
      </c>
      <c r="C246" s="49">
        <v>1034.387693177164</v>
      </c>
      <c r="D246" s="48">
        <v>187</v>
      </c>
      <c r="E246" s="49">
        <v>10.710268601094667</v>
      </c>
      <c r="F246" s="48">
        <v>187</v>
      </c>
      <c r="G246" s="49">
        <v>737.47189307520591</v>
      </c>
      <c r="H246" s="35"/>
      <c r="I246" s="35"/>
      <c r="J246" s="35"/>
      <c r="K246" s="35"/>
      <c r="L246" s="35"/>
      <c r="M246" s="35"/>
      <c r="N246" s="35"/>
    </row>
    <row r="247" spans="1:14" x14ac:dyDescent="0.3">
      <c r="A247" s="35"/>
      <c r="B247" s="48">
        <v>188</v>
      </c>
      <c r="C247" s="49">
        <v>979.09911511023256</v>
      </c>
      <c r="D247" s="48">
        <v>188</v>
      </c>
      <c r="E247" s="49">
        <v>-0.75235210413204778</v>
      </c>
      <c r="F247" s="48">
        <v>188</v>
      </c>
      <c r="G247" s="49">
        <v>934.26290111768708</v>
      </c>
      <c r="H247" s="35"/>
      <c r="I247" s="35"/>
      <c r="J247" s="35"/>
      <c r="K247" s="35"/>
      <c r="L247" s="35"/>
      <c r="M247" s="35"/>
      <c r="N247" s="35"/>
    </row>
    <row r="248" spans="1:14" x14ac:dyDescent="0.3">
      <c r="A248" s="35"/>
      <c r="B248" s="48">
        <v>189</v>
      </c>
      <c r="C248" s="49">
        <v>1427.9299203658188</v>
      </c>
      <c r="D248" s="48">
        <v>189</v>
      </c>
      <c r="E248" s="49">
        <v>9.0191442595050315</v>
      </c>
      <c r="F248" s="48">
        <v>189</v>
      </c>
      <c r="G248" s="49">
        <v>1463.814029817577</v>
      </c>
      <c r="H248" s="35"/>
      <c r="I248" s="35"/>
      <c r="J248" s="35"/>
      <c r="K248" s="35"/>
      <c r="L248" s="35"/>
      <c r="M248" s="35"/>
      <c r="N248" s="35"/>
    </row>
    <row r="249" spans="1:14" x14ac:dyDescent="0.3">
      <c r="A249" s="35"/>
      <c r="B249" s="48">
        <v>190</v>
      </c>
      <c r="C249" s="49">
        <v>864.71010429555758</v>
      </c>
      <c r="D249" s="48">
        <v>190</v>
      </c>
      <c r="E249" s="49">
        <v>0.12672685347150894</v>
      </c>
      <c r="F249" s="48">
        <v>190</v>
      </c>
      <c r="G249" s="49">
        <v>954.55948782911821</v>
      </c>
      <c r="H249" s="35"/>
      <c r="I249" s="35"/>
      <c r="J249" s="35"/>
      <c r="K249" s="35"/>
      <c r="L249" s="35"/>
      <c r="M249" s="35"/>
      <c r="N249" s="35"/>
    </row>
    <row r="250" spans="1:14" x14ac:dyDescent="0.3">
      <c r="A250" s="35"/>
      <c r="B250" s="48">
        <v>191</v>
      </c>
      <c r="C250" s="49">
        <v>1274.9590572582031</v>
      </c>
      <c r="D250" s="48">
        <v>191</v>
      </c>
      <c r="E250" s="49">
        <v>-32.445024952109392</v>
      </c>
      <c r="F250" s="48">
        <v>191</v>
      </c>
      <c r="G250" s="49">
        <v>1305.5491920931649</v>
      </c>
      <c r="H250" s="35"/>
      <c r="I250" s="35"/>
      <c r="J250" s="35"/>
      <c r="K250" s="35"/>
      <c r="L250" s="35"/>
      <c r="M250" s="35"/>
      <c r="N250" s="35"/>
    </row>
    <row r="251" spans="1:14" x14ac:dyDescent="0.3">
      <c r="A251" s="35"/>
      <c r="B251" s="48">
        <v>192</v>
      </c>
      <c r="C251" s="49">
        <v>1061.6639753059583</v>
      </c>
      <c r="D251" s="48">
        <v>192</v>
      </c>
      <c r="E251" s="49">
        <v>-27.179596755651595</v>
      </c>
      <c r="F251" s="48">
        <v>192</v>
      </c>
      <c r="G251" s="49">
        <v>767.8742450980784</v>
      </c>
      <c r="H251" s="35"/>
      <c r="I251" s="35"/>
      <c r="J251" s="35"/>
      <c r="K251" s="35"/>
      <c r="L251" s="35"/>
      <c r="M251" s="35"/>
      <c r="N251" s="35"/>
    </row>
    <row r="252" spans="1:14" x14ac:dyDescent="0.3">
      <c r="A252" s="35"/>
      <c r="B252" s="48">
        <v>193</v>
      </c>
      <c r="C252" s="49">
        <v>630.81126158102472</v>
      </c>
      <c r="D252" s="48">
        <v>193</v>
      </c>
      <c r="E252" s="49">
        <v>1.4354611155427108</v>
      </c>
      <c r="F252" s="48">
        <v>193</v>
      </c>
      <c r="G252" s="49">
        <v>1220.7196104933735</v>
      </c>
      <c r="H252" s="35"/>
      <c r="I252" s="35"/>
      <c r="J252" s="35"/>
      <c r="K252" s="35"/>
      <c r="L252" s="35"/>
      <c r="M252" s="35"/>
      <c r="N252" s="35"/>
    </row>
    <row r="253" spans="1:14" x14ac:dyDescent="0.3">
      <c r="A253" s="35"/>
      <c r="B253" s="48">
        <v>194</v>
      </c>
      <c r="C253" s="49">
        <v>979.14332432620836</v>
      </c>
      <c r="D253" s="48">
        <v>194</v>
      </c>
      <c r="E253" s="49">
        <v>-25.750678937755559</v>
      </c>
      <c r="F253" s="48">
        <v>194</v>
      </c>
      <c r="G253" s="49">
        <v>982.06195753268344</v>
      </c>
      <c r="H253" s="35"/>
      <c r="I253" s="35"/>
      <c r="J253" s="35"/>
      <c r="K253" s="35"/>
      <c r="L253" s="35"/>
      <c r="M253" s="35"/>
      <c r="N253" s="35"/>
    </row>
    <row r="254" spans="1:14" x14ac:dyDescent="0.3">
      <c r="A254" s="35"/>
      <c r="B254" s="48">
        <v>195</v>
      </c>
      <c r="C254" s="49">
        <v>732.7400219357055</v>
      </c>
      <c r="D254" s="48">
        <v>195</v>
      </c>
      <c r="E254" s="49">
        <v>11.998583638490501</v>
      </c>
      <c r="F254" s="48">
        <v>195</v>
      </c>
      <c r="G254" s="49">
        <v>1198.0085132951863</v>
      </c>
      <c r="H254" s="35"/>
      <c r="I254" s="35"/>
      <c r="J254" s="35"/>
      <c r="K254" s="35"/>
      <c r="L254" s="35"/>
      <c r="M254" s="35"/>
      <c r="N254" s="35"/>
    </row>
    <row r="255" spans="1:14" x14ac:dyDescent="0.3">
      <c r="A255" s="35"/>
      <c r="B255" s="48">
        <v>196</v>
      </c>
      <c r="C255" s="49">
        <v>799.95123619316018</v>
      </c>
      <c r="D255" s="48">
        <v>196</v>
      </c>
      <c r="E255" s="49">
        <v>57.175212322783338</v>
      </c>
      <c r="F255" s="48">
        <v>196</v>
      </c>
      <c r="G255" s="49">
        <v>938.95764383043138</v>
      </c>
      <c r="H255" s="35"/>
      <c r="I255" s="35"/>
      <c r="J255" s="35"/>
      <c r="K255" s="35"/>
      <c r="L255" s="35"/>
      <c r="M255" s="35"/>
      <c r="N255" s="35"/>
    </row>
    <row r="256" spans="1:14" x14ac:dyDescent="0.3">
      <c r="A256" s="35"/>
      <c r="B256" s="48">
        <v>197</v>
      </c>
      <c r="C256" s="49">
        <v>505.31403451756512</v>
      </c>
      <c r="D256" s="48">
        <v>197</v>
      </c>
      <c r="E256" s="49">
        <v>-33.465843473608977</v>
      </c>
      <c r="F256" s="48">
        <v>197</v>
      </c>
      <c r="G256" s="49">
        <v>821.29809047541858</v>
      </c>
      <c r="H256" s="35"/>
      <c r="I256" s="35"/>
      <c r="J256" s="35"/>
      <c r="K256" s="35"/>
      <c r="L256" s="35"/>
      <c r="M256" s="35"/>
      <c r="N256" s="35"/>
    </row>
    <row r="257" spans="1:14" x14ac:dyDescent="0.3">
      <c r="A257" s="35"/>
      <c r="B257" s="48">
        <v>198</v>
      </c>
      <c r="C257" s="49">
        <v>800.9258532999213</v>
      </c>
      <c r="D257" s="48">
        <v>198</v>
      </c>
      <c r="E257" s="49">
        <v>21.950253509587313</v>
      </c>
      <c r="F257" s="48">
        <v>198</v>
      </c>
      <c r="G257" s="49">
        <v>1084.9670233361596</v>
      </c>
      <c r="H257" s="35"/>
      <c r="I257" s="35"/>
      <c r="J257" s="35"/>
      <c r="K257" s="35"/>
      <c r="L257" s="35"/>
      <c r="M257" s="35"/>
      <c r="N257" s="35"/>
    </row>
    <row r="258" spans="1:14" x14ac:dyDescent="0.3">
      <c r="A258" s="35"/>
      <c r="B258" s="48">
        <v>199</v>
      </c>
      <c r="C258" s="49">
        <v>1347.4078090188975</v>
      </c>
      <c r="D258" s="48">
        <v>199</v>
      </c>
      <c r="E258" s="49">
        <v>12.4287828248937</v>
      </c>
      <c r="F258" s="48">
        <v>199</v>
      </c>
      <c r="G258" s="49">
        <v>713.41544560498835</v>
      </c>
      <c r="H258" s="35"/>
      <c r="I258" s="35"/>
      <c r="J258" s="35"/>
      <c r="K258" s="35"/>
      <c r="L258" s="35"/>
      <c r="M258" s="35"/>
      <c r="N258" s="35"/>
    </row>
    <row r="259" spans="1:14" x14ac:dyDescent="0.3">
      <c r="A259" s="35"/>
      <c r="B259" s="48">
        <v>200</v>
      </c>
      <c r="C259" s="49">
        <v>1032.8005239610397</v>
      </c>
      <c r="D259" s="48">
        <v>200</v>
      </c>
      <c r="E259" s="49">
        <v>2.4302054145822098</v>
      </c>
      <c r="F259" s="48">
        <v>200</v>
      </c>
      <c r="G259" s="49">
        <v>1000.5467319377456</v>
      </c>
      <c r="H259" s="35"/>
      <c r="I259" s="35"/>
      <c r="J259" s="35"/>
      <c r="K259" s="35"/>
      <c r="L259" s="35"/>
      <c r="M259" s="35"/>
      <c r="N259" s="35"/>
    </row>
    <row r="260" spans="1:14" x14ac:dyDescent="0.3">
      <c r="A260" s="35"/>
      <c r="B260" s="48">
        <v>201</v>
      </c>
      <c r="C260" s="49">
        <v>927.17482022978788</v>
      </c>
      <c r="D260" s="48">
        <v>201</v>
      </c>
      <c r="E260" s="49">
        <v>-34.337296467054102</v>
      </c>
      <c r="F260" s="48">
        <v>201</v>
      </c>
      <c r="G260" s="49">
        <v>628.82370028402818</v>
      </c>
      <c r="H260" s="35"/>
      <c r="I260" s="35"/>
      <c r="J260" s="35"/>
      <c r="K260" s="35"/>
      <c r="L260" s="35"/>
      <c r="M260" s="35"/>
      <c r="N260" s="35"/>
    </row>
    <row r="261" spans="1:14" x14ac:dyDescent="0.3">
      <c r="A261" s="35"/>
      <c r="B261" s="48">
        <v>202</v>
      </c>
      <c r="C261" s="49">
        <v>1189.6838510166431</v>
      </c>
      <c r="D261" s="48">
        <v>202</v>
      </c>
      <c r="E261" s="49">
        <v>38.375795707950168</v>
      </c>
      <c r="F261" s="48">
        <v>202</v>
      </c>
      <c r="G261" s="49">
        <v>1056.0849726440683</v>
      </c>
      <c r="H261" s="35"/>
      <c r="I261" s="35"/>
      <c r="J261" s="35"/>
      <c r="K261" s="35"/>
      <c r="L261" s="35"/>
      <c r="M261" s="35"/>
      <c r="N261" s="35"/>
    </row>
    <row r="262" spans="1:14" x14ac:dyDescent="0.3">
      <c r="A262" s="35"/>
      <c r="B262" s="48">
        <v>203</v>
      </c>
      <c r="C262" s="49">
        <v>786.14034310290015</v>
      </c>
      <c r="D262" s="48">
        <v>203</v>
      </c>
      <c r="E262" s="49">
        <v>-1.694418711999828</v>
      </c>
      <c r="F262" s="48">
        <v>203</v>
      </c>
      <c r="G262" s="49">
        <v>924.44204583650412</v>
      </c>
      <c r="H262" s="35"/>
      <c r="I262" s="35"/>
      <c r="J262" s="35"/>
      <c r="K262" s="35"/>
      <c r="L262" s="35"/>
      <c r="M262" s="35"/>
      <c r="N262" s="35"/>
    </row>
    <row r="263" spans="1:14" x14ac:dyDescent="0.3">
      <c r="A263" s="35"/>
      <c r="B263" s="48">
        <v>204</v>
      </c>
      <c r="C263" s="49">
        <v>1024.2714409579432</v>
      </c>
      <c r="D263" s="48">
        <v>204</v>
      </c>
      <c r="E263" s="49">
        <v>-38.846485769543442</v>
      </c>
      <c r="F263" s="48">
        <v>204</v>
      </c>
      <c r="G263" s="49">
        <v>898.60025529301345</v>
      </c>
      <c r="H263" s="35"/>
      <c r="I263" s="35"/>
      <c r="J263" s="35"/>
      <c r="K263" s="35"/>
      <c r="L263" s="35"/>
      <c r="M263" s="35"/>
      <c r="N263" s="35"/>
    </row>
    <row r="264" spans="1:14" x14ac:dyDescent="0.3">
      <c r="A264" s="35"/>
      <c r="B264" s="48">
        <v>205</v>
      </c>
      <c r="C264" s="49">
        <v>696.05939380492623</v>
      </c>
      <c r="D264" s="48">
        <v>205</v>
      </c>
      <c r="E264" s="49">
        <v>27.351594963489447</v>
      </c>
      <c r="F264" s="48">
        <v>205</v>
      </c>
      <c r="G264" s="49">
        <v>843.29353158544632</v>
      </c>
      <c r="H264" s="35"/>
      <c r="I264" s="35"/>
      <c r="J264" s="35"/>
      <c r="K264" s="35"/>
      <c r="L264" s="35"/>
      <c r="M264" s="35"/>
      <c r="N264" s="35"/>
    </row>
    <row r="265" spans="1:14" x14ac:dyDescent="0.3">
      <c r="A265" s="35"/>
      <c r="B265" s="48">
        <v>206</v>
      </c>
      <c r="C265" s="49">
        <v>628.30777488220178</v>
      </c>
      <c r="D265" s="48">
        <v>206</v>
      </c>
      <c r="E265" s="49">
        <v>11.914368392285363</v>
      </c>
      <c r="F265" s="48">
        <v>206</v>
      </c>
      <c r="G265" s="49">
        <v>1318.3150361794596</v>
      </c>
      <c r="H265" s="35"/>
      <c r="I265" s="35"/>
      <c r="J265" s="35"/>
      <c r="K265" s="35"/>
      <c r="L265" s="35"/>
      <c r="M265" s="35"/>
      <c r="N265" s="35"/>
    </row>
    <row r="266" spans="1:14" x14ac:dyDescent="0.3">
      <c r="A266" s="35"/>
      <c r="B266" s="48">
        <v>207</v>
      </c>
      <c r="C266" s="49">
        <v>1245.3602470809994</v>
      </c>
      <c r="D266" s="48">
        <v>207</v>
      </c>
      <c r="E266" s="49">
        <v>24.334078966923084</v>
      </c>
      <c r="F266" s="48">
        <v>207</v>
      </c>
      <c r="G266" s="49">
        <v>672.90387278055778</v>
      </c>
      <c r="H266" s="35"/>
      <c r="I266" s="35"/>
      <c r="J266" s="35"/>
      <c r="K266" s="35"/>
      <c r="L266" s="35"/>
      <c r="M266" s="35"/>
      <c r="N266" s="35"/>
    </row>
    <row r="267" spans="1:14" x14ac:dyDescent="0.3">
      <c r="A267" s="35"/>
      <c r="B267" s="48">
        <v>208</v>
      </c>
      <c r="C267" s="49">
        <v>511.7454180388828</v>
      </c>
      <c r="D267" s="48">
        <v>208</v>
      </c>
      <c r="E267" s="49">
        <v>-51.359421796207258</v>
      </c>
      <c r="F267" s="48">
        <v>208</v>
      </c>
      <c r="G267" s="49">
        <v>1082.6506431316388</v>
      </c>
      <c r="H267" s="35"/>
      <c r="I267" s="35"/>
      <c r="J267" s="35"/>
      <c r="K267" s="35"/>
      <c r="L267" s="35"/>
      <c r="M267" s="35"/>
      <c r="N267" s="35"/>
    </row>
    <row r="268" spans="1:14" x14ac:dyDescent="0.3">
      <c r="A268" s="35"/>
      <c r="B268" s="48">
        <v>209</v>
      </c>
      <c r="C268" s="49">
        <v>719.09776954542451</v>
      </c>
      <c r="D268" s="48">
        <v>209</v>
      </c>
      <c r="E268" s="49">
        <v>39.153341536362881</v>
      </c>
      <c r="F268" s="48">
        <v>209</v>
      </c>
      <c r="G268" s="49">
        <v>1274.8728490171914</v>
      </c>
      <c r="H268" s="35"/>
      <c r="I268" s="35"/>
      <c r="J268" s="35"/>
      <c r="K268" s="35"/>
      <c r="L268" s="35"/>
      <c r="M268" s="35"/>
      <c r="N268" s="35"/>
    </row>
    <row r="269" spans="1:14" x14ac:dyDescent="0.3">
      <c r="A269" s="35"/>
      <c r="B269" s="48">
        <v>210</v>
      </c>
      <c r="C269" s="49">
        <v>917.20211416300151</v>
      </c>
      <c r="D269" s="48">
        <v>210</v>
      </c>
      <c r="E269" s="49">
        <v>-16.585024197701593</v>
      </c>
      <c r="F269" s="48">
        <v>210</v>
      </c>
      <c r="G269" s="49">
        <v>1118.6631042148003</v>
      </c>
      <c r="H269" s="35"/>
      <c r="I269" s="35"/>
      <c r="J269" s="35"/>
      <c r="K269" s="35"/>
      <c r="L269" s="35"/>
      <c r="M269" s="35"/>
      <c r="N269" s="35"/>
    </row>
    <row r="270" spans="1:14" x14ac:dyDescent="0.3">
      <c r="A270" s="35"/>
      <c r="B270" s="48">
        <v>211</v>
      </c>
      <c r="C270" s="49">
        <v>1138.5428335456022</v>
      </c>
      <c r="D270" s="48">
        <v>211</v>
      </c>
      <c r="E270" s="49">
        <v>-47.494713118091326</v>
      </c>
      <c r="F270" s="48">
        <v>211</v>
      </c>
      <c r="G270" s="49">
        <v>973.32670797773824</v>
      </c>
      <c r="H270" s="35"/>
      <c r="I270" s="35"/>
      <c r="J270" s="35"/>
      <c r="K270" s="35"/>
      <c r="L270" s="35"/>
      <c r="M270" s="35"/>
      <c r="N270" s="35"/>
    </row>
    <row r="271" spans="1:14" x14ac:dyDescent="0.3">
      <c r="A271" s="35"/>
      <c r="B271" s="48">
        <v>212</v>
      </c>
      <c r="C271" s="49">
        <v>929.98806393561097</v>
      </c>
      <c r="D271" s="48">
        <v>212</v>
      </c>
      <c r="E271" s="49">
        <v>-4.6240966038091376</v>
      </c>
      <c r="F271" s="48">
        <v>212</v>
      </c>
      <c r="G271" s="49">
        <v>682.62049240004751</v>
      </c>
      <c r="H271" s="35"/>
      <c r="I271" s="35"/>
      <c r="J271" s="35"/>
      <c r="K271" s="35"/>
      <c r="L271" s="35"/>
      <c r="M271" s="35"/>
      <c r="N271" s="35"/>
    </row>
    <row r="272" spans="1:14" x14ac:dyDescent="0.3">
      <c r="A272" s="35"/>
      <c r="B272" s="48">
        <v>213</v>
      </c>
      <c r="C272" s="49">
        <v>999.06739228690162</v>
      </c>
      <c r="D272" s="48">
        <v>213</v>
      </c>
      <c r="E272" s="49">
        <v>58.428359355238669</v>
      </c>
      <c r="F272" s="48">
        <v>213</v>
      </c>
      <c r="G272" s="49">
        <v>883.43044908167735</v>
      </c>
      <c r="H272" s="35"/>
      <c r="I272" s="35"/>
      <c r="J272" s="35"/>
      <c r="K272" s="35"/>
      <c r="L272" s="35"/>
      <c r="M272" s="35"/>
      <c r="N272" s="35"/>
    </row>
    <row r="273" spans="1:14" x14ac:dyDescent="0.3">
      <c r="A273" s="35"/>
      <c r="B273" s="48">
        <v>214</v>
      </c>
      <c r="C273" s="49">
        <v>1001.5279194628589</v>
      </c>
      <c r="D273" s="48">
        <v>214</v>
      </c>
      <c r="E273" s="49">
        <v>29.665657383281037</v>
      </c>
      <c r="F273" s="48">
        <v>214</v>
      </c>
      <c r="G273" s="49">
        <v>729.70633029552914</v>
      </c>
      <c r="H273" s="35"/>
      <c r="I273" s="35"/>
      <c r="J273" s="35"/>
      <c r="K273" s="35"/>
      <c r="L273" s="35"/>
      <c r="M273" s="35"/>
      <c r="N273" s="35"/>
    </row>
    <row r="274" spans="1:14" x14ac:dyDescent="0.3">
      <c r="A274" s="35"/>
      <c r="B274" s="48">
        <v>215</v>
      </c>
      <c r="C274" s="49">
        <v>529.71966818238411</v>
      </c>
      <c r="D274" s="48">
        <v>215</v>
      </c>
      <c r="E274" s="49">
        <v>41.716581815245618</v>
      </c>
      <c r="F274" s="48">
        <v>215</v>
      </c>
      <c r="G274" s="49">
        <v>1221.5334611581366</v>
      </c>
      <c r="H274" s="35"/>
      <c r="I274" s="35"/>
      <c r="J274" s="35"/>
      <c r="K274" s="35"/>
      <c r="L274" s="35"/>
      <c r="M274" s="35"/>
      <c r="N274" s="35"/>
    </row>
    <row r="275" spans="1:14" x14ac:dyDescent="0.3">
      <c r="A275" s="35"/>
      <c r="B275" s="48">
        <v>216</v>
      </c>
      <c r="C275" s="49">
        <v>504.55339024207416</v>
      </c>
      <c r="D275" s="48">
        <v>216</v>
      </c>
      <c r="E275" s="49">
        <v>-10.614267879341808</v>
      </c>
      <c r="F275" s="48">
        <v>216</v>
      </c>
      <c r="G275" s="49">
        <v>1257.2438719793759</v>
      </c>
      <c r="H275" s="35"/>
      <c r="I275" s="35"/>
      <c r="J275" s="35"/>
      <c r="K275" s="35"/>
      <c r="L275" s="35"/>
      <c r="M275" s="35"/>
      <c r="N275" s="35"/>
    </row>
    <row r="276" spans="1:14" x14ac:dyDescent="0.3">
      <c r="A276" s="35"/>
      <c r="B276" s="48">
        <v>217</v>
      </c>
      <c r="C276" s="49">
        <v>881.82807008432314</v>
      </c>
      <c r="D276" s="48">
        <v>217</v>
      </c>
      <c r="E276" s="49">
        <v>-7.1676266885803939</v>
      </c>
      <c r="F276" s="48">
        <v>217</v>
      </c>
      <c r="G276" s="49">
        <v>683.40989259000014</v>
      </c>
      <c r="H276" s="35"/>
      <c r="I276" s="35"/>
      <c r="J276" s="35"/>
      <c r="K276" s="35"/>
      <c r="L276" s="35"/>
      <c r="M276" s="35"/>
      <c r="N276" s="35"/>
    </row>
    <row r="277" spans="1:14" x14ac:dyDescent="0.3">
      <c r="A277" s="35"/>
      <c r="B277" s="48">
        <v>218</v>
      </c>
      <c r="C277" s="49">
        <v>1236.6892195016108</v>
      </c>
      <c r="D277" s="48">
        <v>218</v>
      </c>
      <c r="E277" s="49">
        <v>-16.55298186934332</v>
      </c>
      <c r="F277" s="48">
        <v>218</v>
      </c>
      <c r="G277" s="49">
        <v>710.68819299157576</v>
      </c>
      <c r="H277" s="35"/>
      <c r="I277" s="35"/>
      <c r="J277" s="35"/>
      <c r="K277" s="35"/>
      <c r="L277" s="35"/>
      <c r="M277" s="35"/>
      <c r="N277" s="35"/>
    </row>
    <row r="278" spans="1:14" x14ac:dyDescent="0.3">
      <c r="A278" s="35"/>
      <c r="B278" s="48">
        <v>219</v>
      </c>
      <c r="C278" s="49">
        <v>449.21400922896919</v>
      </c>
      <c r="D278" s="48">
        <v>219</v>
      </c>
      <c r="E278" s="49">
        <v>2.7345201905251391</v>
      </c>
      <c r="F278" s="48">
        <v>219</v>
      </c>
      <c r="G278" s="49">
        <v>793.93604418324742</v>
      </c>
      <c r="H278" s="35"/>
      <c r="I278" s="35"/>
      <c r="J278" s="35"/>
      <c r="K278" s="35"/>
      <c r="L278" s="35"/>
      <c r="M278" s="35"/>
      <c r="N278" s="35"/>
    </row>
    <row r="279" spans="1:14" x14ac:dyDescent="0.3">
      <c r="A279" s="35"/>
      <c r="B279" s="48">
        <v>220</v>
      </c>
      <c r="C279" s="49">
        <v>1072.5316614290755</v>
      </c>
      <c r="D279" s="48">
        <v>220</v>
      </c>
      <c r="E279" s="49">
        <v>14.830214741692483</v>
      </c>
      <c r="F279" s="48">
        <v>220</v>
      </c>
      <c r="G279" s="49">
        <v>829.9246024722172</v>
      </c>
      <c r="H279" s="35"/>
      <c r="I279" s="35"/>
      <c r="J279" s="35"/>
      <c r="K279" s="35"/>
      <c r="L279" s="35"/>
      <c r="M279" s="35"/>
      <c r="N279" s="35"/>
    </row>
    <row r="280" spans="1:14" x14ac:dyDescent="0.3">
      <c r="A280" s="35"/>
      <c r="B280" s="48">
        <v>221</v>
      </c>
      <c r="C280" s="49">
        <v>834.58553404483939</v>
      </c>
      <c r="D280" s="48">
        <v>221</v>
      </c>
      <c r="E280" s="49">
        <v>-0.34087840378205247</v>
      </c>
      <c r="F280" s="48">
        <v>221</v>
      </c>
      <c r="G280" s="49">
        <v>555.19175799520133</v>
      </c>
      <c r="H280" s="35"/>
      <c r="I280" s="35"/>
      <c r="J280" s="35"/>
      <c r="K280" s="35"/>
      <c r="L280" s="35"/>
      <c r="M280" s="35"/>
      <c r="N280" s="35"/>
    </row>
    <row r="281" spans="1:14" x14ac:dyDescent="0.3">
      <c r="A281" s="35"/>
      <c r="B281" s="48">
        <v>222</v>
      </c>
      <c r="C281" s="49">
        <v>1367.1931836902286</v>
      </c>
      <c r="D281" s="48">
        <v>222</v>
      </c>
      <c r="E281" s="49">
        <v>-6.0873838933545521</v>
      </c>
      <c r="F281" s="48">
        <v>222</v>
      </c>
      <c r="G281" s="49">
        <v>1106.3667045900429</v>
      </c>
      <c r="H281" s="35"/>
      <c r="I281" s="35"/>
      <c r="J281" s="35"/>
      <c r="K281" s="35"/>
      <c r="L281" s="35"/>
      <c r="M281" s="35"/>
      <c r="N281" s="35"/>
    </row>
    <row r="282" spans="1:14" x14ac:dyDescent="0.3">
      <c r="A282" s="35"/>
      <c r="B282" s="48">
        <v>223</v>
      </c>
      <c r="C282" s="49">
        <v>1332.3031491488407</v>
      </c>
      <c r="D282" s="48">
        <v>223</v>
      </c>
      <c r="E282" s="49">
        <v>38.786989743769297</v>
      </c>
      <c r="F282" s="48">
        <v>223</v>
      </c>
      <c r="G282" s="49">
        <v>808.66738575103159</v>
      </c>
      <c r="H282" s="35"/>
      <c r="I282" s="35"/>
      <c r="J282" s="35"/>
      <c r="K282" s="35"/>
      <c r="L282" s="35"/>
      <c r="M282" s="35"/>
      <c r="N282" s="35"/>
    </row>
    <row r="283" spans="1:14" x14ac:dyDescent="0.3">
      <c r="A283" s="35"/>
      <c r="B283" s="48">
        <v>224</v>
      </c>
      <c r="C283" s="49">
        <v>644.5647370000363</v>
      </c>
      <c r="D283" s="48">
        <v>224</v>
      </c>
      <c r="E283" s="49">
        <v>-26.247763825014044</v>
      </c>
      <c r="F283" s="48">
        <v>224</v>
      </c>
      <c r="G283" s="49">
        <v>1222.7640975576039</v>
      </c>
      <c r="H283" s="35"/>
      <c r="I283" s="35"/>
      <c r="J283" s="35"/>
      <c r="K283" s="35"/>
      <c r="L283" s="35"/>
      <c r="M283" s="35"/>
      <c r="N283" s="35"/>
    </row>
    <row r="284" spans="1:14" x14ac:dyDescent="0.3">
      <c r="A284" s="35"/>
      <c r="B284" s="48">
        <v>225</v>
      </c>
      <c r="C284" s="49">
        <v>685.9783832756649</v>
      </c>
      <c r="D284" s="48">
        <v>225</v>
      </c>
      <c r="E284" s="49">
        <v>-16.967202979655202</v>
      </c>
      <c r="F284" s="48">
        <v>225</v>
      </c>
      <c r="G284" s="49">
        <v>429.32367937056267</v>
      </c>
      <c r="H284" s="35"/>
      <c r="I284" s="35"/>
      <c r="J284" s="35"/>
      <c r="K284" s="35"/>
      <c r="L284" s="35"/>
      <c r="M284" s="35"/>
      <c r="N284" s="35"/>
    </row>
    <row r="285" spans="1:14" x14ac:dyDescent="0.3">
      <c r="A285" s="35"/>
      <c r="B285" s="48">
        <v>226</v>
      </c>
      <c r="C285" s="49">
        <v>229.10598526338245</v>
      </c>
      <c r="D285" s="48">
        <v>226</v>
      </c>
      <c r="E285" s="49">
        <v>-2.5924256200945988</v>
      </c>
      <c r="F285" s="48">
        <v>226</v>
      </c>
      <c r="G285" s="49">
        <v>899.70306659032087</v>
      </c>
      <c r="H285" s="35"/>
      <c r="I285" s="35"/>
      <c r="J285" s="35"/>
      <c r="K285" s="35"/>
      <c r="L285" s="35"/>
      <c r="M285" s="35"/>
      <c r="N285" s="35"/>
    </row>
    <row r="286" spans="1:14" x14ac:dyDescent="0.3">
      <c r="A286" s="35"/>
      <c r="B286" s="48">
        <v>227</v>
      </c>
      <c r="C286" s="49">
        <v>418.15300575411368</v>
      </c>
      <c r="D286" s="48">
        <v>227</v>
      </c>
      <c r="E286" s="49">
        <v>-8.630380621786383</v>
      </c>
      <c r="F286" s="48">
        <v>227</v>
      </c>
      <c r="G286" s="49">
        <v>1008.4906457943023</v>
      </c>
      <c r="H286" s="35"/>
      <c r="I286" s="35"/>
      <c r="J286" s="35"/>
      <c r="K286" s="35"/>
      <c r="L286" s="35"/>
      <c r="M286" s="35"/>
      <c r="N286" s="35"/>
    </row>
    <row r="287" spans="1:14" x14ac:dyDescent="0.3">
      <c r="A287" s="35"/>
      <c r="B287" s="48">
        <v>228</v>
      </c>
      <c r="C287" s="49">
        <v>557.57449943380698</v>
      </c>
      <c r="D287" s="48">
        <v>228</v>
      </c>
      <c r="E287" s="49">
        <v>-6.6073288105414036</v>
      </c>
      <c r="F287" s="48">
        <v>228</v>
      </c>
      <c r="G287" s="49">
        <v>1113.3046330418006</v>
      </c>
      <c r="H287" s="35"/>
      <c r="I287" s="35"/>
      <c r="J287" s="35"/>
      <c r="K287" s="35"/>
      <c r="L287" s="35"/>
      <c r="M287" s="35"/>
      <c r="N287" s="35"/>
    </row>
    <row r="288" spans="1:14" x14ac:dyDescent="0.3">
      <c r="A288" s="35"/>
      <c r="B288" s="48">
        <v>229</v>
      </c>
      <c r="C288" s="49">
        <v>1205.9553134115733</v>
      </c>
      <c r="D288" s="48">
        <v>229</v>
      </c>
      <c r="E288" s="49">
        <v>-42.313494070916434</v>
      </c>
      <c r="F288" s="48">
        <v>229</v>
      </c>
      <c r="G288" s="49">
        <v>1008.2866297823545</v>
      </c>
      <c r="H288" s="35"/>
      <c r="I288" s="35"/>
      <c r="J288" s="35"/>
      <c r="K288" s="35"/>
      <c r="L288" s="35"/>
      <c r="M288" s="35"/>
      <c r="N288" s="35"/>
    </row>
    <row r="289" spans="1:14" x14ac:dyDescent="0.3">
      <c r="A289" s="35"/>
      <c r="B289" s="48">
        <v>230</v>
      </c>
      <c r="C289" s="49">
        <v>280.64658753759215</v>
      </c>
      <c r="D289" s="48">
        <v>230</v>
      </c>
      <c r="E289" s="49">
        <v>16.148674147942494</v>
      </c>
      <c r="F289" s="48">
        <v>230</v>
      </c>
      <c r="G289" s="49">
        <v>1155.3740214640254</v>
      </c>
      <c r="H289" s="35"/>
      <c r="I289" s="35"/>
      <c r="J289" s="35"/>
      <c r="K289" s="35"/>
      <c r="L289" s="35"/>
      <c r="M289" s="35"/>
      <c r="N289" s="35"/>
    </row>
    <row r="290" spans="1:14" x14ac:dyDescent="0.3">
      <c r="A290" s="35"/>
      <c r="B290" s="48">
        <v>231</v>
      </c>
      <c r="C290" s="49">
        <v>1084.4173437653856</v>
      </c>
      <c r="D290" s="48">
        <v>231</v>
      </c>
      <c r="E290" s="49">
        <v>-35.604612948190621</v>
      </c>
      <c r="F290" s="48">
        <v>231</v>
      </c>
      <c r="G290" s="49">
        <v>860.16195018099313</v>
      </c>
      <c r="H290" s="35"/>
      <c r="I290" s="35"/>
      <c r="J290" s="35"/>
      <c r="K290" s="35"/>
      <c r="L290" s="35"/>
      <c r="M290" s="35"/>
      <c r="N290" s="35"/>
    </row>
    <row r="291" spans="1:14" x14ac:dyDescent="0.3">
      <c r="A291" s="35"/>
      <c r="B291" s="48">
        <v>232</v>
      </c>
      <c r="C291" s="49">
        <v>950.52648013595649</v>
      </c>
      <c r="D291" s="48">
        <v>232</v>
      </c>
      <c r="E291" s="49">
        <v>-4.3583255452428356</v>
      </c>
      <c r="F291" s="48">
        <v>232</v>
      </c>
      <c r="G291" s="49">
        <v>1365.4894772597411</v>
      </c>
      <c r="H291" s="35"/>
      <c r="I291" s="35"/>
      <c r="J291" s="35"/>
      <c r="K291" s="35"/>
      <c r="L291" s="35"/>
      <c r="M291" s="35"/>
      <c r="N291" s="35"/>
    </row>
    <row r="292" spans="1:14" x14ac:dyDescent="0.3">
      <c r="A292" s="35"/>
      <c r="B292" s="48">
        <v>233</v>
      </c>
      <c r="C292" s="49">
        <v>719.2393532287058</v>
      </c>
      <c r="D292" s="48">
        <v>233</v>
      </c>
      <c r="E292" s="49">
        <v>36.057357132964697</v>
      </c>
      <c r="F292" s="48">
        <v>233</v>
      </c>
      <c r="G292" s="49">
        <v>1039.305581200008</v>
      </c>
      <c r="H292" s="35"/>
      <c r="I292" s="35"/>
      <c r="J292" s="35"/>
      <c r="K292" s="35"/>
      <c r="L292" s="35"/>
      <c r="M292" s="35"/>
      <c r="N292" s="35"/>
    </row>
    <row r="293" spans="1:14" x14ac:dyDescent="0.3">
      <c r="A293" s="35"/>
      <c r="B293" s="48">
        <v>234</v>
      </c>
      <c r="C293" s="49">
        <v>1025.82289759688</v>
      </c>
      <c r="D293" s="48">
        <v>234</v>
      </c>
      <c r="E293" s="49">
        <v>51.940053865113555</v>
      </c>
      <c r="F293" s="48">
        <v>234</v>
      </c>
      <c r="G293" s="49">
        <v>1502.9956448353539</v>
      </c>
      <c r="H293" s="35"/>
      <c r="I293" s="35"/>
      <c r="J293" s="35"/>
      <c r="K293" s="35"/>
      <c r="L293" s="35"/>
      <c r="M293" s="35"/>
      <c r="N293" s="35"/>
    </row>
    <row r="294" spans="1:14" x14ac:dyDescent="0.3">
      <c r="A294" s="35"/>
      <c r="B294" s="48">
        <v>235</v>
      </c>
      <c r="C294" s="49">
        <v>1037.4489268039838</v>
      </c>
      <c r="D294" s="48">
        <v>235</v>
      </c>
      <c r="E294" s="49">
        <v>33.848549375289466</v>
      </c>
      <c r="F294" s="48">
        <v>235</v>
      </c>
      <c r="G294" s="49">
        <v>696.44269050771072</v>
      </c>
      <c r="H294" s="35"/>
      <c r="I294" s="35"/>
      <c r="J294" s="35"/>
      <c r="K294" s="35"/>
      <c r="L294" s="35"/>
      <c r="M294" s="35"/>
      <c r="N294" s="35"/>
    </row>
    <row r="295" spans="1:14" x14ac:dyDescent="0.3">
      <c r="A295" s="35"/>
      <c r="B295" s="48">
        <v>236</v>
      </c>
      <c r="C295" s="49">
        <v>829.41510286070354</v>
      </c>
      <c r="D295" s="48">
        <v>236</v>
      </c>
      <c r="E295" s="49">
        <v>-33.861278086880723</v>
      </c>
      <c r="F295" s="48">
        <v>236</v>
      </c>
      <c r="G295" s="49">
        <v>915.39082434108172</v>
      </c>
      <c r="H295" s="35"/>
      <c r="I295" s="35"/>
      <c r="J295" s="35"/>
      <c r="K295" s="35"/>
      <c r="L295" s="35"/>
      <c r="M295" s="35"/>
      <c r="N295" s="35"/>
    </row>
    <row r="296" spans="1:14" x14ac:dyDescent="0.3">
      <c r="A296" s="35"/>
      <c r="B296" s="48">
        <v>237</v>
      </c>
      <c r="C296" s="49">
        <v>931.29873505760258</v>
      </c>
      <c r="D296" s="48">
        <v>237</v>
      </c>
      <c r="E296" s="49">
        <v>-1.4285356523033628</v>
      </c>
      <c r="F296" s="48">
        <v>237</v>
      </c>
      <c r="G296" s="49">
        <v>488.27068910194487</v>
      </c>
      <c r="H296" s="35"/>
      <c r="I296" s="35"/>
      <c r="J296" s="35"/>
      <c r="K296" s="35"/>
      <c r="L296" s="35"/>
      <c r="M296" s="35"/>
      <c r="N296" s="35"/>
    </row>
    <row r="297" spans="1:14" x14ac:dyDescent="0.3">
      <c r="A297" s="35"/>
      <c r="B297" s="48">
        <v>238</v>
      </c>
      <c r="C297" s="49">
        <v>1611.4390930932275</v>
      </c>
      <c r="D297" s="48">
        <v>238</v>
      </c>
      <c r="E297" s="49">
        <v>10.222309699138005</v>
      </c>
      <c r="F297" s="48">
        <v>238</v>
      </c>
      <c r="G297" s="49">
        <v>951.37028543604049</v>
      </c>
      <c r="H297" s="35"/>
      <c r="I297" s="35"/>
      <c r="J297" s="35"/>
      <c r="K297" s="35"/>
      <c r="L297" s="35"/>
      <c r="M297" s="35"/>
      <c r="N297" s="35"/>
    </row>
    <row r="298" spans="1:14" x14ac:dyDescent="0.3">
      <c r="A298" s="35"/>
      <c r="B298" s="48">
        <v>239</v>
      </c>
      <c r="C298" s="49">
        <v>1017.5431010277136</v>
      </c>
      <c r="D298" s="48">
        <v>239</v>
      </c>
      <c r="E298" s="49">
        <v>-4.1816900136682822</v>
      </c>
      <c r="F298" s="48">
        <v>239</v>
      </c>
      <c r="G298" s="49">
        <v>501.97928774198562</v>
      </c>
      <c r="H298" s="35"/>
      <c r="I298" s="35"/>
      <c r="J298" s="35"/>
      <c r="K298" s="35"/>
      <c r="L298" s="35"/>
      <c r="M298" s="35"/>
      <c r="N298" s="35"/>
    </row>
    <row r="299" spans="1:14" x14ac:dyDescent="0.3">
      <c r="A299" s="35"/>
      <c r="B299" s="48">
        <v>240</v>
      </c>
      <c r="C299" s="49">
        <v>1209.9507379876206</v>
      </c>
      <c r="D299" s="48">
        <v>240</v>
      </c>
      <c r="E299" s="49">
        <v>-25.141610461877271</v>
      </c>
      <c r="F299" s="48">
        <v>240</v>
      </c>
      <c r="G299" s="49">
        <v>726.94537613074476</v>
      </c>
      <c r="H299" s="35"/>
      <c r="I299" s="35"/>
      <c r="J299" s="35"/>
      <c r="K299" s="35"/>
      <c r="L299" s="35"/>
      <c r="M299" s="35"/>
      <c r="N299" s="35"/>
    </row>
    <row r="300" spans="1:14" x14ac:dyDescent="0.3">
      <c r="A300" s="35"/>
      <c r="B300" s="48">
        <v>241</v>
      </c>
      <c r="C300" s="49">
        <v>1049.5551066877752</v>
      </c>
      <c r="D300" s="48">
        <v>241</v>
      </c>
      <c r="E300" s="49">
        <v>7.7874842396494515</v>
      </c>
      <c r="F300" s="48">
        <v>241</v>
      </c>
      <c r="G300" s="49">
        <v>1009.256562077798</v>
      </c>
      <c r="H300" s="35"/>
      <c r="I300" s="35"/>
      <c r="J300" s="35"/>
      <c r="K300" s="35"/>
      <c r="L300" s="35"/>
      <c r="M300" s="35"/>
      <c r="N300" s="35"/>
    </row>
    <row r="301" spans="1:14" x14ac:dyDescent="0.3">
      <c r="A301" s="35"/>
      <c r="B301" s="48">
        <v>242</v>
      </c>
      <c r="C301" s="49">
        <v>1031.6720492234515</v>
      </c>
      <c r="D301" s="48">
        <v>242</v>
      </c>
      <c r="E301" s="49">
        <v>-8.5735820254440789</v>
      </c>
      <c r="F301" s="48">
        <v>242</v>
      </c>
      <c r="G301" s="49">
        <v>848.43302833404482</v>
      </c>
      <c r="H301" s="35"/>
      <c r="I301" s="35"/>
      <c r="J301" s="35"/>
      <c r="K301" s="35"/>
      <c r="L301" s="35"/>
      <c r="M301" s="35"/>
      <c r="N301" s="35"/>
    </row>
    <row r="302" spans="1:14" x14ac:dyDescent="0.3">
      <c r="A302" s="35"/>
      <c r="B302" s="48">
        <v>243</v>
      </c>
      <c r="C302" s="49">
        <v>373.21345913586839</v>
      </c>
      <c r="D302" s="48">
        <v>243</v>
      </c>
      <c r="E302" s="49">
        <v>35.915532558195011</v>
      </c>
      <c r="F302" s="48">
        <v>243</v>
      </c>
      <c r="G302" s="49">
        <v>945.51134734500897</v>
      </c>
      <c r="H302" s="35"/>
      <c r="I302" s="35"/>
      <c r="J302" s="35"/>
      <c r="K302" s="35"/>
      <c r="L302" s="35"/>
      <c r="M302" s="35"/>
      <c r="N302" s="35"/>
    </row>
    <row r="303" spans="1:14" x14ac:dyDescent="0.3">
      <c r="A303" s="35"/>
      <c r="B303" s="48">
        <v>244</v>
      </c>
      <c r="C303" s="49">
        <v>1042.8915097855524</v>
      </c>
      <c r="D303" s="48">
        <v>244</v>
      </c>
      <c r="E303" s="49">
        <v>-12.842097740546084</v>
      </c>
      <c r="F303" s="48">
        <v>244</v>
      </c>
      <c r="G303" s="49">
        <v>889.12619405247824</v>
      </c>
      <c r="H303" s="35"/>
      <c r="I303" s="35"/>
      <c r="J303" s="35"/>
      <c r="K303" s="35"/>
      <c r="L303" s="35"/>
      <c r="M303" s="35"/>
      <c r="N303" s="35"/>
    </row>
    <row r="304" spans="1:14" x14ac:dyDescent="0.3">
      <c r="A304" s="35"/>
      <c r="B304" s="48">
        <v>245</v>
      </c>
      <c r="C304" s="49">
        <v>601.2704156623837</v>
      </c>
      <c r="D304" s="48">
        <v>245</v>
      </c>
      <c r="E304" s="49">
        <v>-24.013039645539106</v>
      </c>
      <c r="F304" s="48">
        <v>245</v>
      </c>
      <c r="G304" s="49">
        <v>1121.6260620839846</v>
      </c>
      <c r="H304" s="35"/>
      <c r="I304" s="35"/>
      <c r="J304" s="35"/>
      <c r="K304" s="35"/>
      <c r="L304" s="35"/>
      <c r="M304" s="35"/>
      <c r="N304" s="35"/>
    </row>
    <row r="305" spans="1:14" x14ac:dyDescent="0.3">
      <c r="A305" s="35"/>
      <c r="B305" s="48">
        <v>246</v>
      </c>
      <c r="C305" s="49">
        <v>994.33507809775165</v>
      </c>
      <c r="D305" s="48">
        <v>246</v>
      </c>
      <c r="E305" s="49">
        <v>0.50252142884870521</v>
      </c>
      <c r="F305" s="48">
        <v>246</v>
      </c>
      <c r="G305" s="49">
        <v>772.1356258477573</v>
      </c>
      <c r="H305" s="35"/>
      <c r="I305" s="35"/>
      <c r="J305" s="35"/>
      <c r="K305" s="35"/>
      <c r="L305" s="35"/>
      <c r="M305" s="35"/>
      <c r="N305" s="35"/>
    </row>
    <row r="306" spans="1:14" x14ac:dyDescent="0.3">
      <c r="A306" s="35"/>
      <c r="B306" s="48">
        <v>247</v>
      </c>
      <c r="C306" s="49">
        <v>904.13687145673282</v>
      </c>
      <c r="D306" s="48">
        <v>247</v>
      </c>
      <c r="E306" s="49">
        <v>-18.098494030005128</v>
      </c>
      <c r="F306" s="48">
        <v>247</v>
      </c>
      <c r="G306" s="49">
        <v>518.03906169438471</v>
      </c>
      <c r="H306" s="35"/>
      <c r="I306" s="35"/>
      <c r="J306" s="35"/>
      <c r="K306" s="35"/>
      <c r="L306" s="35"/>
      <c r="M306" s="35"/>
      <c r="N306" s="35"/>
    </row>
    <row r="307" spans="1:14" x14ac:dyDescent="0.3">
      <c r="A307" s="35"/>
      <c r="B307" s="48">
        <v>248</v>
      </c>
      <c r="C307" s="49">
        <v>569.86374219079039</v>
      </c>
      <c r="D307" s="48">
        <v>248</v>
      </c>
      <c r="E307" s="49">
        <v>-43.163524232526854</v>
      </c>
      <c r="F307" s="48">
        <v>248</v>
      </c>
      <c r="G307" s="49">
        <v>865.58658665197618</v>
      </c>
      <c r="H307" s="35"/>
      <c r="I307" s="35"/>
      <c r="J307" s="35"/>
      <c r="K307" s="35"/>
      <c r="L307" s="35"/>
      <c r="M307" s="35"/>
      <c r="N307" s="35"/>
    </row>
    <row r="308" spans="1:14" x14ac:dyDescent="0.3">
      <c r="A308" s="35"/>
      <c r="B308" s="48">
        <v>249</v>
      </c>
      <c r="C308" s="49">
        <v>1233.9700010283857</v>
      </c>
      <c r="D308" s="48">
        <v>249</v>
      </c>
      <c r="E308" s="49">
        <v>12.982837328991831</v>
      </c>
      <c r="F308" s="48">
        <v>249</v>
      </c>
      <c r="G308" s="49">
        <v>648.03008234575782</v>
      </c>
      <c r="H308" s="35"/>
      <c r="I308" s="35"/>
      <c r="J308" s="35"/>
      <c r="K308" s="35"/>
      <c r="L308" s="35"/>
      <c r="M308" s="35"/>
      <c r="N308" s="35"/>
    </row>
    <row r="309" spans="1:14" x14ac:dyDescent="0.3">
      <c r="A309" s="35"/>
      <c r="B309" s="48">
        <v>250</v>
      </c>
      <c r="C309" s="49">
        <v>1188.215488310346</v>
      </c>
      <c r="D309" s="48">
        <v>250</v>
      </c>
      <c r="E309" s="49">
        <v>17.564192568676795</v>
      </c>
      <c r="F309" s="48">
        <v>250</v>
      </c>
      <c r="G309" s="49">
        <v>1170.1458510012851</v>
      </c>
      <c r="H309" s="35"/>
      <c r="I309" s="35"/>
      <c r="J309" s="35"/>
      <c r="K309" s="35"/>
      <c r="L309" s="35"/>
      <c r="M309" s="35"/>
      <c r="N309" s="35"/>
    </row>
    <row r="310" spans="1:14" x14ac:dyDescent="0.3">
      <c r="A310" s="35"/>
      <c r="B310" s="48">
        <v>251</v>
      </c>
      <c r="C310" s="49">
        <v>930.95049109113347</v>
      </c>
      <c r="D310" s="48">
        <v>251</v>
      </c>
      <c r="E310" s="49">
        <v>21.69684970118578</v>
      </c>
      <c r="F310" s="48">
        <v>251</v>
      </c>
      <c r="G310" s="49">
        <v>655.48442853409256</v>
      </c>
      <c r="H310" s="35"/>
      <c r="I310" s="35"/>
      <c r="J310" s="35"/>
      <c r="K310" s="35"/>
      <c r="L310" s="35"/>
      <c r="M310" s="35"/>
      <c r="N310" s="35"/>
    </row>
    <row r="311" spans="1:14" x14ac:dyDescent="0.3">
      <c r="A311" s="35"/>
      <c r="B311" s="48">
        <v>252</v>
      </c>
      <c r="C311" s="49">
        <v>1301.9178077863776</v>
      </c>
      <c r="D311" s="48">
        <v>252</v>
      </c>
      <c r="E311" s="49">
        <v>56.99624534696612</v>
      </c>
      <c r="F311" s="48">
        <v>252</v>
      </c>
      <c r="G311" s="49">
        <v>1009.384535740605</v>
      </c>
      <c r="H311" s="35"/>
      <c r="I311" s="35"/>
      <c r="J311" s="35"/>
      <c r="K311" s="35"/>
      <c r="L311" s="35"/>
      <c r="M311" s="35"/>
      <c r="N311" s="35"/>
    </row>
    <row r="312" spans="1:14" x14ac:dyDescent="0.3">
      <c r="A312" s="35"/>
      <c r="B312" s="48">
        <v>253</v>
      </c>
      <c r="C312" s="49">
        <v>907.66933837030706</v>
      </c>
      <c r="D312" s="48">
        <v>253</v>
      </c>
      <c r="E312" s="49">
        <v>47.220759939027225</v>
      </c>
      <c r="F312" s="48">
        <v>253</v>
      </c>
      <c r="G312" s="49">
        <v>1349.6405670976369</v>
      </c>
      <c r="H312" s="35"/>
      <c r="I312" s="35"/>
      <c r="J312" s="35"/>
      <c r="K312" s="35"/>
      <c r="L312" s="35"/>
      <c r="M312" s="35"/>
      <c r="N312" s="35"/>
    </row>
    <row r="313" spans="1:14" x14ac:dyDescent="0.3">
      <c r="A313" s="35"/>
      <c r="B313" s="48">
        <v>254</v>
      </c>
      <c r="C313" s="49">
        <v>1182.0442753416639</v>
      </c>
      <c r="D313" s="48">
        <v>254</v>
      </c>
      <c r="E313" s="49">
        <v>21.204360031968925</v>
      </c>
      <c r="F313" s="48">
        <v>254</v>
      </c>
      <c r="G313" s="49">
        <v>1021.4580710422264</v>
      </c>
      <c r="H313" s="35"/>
      <c r="I313" s="35"/>
      <c r="J313" s="35"/>
      <c r="K313" s="35"/>
      <c r="L313" s="35"/>
      <c r="M313" s="35"/>
      <c r="N313" s="35"/>
    </row>
    <row r="314" spans="1:14" x14ac:dyDescent="0.3">
      <c r="A314" s="35"/>
      <c r="B314" s="48">
        <v>255</v>
      </c>
      <c r="C314" s="49">
        <v>756.25075396596344</v>
      </c>
      <c r="D314" s="48">
        <v>255</v>
      </c>
      <c r="E314" s="49">
        <v>5.2388021810781984</v>
      </c>
      <c r="F314" s="48">
        <v>255</v>
      </c>
      <c r="G314" s="49">
        <v>784.75387905574917</v>
      </c>
      <c r="H314" s="35"/>
      <c r="I314" s="35"/>
      <c r="J314" s="35"/>
      <c r="K314" s="35"/>
      <c r="L314" s="35"/>
      <c r="M314" s="35"/>
      <c r="N314" s="35"/>
    </row>
    <row r="315" spans="1:14" x14ac:dyDescent="0.3">
      <c r="A315" s="35"/>
      <c r="B315" s="48">
        <v>256</v>
      </c>
      <c r="C315" s="49">
        <v>822.33618740402721</v>
      </c>
      <c r="D315" s="48">
        <v>256</v>
      </c>
      <c r="E315" s="49">
        <v>18.321926591341576</v>
      </c>
      <c r="F315" s="48">
        <v>256</v>
      </c>
      <c r="G315" s="49">
        <v>648.7193739657356</v>
      </c>
      <c r="H315" s="35"/>
      <c r="I315" s="35"/>
      <c r="J315" s="35"/>
      <c r="K315" s="35"/>
      <c r="L315" s="35"/>
      <c r="M315" s="35"/>
      <c r="N315" s="35"/>
    </row>
    <row r="316" spans="1:14" x14ac:dyDescent="0.3">
      <c r="A316" s="35"/>
      <c r="B316" s="48">
        <v>257</v>
      </c>
      <c r="C316" s="49">
        <v>1216.0279421663868</v>
      </c>
      <c r="D316" s="48">
        <v>257</v>
      </c>
      <c r="E316" s="49">
        <v>-8.1223385894434408</v>
      </c>
      <c r="F316" s="48">
        <v>257</v>
      </c>
      <c r="G316" s="49">
        <v>946.39219700446597</v>
      </c>
      <c r="H316" s="35"/>
      <c r="I316" s="35"/>
      <c r="J316" s="35"/>
      <c r="K316" s="35"/>
      <c r="L316" s="35"/>
      <c r="M316" s="35"/>
      <c r="N316" s="35"/>
    </row>
    <row r="317" spans="1:14" x14ac:dyDescent="0.3">
      <c r="A317" s="35"/>
      <c r="B317" s="48">
        <v>258</v>
      </c>
      <c r="C317" s="49">
        <v>635.18740840530313</v>
      </c>
      <c r="D317" s="48">
        <v>258</v>
      </c>
      <c r="E317" s="49">
        <v>-22.943908787854774</v>
      </c>
      <c r="F317" s="48">
        <v>258</v>
      </c>
      <c r="G317" s="49">
        <v>1220.8268226875339</v>
      </c>
      <c r="H317" s="35"/>
      <c r="I317" s="35"/>
      <c r="J317" s="35"/>
      <c r="K317" s="35"/>
      <c r="L317" s="35"/>
      <c r="M317" s="35"/>
      <c r="N317" s="35"/>
    </row>
    <row r="318" spans="1:14" x14ac:dyDescent="0.3">
      <c r="A318" s="35"/>
      <c r="B318" s="48">
        <v>259</v>
      </c>
      <c r="C318" s="49">
        <v>324.63659213636288</v>
      </c>
      <c r="D318" s="48">
        <v>259</v>
      </c>
      <c r="E318" s="49">
        <v>-5.6863751684141572</v>
      </c>
      <c r="F318" s="48">
        <v>259</v>
      </c>
      <c r="G318" s="49">
        <v>994.6333297623047</v>
      </c>
      <c r="H318" s="35"/>
      <c r="I318" s="35"/>
      <c r="J318" s="35"/>
      <c r="K318" s="35"/>
      <c r="L318" s="35"/>
      <c r="M318" s="35"/>
      <c r="N318" s="35"/>
    </row>
    <row r="319" spans="1:14" x14ac:dyDescent="0.3">
      <c r="A319" s="35"/>
      <c r="B319" s="48">
        <v>260</v>
      </c>
      <c r="C319" s="49">
        <v>489.46050657597891</v>
      </c>
      <c r="D319" s="48">
        <v>260</v>
      </c>
      <c r="E319" s="49">
        <v>-19.920200011771819</v>
      </c>
      <c r="F319" s="48">
        <v>260</v>
      </c>
      <c r="G319" s="49">
        <v>1028.3053469084628</v>
      </c>
      <c r="H319" s="35"/>
      <c r="I319" s="35"/>
      <c r="J319" s="35"/>
      <c r="K319" s="35"/>
      <c r="L319" s="35"/>
      <c r="M319" s="35"/>
      <c r="N319" s="35"/>
    </row>
    <row r="320" spans="1:14" x14ac:dyDescent="0.3">
      <c r="A320" s="35"/>
      <c r="B320" s="48">
        <v>261</v>
      </c>
      <c r="C320" s="49">
        <v>757.89685371168355</v>
      </c>
      <c r="D320" s="48">
        <v>261</v>
      </c>
      <c r="E320" s="49">
        <v>3.9568926921740379</v>
      </c>
      <c r="F320" s="48">
        <v>261</v>
      </c>
      <c r="G320" s="49">
        <v>944.31879157956587</v>
      </c>
      <c r="H320" s="35"/>
      <c r="I320" s="35"/>
      <c r="J320" s="35"/>
      <c r="K320" s="35"/>
      <c r="L320" s="35"/>
      <c r="M320" s="35"/>
      <c r="N320" s="35"/>
    </row>
    <row r="321" spans="1:14" x14ac:dyDescent="0.3">
      <c r="A321" s="35"/>
      <c r="B321" s="48">
        <v>262</v>
      </c>
      <c r="C321" s="49">
        <v>1514.4894314267601</v>
      </c>
      <c r="D321" s="48">
        <v>262</v>
      </c>
      <c r="E321" s="49">
        <v>-6.5893886267537116</v>
      </c>
      <c r="F321" s="48">
        <v>262</v>
      </c>
      <c r="G321" s="49">
        <v>1226.7229778060837</v>
      </c>
      <c r="H321" s="35"/>
      <c r="I321" s="35"/>
      <c r="J321" s="35"/>
      <c r="K321" s="35"/>
      <c r="L321" s="35"/>
      <c r="M321" s="35"/>
      <c r="N321" s="35"/>
    </row>
    <row r="322" spans="1:14" x14ac:dyDescent="0.3">
      <c r="A322" s="35"/>
      <c r="B322" s="48">
        <v>263</v>
      </c>
      <c r="C322" s="49">
        <v>985.06099220439478</v>
      </c>
      <c r="D322" s="48">
        <v>263</v>
      </c>
      <c r="E322" s="49">
        <v>1.3575511869091974</v>
      </c>
      <c r="F322" s="48">
        <v>263</v>
      </c>
      <c r="G322" s="49">
        <v>908.21477410025841</v>
      </c>
      <c r="H322" s="35"/>
      <c r="I322" s="35"/>
      <c r="J322" s="35"/>
      <c r="K322" s="35"/>
      <c r="L322" s="35"/>
      <c r="M322" s="35"/>
      <c r="N322" s="35"/>
    </row>
    <row r="323" spans="1:14" x14ac:dyDescent="0.3">
      <c r="A323" s="35"/>
      <c r="B323" s="48">
        <v>264</v>
      </c>
      <c r="C323" s="49">
        <v>533.60561747640963</v>
      </c>
      <c r="D323" s="48">
        <v>264</v>
      </c>
      <c r="E323" s="49">
        <v>3.6842548394017101</v>
      </c>
      <c r="F323" s="48">
        <v>264</v>
      </c>
      <c r="G323" s="49">
        <v>1083.2761977084187</v>
      </c>
      <c r="H323" s="35"/>
      <c r="I323" s="35"/>
      <c r="J323" s="35"/>
      <c r="K323" s="35"/>
      <c r="L323" s="35"/>
      <c r="M323" s="35"/>
      <c r="N323" s="35"/>
    </row>
    <row r="324" spans="1:14" x14ac:dyDescent="0.3">
      <c r="A324" s="35"/>
      <c r="B324" s="48">
        <v>265</v>
      </c>
      <c r="C324" s="49">
        <v>558.92117136091861</v>
      </c>
      <c r="D324" s="48">
        <v>265</v>
      </c>
      <c r="E324" s="49">
        <v>-8.072382919901564</v>
      </c>
      <c r="F324" s="48">
        <v>265</v>
      </c>
      <c r="G324" s="49">
        <v>987.2336878612216</v>
      </c>
      <c r="H324" s="35"/>
      <c r="I324" s="35"/>
      <c r="J324" s="35"/>
      <c r="K324" s="35"/>
      <c r="L324" s="35"/>
      <c r="M324" s="35"/>
      <c r="N324" s="35"/>
    </row>
    <row r="325" spans="1:14" x14ac:dyDescent="0.3">
      <c r="A325" s="35"/>
      <c r="B325" s="48">
        <v>266</v>
      </c>
      <c r="C325" s="49">
        <v>1381.2344450221374</v>
      </c>
      <c r="D325" s="48">
        <v>266</v>
      </c>
      <c r="E325" s="49">
        <v>10.909311771583031</v>
      </c>
      <c r="F325" s="48">
        <v>266</v>
      </c>
      <c r="G325" s="49">
        <v>808.95117449101099</v>
      </c>
      <c r="H325" s="35"/>
      <c r="I325" s="35"/>
      <c r="J325" s="35"/>
      <c r="K325" s="35"/>
      <c r="L325" s="35"/>
      <c r="M325" s="35"/>
      <c r="N325" s="35"/>
    </row>
    <row r="326" spans="1:14" x14ac:dyDescent="0.3">
      <c r="A326" s="35"/>
      <c r="B326" s="48">
        <v>267</v>
      </c>
      <c r="C326" s="49">
        <v>1516.1642167435098</v>
      </c>
      <c r="D326" s="48">
        <v>267</v>
      </c>
      <c r="E326" s="49">
        <v>4.8438783197952846</v>
      </c>
      <c r="F326" s="48">
        <v>267</v>
      </c>
      <c r="G326" s="49">
        <v>1024.0747835226725</v>
      </c>
      <c r="H326" s="35"/>
      <c r="I326" s="35"/>
      <c r="J326" s="35"/>
      <c r="K326" s="35"/>
      <c r="L326" s="35"/>
      <c r="M326" s="35"/>
      <c r="N326" s="35"/>
    </row>
    <row r="327" spans="1:14" x14ac:dyDescent="0.3">
      <c r="A327" s="35"/>
      <c r="B327" s="48">
        <v>268</v>
      </c>
      <c r="C327" s="49">
        <v>832.87645993537558</v>
      </c>
      <c r="D327" s="48">
        <v>268</v>
      </c>
      <c r="E327" s="49">
        <v>16.238741221747656</v>
      </c>
      <c r="F327" s="48">
        <v>268</v>
      </c>
      <c r="G327" s="49">
        <v>989.03791681168752</v>
      </c>
      <c r="H327" s="35"/>
      <c r="I327" s="35"/>
      <c r="J327" s="35"/>
      <c r="K327" s="35"/>
      <c r="L327" s="35"/>
      <c r="M327" s="35"/>
      <c r="N327" s="35"/>
    </row>
    <row r="328" spans="1:14" x14ac:dyDescent="0.3">
      <c r="A328" s="35"/>
      <c r="B328" s="48">
        <v>269</v>
      </c>
      <c r="C328" s="49">
        <v>1540.6793458855282</v>
      </c>
      <c r="D328" s="48">
        <v>269</v>
      </c>
      <c r="E328" s="49">
        <v>36.893500468070208</v>
      </c>
      <c r="F328" s="48">
        <v>269</v>
      </c>
      <c r="G328" s="49">
        <v>896.41057033500601</v>
      </c>
      <c r="H328" s="35"/>
      <c r="I328" s="35"/>
      <c r="J328" s="35"/>
      <c r="K328" s="35"/>
      <c r="L328" s="35"/>
      <c r="M328" s="35"/>
      <c r="N328" s="35"/>
    </row>
    <row r="329" spans="1:14" x14ac:dyDescent="0.3">
      <c r="A329" s="35"/>
      <c r="B329" s="48">
        <v>270</v>
      </c>
      <c r="C329" s="49">
        <v>1191.0828271796795</v>
      </c>
      <c r="D329" s="48">
        <v>270</v>
      </c>
      <c r="E329" s="49">
        <v>-29.770135081066417</v>
      </c>
      <c r="F329" s="48">
        <v>270</v>
      </c>
      <c r="G329" s="49">
        <v>828.48390855379478</v>
      </c>
      <c r="H329" s="35"/>
      <c r="I329" s="35"/>
      <c r="J329" s="35"/>
      <c r="K329" s="35"/>
      <c r="L329" s="35"/>
      <c r="M329" s="35"/>
      <c r="N329" s="35"/>
    </row>
    <row r="330" spans="1:14" x14ac:dyDescent="0.3">
      <c r="A330" s="35"/>
      <c r="B330" s="48">
        <v>271</v>
      </c>
      <c r="C330" s="49">
        <v>609.69709326843576</v>
      </c>
      <c r="D330" s="48">
        <v>271</v>
      </c>
      <c r="E330" s="49">
        <v>-1.5425678778967116</v>
      </c>
      <c r="F330" s="48">
        <v>271</v>
      </c>
      <c r="G330" s="49">
        <v>1345.4672962376885</v>
      </c>
      <c r="H330" s="35"/>
      <c r="I330" s="35"/>
      <c r="J330" s="35"/>
      <c r="K330" s="35"/>
      <c r="L330" s="35"/>
      <c r="M330" s="35"/>
      <c r="N330" s="35"/>
    </row>
    <row r="331" spans="1:14" x14ac:dyDescent="0.3">
      <c r="A331" s="35"/>
      <c r="B331" s="48">
        <v>272</v>
      </c>
      <c r="C331" s="49">
        <v>1312.1577698841452</v>
      </c>
      <c r="D331" s="48">
        <v>272</v>
      </c>
      <c r="E331" s="49">
        <v>-5.321346330954869</v>
      </c>
      <c r="F331" s="48">
        <v>272</v>
      </c>
      <c r="G331" s="49">
        <v>847.63862652492878</v>
      </c>
      <c r="H331" s="35"/>
      <c r="I331" s="35"/>
      <c r="J331" s="35"/>
      <c r="K331" s="35"/>
      <c r="L331" s="35"/>
      <c r="M331" s="35"/>
      <c r="N331" s="35"/>
    </row>
    <row r="332" spans="1:14" x14ac:dyDescent="0.3">
      <c r="A332" s="35"/>
      <c r="B332" s="48">
        <v>273</v>
      </c>
      <c r="C332" s="49">
        <v>628.54166212066161</v>
      </c>
      <c r="D332" s="48">
        <v>273</v>
      </c>
      <c r="E332" s="49">
        <v>40.073610733115324</v>
      </c>
      <c r="F332" s="48">
        <v>273</v>
      </c>
      <c r="G332" s="49">
        <v>1230.7092010970623</v>
      </c>
      <c r="H332" s="35"/>
      <c r="I332" s="35"/>
      <c r="J332" s="35"/>
      <c r="K332" s="35"/>
      <c r="L332" s="35"/>
      <c r="M332" s="35"/>
      <c r="N332" s="35"/>
    </row>
    <row r="333" spans="1:14" x14ac:dyDescent="0.3">
      <c r="A333" s="35"/>
      <c r="B333" s="48">
        <v>274</v>
      </c>
      <c r="C333" s="49">
        <v>288.62067990711375</v>
      </c>
      <c r="D333" s="48">
        <v>274</v>
      </c>
      <c r="E333" s="49">
        <v>-66.576424829342642</v>
      </c>
      <c r="F333" s="48">
        <v>274</v>
      </c>
      <c r="G333" s="49">
        <v>868.59570145963221</v>
      </c>
      <c r="H333" s="35"/>
      <c r="I333" s="35"/>
      <c r="J333" s="35"/>
      <c r="K333" s="35"/>
      <c r="L333" s="35"/>
      <c r="M333" s="35"/>
      <c r="N333" s="35"/>
    </row>
    <row r="334" spans="1:14" x14ac:dyDescent="0.3">
      <c r="A334" s="35"/>
      <c r="B334" s="48">
        <v>275</v>
      </c>
      <c r="C334" s="49">
        <v>740.88942280647564</v>
      </c>
      <c r="D334" s="48">
        <v>275</v>
      </c>
      <c r="E334" s="49">
        <v>-23.200173740237467</v>
      </c>
      <c r="F334" s="48">
        <v>275</v>
      </c>
      <c r="G334" s="49">
        <v>917.95322720098557</v>
      </c>
      <c r="H334" s="35"/>
      <c r="I334" s="35"/>
      <c r="J334" s="35"/>
      <c r="K334" s="35"/>
      <c r="L334" s="35"/>
      <c r="M334" s="35"/>
      <c r="N334" s="35"/>
    </row>
    <row r="335" spans="1:14" x14ac:dyDescent="0.3">
      <c r="A335" s="35"/>
      <c r="B335" s="48">
        <v>276</v>
      </c>
      <c r="C335" s="49">
        <v>1551.3137094899857</v>
      </c>
      <c r="D335" s="48">
        <v>276</v>
      </c>
      <c r="E335" s="49">
        <v>-11.78161933309123</v>
      </c>
      <c r="F335" s="48">
        <v>276</v>
      </c>
      <c r="G335" s="49">
        <v>1065.6499930663074</v>
      </c>
      <c r="H335" s="35"/>
      <c r="I335" s="35"/>
      <c r="J335" s="35"/>
      <c r="K335" s="35"/>
      <c r="L335" s="35"/>
      <c r="M335" s="35"/>
      <c r="N335" s="35"/>
    </row>
    <row r="336" spans="1:14" x14ac:dyDescent="0.3">
      <c r="A336" s="35"/>
      <c r="B336" s="48">
        <v>277</v>
      </c>
      <c r="C336" s="49">
        <v>1157.6842736179208</v>
      </c>
      <c r="D336" s="48">
        <v>277</v>
      </c>
      <c r="E336" s="49">
        <v>-23.050396577540031</v>
      </c>
      <c r="F336" s="48">
        <v>277</v>
      </c>
      <c r="G336" s="49">
        <v>1036.7286637426698</v>
      </c>
      <c r="H336" s="35"/>
      <c r="I336" s="35"/>
      <c r="J336" s="35"/>
      <c r="K336" s="35"/>
      <c r="L336" s="35"/>
      <c r="M336" s="35"/>
      <c r="N336" s="35"/>
    </row>
    <row r="337" spans="1:14" x14ac:dyDescent="0.3">
      <c r="A337" s="35"/>
      <c r="B337" s="48">
        <v>278</v>
      </c>
      <c r="C337" s="49">
        <v>658.234254134509</v>
      </c>
      <c r="D337" s="48">
        <v>278</v>
      </c>
      <c r="E337" s="49">
        <v>10.406518894457486</v>
      </c>
      <c r="F337" s="48">
        <v>278</v>
      </c>
      <c r="G337" s="49">
        <v>947.02902719903739</v>
      </c>
      <c r="H337" s="35"/>
      <c r="I337" s="35"/>
      <c r="J337" s="35"/>
      <c r="K337" s="35"/>
      <c r="L337" s="35"/>
      <c r="M337" s="35"/>
      <c r="N337" s="35"/>
    </row>
    <row r="338" spans="1:14" x14ac:dyDescent="0.3">
      <c r="A338" s="35"/>
      <c r="B338" s="48">
        <v>279</v>
      </c>
      <c r="C338" s="49">
        <v>1032.8066604191295</v>
      </c>
      <c r="D338" s="48">
        <v>279</v>
      </c>
      <c r="E338" s="49">
        <v>-13.832897714588507</v>
      </c>
      <c r="F338" s="48">
        <v>279</v>
      </c>
      <c r="G338" s="49">
        <v>1188.1490722359727</v>
      </c>
      <c r="H338" s="35"/>
      <c r="I338" s="35"/>
      <c r="J338" s="35"/>
      <c r="K338" s="35"/>
      <c r="L338" s="35"/>
      <c r="M338" s="35"/>
      <c r="N338" s="35"/>
    </row>
    <row r="339" spans="1:14" x14ac:dyDescent="0.3">
      <c r="A339" s="35"/>
      <c r="B339" s="48">
        <v>280</v>
      </c>
      <c r="C339" s="49">
        <v>812.17471742292946</v>
      </c>
      <c r="D339" s="48">
        <v>280</v>
      </c>
      <c r="E339" s="49">
        <v>-44.672624175863021</v>
      </c>
      <c r="F339" s="48">
        <v>280</v>
      </c>
      <c r="G339" s="49">
        <v>864.89653130330169</v>
      </c>
      <c r="H339" s="35"/>
      <c r="I339" s="35"/>
      <c r="J339" s="35"/>
      <c r="K339" s="35"/>
      <c r="L339" s="35"/>
      <c r="M339" s="35"/>
      <c r="N339" s="35"/>
    </row>
    <row r="340" spans="1:14" x14ac:dyDescent="0.3">
      <c r="A340" s="35"/>
      <c r="B340" s="48">
        <v>281</v>
      </c>
      <c r="C340" s="49">
        <v>772.22675856637181</v>
      </c>
      <c r="D340" s="48">
        <v>281</v>
      </c>
      <c r="E340" s="49">
        <v>42.639780474757082</v>
      </c>
      <c r="F340" s="48">
        <v>281</v>
      </c>
      <c r="G340" s="49">
        <v>920.53330645185792</v>
      </c>
      <c r="H340" s="35"/>
      <c r="I340" s="35"/>
      <c r="J340" s="35"/>
      <c r="K340" s="35"/>
      <c r="L340" s="35"/>
      <c r="M340" s="35"/>
      <c r="N340" s="35"/>
    </row>
    <row r="341" spans="1:14" x14ac:dyDescent="0.3">
      <c r="A341" s="35"/>
      <c r="B341" s="48">
        <v>282</v>
      </c>
      <c r="C341" s="49">
        <v>884.00169035651072</v>
      </c>
      <c r="D341" s="48">
        <v>282</v>
      </c>
      <c r="E341" s="49">
        <v>-34.466414911833006</v>
      </c>
      <c r="F341" s="48">
        <v>282</v>
      </c>
      <c r="G341" s="49">
        <v>1451.1779493372633</v>
      </c>
      <c r="H341" s="35"/>
      <c r="I341" s="35"/>
      <c r="J341" s="35"/>
      <c r="K341" s="35"/>
      <c r="L341" s="35"/>
      <c r="M341" s="35"/>
      <c r="N341" s="35"/>
    </row>
    <row r="342" spans="1:14" x14ac:dyDescent="0.3">
      <c r="A342" s="35"/>
      <c r="B342" s="48">
        <v>283</v>
      </c>
      <c r="C342" s="49">
        <v>720.87966190114912</v>
      </c>
      <c r="D342" s="48">
        <v>283</v>
      </c>
      <c r="E342" s="49">
        <v>48.84295717055646</v>
      </c>
      <c r="F342" s="48">
        <v>283</v>
      </c>
      <c r="G342" s="49">
        <v>585.71307455475653</v>
      </c>
      <c r="H342" s="35"/>
      <c r="I342" s="35"/>
      <c r="J342" s="35"/>
      <c r="K342" s="35"/>
      <c r="L342" s="35"/>
      <c r="M342" s="35"/>
      <c r="N342" s="35"/>
    </row>
    <row r="343" spans="1:14" x14ac:dyDescent="0.3">
      <c r="A343" s="35"/>
      <c r="B343" s="48">
        <v>284</v>
      </c>
      <c r="C343" s="49">
        <v>881.90591500650044</v>
      </c>
      <c r="D343" s="48">
        <v>284</v>
      </c>
      <c r="E343" s="49">
        <v>6.8068405294239867</v>
      </c>
      <c r="F343" s="48">
        <v>284</v>
      </c>
      <c r="G343" s="49">
        <v>1112.1077461102068</v>
      </c>
      <c r="H343" s="35"/>
      <c r="I343" s="35"/>
      <c r="J343" s="35"/>
      <c r="K343" s="35"/>
      <c r="L343" s="35"/>
      <c r="M343" s="35"/>
      <c r="N343" s="35"/>
    </row>
    <row r="344" spans="1:14" x14ac:dyDescent="0.3">
      <c r="A344" s="35"/>
      <c r="B344" s="48">
        <v>285</v>
      </c>
      <c r="C344" s="49">
        <v>1318.8350964838291</v>
      </c>
      <c r="D344" s="48">
        <v>285</v>
      </c>
      <c r="E344" s="49">
        <v>-13.971593032807192</v>
      </c>
      <c r="F344" s="48">
        <v>285</v>
      </c>
      <c r="G344" s="49">
        <v>1175.5817894568024</v>
      </c>
      <c r="H344" s="35"/>
      <c r="I344" s="35"/>
      <c r="J344" s="35"/>
      <c r="K344" s="35"/>
      <c r="L344" s="35"/>
      <c r="M344" s="35"/>
      <c r="N344" s="35"/>
    </row>
    <row r="345" spans="1:14" x14ac:dyDescent="0.3">
      <c r="A345" s="35"/>
      <c r="B345" s="48">
        <v>286</v>
      </c>
      <c r="C345" s="49">
        <v>471.61418747836262</v>
      </c>
      <c r="D345" s="48">
        <v>286</v>
      </c>
      <c r="E345" s="49">
        <v>72.409659551339729</v>
      </c>
      <c r="F345" s="48">
        <v>286</v>
      </c>
      <c r="G345" s="49">
        <v>771.0277402677375</v>
      </c>
      <c r="H345" s="35"/>
      <c r="I345" s="35"/>
      <c r="J345" s="35"/>
      <c r="K345" s="35"/>
      <c r="L345" s="35"/>
      <c r="M345" s="35"/>
      <c r="N345" s="35"/>
    </row>
    <row r="346" spans="1:14" x14ac:dyDescent="0.3">
      <c r="A346" s="35"/>
      <c r="B346" s="48">
        <v>287</v>
      </c>
      <c r="C346" s="49">
        <v>464.98374179392141</v>
      </c>
      <c r="D346" s="48">
        <v>287</v>
      </c>
      <c r="E346" s="49">
        <v>12.772207420082491</v>
      </c>
      <c r="F346" s="48">
        <v>287</v>
      </c>
      <c r="G346" s="49">
        <v>1067.7864252259892</v>
      </c>
      <c r="H346" s="35"/>
      <c r="I346" s="35"/>
      <c r="J346" s="35"/>
      <c r="K346" s="35"/>
      <c r="L346" s="35"/>
      <c r="M346" s="35"/>
      <c r="N346" s="35"/>
    </row>
    <row r="347" spans="1:14" x14ac:dyDescent="0.3">
      <c r="A347" s="35"/>
      <c r="B347" s="48">
        <v>288</v>
      </c>
      <c r="C347" s="49">
        <v>336.9329150420092</v>
      </c>
      <c r="D347" s="48">
        <v>288</v>
      </c>
      <c r="E347" s="49">
        <v>18.503719031559534</v>
      </c>
      <c r="F347" s="48">
        <v>288</v>
      </c>
      <c r="G347" s="49">
        <v>1007.9092164614891</v>
      </c>
      <c r="H347" s="35"/>
      <c r="I347" s="35"/>
      <c r="J347" s="35"/>
      <c r="K347" s="35"/>
      <c r="L347" s="35"/>
      <c r="M347" s="35"/>
      <c r="N347" s="35"/>
    </row>
    <row r="348" spans="1:14" x14ac:dyDescent="0.3">
      <c r="A348" s="35"/>
      <c r="B348" s="48">
        <v>289</v>
      </c>
      <c r="C348" s="49">
        <v>1281.8821367735231</v>
      </c>
      <c r="D348" s="48">
        <v>289</v>
      </c>
      <c r="E348" s="49">
        <v>1.1941625852086513E-2</v>
      </c>
      <c r="F348" s="48">
        <v>289</v>
      </c>
      <c r="G348" s="49">
        <v>856.54574044328706</v>
      </c>
      <c r="H348" s="35"/>
      <c r="I348" s="35"/>
      <c r="J348" s="35"/>
      <c r="K348" s="35"/>
      <c r="L348" s="35"/>
      <c r="M348" s="35"/>
      <c r="N348" s="35"/>
    </row>
    <row r="349" spans="1:14" x14ac:dyDescent="0.3">
      <c r="A349" s="35"/>
      <c r="B349" s="48">
        <v>290</v>
      </c>
      <c r="C349" s="49">
        <v>1232.2251770088599</v>
      </c>
      <c r="D349" s="48">
        <v>290</v>
      </c>
      <c r="E349" s="49">
        <v>-8.127747695557737</v>
      </c>
      <c r="F349" s="48">
        <v>290</v>
      </c>
      <c r="G349" s="49">
        <v>1182.0634196685719</v>
      </c>
      <c r="H349" s="35"/>
      <c r="I349" s="35"/>
      <c r="J349" s="35"/>
      <c r="K349" s="35"/>
      <c r="L349" s="35"/>
      <c r="M349" s="35"/>
      <c r="N349" s="35"/>
    </row>
    <row r="350" spans="1:14" x14ac:dyDescent="0.3">
      <c r="A350" s="35"/>
      <c r="B350" s="48">
        <v>291</v>
      </c>
      <c r="C350" s="49">
        <v>1060.8958053363206</v>
      </c>
      <c r="D350" s="48">
        <v>291</v>
      </c>
      <c r="E350" s="49">
        <v>11.513462481660627</v>
      </c>
      <c r="F350" s="48">
        <v>291</v>
      </c>
      <c r="G350" s="49">
        <v>1071.6370749941436</v>
      </c>
      <c r="H350" s="35"/>
      <c r="I350" s="35"/>
      <c r="J350" s="35"/>
      <c r="K350" s="35"/>
      <c r="L350" s="35"/>
      <c r="M350" s="35"/>
      <c r="N350" s="35"/>
    </row>
    <row r="351" spans="1:14" x14ac:dyDescent="0.3">
      <c r="A351" s="35"/>
      <c r="B351" s="48">
        <v>292</v>
      </c>
      <c r="C351" s="49">
        <v>706.53662924342507</v>
      </c>
      <c r="D351" s="48">
        <v>292</v>
      </c>
      <c r="E351" s="49">
        <v>-10.56271633176164</v>
      </c>
      <c r="F351" s="48">
        <v>292</v>
      </c>
      <c r="G351" s="49">
        <v>1072.0268373359088</v>
      </c>
      <c r="H351" s="35"/>
      <c r="I351" s="35"/>
      <c r="J351" s="35"/>
      <c r="K351" s="35"/>
      <c r="L351" s="35"/>
      <c r="M351" s="35"/>
      <c r="N351" s="35"/>
    </row>
    <row r="352" spans="1:14" x14ac:dyDescent="0.3">
      <c r="A352" s="35"/>
      <c r="B352" s="48">
        <v>293</v>
      </c>
      <c r="C352" s="49">
        <v>1331.8273074077724</v>
      </c>
      <c r="D352" s="48">
        <v>293</v>
      </c>
      <c r="E352" s="49">
        <v>-1.7799088935577898</v>
      </c>
      <c r="F352" s="48">
        <v>293</v>
      </c>
      <c r="G352" s="49">
        <v>1571.5085351451348</v>
      </c>
      <c r="H352" s="35"/>
      <c r="I352" s="35"/>
      <c r="J352" s="35"/>
      <c r="K352" s="35"/>
      <c r="L352" s="35"/>
      <c r="M352" s="35"/>
      <c r="N352" s="35"/>
    </row>
    <row r="353" spans="1:14" x14ac:dyDescent="0.3">
      <c r="A353" s="35"/>
      <c r="B353" s="48">
        <v>294</v>
      </c>
      <c r="C353" s="49">
        <v>732.11660709577279</v>
      </c>
      <c r="D353" s="48">
        <v>294</v>
      </c>
      <c r="E353" s="49">
        <v>35.576993252984764</v>
      </c>
      <c r="F353" s="48">
        <v>294</v>
      </c>
      <c r="G353" s="49">
        <v>829.96276611338521</v>
      </c>
      <c r="H353" s="35"/>
      <c r="I353" s="35"/>
      <c r="J353" s="35"/>
      <c r="K353" s="35"/>
      <c r="L353" s="35"/>
      <c r="M353" s="35"/>
      <c r="N353" s="35"/>
    </row>
    <row r="354" spans="1:14" x14ac:dyDescent="0.3">
      <c r="A354" s="35"/>
      <c r="B354" s="48">
        <v>295</v>
      </c>
      <c r="C354" s="49">
        <v>1167.0576567480953</v>
      </c>
      <c r="D354" s="48">
        <v>295</v>
      </c>
      <c r="E354" s="49">
        <v>40.983971408550936</v>
      </c>
      <c r="F354" s="48">
        <v>295</v>
      </c>
      <c r="G354" s="49">
        <v>843.62156088305824</v>
      </c>
      <c r="H354" s="35"/>
      <c r="I354" s="35"/>
      <c r="J354" s="35"/>
      <c r="K354" s="35"/>
      <c r="L354" s="35"/>
      <c r="M354" s="35"/>
      <c r="N354" s="35"/>
    </row>
    <row r="355" spans="1:14" x14ac:dyDescent="0.3">
      <c r="A355" s="35"/>
      <c r="B355" s="48">
        <v>296</v>
      </c>
      <c r="C355" s="49">
        <v>1092.7437029514304</v>
      </c>
      <c r="D355" s="48">
        <v>296</v>
      </c>
      <c r="E355" s="49">
        <v>-14.57886793544956</v>
      </c>
      <c r="F355" s="48">
        <v>296</v>
      </c>
      <c r="G355" s="49">
        <v>889.95360809073588</v>
      </c>
      <c r="H355" s="35"/>
      <c r="I355" s="35"/>
      <c r="J355" s="35"/>
      <c r="K355" s="35"/>
      <c r="L355" s="35"/>
      <c r="M355" s="35"/>
      <c r="N355" s="35"/>
    </row>
    <row r="356" spans="1:14" x14ac:dyDescent="0.3">
      <c r="A356" s="35"/>
      <c r="B356" s="48">
        <v>297</v>
      </c>
      <c r="C356" s="49">
        <v>543.01248995879439</v>
      </c>
      <c r="D356" s="48">
        <v>297</v>
      </c>
      <c r="E356" s="49">
        <v>6.7560892824918231</v>
      </c>
      <c r="F356" s="48">
        <v>297</v>
      </c>
      <c r="G356" s="49">
        <v>1043.7719852639925</v>
      </c>
      <c r="H356" s="35"/>
      <c r="I356" s="35"/>
      <c r="J356" s="35"/>
      <c r="K356" s="35"/>
      <c r="L356" s="35"/>
      <c r="M356" s="35"/>
      <c r="N356" s="35"/>
    </row>
    <row r="357" spans="1:14" x14ac:dyDescent="0.3">
      <c r="A357" s="35"/>
      <c r="B357" s="48">
        <v>298</v>
      </c>
      <c r="C357" s="49">
        <v>1415.5340310585088</v>
      </c>
      <c r="D357" s="48">
        <v>298</v>
      </c>
      <c r="E357" s="49">
        <v>16.781644980026691</v>
      </c>
      <c r="F357" s="48">
        <v>298</v>
      </c>
      <c r="G357" s="49">
        <v>1135.220097278572</v>
      </c>
      <c r="H357" s="35"/>
      <c r="I357" s="35"/>
      <c r="J357" s="35"/>
      <c r="K357" s="35"/>
      <c r="L357" s="35"/>
      <c r="M357" s="35"/>
      <c r="N357" s="35"/>
    </row>
    <row r="358" spans="1:14" x14ac:dyDescent="0.3">
      <c r="A358" s="35"/>
      <c r="B358" s="48">
        <v>299</v>
      </c>
      <c r="C358" s="49">
        <v>816.47113362649714</v>
      </c>
      <c r="D358" s="48">
        <v>299</v>
      </c>
      <c r="E358" s="49">
        <v>45.872090065390907</v>
      </c>
      <c r="F358" s="48">
        <v>299</v>
      </c>
      <c r="G358" s="49">
        <v>1384.7594565560571</v>
      </c>
      <c r="H358" s="35"/>
      <c r="I358" s="35"/>
      <c r="J358" s="35"/>
      <c r="K358" s="35"/>
      <c r="L358" s="35"/>
      <c r="M358" s="35"/>
      <c r="N358" s="35"/>
    </row>
    <row r="359" spans="1:14" x14ac:dyDescent="0.3">
      <c r="A359" s="35"/>
      <c r="B359" s="48">
        <v>300</v>
      </c>
      <c r="C359" s="49">
        <v>849.63193224498286</v>
      </c>
      <c r="D359" s="48">
        <v>300</v>
      </c>
      <c r="E359" s="49">
        <v>32.367965770486684</v>
      </c>
      <c r="F359" s="48">
        <v>300</v>
      </c>
      <c r="G359" s="49">
        <v>1199.0097210669751</v>
      </c>
      <c r="H359" s="35"/>
      <c r="I359" s="35"/>
      <c r="J359" s="35"/>
      <c r="K359" s="35"/>
      <c r="L359" s="35"/>
      <c r="M359" s="35"/>
      <c r="N359" s="35"/>
    </row>
    <row r="360" spans="1:14" x14ac:dyDescent="0.3">
      <c r="A360" s="35"/>
      <c r="B360" s="48">
        <v>301</v>
      </c>
      <c r="C360" s="49">
        <v>1270.1253557312853</v>
      </c>
      <c r="D360" s="48">
        <v>301</v>
      </c>
      <c r="E360" s="49">
        <v>1.5849397861016039</v>
      </c>
      <c r="F360" s="48">
        <v>301</v>
      </c>
      <c r="G360" s="49">
        <v>1197.7127555233149</v>
      </c>
      <c r="H360" s="35"/>
      <c r="I360" s="35"/>
      <c r="J360" s="35"/>
      <c r="K360" s="35"/>
      <c r="L360" s="35"/>
      <c r="M360" s="35"/>
      <c r="N360" s="35"/>
    </row>
    <row r="361" spans="1:14" x14ac:dyDescent="0.3">
      <c r="A361" s="35"/>
      <c r="B361" s="48">
        <v>302</v>
      </c>
      <c r="C361" s="49">
        <v>329.81118287192555</v>
      </c>
      <c r="D361" s="48">
        <v>302</v>
      </c>
      <c r="E361" s="49">
        <v>-27.568921380557754</v>
      </c>
      <c r="F361" s="48">
        <v>302</v>
      </c>
      <c r="G361" s="49">
        <v>1309.0865040768128</v>
      </c>
      <c r="H361" s="35"/>
      <c r="I361" s="35"/>
      <c r="J361" s="35"/>
      <c r="K361" s="35"/>
      <c r="L361" s="35"/>
      <c r="M361" s="35"/>
      <c r="N361" s="35"/>
    </row>
    <row r="362" spans="1:14" x14ac:dyDescent="0.3">
      <c r="A362" s="35"/>
      <c r="B362" s="48">
        <v>303</v>
      </c>
      <c r="C362" s="49">
        <v>668.24511836030058</v>
      </c>
      <c r="D362" s="48">
        <v>303</v>
      </c>
      <c r="E362" s="49">
        <v>-25.349930681230504</v>
      </c>
      <c r="F362" s="48">
        <v>303</v>
      </c>
      <c r="G362" s="49">
        <v>567.79489480619634</v>
      </c>
      <c r="H362" s="35"/>
      <c r="I362" s="35"/>
      <c r="J362" s="35"/>
      <c r="K362" s="35"/>
      <c r="L362" s="35"/>
      <c r="M362" s="35"/>
      <c r="N362" s="35"/>
    </row>
    <row r="363" spans="1:14" x14ac:dyDescent="0.3">
      <c r="A363" s="35"/>
      <c r="B363" s="48">
        <v>304</v>
      </c>
      <c r="C363" s="49">
        <v>249.47489699554444</v>
      </c>
      <c r="D363" s="48">
        <v>304</v>
      </c>
      <c r="E363" s="49">
        <v>-28.275934457804716</v>
      </c>
      <c r="F363" s="48">
        <v>304</v>
      </c>
      <c r="G363" s="49">
        <v>989.59566840707885</v>
      </c>
      <c r="H363" s="35"/>
      <c r="I363" s="35"/>
      <c r="J363" s="35"/>
      <c r="K363" s="35"/>
      <c r="L363" s="35"/>
      <c r="M363" s="35"/>
      <c r="N363" s="35"/>
    </row>
    <row r="364" spans="1:14" x14ac:dyDescent="0.3">
      <c r="A364" s="35"/>
      <c r="B364" s="48">
        <v>305</v>
      </c>
      <c r="C364" s="49">
        <v>389.38308594668314</v>
      </c>
      <c r="D364" s="48">
        <v>305</v>
      </c>
      <c r="E364" s="49">
        <v>-17.733966011660439</v>
      </c>
      <c r="F364" s="48">
        <v>305</v>
      </c>
      <c r="G364" s="49">
        <v>921.81372766514482</v>
      </c>
      <c r="H364" s="35"/>
      <c r="I364" s="35"/>
      <c r="J364" s="35"/>
      <c r="K364" s="35"/>
      <c r="L364" s="35"/>
      <c r="M364" s="35"/>
      <c r="N364" s="35"/>
    </row>
    <row r="365" spans="1:14" x14ac:dyDescent="0.3">
      <c r="A365" s="35"/>
      <c r="B365" s="48">
        <v>306</v>
      </c>
      <c r="C365" s="49">
        <v>1372.966393512208</v>
      </c>
      <c r="D365" s="48">
        <v>306</v>
      </c>
      <c r="E365" s="49">
        <v>-18.959674477393815</v>
      </c>
      <c r="F365" s="48">
        <v>306</v>
      </c>
      <c r="G365" s="49">
        <v>1217.5772806572957</v>
      </c>
      <c r="H365" s="35"/>
      <c r="I365" s="35"/>
      <c r="J365" s="35"/>
      <c r="K365" s="35"/>
      <c r="L365" s="35"/>
      <c r="M365" s="35"/>
      <c r="N365" s="35"/>
    </row>
    <row r="366" spans="1:14" x14ac:dyDescent="0.3">
      <c r="A366" s="35"/>
      <c r="B366" s="48">
        <v>307</v>
      </c>
      <c r="C366" s="49">
        <v>1055.3018132440825</v>
      </c>
      <c r="D366" s="48">
        <v>307</v>
      </c>
      <c r="E366" s="49">
        <v>35.610711126143606</v>
      </c>
      <c r="F366" s="48">
        <v>307</v>
      </c>
      <c r="G366" s="49">
        <v>954.6617975034344</v>
      </c>
      <c r="H366" s="35"/>
      <c r="I366" s="35"/>
      <c r="J366" s="35"/>
      <c r="K366" s="35"/>
      <c r="L366" s="35"/>
      <c r="M366" s="35"/>
      <c r="N366" s="35"/>
    </row>
    <row r="367" spans="1:14" x14ac:dyDescent="0.3">
      <c r="A367" s="35"/>
      <c r="B367" s="48">
        <v>308</v>
      </c>
      <c r="C367" s="49">
        <v>312.19012075130968</v>
      </c>
      <c r="D367" s="48">
        <v>308</v>
      </c>
      <c r="E367" s="49">
        <v>6.2624279942400056</v>
      </c>
      <c r="F367" s="48">
        <v>308</v>
      </c>
      <c r="G367" s="49">
        <v>919.4681145948141</v>
      </c>
      <c r="H367" s="35"/>
      <c r="I367" s="35"/>
      <c r="J367" s="35"/>
      <c r="K367" s="35"/>
      <c r="L367" s="35"/>
      <c r="M367" s="35"/>
      <c r="N367" s="35"/>
    </row>
    <row r="368" spans="1:14" x14ac:dyDescent="0.3">
      <c r="A368" s="35"/>
      <c r="B368" s="48">
        <v>309</v>
      </c>
      <c r="C368" s="49">
        <v>1163.6409353938338</v>
      </c>
      <c r="D368" s="48">
        <v>309</v>
      </c>
      <c r="E368" s="49">
        <v>31.102189978138728</v>
      </c>
      <c r="F368" s="48">
        <v>309</v>
      </c>
      <c r="G368" s="49">
        <v>1278.8301170952802</v>
      </c>
      <c r="H368" s="35"/>
      <c r="I368" s="35"/>
      <c r="J368" s="35"/>
      <c r="K368" s="35"/>
      <c r="L368" s="35"/>
      <c r="M368" s="35"/>
      <c r="N368" s="35"/>
    </row>
    <row r="369" spans="1:14" x14ac:dyDescent="0.3">
      <c r="A369" s="35"/>
      <c r="B369" s="48">
        <v>310</v>
      </c>
      <c r="C369" s="49">
        <v>1075.9610365551587</v>
      </c>
      <c r="D369" s="48">
        <v>310</v>
      </c>
      <c r="E369" s="49">
        <v>41.164062341390256</v>
      </c>
      <c r="F369" s="48">
        <v>310</v>
      </c>
      <c r="G369" s="49">
        <v>796.92840664459629</v>
      </c>
      <c r="H369" s="35"/>
      <c r="I369" s="35"/>
      <c r="J369" s="35"/>
      <c r="K369" s="35"/>
      <c r="L369" s="35"/>
      <c r="M369" s="35"/>
      <c r="N369" s="35"/>
    </row>
    <row r="370" spans="1:14" x14ac:dyDescent="0.3">
      <c r="A370" s="35"/>
      <c r="B370" s="48">
        <v>311</v>
      </c>
      <c r="C370" s="49">
        <v>1207.8698018080768</v>
      </c>
      <c r="D370" s="48">
        <v>311</v>
      </c>
      <c r="E370" s="49">
        <v>-1.9297296779141651</v>
      </c>
      <c r="F370" s="48">
        <v>311</v>
      </c>
      <c r="G370" s="49">
        <v>1285.8624829911273</v>
      </c>
      <c r="H370" s="35"/>
      <c r="I370" s="35"/>
      <c r="J370" s="35"/>
      <c r="K370" s="35"/>
      <c r="L370" s="35"/>
      <c r="M370" s="35"/>
      <c r="N370" s="35"/>
    </row>
    <row r="371" spans="1:14" x14ac:dyDescent="0.3">
      <c r="A371" s="35"/>
      <c r="B371" s="48">
        <v>312</v>
      </c>
      <c r="C371" s="49">
        <v>681.37601523738283</v>
      </c>
      <c r="D371" s="48">
        <v>312</v>
      </c>
      <c r="E371" s="49">
        <v>4.9163706015396123E-2</v>
      </c>
      <c r="F371" s="48">
        <v>312</v>
      </c>
      <c r="G371" s="49">
        <v>721.07334736700591</v>
      </c>
      <c r="H371" s="35"/>
      <c r="I371" s="35"/>
      <c r="J371" s="35"/>
      <c r="K371" s="35"/>
      <c r="L371" s="35"/>
      <c r="M371" s="35"/>
      <c r="N371" s="35"/>
    </row>
    <row r="372" spans="1:14" x14ac:dyDescent="0.3">
      <c r="A372" s="35"/>
      <c r="B372" s="48">
        <v>313</v>
      </c>
      <c r="C372" s="49">
        <v>1347.284119056292</v>
      </c>
      <c r="D372" s="48">
        <v>313</v>
      </c>
      <c r="E372" s="49">
        <v>-4.4754266013094766</v>
      </c>
      <c r="F372" s="48">
        <v>313</v>
      </c>
      <c r="G372" s="49">
        <v>1308.4361739253891</v>
      </c>
      <c r="H372" s="35"/>
      <c r="I372" s="35"/>
      <c r="J372" s="35"/>
      <c r="K372" s="35"/>
      <c r="L372" s="35"/>
      <c r="M372" s="35"/>
      <c r="N372" s="35"/>
    </row>
    <row r="373" spans="1:14" x14ac:dyDescent="0.3">
      <c r="A373" s="35"/>
      <c r="B373" s="48">
        <v>314</v>
      </c>
      <c r="C373" s="49">
        <v>1551.1673036043471</v>
      </c>
      <c r="D373" s="48">
        <v>314</v>
      </c>
      <c r="E373" s="49">
        <v>4.6486646275384</v>
      </c>
      <c r="F373" s="48">
        <v>314</v>
      </c>
      <c r="G373" s="49">
        <v>1052.3591457546022</v>
      </c>
      <c r="H373" s="35"/>
      <c r="I373" s="35"/>
      <c r="J373" s="35"/>
      <c r="K373" s="35"/>
      <c r="L373" s="35"/>
      <c r="M373" s="35"/>
      <c r="N373" s="35"/>
    </row>
    <row r="374" spans="1:14" x14ac:dyDescent="0.3">
      <c r="A374" s="35"/>
      <c r="B374" s="48">
        <v>315</v>
      </c>
      <c r="C374" s="49">
        <v>886.16551518333108</v>
      </c>
      <c r="D374" s="48">
        <v>315</v>
      </c>
      <c r="E374" s="49">
        <v>17.292010198944233</v>
      </c>
      <c r="F374" s="48">
        <v>315</v>
      </c>
      <c r="G374" s="49">
        <v>766.56618944595596</v>
      </c>
      <c r="H374" s="35"/>
      <c r="I374" s="35"/>
      <c r="J374" s="35"/>
      <c r="K374" s="35"/>
      <c r="L374" s="35"/>
      <c r="M374" s="35"/>
      <c r="N374" s="35"/>
    </row>
    <row r="375" spans="1:14" x14ac:dyDescent="0.3">
      <c r="A375" s="35"/>
      <c r="B375" s="48">
        <v>316</v>
      </c>
      <c r="C375" s="49">
        <v>947.97418380863326</v>
      </c>
      <c r="D375" s="48">
        <v>316</v>
      </c>
      <c r="E375" s="49">
        <v>15.847160066406014</v>
      </c>
      <c r="F375" s="48">
        <v>316</v>
      </c>
      <c r="G375" s="49">
        <v>785.8844790780646</v>
      </c>
      <c r="H375" s="35"/>
      <c r="I375" s="35"/>
      <c r="J375" s="35"/>
      <c r="K375" s="35"/>
      <c r="L375" s="35"/>
      <c r="M375" s="35"/>
      <c r="N375" s="35"/>
    </row>
    <row r="376" spans="1:14" x14ac:dyDescent="0.3">
      <c r="A376" s="35"/>
      <c r="B376" s="48">
        <v>317</v>
      </c>
      <c r="C376" s="49">
        <v>476.71572805653415</v>
      </c>
      <c r="D376" s="48">
        <v>317</v>
      </c>
      <c r="E376" s="49">
        <v>34.747630894918814</v>
      </c>
      <c r="F376" s="48">
        <v>317</v>
      </c>
      <c r="G376" s="49">
        <v>1275.8597364445141</v>
      </c>
      <c r="H376" s="35"/>
      <c r="I376" s="35"/>
      <c r="J376" s="35"/>
      <c r="K376" s="35"/>
      <c r="L376" s="35"/>
      <c r="M376" s="35"/>
      <c r="N376" s="35"/>
    </row>
    <row r="377" spans="1:14" x14ac:dyDescent="0.3">
      <c r="A377" s="35"/>
      <c r="B377" s="48">
        <v>318</v>
      </c>
      <c r="C377" s="49">
        <v>495.67933727145464</v>
      </c>
      <c r="D377" s="48">
        <v>318</v>
      </c>
      <c r="E377" s="49">
        <v>69.149129560311508</v>
      </c>
      <c r="F377" s="48">
        <v>318</v>
      </c>
      <c r="G377" s="49">
        <v>978.21196870024107</v>
      </c>
      <c r="H377" s="35"/>
      <c r="I377" s="35"/>
      <c r="J377" s="35"/>
      <c r="K377" s="35"/>
      <c r="L377" s="35"/>
      <c r="M377" s="35"/>
      <c r="N377" s="35"/>
    </row>
    <row r="378" spans="1:14" x14ac:dyDescent="0.3">
      <c r="A378" s="35"/>
      <c r="B378" s="48">
        <v>319</v>
      </c>
      <c r="C378" s="49">
        <v>891.41033814127002</v>
      </c>
      <c r="D378" s="48">
        <v>319</v>
      </c>
      <c r="E378" s="49">
        <v>-25.196401791135699</v>
      </c>
      <c r="F378" s="48">
        <v>319</v>
      </c>
      <c r="G378" s="49">
        <v>660.88232791848873</v>
      </c>
      <c r="H378" s="35"/>
      <c r="I378" s="35"/>
      <c r="J378" s="35"/>
      <c r="K378" s="35"/>
      <c r="L378" s="35"/>
      <c r="M378" s="35"/>
      <c r="N378" s="35"/>
    </row>
    <row r="379" spans="1:14" x14ac:dyDescent="0.3">
      <c r="A379" s="35"/>
      <c r="B379" s="48">
        <v>320</v>
      </c>
      <c r="C379" s="49">
        <v>1466.7386388954992</v>
      </c>
      <c r="D379" s="48">
        <v>320</v>
      </c>
      <c r="E379" s="49">
        <v>-59.129643925603091</v>
      </c>
      <c r="F379" s="48">
        <v>320</v>
      </c>
      <c r="G379" s="49">
        <v>836.23864940038163</v>
      </c>
      <c r="H379" s="35"/>
      <c r="I379" s="35"/>
      <c r="J379" s="35"/>
      <c r="K379" s="35"/>
      <c r="L379" s="35"/>
      <c r="M379" s="35"/>
      <c r="N379" s="35"/>
    </row>
    <row r="380" spans="1:14" x14ac:dyDescent="0.3">
      <c r="A380" s="35"/>
      <c r="B380" s="48">
        <v>321</v>
      </c>
      <c r="C380" s="49">
        <v>777.64333646700845</v>
      </c>
      <c r="D380" s="48">
        <v>321</v>
      </c>
      <c r="E380" s="49">
        <v>55.236929343364167</v>
      </c>
      <c r="F380" s="48">
        <v>321</v>
      </c>
      <c r="G380" s="49">
        <v>1379.0555308763642</v>
      </c>
      <c r="H380" s="35"/>
      <c r="I380" s="35"/>
      <c r="J380" s="35"/>
      <c r="K380" s="35"/>
      <c r="L380" s="35"/>
      <c r="M380" s="35"/>
      <c r="N380" s="35"/>
    </row>
    <row r="381" spans="1:14" x14ac:dyDescent="0.3">
      <c r="A381" s="35"/>
      <c r="B381" s="48">
        <v>322</v>
      </c>
      <c r="C381" s="49">
        <v>1544.2699796288985</v>
      </c>
      <c r="D381" s="48">
        <v>322</v>
      </c>
      <c r="E381" s="49">
        <v>-24.060185530252273</v>
      </c>
      <c r="F381" s="48">
        <v>322</v>
      </c>
      <c r="G381" s="49">
        <v>969.39705822639246</v>
      </c>
      <c r="H381" s="35"/>
      <c r="I381" s="35"/>
      <c r="J381" s="35"/>
      <c r="K381" s="35"/>
      <c r="L381" s="35"/>
      <c r="M381" s="35"/>
      <c r="N381" s="35"/>
    </row>
    <row r="382" spans="1:14" x14ac:dyDescent="0.3">
      <c r="A382" s="35"/>
      <c r="B382" s="48">
        <v>323</v>
      </c>
      <c r="C382" s="49">
        <v>321.99450556518343</v>
      </c>
      <c r="D382" s="48">
        <v>323</v>
      </c>
      <c r="E382" s="49">
        <v>35.066396064304357</v>
      </c>
      <c r="F382" s="48">
        <v>323</v>
      </c>
      <c r="G382" s="49">
        <v>395.31009591665577</v>
      </c>
      <c r="H382" s="35"/>
      <c r="I382" s="35"/>
      <c r="J382" s="35"/>
      <c r="K382" s="35"/>
      <c r="L382" s="35"/>
      <c r="M382" s="35"/>
      <c r="N382" s="35"/>
    </row>
    <row r="383" spans="1:14" x14ac:dyDescent="0.3">
      <c r="A383" s="35"/>
      <c r="B383" s="48">
        <v>324</v>
      </c>
      <c r="C383" s="49">
        <v>1110.0094921936332</v>
      </c>
      <c r="D383" s="48">
        <v>324</v>
      </c>
      <c r="E383" s="49">
        <v>4.2802098263160584</v>
      </c>
      <c r="F383" s="48">
        <v>324</v>
      </c>
      <c r="G383" s="49">
        <v>793.54396360365047</v>
      </c>
      <c r="H383" s="35"/>
      <c r="I383" s="35"/>
      <c r="J383" s="35"/>
      <c r="K383" s="35"/>
      <c r="L383" s="35"/>
      <c r="M383" s="35"/>
      <c r="N383" s="35"/>
    </row>
    <row r="384" spans="1:14" x14ac:dyDescent="0.3">
      <c r="A384" s="35"/>
      <c r="B384" s="48">
        <v>325</v>
      </c>
      <c r="C384" s="49">
        <v>694.14667830412861</v>
      </c>
      <c r="D384" s="48">
        <v>325</v>
      </c>
      <c r="E384" s="49">
        <v>-0.79125011805413503</v>
      </c>
      <c r="F384" s="48">
        <v>325</v>
      </c>
      <c r="G384" s="49">
        <v>754.07266691289567</v>
      </c>
      <c r="H384" s="35"/>
      <c r="I384" s="35"/>
      <c r="J384" s="35"/>
      <c r="K384" s="35"/>
      <c r="L384" s="35"/>
      <c r="M384" s="35"/>
      <c r="N384" s="35"/>
    </row>
    <row r="385" spans="1:14" x14ac:dyDescent="0.3">
      <c r="A385" s="35"/>
      <c r="B385" s="48">
        <v>326</v>
      </c>
      <c r="C385" s="49">
        <v>996.74789439111498</v>
      </c>
      <c r="D385" s="48">
        <v>326</v>
      </c>
      <c r="E385" s="49">
        <v>-9.3976390383410866</v>
      </c>
      <c r="F385" s="48">
        <v>326</v>
      </c>
      <c r="G385" s="49">
        <v>604.68556486331249</v>
      </c>
      <c r="H385" s="35"/>
      <c r="I385" s="35"/>
      <c r="J385" s="35"/>
      <c r="K385" s="35"/>
      <c r="L385" s="35"/>
      <c r="M385" s="35"/>
      <c r="N385" s="35"/>
    </row>
    <row r="386" spans="1:14" x14ac:dyDescent="0.3">
      <c r="A386" s="35"/>
      <c r="B386" s="48">
        <v>327</v>
      </c>
      <c r="C386" s="49">
        <v>1215.0866787419886</v>
      </c>
      <c r="D386" s="48">
        <v>327</v>
      </c>
      <c r="E386" s="49">
        <v>14.355846529284742</v>
      </c>
      <c r="F386" s="48">
        <v>327</v>
      </c>
      <c r="G386" s="49">
        <v>1238.2464349818729</v>
      </c>
      <c r="H386" s="35"/>
      <c r="I386" s="35"/>
      <c r="J386" s="35"/>
      <c r="K386" s="35"/>
      <c r="L386" s="35"/>
      <c r="M386" s="35"/>
      <c r="N386" s="35"/>
    </row>
    <row r="387" spans="1:14" x14ac:dyDescent="0.3">
      <c r="A387" s="35"/>
      <c r="B387" s="48">
        <v>328</v>
      </c>
      <c r="C387" s="49">
        <v>1325.686908824001</v>
      </c>
      <c r="D387" s="48">
        <v>328</v>
      </c>
      <c r="E387" s="49">
        <v>6.4871375239893725</v>
      </c>
      <c r="F387" s="48">
        <v>328</v>
      </c>
      <c r="G387" s="49">
        <v>984.53075225023224</v>
      </c>
      <c r="H387" s="35"/>
      <c r="I387" s="35"/>
      <c r="J387" s="35"/>
      <c r="K387" s="35"/>
      <c r="L387" s="35"/>
      <c r="M387" s="35"/>
      <c r="N387" s="35"/>
    </row>
    <row r="388" spans="1:14" x14ac:dyDescent="0.3">
      <c r="A388" s="35"/>
      <c r="B388" s="48">
        <v>329</v>
      </c>
      <c r="C388" s="49">
        <v>625.20745358592058</v>
      </c>
      <c r="D388" s="48">
        <v>329</v>
      </c>
      <c r="E388" s="49">
        <v>-1.6540939133354492E-2</v>
      </c>
      <c r="F388" s="48">
        <v>329</v>
      </c>
      <c r="G388" s="49">
        <v>468.26142608878081</v>
      </c>
      <c r="H388" s="35"/>
      <c r="I388" s="35"/>
      <c r="J388" s="35"/>
      <c r="K388" s="35"/>
      <c r="L388" s="35"/>
      <c r="M388" s="35"/>
      <c r="N388" s="35"/>
    </row>
    <row r="389" spans="1:14" x14ac:dyDescent="0.3">
      <c r="A389" s="35"/>
      <c r="B389" s="48">
        <v>330</v>
      </c>
      <c r="C389" s="49">
        <v>963.49056533552391</v>
      </c>
      <c r="D389" s="48">
        <v>330</v>
      </c>
      <c r="E389" s="49">
        <v>-2.5639103911023526</v>
      </c>
      <c r="F389" s="48">
        <v>330</v>
      </c>
      <c r="G389" s="49">
        <v>862.198779624797</v>
      </c>
      <c r="H389" s="35"/>
      <c r="I389" s="35"/>
      <c r="J389" s="35"/>
      <c r="K389" s="35"/>
      <c r="L389" s="35"/>
      <c r="M389" s="35"/>
      <c r="N389" s="35"/>
    </row>
    <row r="390" spans="1:14" x14ac:dyDescent="0.3">
      <c r="A390" s="35"/>
      <c r="B390" s="48">
        <v>331</v>
      </c>
      <c r="C390" s="49">
        <v>273.56632120983636</v>
      </c>
      <c r="D390" s="48">
        <v>331</v>
      </c>
      <c r="E390" s="49">
        <v>-60.200577025846499</v>
      </c>
      <c r="F390" s="48">
        <v>331</v>
      </c>
      <c r="G390" s="49">
        <v>382.39536382372341</v>
      </c>
      <c r="H390" s="35"/>
      <c r="I390" s="35"/>
      <c r="J390" s="35"/>
      <c r="K390" s="35"/>
      <c r="L390" s="35"/>
      <c r="M390" s="35"/>
      <c r="N390" s="35"/>
    </row>
    <row r="391" spans="1:14" x14ac:dyDescent="0.3">
      <c r="A391" s="35"/>
      <c r="B391" s="48">
        <v>332</v>
      </c>
      <c r="C391" s="49">
        <v>300.12487942035011</v>
      </c>
      <c r="D391" s="48">
        <v>332</v>
      </c>
      <c r="E391" s="49">
        <v>-5.3793912398365595</v>
      </c>
      <c r="F391" s="48">
        <v>332</v>
      </c>
      <c r="G391" s="49">
        <v>98.707250236003148</v>
      </c>
      <c r="H391" s="35"/>
      <c r="I391" s="35"/>
      <c r="J391" s="35"/>
      <c r="K391" s="35"/>
      <c r="L391" s="35"/>
      <c r="M391" s="35"/>
      <c r="N391" s="35"/>
    </row>
    <row r="392" spans="1:14" x14ac:dyDescent="0.3">
      <c r="A392" s="35"/>
      <c r="B392" s="48">
        <v>333</v>
      </c>
      <c r="C392" s="49">
        <v>1075.1233332287825</v>
      </c>
      <c r="D392" s="48">
        <v>333</v>
      </c>
      <c r="E392" s="49">
        <v>2.1926536118936742E-2</v>
      </c>
      <c r="F392" s="48">
        <v>333</v>
      </c>
      <c r="G392" s="49">
        <v>1021.477065429279</v>
      </c>
      <c r="H392" s="35"/>
      <c r="I392" s="35"/>
      <c r="J392" s="35"/>
      <c r="K392" s="35"/>
      <c r="L392" s="35"/>
      <c r="M392" s="35"/>
      <c r="N392" s="35"/>
    </row>
    <row r="393" spans="1:14" x14ac:dyDescent="0.3">
      <c r="A393" s="35"/>
      <c r="B393" s="48">
        <v>334</v>
      </c>
      <c r="C393" s="49">
        <v>1034.9960016346954</v>
      </c>
      <c r="D393" s="48">
        <v>334</v>
      </c>
      <c r="E393" s="49">
        <v>-0.6489660258669504</v>
      </c>
      <c r="F393" s="48">
        <v>334</v>
      </c>
      <c r="G393" s="49">
        <v>622.41051052972432</v>
      </c>
      <c r="H393" s="35"/>
      <c r="I393" s="35"/>
      <c r="J393" s="35"/>
      <c r="K393" s="35"/>
      <c r="L393" s="35"/>
      <c r="M393" s="35"/>
      <c r="N393" s="35"/>
    </row>
    <row r="394" spans="1:14" x14ac:dyDescent="0.3">
      <c r="A394" s="35"/>
      <c r="B394" s="48">
        <v>335</v>
      </c>
      <c r="C394" s="49">
        <v>1104.0734659714176</v>
      </c>
      <c r="D394" s="48">
        <v>335</v>
      </c>
      <c r="E394" s="49">
        <v>-17.870134876984064</v>
      </c>
      <c r="F394" s="48">
        <v>335</v>
      </c>
      <c r="G394" s="49">
        <v>1336.3718284753995</v>
      </c>
      <c r="H394" s="35"/>
      <c r="I394" s="35"/>
      <c r="J394" s="35"/>
      <c r="K394" s="35"/>
      <c r="L394" s="35"/>
      <c r="M394" s="35"/>
      <c r="N394" s="35"/>
    </row>
    <row r="395" spans="1:14" x14ac:dyDescent="0.3">
      <c r="A395" s="35"/>
      <c r="B395" s="48">
        <v>336</v>
      </c>
      <c r="C395" s="49">
        <v>705.26988729175059</v>
      </c>
      <c r="D395" s="48">
        <v>336</v>
      </c>
      <c r="E395" s="49">
        <v>-29.256400783279645</v>
      </c>
      <c r="F395" s="48">
        <v>336</v>
      </c>
      <c r="G395" s="49">
        <v>986.78380761487608</v>
      </c>
      <c r="H395" s="35"/>
      <c r="I395" s="35"/>
      <c r="J395" s="35"/>
      <c r="K395" s="35"/>
      <c r="L395" s="35"/>
      <c r="M395" s="35"/>
      <c r="N395" s="35"/>
    </row>
    <row r="396" spans="1:14" x14ac:dyDescent="0.3">
      <c r="A396" s="35"/>
      <c r="B396" s="48">
        <v>337</v>
      </c>
      <c r="C396" s="49">
        <v>820.37408143477842</v>
      </c>
      <c r="D396" s="48">
        <v>337</v>
      </c>
      <c r="E396" s="49">
        <v>-41.403254684684725</v>
      </c>
      <c r="F396" s="48">
        <v>337</v>
      </c>
      <c r="G396" s="49">
        <v>926.83867171736222</v>
      </c>
      <c r="H396" s="35"/>
      <c r="I396" s="35"/>
      <c r="J396" s="35"/>
      <c r="K396" s="35"/>
      <c r="L396" s="35"/>
      <c r="M396" s="35"/>
      <c r="N396" s="35"/>
    </row>
    <row r="397" spans="1:14" x14ac:dyDescent="0.3">
      <c r="A397" s="35"/>
      <c r="B397" s="48">
        <v>338</v>
      </c>
      <c r="C397" s="49">
        <v>1008.5381310044484</v>
      </c>
      <c r="D397" s="48">
        <v>338</v>
      </c>
      <c r="E397" s="49">
        <v>7.7032891687984604</v>
      </c>
      <c r="F397" s="48">
        <v>338</v>
      </c>
      <c r="G397" s="49">
        <v>1224.268058333314</v>
      </c>
      <c r="H397" s="35"/>
      <c r="I397" s="35"/>
      <c r="J397" s="35"/>
      <c r="K397" s="35"/>
      <c r="L397" s="35"/>
      <c r="M397" s="35"/>
      <c r="N397" s="35"/>
    </row>
    <row r="398" spans="1:14" x14ac:dyDescent="0.3">
      <c r="A398" s="35"/>
      <c r="B398" s="48">
        <v>339</v>
      </c>
      <c r="C398" s="49">
        <v>312.77400231924469</v>
      </c>
      <c r="D398" s="48">
        <v>339</v>
      </c>
      <c r="E398" s="49">
        <v>32.57918566739999</v>
      </c>
      <c r="F398" s="48">
        <v>339</v>
      </c>
      <c r="G398" s="49">
        <v>759.75107122366774</v>
      </c>
      <c r="H398" s="35"/>
      <c r="I398" s="35"/>
      <c r="J398" s="35"/>
      <c r="K398" s="35"/>
      <c r="L398" s="35"/>
      <c r="M398" s="35"/>
      <c r="N398" s="35"/>
    </row>
    <row r="399" spans="1:14" x14ac:dyDescent="0.3">
      <c r="A399" s="35"/>
      <c r="B399" s="48">
        <v>340</v>
      </c>
      <c r="C399" s="49">
        <v>1350.6125367175714</v>
      </c>
      <c r="D399" s="48">
        <v>340</v>
      </c>
      <c r="E399" s="49">
        <v>-0.62272520248376551</v>
      </c>
      <c r="F399" s="48">
        <v>340</v>
      </c>
      <c r="G399" s="49">
        <v>373.37135108930977</v>
      </c>
      <c r="H399" s="35"/>
      <c r="I399" s="35"/>
      <c r="J399" s="35"/>
      <c r="K399" s="35"/>
      <c r="L399" s="35"/>
      <c r="M399" s="35"/>
      <c r="N399" s="35"/>
    </row>
    <row r="400" spans="1:14" x14ac:dyDescent="0.3">
      <c r="A400" s="35"/>
      <c r="B400" s="48">
        <v>341</v>
      </c>
      <c r="C400" s="49">
        <v>916.50810990658624</v>
      </c>
      <c r="D400" s="48">
        <v>341</v>
      </c>
      <c r="E400" s="49">
        <v>1.5024559510141304</v>
      </c>
      <c r="F400" s="48">
        <v>341</v>
      </c>
      <c r="G400" s="49">
        <v>898.31128275745471</v>
      </c>
      <c r="H400" s="35"/>
      <c r="I400" s="35"/>
      <c r="J400" s="35"/>
      <c r="K400" s="35"/>
      <c r="L400" s="35"/>
      <c r="M400" s="35"/>
      <c r="N400" s="35"/>
    </row>
    <row r="401" spans="1:14" x14ac:dyDescent="0.3">
      <c r="A401" s="35"/>
      <c r="B401" s="48">
        <v>342</v>
      </c>
      <c r="C401" s="49">
        <v>822.71815196831653</v>
      </c>
      <c r="D401" s="48">
        <v>342</v>
      </c>
      <c r="E401" s="49">
        <v>-19.360642326620859</v>
      </c>
      <c r="F401" s="48">
        <v>342</v>
      </c>
      <c r="G401" s="49">
        <v>740.53433783981995</v>
      </c>
      <c r="H401" s="35"/>
      <c r="I401" s="35"/>
      <c r="J401" s="35"/>
      <c r="K401" s="35"/>
      <c r="L401" s="35"/>
      <c r="M401" s="35"/>
      <c r="N401" s="35"/>
    </row>
    <row r="402" spans="1:14" x14ac:dyDescent="0.3">
      <c r="A402" s="35"/>
      <c r="B402" s="48">
        <v>343</v>
      </c>
      <c r="C402" s="49">
        <v>901.6067107079067</v>
      </c>
      <c r="D402" s="48">
        <v>343</v>
      </c>
      <c r="E402" s="49">
        <v>14.073416656932002</v>
      </c>
      <c r="F402" s="48">
        <v>343</v>
      </c>
      <c r="G402" s="49">
        <v>668.29637009146131</v>
      </c>
      <c r="H402" s="35"/>
      <c r="I402" s="35"/>
      <c r="J402" s="35"/>
      <c r="K402" s="35"/>
      <c r="L402" s="35"/>
      <c r="M402" s="35"/>
      <c r="N402" s="35"/>
    </row>
    <row r="403" spans="1:14" x14ac:dyDescent="0.3">
      <c r="A403" s="35"/>
      <c r="B403" s="48">
        <v>344</v>
      </c>
      <c r="C403" s="49">
        <v>79.346250404154461</v>
      </c>
      <c r="D403" s="48">
        <v>344</v>
      </c>
      <c r="E403" s="49">
        <v>-11.128739994590537</v>
      </c>
      <c r="F403" s="48">
        <v>344</v>
      </c>
      <c r="G403" s="49">
        <v>815.74934155911421</v>
      </c>
      <c r="H403" s="35"/>
      <c r="I403" s="35"/>
      <c r="J403" s="35"/>
      <c r="K403" s="35"/>
      <c r="L403" s="35"/>
      <c r="M403" s="35"/>
      <c r="N403" s="35"/>
    </row>
    <row r="404" spans="1:14" x14ac:dyDescent="0.3">
      <c r="A404" s="35"/>
      <c r="B404" s="48">
        <v>345</v>
      </c>
      <c r="C404" s="49">
        <v>1161.3756654658184</v>
      </c>
      <c r="D404" s="48">
        <v>345</v>
      </c>
      <c r="E404" s="49">
        <v>-0.12294047585669676</v>
      </c>
      <c r="F404" s="48">
        <v>345</v>
      </c>
      <c r="G404" s="49">
        <v>956.9879558766645</v>
      </c>
      <c r="H404" s="35"/>
      <c r="I404" s="35"/>
      <c r="J404" s="35"/>
      <c r="K404" s="35"/>
      <c r="L404" s="35"/>
      <c r="M404" s="35"/>
      <c r="N404" s="35"/>
    </row>
    <row r="405" spans="1:14" x14ac:dyDescent="0.3">
      <c r="A405" s="35"/>
      <c r="B405" s="48">
        <v>346</v>
      </c>
      <c r="C405" s="49">
        <v>1000.6388037387048</v>
      </c>
      <c r="D405" s="48">
        <v>346</v>
      </c>
      <c r="E405" s="49">
        <v>1.3649729733056295</v>
      </c>
      <c r="F405" s="48">
        <v>346</v>
      </c>
      <c r="G405" s="49">
        <v>1041.3690491996108</v>
      </c>
      <c r="H405" s="35"/>
      <c r="I405" s="35"/>
      <c r="J405" s="35"/>
      <c r="K405" s="35"/>
      <c r="L405" s="35"/>
      <c r="M405" s="35"/>
      <c r="N405" s="35"/>
    </row>
    <row r="406" spans="1:14" x14ac:dyDescent="0.3">
      <c r="A406" s="35"/>
      <c r="B406" s="48">
        <v>347</v>
      </c>
      <c r="C406" s="49">
        <v>461.10625659114464</v>
      </c>
      <c r="D406" s="48">
        <v>347</v>
      </c>
      <c r="E406" s="49">
        <v>-1.3148905569718312</v>
      </c>
      <c r="F406" s="48">
        <v>347</v>
      </c>
      <c r="G406" s="49">
        <v>839.29223159658522</v>
      </c>
      <c r="H406" s="35"/>
      <c r="I406" s="35"/>
      <c r="J406" s="35"/>
      <c r="K406" s="35"/>
      <c r="L406" s="35"/>
      <c r="M406" s="35"/>
      <c r="N406" s="35"/>
    </row>
    <row r="407" spans="1:14" x14ac:dyDescent="0.3">
      <c r="A407" s="35"/>
      <c r="B407" s="48">
        <v>348</v>
      </c>
      <c r="C407" s="49">
        <v>946.17830987590753</v>
      </c>
      <c r="D407" s="48">
        <v>348</v>
      </c>
      <c r="E407" s="49">
        <v>3.2105070906192998</v>
      </c>
      <c r="F407" s="48">
        <v>348</v>
      </c>
      <c r="G407" s="49">
        <v>1158.5298332527227</v>
      </c>
      <c r="H407" s="35"/>
      <c r="I407" s="35"/>
      <c r="J407" s="35"/>
      <c r="K407" s="35"/>
      <c r="L407" s="35"/>
      <c r="M407" s="35"/>
      <c r="N407" s="35"/>
    </row>
    <row r="408" spans="1:14" x14ac:dyDescent="0.3">
      <c r="A408" s="35"/>
      <c r="B408" s="48">
        <v>349</v>
      </c>
      <c r="C408" s="49">
        <v>789.42995791923738</v>
      </c>
      <c r="D408" s="48">
        <v>349</v>
      </c>
      <c r="E408" s="49">
        <v>-7.6748352228985821</v>
      </c>
      <c r="F408" s="48">
        <v>349</v>
      </c>
      <c r="G408" s="49">
        <v>851.60619787843609</v>
      </c>
      <c r="H408" s="35"/>
      <c r="I408" s="35"/>
      <c r="J408" s="35"/>
      <c r="K408" s="35"/>
      <c r="L408" s="35"/>
      <c r="M408" s="35"/>
      <c r="N408" s="35"/>
    </row>
    <row r="409" spans="1:14" x14ac:dyDescent="0.3">
      <c r="A409" s="35"/>
      <c r="B409" s="48">
        <v>350</v>
      </c>
      <c r="C409" s="49">
        <v>833.44518832542599</v>
      </c>
      <c r="D409" s="48">
        <v>350</v>
      </c>
      <c r="E409" s="49">
        <v>-18.400507299261612</v>
      </c>
      <c r="F409" s="48">
        <v>350</v>
      </c>
      <c r="G409" s="49">
        <v>791.56697850145122</v>
      </c>
      <c r="H409" s="35"/>
      <c r="I409" s="35"/>
      <c r="J409" s="35"/>
      <c r="K409" s="35"/>
      <c r="L409" s="35"/>
      <c r="M409" s="35"/>
      <c r="N409" s="35"/>
    </row>
    <row r="410" spans="1:14" x14ac:dyDescent="0.3">
      <c r="A410" s="35"/>
      <c r="B410" s="48">
        <v>351</v>
      </c>
      <c r="C410" s="49">
        <v>708.05108162874023</v>
      </c>
      <c r="D410" s="48">
        <v>351</v>
      </c>
      <c r="E410" s="49">
        <v>-21.076072706482005</v>
      </c>
      <c r="F410" s="48">
        <v>351</v>
      </c>
      <c r="G410" s="49">
        <v>651.17326047557685</v>
      </c>
      <c r="H410" s="35"/>
      <c r="I410" s="35"/>
      <c r="J410" s="35"/>
      <c r="K410" s="35"/>
      <c r="L410" s="35"/>
      <c r="M410" s="35"/>
      <c r="N410" s="35"/>
    </row>
    <row r="411" spans="1:14" x14ac:dyDescent="0.3">
      <c r="A411" s="35"/>
      <c r="B411" s="48">
        <v>352</v>
      </c>
      <c r="C411" s="49">
        <v>1143.0372364938139</v>
      </c>
      <c r="D411" s="48">
        <v>352</v>
      </c>
      <c r="E411" s="49">
        <v>54.836940520708559</v>
      </c>
      <c r="F411" s="48">
        <v>352</v>
      </c>
      <c r="G411" s="49">
        <v>916.47408754565981</v>
      </c>
      <c r="H411" s="35"/>
      <c r="I411" s="35"/>
      <c r="J411" s="35"/>
      <c r="K411" s="35"/>
      <c r="L411" s="35"/>
      <c r="M411" s="35"/>
      <c r="N411" s="35"/>
    </row>
    <row r="412" spans="1:14" x14ac:dyDescent="0.3">
      <c r="A412" s="35"/>
      <c r="B412" s="48">
        <v>353</v>
      </c>
      <c r="C412" s="49">
        <v>942.05422460360319</v>
      </c>
      <c r="D412" s="48">
        <v>353</v>
      </c>
      <c r="E412" s="49">
        <v>-2.3880488840675644</v>
      </c>
      <c r="F412" s="48">
        <v>353</v>
      </c>
      <c r="G412" s="49">
        <v>864.86826015709028</v>
      </c>
      <c r="H412" s="35"/>
      <c r="I412" s="35"/>
      <c r="J412" s="35"/>
      <c r="K412" s="35"/>
      <c r="L412" s="35"/>
      <c r="M412" s="35"/>
      <c r="N412" s="35"/>
    </row>
    <row r="413" spans="1:14" x14ac:dyDescent="0.3">
      <c r="A413" s="35"/>
      <c r="B413" s="48">
        <v>354</v>
      </c>
      <c r="C413" s="49">
        <v>1043.4139239452636</v>
      </c>
      <c r="D413" s="48">
        <v>354</v>
      </c>
      <c r="E413" s="49">
        <v>17.722503031147731</v>
      </c>
      <c r="F413" s="48">
        <v>354</v>
      </c>
      <c r="G413" s="49">
        <v>981.76667165905894</v>
      </c>
      <c r="H413" s="35"/>
      <c r="I413" s="35"/>
      <c r="J413" s="35"/>
      <c r="K413" s="35"/>
      <c r="L413" s="35"/>
      <c r="M413" s="35"/>
      <c r="N413" s="35"/>
    </row>
    <row r="414" spans="1:14" x14ac:dyDescent="0.3">
      <c r="A414" s="35"/>
      <c r="B414" s="48">
        <v>355</v>
      </c>
      <c r="C414" s="49">
        <v>945.53781084004663</v>
      </c>
      <c r="D414" s="48">
        <v>355</v>
      </c>
      <c r="E414" s="49">
        <v>67.160957763277878</v>
      </c>
      <c r="F414" s="48">
        <v>355</v>
      </c>
      <c r="G414" s="49">
        <v>962.82837106054865</v>
      </c>
      <c r="H414" s="35"/>
      <c r="I414" s="35"/>
      <c r="J414" s="35"/>
      <c r="K414" s="35"/>
      <c r="L414" s="35"/>
      <c r="M414" s="35"/>
      <c r="N414" s="35"/>
    </row>
    <row r="415" spans="1:14" x14ac:dyDescent="0.3">
      <c r="A415" s="35"/>
      <c r="B415" s="48">
        <v>356</v>
      </c>
      <c r="C415" s="49">
        <v>463.33617168366652</v>
      </c>
      <c r="D415" s="48">
        <v>356</v>
      </c>
      <c r="E415" s="49">
        <v>1.3906448774556017</v>
      </c>
      <c r="F415" s="48">
        <v>356</v>
      </c>
      <c r="G415" s="49">
        <v>988.22078870031203</v>
      </c>
      <c r="H415" s="35"/>
      <c r="I415" s="35"/>
      <c r="J415" s="35"/>
      <c r="K415" s="35"/>
      <c r="L415" s="35"/>
      <c r="M415" s="35"/>
      <c r="N415" s="35"/>
    </row>
    <row r="416" spans="1:14" x14ac:dyDescent="0.3">
      <c r="A416" s="35"/>
      <c r="B416" s="48">
        <v>357</v>
      </c>
      <c r="C416" s="49">
        <v>769.25160766391673</v>
      </c>
      <c r="D416" s="48">
        <v>357</v>
      </c>
      <c r="E416" s="49">
        <v>22.012404381592297</v>
      </c>
      <c r="F416" s="48">
        <v>357</v>
      </c>
      <c r="G416" s="49">
        <v>804.42975940643032</v>
      </c>
      <c r="H416" s="35"/>
      <c r="I416" s="35"/>
      <c r="J416" s="35"/>
      <c r="K416" s="35"/>
      <c r="L416" s="35"/>
      <c r="M416" s="35"/>
      <c r="N416" s="35"/>
    </row>
    <row r="417" spans="1:14" x14ac:dyDescent="0.3">
      <c r="A417" s="35"/>
      <c r="B417" s="48">
        <v>358</v>
      </c>
      <c r="C417" s="49">
        <v>417.60784114302976</v>
      </c>
      <c r="D417" s="48">
        <v>358</v>
      </c>
      <c r="E417" s="49">
        <v>-27.944150120178183</v>
      </c>
      <c r="F417" s="48">
        <v>358</v>
      </c>
      <c r="G417" s="49">
        <v>994.10235970719259</v>
      </c>
      <c r="H417" s="35"/>
      <c r="I417" s="35"/>
      <c r="J417" s="35"/>
      <c r="K417" s="35"/>
      <c r="L417" s="35"/>
      <c r="M417" s="35"/>
      <c r="N417" s="35"/>
    </row>
    <row r="418" spans="1:14" x14ac:dyDescent="0.3">
      <c r="A418" s="35"/>
      <c r="B418" s="48">
        <v>359</v>
      </c>
      <c r="C418" s="49">
        <v>1084.3551604002555</v>
      </c>
      <c r="D418" s="48">
        <v>359</v>
      </c>
      <c r="E418" s="49">
        <v>-0.70765455219215334</v>
      </c>
      <c r="F418" s="48">
        <v>359</v>
      </c>
      <c r="G418" s="49">
        <v>778.04950560979285</v>
      </c>
      <c r="H418" s="35"/>
      <c r="I418" s="35"/>
      <c r="J418" s="35"/>
      <c r="K418" s="35"/>
      <c r="L418" s="35"/>
      <c r="M418" s="35"/>
      <c r="N418" s="35"/>
    </row>
    <row r="419" spans="1:14" x14ac:dyDescent="0.3">
      <c r="A419" s="35"/>
      <c r="B419" s="48">
        <v>360</v>
      </c>
      <c r="C419" s="49">
        <v>909.00813611008687</v>
      </c>
      <c r="D419" s="48">
        <v>360</v>
      </c>
      <c r="E419" s="49">
        <v>1.1100569856735887</v>
      </c>
      <c r="F419" s="48">
        <v>360</v>
      </c>
      <c r="G419" s="49">
        <v>1357.3394460072773</v>
      </c>
      <c r="H419" s="35"/>
      <c r="I419" s="35"/>
      <c r="J419" s="35"/>
      <c r="K419" s="35"/>
      <c r="L419" s="35"/>
      <c r="M419" s="35"/>
      <c r="N419" s="35"/>
    </row>
    <row r="420" spans="1:14" x14ac:dyDescent="0.3">
      <c r="A420" s="35"/>
      <c r="B420" s="48">
        <v>361</v>
      </c>
      <c r="C420" s="49">
        <v>743.92479864842994</v>
      </c>
      <c r="D420" s="48">
        <v>361</v>
      </c>
      <c r="E420" s="49">
        <v>-17.427131244128979</v>
      </c>
      <c r="F420" s="48">
        <v>361</v>
      </c>
      <c r="G420" s="49">
        <v>1069.666882383794</v>
      </c>
      <c r="H420" s="35"/>
      <c r="I420" s="35"/>
      <c r="J420" s="35"/>
      <c r="K420" s="35"/>
      <c r="L420" s="35"/>
      <c r="M420" s="35"/>
      <c r="N420" s="35"/>
    </row>
    <row r="421" spans="1:14" x14ac:dyDescent="0.3">
      <c r="A421" s="35"/>
      <c r="B421" s="48">
        <v>362</v>
      </c>
      <c r="C421" s="49">
        <v>409.72499977698601</v>
      </c>
      <c r="D421" s="48">
        <v>362</v>
      </c>
      <c r="E421" s="49">
        <v>-9.5023223329186219</v>
      </c>
      <c r="F421" s="48">
        <v>362</v>
      </c>
      <c r="G421" s="49">
        <v>741.69817530553519</v>
      </c>
      <c r="H421" s="35"/>
      <c r="I421" s="35"/>
      <c r="J421" s="35"/>
      <c r="K421" s="35"/>
      <c r="L421" s="35"/>
      <c r="M421" s="35"/>
      <c r="N421" s="35"/>
    </row>
    <row r="422" spans="1:14" x14ac:dyDescent="0.3">
      <c r="A422" s="35"/>
      <c r="B422" s="48">
        <v>363</v>
      </c>
      <c r="C422" s="49">
        <v>972.71628831550765</v>
      </c>
      <c r="D422" s="48">
        <v>363</v>
      </c>
      <c r="E422" s="49">
        <v>-4.3156246896594501</v>
      </c>
      <c r="F422" s="48">
        <v>363</v>
      </c>
      <c r="G422" s="49">
        <v>849.91695390972723</v>
      </c>
      <c r="H422" s="35"/>
      <c r="I422" s="35"/>
      <c r="J422" s="35"/>
      <c r="K422" s="35"/>
      <c r="L422" s="35"/>
      <c r="M422" s="35"/>
      <c r="N422" s="35"/>
    </row>
    <row r="423" spans="1:14" x14ac:dyDescent="0.3">
      <c r="A423" s="35"/>
      <c r="B423" s="48">
        <v>364</v>
      </c>
      <c r="C423" s="49">
        <v>901.27749655254809</v>
      </c>
      <c r="D423" s="48">
        <v>364</v>
      </c>
      <c r="E423" s="49">
        <v>-7.8463693912671193</v>
      </c>
      <c r="F423" s="48">
        <v>364</v>
      </c>
      <c r="G423" s="49">
        <v>1261.1003876862603</v>
      </c>
      <c r="H423" s="35"/>
      <c r="I423" s="35"/>
      <c r="J423" s="35"/>
      <c r="K423" s="35"/>
      <c r="L423" s="35"/>
      <c r="M423" s="35"/>
      <c r="N423" s="35"/>
    </row>
    <row r="424" spans="1:14" x14ac:dyDescent="0.3">
      <c r="A424" s="35"/>
      <c r="B424" s="48">
        <v>365</v>
      </c>
      <c r="C424" s="49">
        <v>1305.5139912678446</v>
      </c>
      <c r="D424" s="48">
        <v>365</v>
      </c>
      <c r="E424" s="49">
        <v>-24.178100330076003</v>
      </c>
      <c r="F424" s="48">
        <v>365</v>
      </c>
      <c r="G424" s="49">
        <v>785.66523046771476</v>
      </c>
      <c r="H424" s="35"/>
      <c r="I424" s="35"/>
      <c r="J424" s="35"/>
      <c r="K424" s="35"/>
      <c r="L424" s="35"/>
      <c r="M424" s="35"/>
      <c r="N424" s="35"/>
    </row>
    <row r="425" spans="1:14" x14ac:dyDescent="0.3">
      <c r="A425" s="35"/>
      <c r="B425" s="48">
        <v>366</v>
      </c>
      <c r="C425" s="49">
        <v>1305.2418088414292</v>
      </c>
      <c r="D425" s="48">
        <v>366</v>
      </c>
      <c r="E425" s="49">
        <v>-8.7277934106448534</v>
      </c>
      <c r="F425" s="48">
        <v>366</v>
      </c>
      <c r="G425" s="49">
        <v>996.26563262319507</v>
      </c>
      <c r="H425" s="35"/>
      <c r="I425" s="35"/>
      <c r="J425" s="35"/>
      <c r="K425" s="35"/>
      <c r="L425" s="35"/>
      <c r="M425" s="35"/>
      <c r="N425" s="35"/>
    </row>
    <row r="426" spans="1:14" x14ac:dyDescent="0.3">
      <c r="A426" s="35"/>
      <c r="B426" s="48">
        <v>367</v>
      </c>
      <c r="C426" s="49">
        <v>1401.3534357004992</v>
      </c>
      <c r="D426" s="48">
        <v>367</v>
      </c>
      <c r="E426" s="49">
        <v>14.604533500355021</v>
      </c>
      <c r="F426" s="48">
        <v>367</v>
      </c>
      <c r="G426" s="49">
        <v>802.9983053547893</v>
      </c>
      <c r="H426" s="35"/>
      <c r="I426" s="35"/>
      <c r="J426" s="35"/>
      <c r="K426" s="35"/>
      <c r="L426" s="35"/>
      <c r="M426" s="35"/>
      <c r="N426" s="35"/>
    </row>
    <row r="427" spans="1:14" x14ac:dyDescent="0.3">
      <c r="A427" s="35"/>
      <c r="B427" s="48">
        <v>368</v>
      </c>
      <c r="C427" s="49">
        <v>1298.1807667432734</v>
      </c>
      <c r="D427" s="48">
        <v>368</v>
      </c>
      <c r="E427" s="49">
        <v>-35.541659260645368</v>
      </c>
      <c r="F427" s="48">
        <v>368</v>
      </c>
      <c r="G427" s="49">
        <v>851.49936620480855</v>
      </c>
      <c r="H427" s="35"/>
      <c r="I427" s="35"/>
      <c r="J427" s="35"/>
      <c r="K427" s="35"/>
      <c r="L427" s="35"/>
      <c r="M427" s="35"/>
      <c r="N427" s="35"/>
    </row>
    <row r="428" spans="1:14" x14ac:dyDescent="0.3">
      <c r="A428" s="35"/>
      <c r="B428" s="48">
        <v>369</v>
      </c>
      <c r="C428" s="49">
        <v>948.18574066270651</v>
      </c>
      <c r="D428" s="48">
        <v>369</v>
      </c>
      <c r="E428" s="49">
        <v>11.747955191238962</v>
      </c>
      <c r="F428" s="48">
        <v>369</v>
      </c>
      <c r="G428" s="49">
        <v>722.36671428800662</v>
      </c>
      <c r="H428" s="35"/>
      <c r="I428" s="35"/>
      <c r="J428" s="35"/>
      <c r="K428" s="35"/>
      <c r="L428" s="35"/>
      <c r="M428" s="35"/>
      <c r="N428" s="35"/>
    </row>
    <row r="429" spans="1:14" x14ac:dyDescent="0.3">
      <c r="A429" s="35"/>
      <c r="B429" s="48">
        <v>370</v>
      </c>
      <c r="C429" s="49">
        <v>1406.7097575014627</v>
      </c>
      <c r="D429" s="48">
        <v>370</v>
      </c>
      <c r="E429" s="49">
        <v>7.5508536300649993</v>
      </c>
      <c r="F429" s="48">
        <v>370</v>
      </c>
      <c r="G429" s="49">
        <v>1054.3959293737905</v>
      </c>
      <c r="H429" s="35"/>
      <c r="I429" s="35"/>
      <c r="J429" s="35"/>
      <c r="K429" s="35"/>
      <c r="L429" s="35"/>
      <c r="M429" s="35"/>
      <c r="N429" s="35"/>
    </row>
    <row r="430" spans="1:14" x14ac:dyDescent="0.3">
      <c r="A430" s="35"/>
      <c r="B430" s="48">
        <v>371</v>
      </c>
      <c r="C430" s="49">
        <v>1030.2157569013357</v>
      </c>
      <c r="D430" s="48">
        <v>371</v>
      </c>
      <c r="E430" s="49">
        <v>-14.996124517665487</v>
      </c>
      <c r="F430" s="48">
        <v>371</v>
      </c>
      <c r="G430" s="49">
        <v>1149.3658952290175</v>
      </c>
      <c r="H430" s="35"/>
      <c r="I430" s="35"/>
      <c r="J430" s="35"/>
      <c r="K430" s="35"/>
      <c r="L430" s="35"/>
      <c r="M430" s="35"/>
      <c r="N430" s="35"/>
    </row>
    <row r="431" spans="1:14" x14ac:dyDescent="0.3">
      <c r="A431" s="35"/>
      <c r="B431" s="48">
        <v>372</v>
      </c>
      <c r="C431" s="49">
        <v>886.34541182343924</v>
      </c>
      <c r="D431" s="48">
        <v>372</v>
      </c>
      <c r="E431" s="49">
        <v>4.0866229000873897</v>
      </c>
      <c r="F431" s="48">
        <v>372</v>
      </c>
      <c r="G431" s="49">
        <v>697.58975330386488</v>
      </c>
      <c r="H431" s="35"/>
      <c r="I431" s="35"/>
      <c r="J431" s="35"/>
      <c r="K431" s="35"/>
      <c r="L431" s="35"/>
      <c r="M431" s="35"/>
      <c r="N431" s="35"/>
    </row>
    <row r="432" spans="1:14" x14ac:dyDescent="0.3">
      <c r="A432" s="35"/>
      <c r="B432" s="48">
        <v>373</v>
      </c>
      <c r="C432" s="49">
        <v>1356.9427386749962</v>
      </c>
      <c r="D432" s="48">
        <v>373</v>
      </c>
      <c r="E432" s="49">
        <v>1.9967066606548816</v>
      </c>
      <c r="F432" s="48">
        <v>373</v>
      </c>
      <c r="G432" s="49">
        <v>1131.2416446815325</v>
      </c>
      <c r="H432" s="35"/>
      <c r="I432" s="35"/>
      <c r="J432" s="35"/>
      <c r="K432" s="35"/>
      <c r="L432" s="35"/>
      <c r="M432" s="35"/>
      <c r="N432" s="35"/>
    </row>
    <row r="433" spans="1:14" x14ac:dyDescent="0.3">
      <c r="A433" s="35"/>
      <c r="B433" s="48">
        <v>374</v>
      </c>
      <c r="C433" s="49">
        <v>164.22429017254009</v>
      </c>
      <c r="D433" s="48">
        <v>374</v>
      </c>
      <c r="E433" s="49">
        <v>5.8268494486628919</v>
      </c>
      <c r="F433" s="48">
        <v>374</v>
      </c>
      <c r="G433" s="49">
        <v>1263.7081435270118</v>
      </c>
      <c r="H433" s="35"/>
      <c r="I433" s="35"/>
      <c r="J433" s="35"/>
      <c r="K433" s="35"/>
      <c r="L433" s="35"/>
      <c r="M433" s="35"/>
      <c r="N433" s="35"/>
    </row>
    <row r="434" spans="1:14" x14ac:dyDescent="0.3">
      <c r="A434" s="35"/>
      <c r="B434" s="48">
        <v>375</v>
      </c>
      <c r="C434" s="49">
        <v>752.83704066556083</v>
      </c>
      <c r="D434" s="48">
        <v>375</v>
      </c>
      <c r="E434" s="49">
        <v>21.620373539241974</v>
      </c>
      <c r="F434" s="48">
        <v>375</v>
      </c>
      <c r="G434" s="49">
        <v>960.89765781359927</v>
      </c>
      <c r="H434" s="35"/>
      <c r="I434" s="35"/>
      <c r="J434" s="35"/>
      <c r="K434" s="35"/>
      <c r="L434" s="35"/>
      <c r="M434" s="35"/>
      <c r="N434" s="35"/>
    </row>
    <row r="435" spans="1:14" x14ac:dyDescent="0.3">
      <c r="A435" s="35"/>
      <c r="B435" s="48">
        <v>376</v>
      </c>
      <c r="C435" s="49">
        <v>739.9503498595858</v>
      </c>
      <c r="D435" s="48">
        <v>376</v>
      </c>
      <c r="E435" s="49">
        <v>10.418234100121508</v>
      </c>
      <c r="F435" s="48">
        <v>376</v>
      </c>
      <c r="G435" s="49">
        <v>1053.6131647590748</v>
      </c>
      <c r="H435" s="35"/>
      <c r="I435" s="35"/>
      <c r="J435" s="35"/>
      <c r="K435" s="35"/>
      <c r="L435" s="35"/>
      <c r="M435" s="35"/>
      <c r="N435" s="35"/>
    </row>
    <row r="436" spans="1:14" x14ac:dyDescent="0.3">
      <c r="A436" s="35"/>
      <c r="B436" s="48">
        <v>377</v>
      </c>
      <c r="C436" s="49">
        <v>854.62227100868529</v>
      </c>
      <c r="D436" s="48">
        <v>377</v>
      </c>
      <c r="E436" s="49">
        <v>-7.1908393451950774</v>
      </c>
      <c r="F436" s="48">
        <v>377</v>
      </c>
      <c r="G436" s="49">
        <v>1047.6772440379532</v>
      </c>
      <c r="H436" s="35"/>
      <c r="I436" s="35"/>
      <c r="J436" s="35"/>
      <c r="K436" s="35"/>
      <c r="L436" s="35"/>
      <c r="M436" s="35"/>
      <c r="N436" s="35"/>
    </row>
    <row r="437" spans="1:14" x14ac:dyDescent="0.3">
      <c r="A437" s="35"/>
      <c r="B437" s="48">
        <v>378</v>
      </c>
      <c r="C437" s="49">
        <v>612.91236564996086</v>
      </c>
      <c r="D437" s="48">
        <v>378</v>
      </c>
      <c r="E437" s="49">
        <v>-3.5688901541833715</v>
      </c>
      <c r="F437" s="48">
        <v>378</v>
      </c>
      <c r="G437" s="49">
        <v>1279.2314899000633</v>
      </c>
      <c r="H437" s="35"/>
      <c r="I437" s="35"/>
      <c r="J437" s="35"/>
      <c r="K437" s="35"/>
      <c r="L437" s="35"/>
      <c r="M437" s="35"/>
      <c r="N437" s="35"/>
    </row>
    <row r="438" spans="1:14" x14ac:dyDescent="0.3">
      <c r="A438" s="35"/>
      <c r="B438" s="48">
        <v>379</v>
      </c>
      <c r="C438" s="49">
        <v>635.71361990782782</v>
      </c>
      <c r="D438" s="48">
        <v>379</v>
      </c>
      <c r="E438" s="49">
        <v>27.190091399588521</v>
      </c>
      <c r="F438" s="48">
        <v>379</v>
      </c>
      <c r="G438" s="49">
        <v>302.32479961503071</v>
      </c>
      <c r="H438" s="35"/>
      <c r="I438" s="35"/>
      <c r="J438" s="35"/>
      <c r="K438" s="35"/>
      <c r="L438" s="35"/>
      <c r="M438" s="35"/>
      <c r="N438" s="35"/>
    </row>
    <row r="439" spans="1:14" x14ac:dyDescent="0.3">
      <c r="A439" s="35"/>
      <c r="B439" s="48">
        <v>380</v>
      </c>
      <c r="C439" s="49">
        <v>930.2321358756277</v>
      </c>
      <c r="D439" s="48">
        <v>380</v>
      </c>
      <c r="E439" s="49">
        <v>26.802951193015133</v>
      </c>
      <c r="F439" s="48">
        <v>380</v>
      </c>
      <c r="G439" s="49">
        <v>1187.0156824129667</v>
      </c>
      <c r="H439" s="35"/>
      <c r="I439" s="35"/>
      <c r="J439" s="35"/>
      <c r="K439" s="35"/>
      <c r="L439" s="35"/>
      <c r="M439" s="35"/>
      <c r="N439" s="35"/>
    </row>
    <row r="440" spans="1:14" x14ac:dyDescent="0.3">
      <c r="A440" s="35"/>
      <c r="B440" s="48">
        <v>381</v>
      </c>
      <c r="C440" s="49">
        <v>674.03636783603304</v>
      </c>
      <c r="D440" s="48">
        <v>381</v>
      </c>
      <c r="E440" s="49">
        <v>34.790975517629469</v>
      </c>
      <c r="F440" s="48">
        <v>381</v>
      </c>
      <c r="G440" s="49">
        <v>534.52955449300509</v>
      </c>
      <c r="H440" s="35"/>
      <c r="I440" s="35"/>
      <c r="J440" s="35"/>
      <c r="K440" s="35"/>
      <c r="L440" s="35"/>
      <c r="M440" s="35"/>
      <c r="N440" s="35"/>
    </row>
    <row r="441" spans="1:14" x14ac:dyDescent="0.3">
      <c r="A441" s="35"/>
      <c r="B441" s="48">
        <v>382</v>
      </c>
      <c r="C441" s="49">
        <v>775.84560797733025</v>
      </c>
      <c r="D441" s="48">
        <v>382</v>
      </c>
      <c r="E441" s="49">
        <v>-9.6493550296673991</v>
      </c>
      <c r="F441" s="48">
        <v>382</v>
      </c>
      <c r="G441" s="49">
        <v>673.32579954745222</v>
      </c>
      <c r="H441" s="35"/>
      <c r="I441" s="35"/>
      <c r="J441" s="35"/>
      <c r="K441" s="35"/>
      <c r="L441" s="35"/>
      <c r="M441" s="35"/>
      <c r="N441" s="35"/>
    </row>
    <row r="442" spans="1:14" x14ac:dyDescent="0.3">
      <c r="A442" s="35"/>
      <c r="B442" s="48">
        <v>383</v>
      </c>
      <c r="C442" s="49">
        <v>711.04384992864686</v>
      </c>
      <c r="D442" s="48">
        <v>383</v>
      </c>
      <c r="E442" s="49">
        <v>-17.329361579176194</v>
      </c>
      <c r="F442" s="48">
        <v>383</v>
      </c>
      <c r="G442" s="49">
        <v>1215.1798515676903</v>
      </c>
      <c r="H442" s="35"/>
      <c r="I442" s="35"/>
      <c r="J442" s="35"/>
      <c r="K442" s="35"/>
      <c r="L442" s="35"/>
      <c r="M442" s="35"/>
      <c r="N442" s="35"/>
    </row>
    <row r="443" spans="1:14" x14ac:dyDescent="0.3">
      <c r="A443" s="35"/>
      <c r="B443" s="48">
        <v>384</v>
      </c>
      <c r="C443" s="49">
        <v>785.30473466888668</v>
      </c>
      <c r="D443" s="48">
        <v>384</v>
      </c>
      <c r="E443" s="49">
        <v>21.028617798161285</v>
      </c>
      <c r="F443" s="48">
        <v>384</v>
      </c>
      <c r="G443" s="49">
        <v>932.04529124942815</v>
      </c>
      <c r="H443" s="35"/>
      <c r="I443" s="35"/>
      <c r="J443" s="35"/>
      <c r="K443" s="35"/>
      <c r="L443" s="35"/>
      <c r="M443" s="35"/>
      <c r="N443" s="35"/>
    </row>
    <row r="444" spans="1:14" x14ac:dyDescent="0.3">
      <c r="A444" s="35"/>
      <c r="B444" s="48">
        <v>385</v>
      </c>
      <c r="C444" s="49">
        <v>707.55408874642728</v>
      </c>
      <c r="D444" s="48">
        <v>385</v>
      </c>
      <c r="E444" s="49">
        <v>-15.010746147883534</v>
      </c>
      <c r="F444" s="48">
        <v>385</v>
      </c>
      <c r="G444" s="49">
        <v>1044.3100486980829</v>
      </c>
      <c r="H444" s="35"/>
      <c r="I444" s="35"/>
      <c r="J444" s="35"/>
      <c r="K444" s="35"/>
      <c r="L444" s="35"/>
      <c r="M444" s="35"/>
      <c r="N444" s="35"/>
    </row>
    <row r="445" spans="1:14" x14ac:dyDescent="0.3">
      <c r="A445" s="35"/>
      <c r="B445" s="48">
        <v>386</v>
      </c>
      <c r="C445" s="49">
        <v>1326.8324991663221</v>
      </c>
      <c r="D445" s="48">
        <v>386</v>
      </c>
      <c r="E445" s="49">
        <v>-5.8241606396328995</v>
      </c>
      <c r="F445" s="48">
        <v>386</v>
      </c>
      <c r="G445" s="49">
        <v>1112.4848751578813</v>
      </c>
      <c r="H445" s="35"/>
      <c r="I445" s="35"/>
      <c r="J445" s="35"/>
      <c r="K445" s="35"/>
      <c r="L445" s="35"/>
      <c r="M445" s="35"/>
      <c r="N445" s="35"/>
    </row>
    <row r="446" spans="1:14" x14ac:dyDescent="0.3">
      <c r="A446" s="35"/>
      <c r="B446" s="48">
        <v>387</v>
      </c>
      <c r="C446" s="49">
        <v>724.45563650653298</v>
      </c>
      <c r="D446" s="48">
        <v>387</v>
      </c>
      <c r="E446" s="49">
        <v>-4.8306687489761071</v>
      </c>
      <c r="F446" s="48">
        <v>387</v>
      </c>
      <c r="G446" s="49">
        <v>854.7166550232414</v>
      </c>
      <c r="H446" s="35"/>
      <c r="I446" s="35"/>
      <c r="J446" s="35"/>
      <c r="K446" s="35"/>
      <c r="L446" s="35"/>
      <c r="M446" s="35"/>
      <c r="N446" s="35"/>
    </row>
    <row r="447" spans="1:14" x14ac:dyDescent="0.3">
      <c r="A447" s="35"/>
      <c r="B447" s="48">
        <v>388</v>
      </c>
      <c r="C447" s="49">
        <v>1091.2969980569187</v>
      </c>
      <c r="D447" s="48">
        <v>388</v>
      </c>
      <c r="E447" s="49">
        <v>-27.214940142412974</v>
      </c>
      <c r="F447" s="48">
        <v>388</v>
      </c>
      <c r="G447" s="49">
        <v>1097.2063093822383</v>
      </c>
      <c r="H447" s="35"/>
      <c r="I447" s="35"/>
      <c r="J447" s="35"/>
      <c r="K447" s="35"/>
      <c r="L447" s="35"/>
      <c r="M447" s="35"/>
      <c r="N447" s="35"/>
    </row>
    <row r="448" spans="1:14" x14ac:dyDescent="0.3">
      <c r="A448" s="35"/>
      <c r="B448" s="48">
        <v>389</v>
      </c>
      <c r="C448" s="49">
        <v>1180.733946401851</v>
      </c>
      <c r="D448" s="48">
        <v>389</v>
      </c>
      <c r="E448" s="49">
        <v>-24.272386653502437</v>
      </c>
      <c r="F448" s="48">
        <v>389</v>
      </c>
      <c r="G448" s="49">
        <v>826.16575029562296</v>
      </c>
      <c r="H448" s="35"/>
      <c r="I448" s="35"/>
      <c r="J448" s="35"/>
      <c r="K448" s="35"/>
      <c r="L448" s="35"/>
      <c r="M448" s="35"/>
      <c r="N448" s="35"/>
    </row>
    <row r="449" spans="1:14" x14ac:dyDescent="0.3">
      <c r="A449" s="35"/>
      <c r="B449" s="48">
        <v>390</v>
      </c>
      <c r="C449" s="49">
        <v>1003.1084716564852</v>
      </c>
      <c r="D449" s="48">
        <v>390</v>
      </c>
      <c r="E449" s="49">
        <v>-30.361850908360033</v>
      </c>
      <c r="F449" s="48">
        <v>390</v>
      </c>
      <c r="G449" s="49">
        <v>442.01309132774139</v>
      </c>
      <c r="H449" s="35"/>
      <c r="I449" s="35"/>
      <c r="J449" s="35"/>
      <c r="K449" s="35"/>
      <c r="L449" s="35"/>
      <c r="M449" s="35"/>
      <c r="N449" s="35"/>
    </row>
    <row r="450" spans="1:14" x14ac:dyDescent="0.3">
      <c r="A450" s="35"/>
      <c r="B450" s="48">
        <v>391</v>
      </c>
      <c r="C450" s="49">
        <v>737.33114843672467</v>
      </c>
      <c r="D450" s="48">
        <v>391</v>
      </c>
      <c r="E450" s="49">
        <v>-4.5474704241476456</v>
      </c>
      <c r="F450" s="48">
        <v>391</v>
      </c>
      <c r="G450" s="49">
        <v>476.33092270506279</v>
      </c>
      <c r="H450" s="35"/>
      <c r="I450" s="35"/>
      <c r="J450" s="35"/>
      <c r="K450" s="35"/>
      <c r="L450" s="35"/>
      <c r="M450" s="35"/>
      <c r="N450" s="35"/>
    </row>
    <row r="451" spans="1:14" x14ac:dyDescent="0.3">
      <c r="A451" s="35"/>
      <c r="B451" s="48">
        <v>392</v>
      </c>
      <c r="C451" s="49">
        <v>661.82577995160409</v>
      </c>
      <c r="D451" s="48">
        <v>392</v>
      </c>
      <c r="E451" s="49">
        <v>15.798234620098858</v>
      </c>
      <c r="F451" s="48">
        <v>392</v>
      </c>
      <c r="G451" s="49">
        <v>917.69181832934714</v>
      </c>
      <c r="H451" s="35"/>
      <c r="I451" s="35"/>
      <c r="J451" s="35"/>
      <c r="K451" s="35"/>
      <c r="L451" s="35"/>
      <c r="M451" s="35"/>
      <c r="N451" s="35"/>
    </row>
    <row r="452" spans="1:14" x14ac:dyDescent="0.3">
      <c r="A452" s="35"/>
      <c r="B452" s="48">
        <v>393</v>
      </c>
      <c r="C452" s="49">
        <v>1229.4673628725595</v>
      </c>
      <c r="D452" s="48">
        <v>393</v>
      </c>
      <c r="E452" s="49">
        <v>25.557697469162314</v>
      </c>
      <c r="F452" s="48">
        <v>393</v>
      </c>
      <c r="G452" s="49">
        <v>741.13382526330338</v>
      </c>
      <c r="H452" s="35"/>
      <c r="I452" s="35"/>
      <c r="J452" s="35"/>
      <c r="K452" s="35"/>
      <c r="L452" s="35"/>
      <c r="M452" s="35"/>
      <c r="N452" s="35"/>
    </row>
    <row r="453" spans="1:14" x14ac:dyDescent="0.3">
      <c r="A453" s="35"/>
      <c r="B453" s="48">
        <v>394</v>
      </c>
      <c r="C453" s="49">
        <v>708.55087817630897</v>
      </c>
      <c r="D453" s="48">
        <v>394</v>
      </c>
      <c r="E453" s="49">
        <v>-13.712418858416495</v>
      </c>
      <c r="F453" s="48">
        <v>394</v>
      </c>
      <c r="G453" s="49">
        <v>805.37798041146402</v>
      </c>
      <c r="H453" s="35"/>
      <c r="I453" s="35"/>
      <c r="J453" s="35"/>
      <c r="K453" s="35"/>
      <c r="L453" s="35"/>
      <c r="M453" s="35"/>
      <c r="N453" s="35"/>
    </row>
    <row r="454" spans="1:14" x14ac:dyDescent="0.3">
      <c r="A454" s="35"/>
      <c r="B454" s="48">
        <v>395</v>
      </c>
      <c r="C454" s="49">
        <v>930.02061142999696</v>
      </c>
      <c r="D454" s="48">
        <v>395</v>
      </c>
      <c r="E454" s="49">
        <v>-15.504936141885432</v>
      </c>
      <c r="F454" s="48">
        <v>395</v>
      </c>
      <c r="G454" s="49">
        <v>1429.0779481364075</v>
      </c>
      <c r="H454" s="35"/>
      <c r="I454" s="35"/>
      <c r="J454" s="35"/>
      <c r="K454" s="35"/>
      <c r="L454" s="35"/>
      <c r="M454" s="35"/>
      <c r="N454" s="35"/>
    </row>
    <row r="455" spans="1:14" x14ac:dyDescent="0.3">
      <c r="A455" s="35"/>
      <c r="B455" s="48">
        <v>396</v>
      </c>
      <c r="C455" s="49">
        <v>495.92872966366815</v>
      </c>
      <c r="D455" s="48">
        <v>396</v>
      </c>
      <c r="E455" s="49">
        <v>71.637717736746964</v>
      </c>
      <c r="F455" s="48">
        <v>396</v>
      </c>
      <c r="G455" s="49">
        <v>1102.6035860482814</v>
      </c>
      <c r="H455" s="35"/>
      <c r="I455" s="35"/>
      <c r="J455" s="35"/>
      <c r="K455" s="35"/>
      <c r="L455" s="35"/>
      <c r="M455" s="35"/>
      <c r="N455" s="35"/>
    </row>
    <row r="456" spans="1:14" x14ac:dyDescent="0.3">
      <c r="A456" s="35"/>
      <c r="B456" s="48">
        <v>397</v>
      </c>
      <c r="C456" s="49">
        <v>423.09417357122766</v>
      </c>
      <c r="D456" s="48">
        <v>397</v>
      </c>
      <c r="E456" s="49">
        <v>0.59316851536534432</v>
      </c>
      <c r="F456" s="48">
        <v>397</v>
      </c>
      <c r="G456" s="49">
        <v>915.36317362373484</v>
      </c>
      <c r="H456" s="35"/>
      <c r="I456" s="35"/>
      <c r="J456" s="35"/>
      <c r="K456" s="35"/>
      <c r="L456" s="35"/>
      <c r="M456" s="35"/>
      <c r="N456" s="35"/>
    </row>
    <row r="457" spans="1:14" x14ac:dyDescent="0.3">
      <c r="A457" s="35"/>
      <c r="B457" s="48">
        <v>398</v>
      </c>
      <c r="C457" s="49">
        <v>759.13349984823026</v>
      </c>
      <c r="D457" s="48">
        <v>398</v>
      </c>
      <c r="E457" s="49">
        <v>17.515775829568902</v>
      </c>
      <c r="F457" s="48">
        <v>398</v>
      </c>
      <c r="G457" s="49">
        <v>964.08592562013655</v>
      </c>
      <c r="H457" s="35"/>
      <c r="I457" s="35"/>
      <c r="J457" s="35"/>
      <c r="K457" s="35"/>
      <c r="L457" s="35"/>
      <c r="M457" s="35"/>
      <c r="N457" s="35"/>
    </row>
    <row r="458" spans="1:14" x14ac:dyDescent="0.3">
      <c r="A458" s="35"/>
      <c r="B458" s="48">
        <v>399</v>
      </c>
      <c r="C458" s="49">
        <v>1215.8683334805817</v>
      </c>
      <c r="D458" s="48">
        <v>399</v>
      </c>
      <c r="E458" s="49">
        <v>-33.167978980093729</v>
      </c>
      <c r="F458" s="48">
        <v>399</v>
      </c>
      <c r="G458" s="49">
        <v>1306.7932361480621</v>
      </c>
      <c r="H458" s="35"/>
      <c r="I458" s="35"/>
      <c r="J458" s="35"/>
      <c r="K458" s="35"/>
      <c r="L458" s="35"/>
      <c r="M458" s="35"/>
      <c r="N458" s="35"/>
    </row>
    <row r="459" spans="1:14" x14ac:dyDescent="0.3">
      <c r="A459" s="35"/>
      <c r="B459" s="48">
        <v>400</v>
      </c>
      <c r="C459" s="49">
        <v>1084.0082936687224</v>
      </c>
      <c r="D459" s="48">
        <v>400</v>
      </c>
      <c r="E459" s="49">
        <v>-14.335718793799149</v>
      </c>
      <c r="F459" s="48">
        <v>400</v>
      </c>
      <c r="G459" s="49">
        <v>1188.4737488162682</v>
      </c>
      <c r="H459" s="35"/>
      <c r="I459" s="35"/>
      <c r="J459" s="35"/>
      <c r="K459" s="35"/>
      <c r="L459" s="35"/>
      <c r="M459" s="35"/>
      <c r="N459" s="35"/>
    </row>
    <row r="460" spans="1:14" x14ac:dyDescent="0.3">
      <c r="A460" s="35"/>
      <c r="B460" s="48">
        <v>401</v>
      </c>
      <c r="C460" s="49">
        <v>1351.3677226509094</v>
      </c>
      <c r="D460" s="48">
        <v>401</v>
      </c>
      <c r="E460" s="49">
        <v>27.840994965894971</v>
      </c>
      <c r="F460" s="48">
        <v>401</v>
      </c>
      <c r="G460" s="49">
        <v>730.47432082515559</v>
      </c>
      <c r="H460" s="35"/>
      <c r="I460" s="35"/>
      <c r="J460" s="35"/>
      <c r="K460" s="35"/>
      <c r="L460" s="35"/>
      <c r="M460" s="35"/>
      <c r="N460" s="35"/>
    </row>
    <row r="461" spans="1:14" x14ac:dyDescent="0.3">
      <c r="A461" s="35"/>
      <c r="B461" s="48">
        <v>402</v>
      </c>
      <c r="C461" s="49">
        <v>903.12311173322666</v>
      </c>
      <c r="D461" s="48">
        <v>402</v>
      </c>
      <c r="E461" s="49">
        <v>5.9567883976269744</v>
      </c>
      <c r="F461" s="48">
        <v>402</v>
      </c>
      <c r="G461" s="49">
        <v>358.13488442003177</v>
      </c>
      <c r="H461" s="35"/>
      <c r="I461" s="35"/>
      <c r="J461" s="35"/>
      <c r="K461" s="35"/>
      <c r="L461" s="35"/>
      <c r="M461" s="35"/>
      <c r="N461" s="35"/>
    </row>
    <row r="462" spans="1:14" x14ac:dyDescent="0.3">
      <c r="A462" s="35"/>
      <c r="B462" s="48">
        <v>403</v>
      </c>
      <c r="C462" s="49">
        <v>618.23408811418176</v>
      </c>
      <c r="D462" s="48">
        <v>403</v>
      </c>
      <c r="E462" s="49">
        <v>-2.6233515395193168</v>
      </c>
      <c r="F462" s="48">
        <v>403</v>
      </c>
      <c r="G462" s="49">
        <v>806.13178451220392</v>
      </c>
      <c r="H462" s="35"/>
      <c r="I462" s="35"/>
      <c r="J462" s="35"/>
      <c r="K462" s="35"/>
      <c r="L462" s="35"/>
      <c r="M462" s="35"/>
      <c r="N462" s="35"/>
    </row>
    <row r="463" spans="1:14" x14ac:dyDescent="0.3">
      <c r="A463" s="35"/>
      <c r="B463" s="48">
        <v>404</v>
      </c>
      <c r="C463" s="49">
        <v>1036.7681708110622</v>
      </c>
      <c r="D463" s="48">
        <v>404</v>
      </c>
      <c r="E463" s="49">
        <v>4.9606612692528591</v>
      </c>
      <c r="F463" s="48">
        <v>404</v>
      </c>
      <c r="G463" s="49">
        <v>674.80655816442663</v>
      </c>
      <c r="H463" s="35"/>
      <c r="I463" s="35"/>
      <c r="J463" s="35"/>
      <c r="K463" s="35"/>
      <c r="L463" s="35"/>
      <c r="M463" s="35"/>
      <c r="N463" s="35"/>
    </row>
    <row r="464" spans="1:14" x14ac:dyDescent="0.3">
      <c r="A464" s="35"/>
      <c r="B464" s="48">
        <v>405</v>
      </c>
      <c r="C464" s="49">
        <v>1042.76826257525</v>
      </c>
      <c r="D464" s="48">
        <v>405</v>
      </c>
      <c r="E464" s="49">
        <v>89.310999792910962</v>
      </c>
      <c r="F464" s="48">
        <v>405</v>
      </c>
      <c r="G464" s="49">
        <v>962.27290894706402</v>
      </c>
      <c r="H464" s="35"/>
      <c r="I464" s="35"/>
      <c r="J464" s="35"/>
      <c r="K464" s="35"/>
      <c r="L464" s="35"/>
      <c r="M464" s="35"/>
      <c r="N464" s="35"/>
    </row>
    <row r="465" spans="1:14" x14ac:dyDescent="0.3">
      <c r="A465" s="35"/>
      <c r="B465" s="48">
        <v>406</v>
      </c>
      <c r="C465" s="49">
        <v>1139.1458420553945</v>
      </c>
      <c r="D465" s="48">
        <v>406</v>
      </c>
      <c r="E465" s="49">
        <v>-13.342462207540231</v>
      </c>
      <c r="F465" s="48">
        <v>406</v>
      </c>
      <c r="G465" s="49">
        <v>813.90135041588007</v>
      </c>
      <c r="H465" s="35"/>
      <c r="I465" s="35"/>
      <c r="J465" s="35"/>
      <c r="K465" s="35"/>
      <c r="L465" s="35"/>
      <c r="M465" s="35"/>
      <c r="N465" s="35"/>
    </row>
    <row r="466" spans="1:14" x14ac:dyDescent="0.3">
      <c r="A466" s="35"/>
      <c r="B466" s="48">
        <v>407</v>
      </c>
      <c r="C466" s="49">
        <v>791.55566003478498</v>
      </c>
      <c r="D466" s="48">
        <v>407</v>
      </c>
      <c r="E466" s="49">
        <v>-40.113577985765929</v>
      </c>
      <c r="F466" s="48">
        <v>407</v>
      </c>
      <c r="G466" s="49">
        <v>507.16569075064018</v>
      </c>
      <c r="H466" s="35"/>
      <c r="I466" s="35"/>
      <c r="J466" s="35"/>
      <c r="K466" s="35"/>
      <c r="L466" s="35"/>
      <c r="M466" s="35"/>
      <c r="N466" s="35"/>
    </row>
    <row r="467" spans="1:14" x14ac:dyDescent="0.3">
      <c r="A467" s="35"/>
      <c r="B467" s="48">
        <v>408</v>
      </c>
      <c r="C467" s="49">
        <v>1303.1634238229071</v>
      </c>
      <c r="D467" s="48">
        <v>408</v>
      </c>
      <c r="E467" s="49">
        <v>13.53122137111435</v>
      </c>
      <c r="F467" s="48">
        <v>408</v>
      </c>
      <c r="G467" s="49">
        <v>1304.2098201986119</v>
      </c>
      <c r="H467" s="35"/>
      <c r="I467" s="35"/>
      <c r="J467" s="35"/>
      <c r="K467" s="35"/>
      <c r="L467" s="35"/>
      <c r="M467" s="35"/>
      <c r="N467" s="35"/>
    </row>
    <row r="468" spans="1:14" x14ac:dyDescent="0.3">
      <c r="A468" s="35"/>
      <c r="B468" s="48">
        <v>409</v>
      </c>
      <c r="C468" s="49">
        <v>1147.387031155974</v>
      </c>
      <c r="D468" s="48">
        <v>409</v>
      </c>
      <c r="E468" s="49">
        <v>34.595945483709002</v>
      </c>
      <c r="F468" s="48">
        <v>409</v>
      </c>
      <c r="G468" s="49">
        <v>644.83316669179112</v>
      </c>
      <c r="H468" s="35"/>
      <c r="I468" s="35"/>
      <c r="J468" s="35"/>
      <c r="K468" s="35"/>
      <c r="L468" s="35"/>
      <c r="M468" s="35"/>
      <c r="N468" s="35"/>
    </row>
    <row r="469" spans="1:14" x14ac:dyDescent="0.3">
      <c r="A469" s="35"/>
      <c r="B469" s="48">
        <v>410</v>
      </c>
      <c r="C469" s="49">
        <v>478.43587650930522</v>
      </c>
      <c r="D469" s="48">
        <v>410</v>
      </c>
      <c r="E469" s="49">
        <v>-4.6274933271370138</v>
      </c>
      <c r="F469" s="48">
        <v>410</v>
      </c>
      <c r="G469" s="49">
        <v>1184.2924967069671</v>
      </c>
      <c r="H469" s="35"/>
      <c r="I469" s="35"/>
      <c r="J469" s="35"/>
      <c r="K469" s="35"/>
      <c r="L469" s="35"/>
      <c r="M469" s="35"/>
      <c r="N469" s="35"/>
    </row>
    <row r="470" spans="1:14" x14ac:dyDescent="0.3">
      <c r="A470" s="35"/>
      <c r="B470" s="48">
        <v>411</v>
      </c>
      <c r="C470" s="49">
        <v>872.39342134088201</v>
      </c>
      <c r="D470" s="48">
        <v>411</v>
      </c>
      <c r="E470" s="49">
        <v>-3.8429873751193226</v>
      </c>
      <c r="F470" s="48">
        <v>411</v>
      </c>
      <c r="G470" s="49">
        <v>707.09757463992582</v>
      </c>
      <c r="H470" s="35"/>
      <c r="I470" s="35"/>
      <c r="J470" s="35"/>
      <c r="K470" s="35"/>
      <c r="L470" s="35"/>
      <c r="M470" s="35"/>
      <c r="N470" s="35"/>
    </row>
    <row r="471" spans="1:14" x14ac:dyDescent="0.3">
      <c r="A471" s="35"/>
      <c r="B471" s="48">
        <v>412</v>
      </c>
      <c r="C471" s="49">
        <v>1498.7564572018387</v>
      </c>
      <c r="D471" s="48">
        <v>412</v>
      </c>
      <c r="E471" s="49">
        <v>-10.856444118331963</v>
      </c>
      <c r="F471" s="48">
        <v>412</v>
      </c>
      <c r="G471" s="49">
        <v>982.63980916024707</v>
      </c>
      <c r="H471" s="35"/>
      <c r="I471" s="35"/>
      <c r="J471" s="35"/>
      <c r="K471" s="35"/>
      <c r="L471" s="35"/>
      <c r="M471" s="35"/>
      <c r="N471" s="35"/>
    </row>
    <row r="472" spans="1:14" x14ac:dyDescent="0.3">
      <c r="A472" s="35"/>
      <c r="B472" s="48">
        <v>413</v>
      </c>
      <c r="C472" s="49">
        <v>1233.4284912762514</v>
      </c>
      <c r="D472" s="48">
        <v>413</v>
      </c>
      <c r="E472" s="49">
        <v>35.741034109325952</v>
      </c>
      <c r="F472" s="48">
        <v>413</v>
      </c>
      <c r="G472" s="49">
        <v>924.00922836048596</v>
      </c>
      <c r="H472" s="35"/>
      <c r="I472" s="35"/>
      <c r="J472" s="35"/>
      <c r="K472" s="35"/>
      <c r="L472" s="35"/>
      <c r="M472" s="35"/>
      <c r="N472" s="35"/>
    </row>
    <row r="473" spans="1:14" x14ac:dyDescent="0.3">
      <c r="A473" s="35"/>
      <c r="B473" s="48">
        <v>414</v>
      </c>
      <c r="C473" s="49">
        <v>308.05467344125162</v>
      </c>
      <c r="D473" s="48">
        <v>414</v>
      </c>
      <c r="E473" s="49">
        <v>1.5297670163284902</v>
      </c>
      <c r="F473" s="48">
        <v>414</v>
      </c>
      <c r="G473" s="49">
        <v>789.15115612477655</v>
      </c>
      <c r="H473" s="35"/>
      <c r="I473" s="35"/>
      <c r="J473" s="35"/>
      <c r="K473" s="35"/>
      <c r="L473" s="35"/>
      <c r="M473" s="35"/>
      <c r="N473" s="35"/>
    </row>
    <row r="474" spans="1:14" x14ac:dyDescent="0.3">
      <c r="A474" s="35"/>
      <c r="B474" s="48">
        <v>415</v>
      </c>
      <c r="C474" s="49">
        <v>576.78028764690794</v>
      </c>
      <c r="D474" s="48">
        <v>415</v>
      </c>
      <c r="E474" s="49">
        <v>-39.359682859803044</v>
      </c>
      <c r="F474" s="48">
        <v>415</v>
      </c>
      <c r="G474" s="49">
        <v>1082.7873968893177</v>
      </c>
      <c r="H474" s="35"/>
      <c r="I474" s="35"/>
      <c r="J474" s="35"/>
      <c r="K474" s="35"/>
      <c r="L474" s="35"/>
      <c r="M474" s="35"/>
      <c r="N474" s="35"/>
    </row>
    <row r="475" spans="1:14" x14ac:dyDescent="0.3">
      <c r="A475" s="35"/>
      <c r="B475" s="48">
        <v>416</v>
      </c>
      <c r="C475" s="49">
        <v>1388.1618569693949</v>
      </c>
      <c r="D475" s="48">
        <v>416</v>
      </c>
      <c r="E475" s="49">
        <v>-23.996886439174471</v>
      </c>
      <c r="F475" s="48">
        <v>416</v>
      </c>
      <c r="G475" s="49">
        <v>748.73021393877093</v>
      </c>
      <c r="H475" s="35"/>
      <c r="I475" s="35"/>
      <c r="J475" s="35"/>
      <c r="K475" s="35"/>
      <c r="L475" s="35"/>
      <c r="M475" s="35"/>
      <c r="N475" s="35"/>
    </row>
    <row r="476" spans="1:14" x14ac:dyDescent="0.3">
      <c r="A476" s="35"/>
      <c r="B476" s="48">
        <v>417</v>
      </c>
      <c r="C476" s="49">
        <v>671.09042785789347</v>
      </c>
      <c r="D476" s="48">
        <v>417</v>
      </c>
      <c r="E476" s="49">
        <v>1.8147377495727273</v>
      </c>
      <c r="F476" s="48">
        <v>417</v>
      </c>
      <c r="G476" s="49">
        <v>949.32169758020723</v>
      </c>
      <c r="H476" s="35"/>
      <c r="I476" s="35"/>
      <c r="J476" s="35"/>
      <c r="K476" s="35"/>
      <c r="L476" s="35"/>
      <c r="M476" s="35"/>
      <c r="N476" s="35"/>
    </row>
    <row r="477" spans="1:14" x14ac:dyDescent="0.3">
      <c r="A477" s="35"/>
      <c r="B477" s="48">
        <v>418</v>
      </c>
      <c r="C477" s="49">
        <v>790.99959572428247</v>
      </c>
      <c r="D477" s="48">
        <v>418</v>
      </c>
      <c r="E477" s="49">
        <v>-14.912443507577976</v>
      </c>
      <c r="F477" s="48">
        <v>418</v>
      </c>
      <c r="G477" s="49">
        <v>827.71958050216745</v>
      </c>
      <c r="H477" s="35"/>
      <c r="I477" s="35"/>
      <c r="J477" s="35"/>
      <c r="K477" s="35"/>
      <c r="L477" s="35"/>
      <c r="M477" s="35"/>
      <c r="N477" s="35"/>
    </row>
    <row r="478" spans="1:14" x14ac:dyDescent="0.3">
      <c r="A478" s="35"/>
      <c r="B478" s="48">
        <v>419</v>
      </c>
      <c r="C478" s="49">
        <v>1149.5904266653113</v>
      </c>
      <c r="D478" s="48">
        <v>419</v>
      </c>
      <c r="E478" s="49">
        <v>-0.81920475655231173</v>
      </c>
      <c r="F478" s="48">
        <v>419</v>
      </c>
      <c r="G478" s="49">
        <v>1265.5764795699811</v>
      </c>
      <c r="H478" s="35"/>
      <c r="I478" s="35"/>
      <c r="J478" s="35"/>
      <c r="K478" s="35"/>
      <c r="L478" s="35"/>
      <c r="M478" s="35"/>
      <c r="N478" s="35"/>
    </row>
    <row r="479" spans="1:14" x14ac:dyDescent="0.3">
      <c r="A479" s="35"/>
      <c r="B479" s="48">
        <v>420</v>
      </c>
      <c r="C479" s="49">
        <v>1276.7990206384691</v>
      </c>
      <c r="D479" s="48">
        <v>420</v>
      </c>
      <c r="E479" s="49">
        <v>-20.757356031553119</v>
      </c>
      <c r="F479" s="48">
        <v>420</v>
      </c>
      <c r="G479" s="49">
        <v>1530.3293138397705</v>
      </c>
      <c r="H479" s="35"/>
      <c r="I479" s="35"/>
      <c r="J479" s="35"/>
      <c r="K479" s="35"/>
      <c r="L479" s="35"/>
      <c r="M479" s="35"/>
      <c r="N479" s="35"/>
    </row>
    <row r="480" spans="1:14" x14ac:dyDescent="0.3">
      <c r="A480" s="35"/>
      <c r="B480" s="48">
        <v>421</v>
      </c>
      <c r="C480" s="49">
        <v>1497.4054279914071</v>
      </c>
      <c r="D480" s="48">
        <v>421</v>
      </c>
      <c r="E480" s="49">
        <v>-12.045189241958184</v>
      </c>
      <c r="F480" s="48">
        <v>421</v>
      </c>
      <c r="G480" s="49">
        <v>1114.3965502404533</v>
      </c>
      <c r="H480" s="35"/>
      <c r="I480" s="35"/>
      <c r="J480" s="35"/>
      <c r="K480" s="35"/>
      <c r="L480" s="35"/>
      <c r="M480" s="35"/>
      <c r="N480" s="35"/>
    </row>
    <row r="481" spans="1:14" x14ac:dyDescent="0.3">
      <c r="A481" s="35"/>
      <c r="B481" s="48">
        <v>422</v>
      </c>
      <c r="C481" s="49">
        <v>243.64578220871408</v>
      </c>
      <c r="D481" s="48">
        <v>422</v>
      </c>
      <c r="E481" s="49">
        <v>27.322832009758997</v>
      </c>
      <c r="F481" s="48">
        <v>422</v>
      </c>
      <c r="G481" s="49">
        <v>892.33890901422581</v>
      </c>
      <c r="H481" s="35"/>
      <c r="I481" s="35"/>
      <c r="J481" s="35"/>
      <c r="K481" s="35"/>
      <c r="L481" s="35"/>
      <c r="M481" s="35"/>
      <c r="N481" s="35"/>
    </row>
    <row r="482" spans="1:14" x14ac:dyDescent="0.3">
      <c r="A482" s="35"/>
      <c r="B482" s="48">
        <v>423</v>
      </c>
      <c r="C482" s="49">
        <v>610.32511493647746</v>
      </c>
      <c r="D482" s="48">
        <v>423</v>
      </c>
      <c r="E482" s="49">
        <v>-36.387351773953739</v>
      </c>
      <c r="F482" s="48">
        <v>423</v>
      </c>
      <c r="G482" s="49">
        <v>974.93819075643478</v>
      </c>
      <c r="H482" s="35"/>
      <c r="I482" s="35"/>
      <c r="J482" s="35"/>
      <c r="K482" s="35"/>
      <c r="L482" s="35"/>
      <c r="M482" s="35"/>
      <c r="N482" s="35"/>
    </row>
    <row r="483" spans="1:14" x14ac:dyDescent="0.3">
      <c r="A483" s="35"/>
      <c r="B483" s="48">
        <v>424</v>
      </c>
      <c r="C483" s="49">
        <v>1088.5503344397209</v>
      </c>
      <c r="D483" s="48">
        <v>424</v>
      </c>
      <c r="E483" s="49">
        <v>-15.469348648724132</v>
      </c>
      <c r="F483" s="48">
        <v>424</v>
      </c>
      <c r="G483" s="49">
        <v>996.72832666319209</v>
      </c>
      <c r="H483" s="35"/>
      <c r="I483" s="35"/>
      <c r="J483" s="35"/>
      <c r="K483" s="35"/>
      <c r="L483" s="35"/>
      <c r="M483" s="35"/>
      <c r="N483" s="35"/>
    </row>
    <row r="484" spans="1:14" x14ac:dyDescent="0.3">
      <c r="A484" s="35"/>
      <c r="B484" s="48">
        <v>425</v>
      </c>
      <c r="C484" s="49">
        <v>829.19810067289177</v>
      </c>
      <c r="D484" s="48">
        <v>425</v>
      </c>
      <c r="E484" s="49">
        <v>-3.2688886312222323</v>
      </c>
      <c r="F484" s="48">
        <v>425</v>
      </c>
      <c r="G484" s="49">
        <v>1086.6833983249692</v>
      </c>
      <c r="H484" s="35"/>
      <c r="I484" s="35"/>
      <c r="J484" s="35"/>
      <c r="K484" s="35"/>
      <c r="L484" s="35"/>
      <c r="M484" s="35"/>
      <c r="N484" s="35"/>
    </row>
    <row r="485" spans="1:14" x14ac:dyDescent="0.3">
      <c r="A485" s="35"/>
      <c r="B485" s="48">
        <v>426</v>
      </c>
      <c r="C485" s="49">
        <v>1291.2141114756919</v>
      </c>
      <c r="D485" s="48">
        <v>426</v>
      </c>
      <c r="E485" s="49">
        <v>42.31107550780284</v>
      </c>
      <c r="F485" s="48">
        <v>426</v>
      </c>
      <c r="G485" s="49">
        <v>940.95200226672137</v>
      </c>
      <c r="H485" s="35"/>
      <c r="I485" s="35"/>
      <c r="J485" s="35"/>
      <c r="K485" s="35"/>
      <c r="L485" s="35"/>
      <c r="M485" s="35"/>
      <c r="N485" s="35"/>
    </row>
    <row r="486" spans="1:14" x14ac:dyDescent="0.3">
      <c r="A486" s="35"/>
      <c r="B486" s="48">
        <v>427</v>
      </c>
      <c r="C486" s="49">
        <v>1501.7037698570216</v>
      </c>
      <c r="D486" s="48">
        <v>427</v>
      </c>
      <c r="E486" s="49">
        <v>1.3638196472481243</v>
      </c>
      <c r="F486" s="48">
        <v>427</v>
      </c>
      <c r="G486" s="49">
        <v>1402.6258653528737</v>
      </c>
      <c r="H486" s="35"/>
      <c r="I486" s="35"/>
      <c r="J486" s="35"/>
      <c r="K486" s="35"/>
      <c r="L486" s="35"/>
      <c r="M486" s="35"/>
      <c r="N486" s="35"/>
    </row>
    <row r="487" spans="1:14" x14ac:dyDescent="0.3">
      <c r="A487" s="35"/>
      <c r="B487" s="48">
        <v>428</v>
      </c>
      <c r="C487" s="49">
        <v>888.12982512812084</v>
      </c>
      <c r="D487" s="48">
        <v>428</v>
      </c>
      <c r="E487" s="49">
        <v>25.754615636010811</v>
      </c>
      <c r="F487" s="48">
        <v>428</v>
      </c>
      <c r="G487" s="49">
        <v>1221.8098373198879</v>
      </c>
      <c r="H487" s="35"/>
      <c r="I487" s="35"/>
      <c r="J487" s="35"/>
      <c r="K487" s="35"/>
      <c r="L487" s="35"/>
      <c r="M487" s="35"/>
      <c r="N487" s="35"/>
    </row>
    <row r="488" spans="1:14" x14ac:dyDescent="0.3">
      <c r="A488" s="35"/>
      <c r="B488" s="48">
        <v>429</v>
      </c>
      <c r="C488" s="49">
        <v>906.73891132131541</v>
      </c>
      <c r="D488" s="48">
        <v>429</v>
      </c>
      <c r="E488" s="49">
        <v>-5.3674552696584374</v>
      </c>
      <c r="F488" s="48">
        <v>429</v>
      </c>
      <c r="G488" s="49">
        <v>826.52785533030215</v>
      </c>
      <c r="H488" s="35"/>
      <c r="I488" s="35"/>
      <c r="J488" s="35"/>
      <c r="K488" s="35"/>
      <c r="L488" s="35"/>
      <c r="M488" s="35"/>
      <c r="N488" s="35"/>
    </row>
    <row r="489" spans="1:14" x14ac:dyDescent="0.3">
      <c r="A489" s="35"/>
      <c r="B489" s="48">
        <v>430</v>
      </c>
      <c r="C489" s="49">
        <v>623.17137115089167</v>
      </c>
      <c r="D489" s="48">
        <v>430</v>
      </c>
      <c r="E489" s="49">
        <v>-15.65636570301675</v>
      </c>
      <c r="F489" s="48">
        <v>430</v>
      </c>
      <c r="G489" s="49">
        <v>900.08362958149939</v>
      </c>
      <c r="H489" s="35"/>
      <c r="I489" s="35"/>
      <c r="J489" s="35"/>
      <c r="K489" s="35"/>
      <c r="L489" s="35"/>
      <c r="M489" s="35"/>
      <c r="N489" s="35"/>
    </row>
    <row r="490" spans="1:14" x14ac:dyDescent="0.3">
      <c r="A490" s="35"/>
      <c r="B490" s="48">
        <v>431</v>
      </c>
      <c r="C490" s="49">
        <v>1198.0060595788923</v>
      </c>
      <c r="D490" s="48">
        <v>431</v>
      </c>
      <c r="E490" s="49">
        <v>50.236211362028811</v>
      </c>
      <c r="F490" s="48">
        <v>431</v>
      </c>
      <c r="G490" s="49">
        <v>793.69978411190232</v>
      </c>
      <c r="H490" s="35"/>
      <c r="I490" s="35"/>
      <c r="J490" s="35"/>
      <c r="K490" s="35"/>
      <c r="L490" s="35"/>
      <c r="M490" s="35"/>
      <c r="N490" s="35"/>
    </row>
    <row r="491" spans="1:14" x14ac:dyDescent="0.3">
      <c r="A491" s="35"/>
      <c r="B491" s="48">
        <v>432</v>
      </c>
      <c r="C491" s="49">
        <v>529.04276441767627</v>
      </c>
      <c r="D491" s="48">
        <v>432</v>
      </c>
      <c r="E491" s="49">
        <v>-18.540506519519219</v>
      </c>
      <c r="F491" s="48">
        <v>432</v>
      </c>
      <c r="G491" s="49">
        <v>1024.9788144761644</v>
      </c>
      <c r="H491" s="35"/>
      <c r="I491" s="35"/>
      <c r="J491" s="35"/>
      <c r="K491" s="35"/>
      <c r="L491" s="35"/>
      <c r="M491" s="35"/>
      <c r="N491" s="35"/>
    </row>
    <row r="492" spans="1:14" x14ac:dyDescent="0.3">
      <c r="A492" s="35"/>
      <c r="B492" s="48">
        <v>433</v>
      </c>
      <c r="C492" s="49">
        <v>707.97435376866019</v>
      </c>
      <c r="D492" s="48">
        <v>433</v>
      </c>
      <c r="E492" s="49">
        <v>-6.3293664716312525</v>
      </c>
      <c r="F492" s="48">
        <v>433</v>
      </c>
      <c r="G492" s="49">
        <v>1197.0668776656764</v>
      </c>
      <c r="H492" s="35"/>
      <c r="I492" s="35"/>
      <c r="J492" s="35"/>
      <c r="K492" s="35"/>
      <c r="L492" s="35"/>
      <c r="M492" s="35"/>
      <c r="N492" s="35"/>
    </row>
    <row r="493" spans="1:14" x14ac:dyDescent="0.3">
      <c r="A493" s="35"/>
      <c r="B493" s="48">
        <v>434</v>
      </c>
      <c r="C493" s="49">
        <v>758.8859716023378</v>
      </c>
      <c r="D493" s="48">
        <v>434</v>
      </c>
      <c r="E493" s="49">
        <v>16.708524245901728</v>
      </c>
      <c r="F493" s="48">
        <v>434</v>
      </c>
      <c r="G493" s="49">
        <v>885.13779649441642</v>
      </c>
      <c r="H493" s="35"/>
      <c r="I493" s="35"/>
      <c r="J493" s="35"/>
      <c r="K493" s="35"/>
      <c r="L493" s="35"/>
      <c r="M493" s="35"/>
      <c r="N493" s="35"/>
    </row>
    <row r="494" spans="1:14" x14ac:dyDescent="0.3">
      <c r="A494" s="35"/>
      <c r="B494" s="48">
        <v>435</v>
      </c>
      <c r="C494" s="49">
        <v>266.83336667255077</v>
      </c>
      <c r="D494" s="48">
        <v>435</v>
      </c>
      <c r="E494" s="49">
        <v>63.72708667368628</v>
      </c>
      <c r="F494" s="48">
        <v>435</v>
      </c>
      <c r="G494" s="49">
        <v>1122.2793594003215</v>
      </c>
      <c r="H494" s="35"/>
      <c r="I494" s="35"/>
      <c r="J494" s="35"/>
      <c r="K494" s="35"/>
      <c r="L494" s="35"/>
      <c r="M494" s="35"/>
      <c r="N494" s="35"/>
    </row>
    <row r="495" spans="1:14" x14ac:dyDescent="0.3">
      <c r="A495" s="35"/>
      <c r="B495" s="48">
        <v>436</v>
      </c>
      <c r="C495" s="49">
        <v>1014.3375421694061</v>
      </c>
      <c r="D495" s="48">
        <v>436</v>
      </c>
      <c r="E495" s="49">
        <v>-20.375610304889715</v>
      </c>
      <c r="F495" s="48">
        <v>436</v>
      </c>
      <c r="G495" s="49">
        <v>404.77240468497263</v>
      </c>
      <c r="H495" s="35"/>
      <c r="I495" s="35"/>
      <c r="J495" s="35"/>
      <c r="K495" s="35"/>
      <c r="L495" s="35"/>
      <c r="M495" s="35"/>
      <c r="N495" s="35"/>
    </row>
    <row r="496" spans="1:14" x14ac:dyDescent="0.3">
      <c r="A496" s="35"/>
      <c r="B496" s="48">
        <v>437</v>
      </c>
      <c r="C496" s="49">
        <v>676.56172015413676</v>
      </c>
      <c r="D496" s="48">
        <v>437</v>
      </c>
      <c r="E496" s="49">
        <v>-6.5694090416726114</v>
      </c>
      <c r="F496" s="48">
        <v>437</v>
      </c>
      <c r="G496" s="49">
        <v>1097.0858593920511</v>
      </c>
      <c r="H496" s="35"/>
      <c r="I496" s="35"/>
      <c r="J496" s="35"/>
      <c r="K496" s="35"/>
      <c r="L496" s="35"/>
      <c r="M496" s="35"/>
      <c r="N496" s="35"/>
    </row>
    <row r="497" spans="1:14" x14ac:dyDescent="0.3">
      <c r="A497" s="35"/>
      <c r="B497" s="48">
        <v>438</v>
      </c>
      <c r="C497" s="49">
        <v>1110.475012020753</v>
      </c>
      <c r="D497" s="48">
        <v>438</v>
      </c>
      <c r="E497" s="49">
        <v>14.037284722255396</v>
      </c>
      <c r="F497" s="48">
        <v>438</v>
      </c>
      <c r="G497" s="49">
        <v>1556.7344721588654</v>
      </c>
      <c r="H497" s="35"/>
      <c r="I497" s="35"/>
      <c r="J497" s="35"/>
      <c r="K497" s="35"/>
      <c r="L497" s="35"/>
      <c r="M497" s="35"/>
      <c r="N497" s="35"/>
    </row>
    <row r="498" spans="1:14" x14ac:dyDescent="0.3">
      <c r="A498" s="35"/>
      <c r="B498" s="48">
        <v>439</v>
      </c>
      <c r="C498" s="49">
        <v>1349.6181533462818</v>
      </c>
      <c r="D498" s="48">
        <v>439</v>
      </c>
      <c r="E498" s="49">
        <v>24.158053546514967</v>
      </c>
      <c r="F498" s="48">
        <v>439</v>
      </c>
      <c r="G498" s="49">
        <v>1169.4733629592613</v>
      </c>
      <c r="H498" s="35"/>
      <c r="I498" s="35"/>
      <c r="J498" s="35"/>
      <c r="K498" s="35"/>
      <c r="L498" s="35"/>
      <c r="M498" s="35"/>
      <c r="N498" s="35"/>
    </row>
    <row r="499" spans="1:14" x14ac:dyDescent="0.3">
      <c r="A499" s="35"/>
      <c r="B499" s="48">
        <v>440</v>
      </c>
      <c r="C499" s="49">
        <v>1003.7379010685663</v>
      </c>
      <c r="D499" s="48">
        <v>440</v>
      </c>
      <c r="E499" s="49">
        <v>-30.406579137712555</v>
      </c>
      <c r="F499" s="48">
        <v>440</v>
      </c>
      <c r="G499" s="49">
        <v>875.36492757308315</v>
      </c>
      <c r="H499" s="35"/>
      <c r="I499" s="35"/>
      <c r="J499" s="35"/>
      <c r="K499" s="35"/>
      <c r="L499" s="35"/>
      <c r="M499" s="35"/>
      <c r="N499" s="35"/>
    </row>
    <row r="500" spans="1:14" x14ac:dyDescent="0.3">
      <c r="A500" s="35"/>
      <c r="B500" s="48">
        <v>441</v>
      </c>
      <c r="C500" s="49">
        <v>969.00508315367881</v>
      </c>
      <c r="D500" s="48">
        <v>441</v>
      </c>
      <c r="E500" s="49">
        <v>66.159797805444427</v>
      </c>
      <c r="F500" s="48">
        <v>441</v>
      </c>
      <c r="G500" s="49">
        <v>721.60003298700076</v>
      </c>
      <c r="H500" s="35"/>
      <c r="I500" s="35"/>
      <c r="J500" s="35"/>
      <c r="K500" s="35"/>
      <c r="L500" s="35"/>
      <c r="M500" s="35"/>
      <c r="N500" s="35"/>
    </row>
    <row r="501" spans="1:14" x14ac:dyDescent="0.3">
      <c r="A501" s="35"/>
      <c r="B501" s="48">
        <v>442</v>
      </c>
      <c r="C501" s="49">
        <v>1028.0768637752763</v>
      </c>
      <c r="D501" s="48">
        <v>442</v>
      </c>
      <c r="E501" s="49">
        <v>7.5592234827544305</v>
      </c>
      <c r="F501" s="48">
        <v>442</v>
      </c>
      <c r="G501" s="49">
        <v>349.47964992781237</v>
      </c>
      <c r="H501" s="35"/>
      <c r="I501" s="35"/>
      <c r="J501" s="35"/>
      <c r="K501" s="35"/>
      <c r="L501" s="35"/>
      <c r="M501" s="35"/>
      <c r="N501" s="35"/>
    </row>
    <row r="502" spans="1:14" x14ac:dyDescent="0.3">
      <c r="A502" s="35"/>
      <c r="B502" s="48">
        <v>443</v>
      </c>
      <c r="C502" s="49">
        <v>1334.0236367214393</v>
      </c>
      <c r="D502" s="48">
        <v>443</v>
      </c>
      <c r="E502" s="49">
        <v>-1.2996295509481905</v>
      </c>
      <c r="F502" s="48">
        <v>443</v>
      </c>
      <c r="G502" s="49">
        <v>509.73139619924711</v>
      </c>
      <c r="H502" s="35"/>
      <c r="I502" s="35"/>
      <c r="J502" s="35"/>
      <c r="K502" s="35"/>
      <c r="L502" s="35"/>
      <c r="M502" s="35"/>
      <c r="N502" s="35"/>
    </row>
    <row r="503" spans="1:14" x14ac:dyDescent="0.3">
      <c r="A503" s="35"/>
      <c r="B503" s="48">
        <v>444</v>
      </c>
      <c r="C503" s="49">
        <v>1226.0752335747316</v>
      </c>
      <c r="D503" s="48">
        <v>444</v>
      </c>
      <c r="E503" s="49">
        <v>12.085393007487983</v>
      </c>
      <c r="F503" s="48">
        <v>444</v>
      </c>
      <c r="G503" s="49">
        <v>1145.8050867314855</v>
      </c>
      <c r="H503" s="35"/>
      <c r="I503" s="35"/>
      <c r="J503" s="35"/>
      <c r="K503" s="35"/>
      <c r="L503" s="35"/>
      <c r="M503" s="35"/>
      <c r="N503" s="35"/>
    </row>
    <row r="504" spans="1:14" x14ac:dyDescent="0.3">
      <c r="A504" s="35"/>
      <c r="B504" s="48">
        <v>445</v>
      </c>
      <c r="C504" s="49">
        <v>905.18851939808212</v>
      </c>
      <c r="D504" s="48">
        <v>445</v>
      </c>
      <c r="E504" s="49">
        <v>-2.3799176639398825</v>
      </c>
      <c r="F504" s="48">
        <v>445</v>
      </c>
      <c r="G504" s="49">
        <v>685.70724169018217</v>
      </c>
      <c r="H504" s="35"/>
      <c r="I504" s="35"/>
      <c r="J504" s="35"/>
      <c r="K504" s="35"/>
      <c r="L504" s="35"/>
      <c r="M504" s="35"/>
      <c r="N504" s="35"/>
    </row>
    <row r="505" spans="1:14" x14ac:dyDescent="0.3">
      <c r="A505" s="35"/>
      <c r="B505" s="48">
        <v>446</v>
      </c>
      <c r="C505" s="49">
        <v>355.31593120661245</v>
      </c>
      <c r="D505" s="48">
        <v>446</v>
      </c>
      <c r="E505" s="49">
        <v>-41.03720010193139</v>
      </c>
      <c r="F505" s="48">
        <v>446</v>
      </c>
      <c r="G505" s="49">
        <v>778.56078721689653</v>
      </c>
      <c r="H505" s="35"/>
      <c r="I505" s="35"/>
      <c r="J505" s="35"/>
      <c r="K505" s="35"/>
      <c r="L505" s="35"/>
      <c r="M505" s="35"/>
      <c r="N505" s="35"/>
    </row>
    <row r="506" spans="1:14" x14ac:dyDescent="0.3">
      <c r="A506" s="35"/>
      <c r="B506" s="48">
        <v>447</v>
      </c>
      <c r="C506" s="49">
        <v>1300.9311651422918</v>
      </c>
      <c r="D506" s="48">
        <v>447</v>
      </c>
      <c r="E506" s="49">
        <v>-16.062255812625612</v>
      </c>
      <c r="F506" s="48">
        <v>447</v>
      </c>
      <c r="G506" s="49">
        <v>1198.9915831217013</v>
      </c>
      <c r="H506" s="35"/>
      <c r="I506" s="35"/>
      <c r="J506" s="35"/>
      <c r="K506" s="35"/>
      <c r="L506" s="35"/>
      <c r="M506" s="35"/>
      <c r="N506" s="35"/>
    </row>
    <row r="507" spans="1:14" x14ac:dyDescent="0.3">
      <c r="A507" s="35"/>
      <c r="B507" s="48">
        <v>448</v>
      </c>
      <c r="C507" s="49">
        <v>696.98766489837703</v>
      </c>
      <c r="D507" s="48">
        <v>448</v>
      </c>
      <c r="E507" s="49">
        <v>12.485578916418872</v>
      </c>
      <c r="F507" s="48">
        <v>448</v>
      </c>
      <c r="G507" s="49">
        <v>971.07442573045319</v>
      </c>
      <c r="H507" s="35"/>
      <c r="I507" s="35"/>
      <c r="J507" s="35"/>
      <c r="K507" s="35"/>
      <c r="L507" s="35"/>
      <c r="M507" s="35"/>
      <c r="N507" s="35"/>
    </row>
    <row r="508" spans="1:14" x14ac:dyDescent="0.3">
      <c r="A508" s="35"/>
      <c r="B508" s="48">
        <v>449</v>
      </c>
      <c r="C508" s="49">
        <v>862.89694364244883</v>
      </c>
      <c r="D508" s="48">
        <v>449</v>
      </c>
      <c r="E508" s="49">
        <v>59.380212277346629</v>
      </c>
      <c r="F508" s="48">
        <v>449</v>
      </c>
      <c r="G508" s="49">
        <v>677.5246690033041</v>
      </c>
      <c r="H508" s="35"/>
      <c r="I508" s="35"/>
      <c r="J508" s="35"/>
      <c r="K508" s="35"/>
      <c r="L508" s="35"/>
      <c r="M508" s="35"/>
      <c r="N508" s="35"/>
    </row>
    <row r="509" spans="1:14" x14ac:dyDescent="0.3">
      <c r="A509" s="35"/>
      <c r="B509" s="48">
        <v>450</v>
      </c>
      <c r="C509" s="49">
        <v>879.87306800000056</v>
      </c>
      <c r="D509" s="48">
        <v>450</v>
      </c>
      <c r="E509" s="49">
        <v>20.655068987935934</v>
      </c>
      <c r="F509" s="48">
        <v>450</v>
      </c>
      <c r="G509" s="49">
        <v>976.79780126821481</v>
      </c>
      <c r="H509" s="35"/>
      <c r="I509" s="35"/>
      <c r="J509" s="35"/>
      <c r="K509" s="35"/>
      <c r="L509" s="35"/>
      <c r="M509" s="35"/>
      <c r="N509" s="35"/>
    </row>
    <row r="510" spans="1:14" x14ac:dyDescent="0.3">
      <c r="A510" s="35"/>
      <c r="B510" s="48">
        <v>451</v>
      </c>
      <c r="C510" s="49">
        <v>798.48307472772626</v>
      </c>
      <c r="D510" s="48">
        <v>451</v>
      </c>
      <c r="E510" s="49">
        <v>13.334388235230104</v>
      </c>
      <c r="F510" s="48">
        <v>451</v>
      </c>
      <c r="G510" s="49">
        <v>711.99353742251981</v>
      </c>
      <c r="H510" s="35"/>
      <c r="I510" s="35"/>
      <c r="J510" s="35"/>
      <c r="K510" s="35"/>
      <c r="L510" s="35"/>
      <c r="M510" s="35"/>
      <c r="N510" s="35"/>
    </row>
    <row r="511" spans="1:14" x14ac:dyDescent="0.3">
      <c r="A511" s="35"/>
      <c r="B511" s="48">
        <v>452</v>
      </c>
      <c r="C511" s="49">
        <v>1058.6909889219462</v>
      </c>
      <c r="D511" s="48">
        <v>452</v>
      </c>
      <c r="E511" s="49">
        <v>-23.465818149690655</v>
      </c>
      <c r="F511" s="48">
        <v>452</v>
      </c>
      <c r="G511" s="49">
        <v>1207.907492812099</v>
      </c>
      <c r="H511" s="35"/>
      <c r="I511" s="35"/>
      <c r="J511" s="35"/>
      <c r="K511" s="35"/>
      <c r="L511" s="35"/>
      <c r="M511" s="35"/>
      <c r="N511" s="35"/>
    </row>
    <row r="512" spans="1:14" x14ac:dyDescent="0.3">
      <c r="A512" s="35"/>
      <c r="B512" s="48">
        <v>453</v>
      </c>
      <c r="C512" s="49">
        <v>640.28075145301898</v>
      </c>
      <c r="D512" s="48">
        <v>453</v>
      </c>
      <c r="E512" s="49">
        <v>-12.453681969121039</v>
      </c>
      <c r="F512" s="48">
        <v>453</v>
      </c>
      <c r="G512" s="49">
        <v>1458.5676970359714</v>
      </c>
      <c r="H512" s="35"/>
      <c r="I512" s="35"/>
      <c r="J512" s="35"/>
      <c r="K512" s="35"/>
      <c r="L512" s="35"/>
      <c r="M512" s="35"/>
      <c r="N512" s="35"/>
    </row>
    <row r="513" spans="1:14" x14ac:dyDescent="0.3">
      <c r="A513" s="35"/>
      <c r="B513" s="48">
        <v>454</v>
      </c>
      <c r="C513" s="49">
        <v>1379.452577320845</v>
      </c>
      <c r="D513" s="48">
        <v>454</v>
      </c>
      <c r="E513" s="49">
        <v>-3.6366830518577706</v>
      </c>
      <c r="F513" s="48">
        <v>454</v>
      </c>
      <c r="G513" s="49">
        <v>831.93740681602742</v>
      </c>
      <c r="H513" s="35"/>
      <c r="I513" s="35"/>
      <c r="J513" s="35"/>
      <c r="K513" s="35"/>
      <c r="L513" s="35"/>
      <c r="M513" s="35"/>
      <c r="N513" s="35"/>
    </row>
    <row r="514" spans="1:14" x14ac:dyDescent="0.3">
      <c r="A514" s="35"/>
      <c r="B514" s="48">
        <v>455</v>
      </c>
      <c r="C514" s="49">
        <v>920.99570538764397</v>
      </c>
      <c r="D514" s="48">
        <v>455</v>
      </c>
      <c r="E514" s="49">
        <v>19.164668425314105</v>
      </c>
      <c r="F514" s="48">
        <v>455</v>
      </c>
      <c r="G514" s="49">
        <v>1405.9018815541424</v>
      </c>
      <c r="H514" s="35"/>
      <c r="I514" s="35"/>
      <c r="J514" s="35"/>
      <c r="K514" s="35"/>
      <c r="L514" s="35"/>
      <c r="M514" s="35"/>
      <c r="N514" s="35"/>
    </row>
    <row r="515" spans="1:14" x14ac:dyDescent="0.3">
      <c r="A515" s="35"/>
      <c r="B515" s="48">
        <v>456</v>
      </c>
      <c r="C515" s="49">
        <v>708.10079626593244</v>
      </c>
      <c r="D515" s="48">
        <v>456</v>
      </c>
      <c r="E515" s="49">
        <v>-4.5576953302562018</v>
      </c>
      <c r="F515" s="48">
        <v>456</v>
      </c>
      <c r="G515" s="49">
        <v>1323.8417216406083</v>
      </c>
      <c r="H515" s="35"/>
      <c r="I515" s="35"/>
      <c r="J515" s="35"/>
      <c r="K515" s="35"/>
      <c r="L515" s="35"/>
      <c r="M515" s="35"/>
      <c r="N515" s="35"/>
    </row>
    <row r="516" spans="1:14" x14ac:dyDescent="0.3">
      <c r="A516" s="35"/>
      <c r="B516" s="48">
        <v>457</v>
      </c>
      <c r="C516" s="49">
        <v>745.49840241361926</v>
      </c>
      <c r="D516" s="48">
        <v>457</v>
      </c>
      <c r="E516" s="49">
        <v>-10.411923474153621</v>
      </c>
      <c r="F516" s="48">
        <v>457</v>
      </c>
      <c r="G516" s="49">
        <v>1372.5926730328788</v>
      </c>
      <c r="H516" s="35"/>
      <c r="I516" s="35"/>
      <c r="J516" s="35"/>
      <c r="K516" s="35"/>
      <c r="L516" s="35"/>
      <c r="M516" s="35"/>
      <c r="N516" s="35"/>
    </row>
    <row r="517" spans="1:14" x14ac:dyDescent="0.3">
      <c r="A517" s="35"/>
      <c r="B517" s="48">
        <v>458</v>
      </c>
      <c r="C517" s="49">
        <v>825.5816108939589</v>
      </c>
      <c r="D517" s="48">
        <v>458</v>
      </c>
      <c r="E517" s="49">
        <v>47.14841391588601</v>
      </c>
      <c r="F517" s="48">
        <v>458</v>
      </c>
      <c r="G517" s="49">
        <v>625.96362942619987</v>
      </c>
      <c r="H517" s="35"/>
      <c r="I517" s="35"/>
      <c r="J517" s="35"/>
      <c r="K517" s="35"/>
      <c r="L517" s="35"/>
      <c r="M517" s="35"/>
      <c r="N517" s="35"/>
    </row>
    <row r="518" spans="1:14" x14ac:dyDescent="0.3">
      <c r="A518" s="35"/>
      <c r="B518" s="48">
        <v>459</v>
      </c>
      <c r="C518" s="49">
        <v>844.52442003144699</v>
      </c>
      <c r="D518" s="48">
        <v>459</v>
      </c>
      <c r="E518" s="49">
        <v>-9.5879532171699164</v>
      </c>
      <c r="F518" s="48">
        <v>459</v>
      </c>
      <c r="G518" s="49">
        <v>576.2105860981934</v>
      </c>
      <c r="H518" s="35"/>
      <c r="I518" s="35"/>
      <c r="J518" s="35"/>
      <c r="K518" s="35"/>
      <c r="L518" s="35"/>
      <c r="M518" s="35"/>
      <c r="N518" s="35"/>
    </row>
    <row r="519" spans="1:14" x14ac:dyDescent="0.3">
      <c r="A519" s="35"/>
      <c r="B519" s="48">
        <v>460</v>
      </c>
      <c r="C519" s="49">
        <v>1101.6325439455359</v>
      </c>
      <c r="D519" s="48">
        <v>460</v>
      </c>
      <c r="E519" s="49">
        <v>4.7225402945710417</v>
      </c>
      <c r="F519" s="48">
        <v>460</v>
      </c>
      <c r="G519" s="49">
        <v>799.1671335745574</v>
      </c>
      <c r="H519" s="35"/>
      <c r="I519" s="35"/>
      <c r="J519" s="35"/>
      <c r="K519" s="35"/>
      <c r="L519" s="35"/>
      <c r="M519" s="35"/>
      <c r="N519" s="35"/>
    </row>
    <row r="520" spans="1:14" x14ac:dyDescent="0.3">
      <c r="A520" s="35"/>
      <c r="B520" s="48">
        <v>461</v>
      </c>
      <c r="C520" s="49">
        <v>1120.3054642699819</v>
      </c>
      <c r="D520" s="48">
        <v>461</v>
      </c>
      <c r="E520" s="49">
        <v>5.5710760251107967</v>
      </c>
      <c r="F520" s="48">
        <v>461</v>
      </c>
      <c r="G520" s="49">
        <v>738.51844239048808</v>
      </c>
      <c r="H520" s="35"/>
      <c r="I520" s="35"/>
      <c r="J520" s="35"/>
      <c r="K520" s="35"/>
      <c r="L520" s="35"/>
      <c r="M520" s="35"/>
      <c r="N520" s="35"/>
    </row>
    <row r="521" spans="1:14" x14ac:dyDescent="0.3">
      <c r="A521" s="35"/>
      <c r="B521" s="48">
        <v>462</v>
      </c>
      <c r="C521" s="49">
        <v>805.84187685044435</v>
      </c>
      <c r="D521" s="48">
        <v>462</v>
      </c>
      <c r="E521" s="49">
        <v>-47.531688921437237</v>
      </c>
      <c r="F521" s="48">
        <v>462</v>
      </c>
      <c r="G521" s="49">
        <v>565.71243452346346</v>
      </c>
      <c r="H521" s="35"/>
      <c r="I521" s="35"/>
      <c r="J521" s="35"/>
      <c r="K521" s="35"/>
      <c r="L521" s="35"/>
      <c r="M521" s="35"/>
      <c r="N521" s="35"/>
    </row>
    <row r="522" spans="1:14" x14ac:dyDescent="0.3">
      <c r="A522" s="35"/>
      <c r="B522" s="48">
        <v>463</v>
      </c>
      <c r="C522" s="49">
        <v>1201.684834031696</v>
      </c>
      <c r="D522" s="48">
        <v>463</v>
      </c>
      <c r="E522" s="49">
        <v>-72.743745262903047</v>
      </c>
      <c r="F522" s="48">
        <v>463</v>
      </c>
      <c r="G522" s="49">
        <v>839.36008784541605</v>
      </c>
      <c r="H522" s="35"/>
      <c r="I522" s="35"/>
      <c r="J522" s="35"/>
      <c r="K522" s="35"/>
      <c r="L522" s="35"/>
      <c r="M522" s="35"/>
      <c r="N522" s="35"/>
    </row>
    <row r="523" spans="1:14" x14ac:dyDescent="0.3">
      <c r="A523" s="35"/>
      <c r="B523" s="48">
        <v>464</v>
      </c>
      <c r="C523" s="49">
        <v>616.04483896242232</v>
      </c>
      <c r="D523" s="48">
        <v>464</v>
      </c>
      <c r="E523" s="49">
        <v>-30.598099647717241</v>
      </c>
      <c r="F523" s="48">
        <v>464</v>
      </c>
      <c r="G523" s="49">
        <v>954.09047664167031</v>
      </c>
      <c r="H523" s="35"/>
      <c r="I523" s="35"/>
      <c r="J523" s="35"/>
      <c r="K523" s="35"/>
      <c r="L523" s="35"/>
      <c r="M523" s="35"/>
      <c r="N523" s="35"/>
    </row>
    <row r="524" spans="1:14" x14ac:dyDescent="0.3">
      <c r="A524" s="35"/>
      <c r="B524" s="48">
        <v>465</v>
      </c>
      <c r="C524" s="49">
        <v>521.15684505721686</v>
      </c>
      <c r="D524" s="48">
        <v>465</v>
      </c>
      <c r="E524" s="49">
        <v>17.27066831928202</v>
      </c>
      <c r="F524" s="48">
        <v>465</v>
      </c>
      <c r="G524" s="49">
        <v>1031.1562277105782</v>
      </c>
      <c r="H524" s="35"/>
      <c r="I524" s="35"/>
      <c r="J524" s="35"/>
      <c r="K524" s="35"/>
      <c r="L524" s="35"/>
      <c r="M524" s="35"/>
      <c r="N524" s="35"/>
    </row>
    <row r="525" spans="1:14" x14ac:dyDescent="0.3">
      <c r="A525" s="35"/>
      <c r="B525" s="48">
        <v>466</v>
      </c>
      <c r="C525" s="49">
        <v>1113.7730175003337</v>
      </c>
      <c r="D525" s="48">
        <v>466</v>
      </c>
      <c r="E525" s="49">
        <v>23.712301031901998</v>
      </c>
      <c r="F525" s="48">
        <v>466</v>
      </c>
      <c r="G525" s="49">
        <v>1356.1559793234806</v>
      </c>
      <c r="H525" s="35"/>
      <c r="I525" s="35"/>
      <c r="J525" s="35"/>
      <c r="K525" s="35"/>
      <c r="L525" s="35"/>
      <c r="M525" s="35"/>
      <c r="N525" s="35"/>
    </row>
    <row r="526" spans="1:14" x14ac:dyDescent="0.3">
      <c r="A526" s="35"/>
      <c r="B526" s="48">
        <v>467</v>
      </c>
      <c r="C526" s="49">
        <v>1051.2871045963398</v>
      </c>
      <c r="D526" s="48">
        <v>467</v>
      </c>
      <c r="E526" s="49">
        <v>-7.1075377744731041</v>
      </c>
      <c r="F526" s="48">
        <v>467</v>
      </c>
      <c r="G526" s="49">
        <v>622.54562963853789</v>
      </c>
      <c r="H526" s="35"/>
      <c r="I526" s="35"/>
      <c r="J526" s="35"/>
      <c r="K526" s="35"/>
      <c r="L526" s="35"/>
      <c r="M526" s="35"/>
      <c r="N526" s="35"/>
    </row>
    <row r="527" spans="1:14" x14ac:dyDescent="0.3">
      <c r="A527" s="35"/>
      <c r="B527" s="48">
        <v>468</v>
      </c>
      <c r="C527" s="49">
        <v>1282.1607200763433</v>
      </c>
      <c r="D527" s="48">
        <v>468</v>
      </c>
      <c r="E527" s="49">
        <v>-42.649594334461781</v>
      </c>
      <c r="F527" s="48">
        <v>468</v>
      </c>
      <c r="G527" s="49">
        <v>1304.6606631037587</v>
      </c>
      <c r="H527" s="35"/>
      <c r="I527" s="35"/>
      <c r="J527" s="35"/>
      <c r="K527" s="35"/>
      <c r="L527" s="35"/>
      <c r="M527" s="35"/>
      <c r="N527" s="35"/>
    </row>
    <row r="528" spans="1:14" x14ac:dyDescent="0.3">
      <c r="A528" s="35"/>
      <c r="B528" s="48">
        <v>469</v>
      </c>
      <c r="C528" s="49">
        <v>512.05816205118015</v>
      </c>
      <c r="D528" s="48">
        <v>469</v>
      </c>
      <c r="E528" s="49">
        <v>14.943140079744424</v>
      </c>
      <c r="F528" s="48">
        <v>469</v>
      </c>
      <c r="G528" s="49">
        <v>1174.7674705105326</v>
      </c>
      <c r="H528" s="35"/>
      <c r="I528" s="35"/>
      <c r="J528" s="35"/>
      <c r="K528" s="35"/>
      <c r="L528" s="35"/>
      <c r="M528" s="35"/>
      <c r="N528" s="35"/>
    </row>
    <row r="529" spans="1:14" x14ac:dyDescent="0.3">
      <c r="A529" s="35"/>
      <c r="B529" s="48">
        <v>470</v>
      </c>
      <c r="C529" s="49">
        <v>1117.3860296315497</v>
      </c>
      <c r="D529" s="48">
        <v>470</v>
      </c>
      <c r="E529" s="49">
        <v>-17.709539546375503</v>
      </c>
      <c r="F529" s="48">
        <v>470</v>
      </c>
      <c r="G529" s="49">
        <v>907.88793728576059</v>
      </c>
      <c r="H529" s="35"/>
      <c r="I529" s="35"/>
      <c r="J529" s="35"/>
      <c r="K529" s="35"/>
      <c r="L529" s="35"/>
      <c r="M529" s="35"/>
      <c r="N529" s="35"/>
    </row>
    <row r="530" spans="1:14" x14ac:dyDescent="0.3">
      <c r="A530" s="35"/>
      <c r="B530" s="48">
        <v>471</v>
      </c>
      <c r="C530" s="49">
        <v>485.22661645514324</v>
      </c>
      <c r="D530" s="48">
        <v>471</v>
      </c>
      <c r="E530" s="49">
        <v>4.5644809157471977</v>
      </c>
      <c r="F530" s="48">
        <v>471</v>
      </c>
      <c r="G530" s="49">
        <v>759.21471343521591</v>
      </c>
      <c r="H530" s="35"/>
      <c r="I530" s="35"/>
      <c r="J530" s="35"/>
      <c r="K530" s="35"/>
      <c r="L530" s="35"/>
      <c r="M530" s="35"/>
      <c r="N530" s="35"/>
    </row>
    <row r="531" spans="1:14" x14ac:dyDescent="0.3">
      <c r="A531" s="35"/>
      <c r="B531" s="48">
        <v>472</v>
      </c>
      <c r="C531" s="49">
        <v>478.18472599571589</v>
      </c>
      <c r="D531" s="48">
        <v>472</v>
      </c>
      <c r="E531" s="49">
        <v>-5.7499477407620381</v>
      </c>
      <c r="F531" s="48">
        <v>472</v>
      </c>
      <c r="G531" s="49">
        <v>1000.8157568183703</v>
      </c>
      <c r="H531" s="35"/>
      <c r="I531" s="35"/>
      <c r="J531" s="35"/>
      <c r="K531" s="35"/>
      <c r="L531" s="35"/>
      <c r="M531" s="35"/>
      <c r="N531" s="35"/>
    </row>
    <row r="532" spans="1:14" x14ac:dyDescent="0.3">
      <c r="A532" s="35"/>
      <c r="B532" s="48">
        <v>473</v>
      </c>
      <c r="C532" s="49">
        <v>967.54481726411871</v>
      </c>
      <c r="D532" s="48">
        <v>473</v>
      </c>
      <c r="E532" s="49">
        <v>-0.7806678144131769</v>
      </c>
      <c r="F532" s="48">
        <v>473</v>
      </c>
      <c r="G532" s="49">
        <v>1541.4405926407358</v>
      </c>
      <c r="H532" s="35"/>
      <c r="I532" s="35"/>
      <c r="J532" s="35"/>
      <c r="K532" s="35"/>
      <c r="L532" s="35"/>
      <c r="M532" s="35"/>
      <c r="N532" s="35"/>
    </row>
    <row r="533" spans="1:14" x14ac:dyDescent="0.3">
      <c r="A533" s="35"/>
      <c r="B533" s="48">
        <v>474</v>
      </c>
      <c r="C533" s="49">
        <v>903.29598622655976</v>
      </c>
      <c r="D533" s="48">
        <v>474</v>
      </c>
      <c r="E533" s="49">
        <v>12.727725966076534</v>
      </c>
      <c r="F533" s="48">
        <v>474</v>
      </c>
      <c r="G533" s="49">
        <v>670.60966452592936</v>
      </c>
      <c r="H533" s="35"/>
      <c r="I533" s="35"/>
      <c r="J533" s="35"/>
      <c r="K533" s="35"/>
      <c r="L533" s="35"/>
      <c r="M533" s="35"/>
      <c r="N533" s="35"/>
    </row>
    <row r="534" spans="1:14" x14ac:dyDescent="0.3">
      <c r="A534" s="35"/>
      <c r="B534" s="48">
        <v>475</v>
      </c>
      <c r="C534" s="49">
        <v>946.92035478538196</v>
      </c>
      <c r="D534" s="48">
        <v>475</v>
      </c>
      <c r="E534" s="49">
        <v>-7.3496159268332111</v>
      </c>
      <c r="F534" s="48">
        <v>475</v>
      </c>
      <c r="G534" s="49">
        <v>1524.4194784614551</v>
      </c>
      <c r="H534" s="35"/>
      <c r="I534" s="35"/>
      <c r="J534" s="35"/>
      <c r="K534" s="35"/>
      <c r="L534" s="35"/>
      <c r="M534" s="35"/>
      <c r="N534" s="35"/>
    </row>
    <row r="535" spans="1:14" x14ac:dyDescent="0.3">
      <c r="A535" s="35"/>
      <c r="B535" s="48">
        <v>476</v>
      </c>
      <c r="C535" s="49">
        <v>726.40948525701879</v>
      </c>
      <c r="D535" s="48">
        <v>476</v>
      </c>
      <c r="E535" s="49">
        <v>32.166560279228101</v>
      </c>
      <c r="F535" s="48">
        <v>476</v>
      </c>
      <c r="G535" s="49">
        <v>704.24830843292239</v>
      </c>
      <c r="H535" s="35"/>
      <c r="I535" s="35"/>
      <c r="J535" s="35"/>
      <c r="K535" s="35"/>
      <c r="L535" s="35"/>
      <c r="M535" s="35"/>
      <c r="N535" s="35"/>
    </row>
    <row r="536" spans="1:14" x14ac:dyDescent="0.3">
      <c r="A536" s="35"/>
      <c r="B536" s="48">
        <v>477</v>
      </c>
      <c r="C536" s="49">
        <v>1236.6953930587806</v>
      </c>
      <c r="D536" s="48">
        <v>477</v>
      </c>
      <c r="E536" s="49">
        <v>12.918659235844384</v>
      </c>
      <c r="F536" s="48">
        <v>477</v>
      </c>
      <c r="G536" s="49">
        <v>648.51530438591249</v>
      </c>
      <c r="H536" s="35"/>
      <c r="I536" s="35"/>
      <c r="J536" s="35"/>
      <c r="K536" s="35"/>
      <c r="L536" s="35"/>
      <c r="M536" s="35"/>
      <c r="N536" s="35"/>
    </row>
    <row r="537" spans="1:14" x14ac:dyDescent="0.3">
      <c r="A537" s="35"/>
      <c r="B537" s="48">
        <v>478</v>
      </c>
      <c r="C537" s="49">
        <v>280.73109679038225</v>
      </c>
      <c r="D537" s="48">
        <v>478</v>
      </c>
      <c r="E537" s="49">
        <v>44.459603161856464</v>
      </c>
      <c r="F537" s="48">
        <v>478</v>
      </c>
      <c r="G537" s="49">
        <v>796.17943150169026</v>
      </c>
      <c r="H537" s="35"/>
      <c r="I537" s="35"/>
      <c r="J537" s="35"/>
      <c r="K537" s="35"/>
      <c r="L537" s="35"/>
      <c r="M537" s="35"/>
      <c r="N537" s="35"/>
    </row>
    <row r="538" spans="1:14" x14ac:dyDescent="0.3">
      <c r="A538" s="35"/>
      <c r="B538" s="48">
        <v>479</v>
      </c>
      <c r="C538" s="49">
        <v>1120.1835321818671</v>
      </c>
      <c r="D538" s="48">
        <v>479</v>
      </c>
      <c r="E538" s="49">
        <v>8.7415210795819309</v>
      </c>
      <c r="F538" s="48">
        <v>479</v>
      </c>
      <c r="G538" s="49">
        <v>1361.2802668667189</v>
      </c>
      <c r="H538" s="35"/>
      <c r="I538" s="35"/>
      <c r="J538" s="35"/>
      <c r="K538" s="35"/>
      <c r="L538" s="35"/>
      <c r="M538" s="35"/>
      <c r="N538" s="35"/>
    </row>
    <row r="539" spans="1:14" x14ac:dyDescent="0.3">
      <c r="A539" s="35"/>
      <c r="B539" s="48">
        <v>480</v>
      </c>
      <c r="C539" s="49">
        <v>407.90854591524686</v>
      </c>
      <c r="D539" s="48">
        <v>480</v>
      </c>
      <c r="E539" s="49">
        <v>12.427414071758571</v>
      </c>
      <c r="F539" s="48">
        <v>480</v>
      </c>
      <c r="G539" s="49">
        <v>919.24662625932797</v>
      </c>
      <c r="H539" s="35"/>
      <c r="I539" s="35"/>
      <c r="J539" s="35"/>
      <c r="K539" s="35"/>
      <c r="L539" s="35"/>
      <c r="M539" s="35"/>
      <c r="N539" s="35"/>
    </row>
    <row r="540" spans="1:14" x14ac:dyDescent="0.3">
      <c r="A540" s="35"/>
      <c r="B540" s="48">
        <v>481</v>
      </c>
      <c r="C540" s="49">
        <v>559.01169997336319</v>
      </c>
      <c r="D540" s="48">
        <v>481</v>
      </c>
      <c r="E540" s="49">
        <v>-13.053523511892049</v>
      </c>
      <c r="F540" s="48">
        <v>481</v>
      </c>
      <c r="G540" s="49">
        <v>1220.6213368164565</v>
      </c>
      <c r="H540" s="35"/>
      <c r="I540" s="35"/>
      <c r="J540" s="35"/>
      <c r="K540" s="35"/>
      <c r="L540" s="35"/>
      <c r="M540" s="35"/>
      <c r="N540" s="35"/>
    </row>
    <row r="541" spans="1:14" x14ac:dyDescent="0.3">
      <c r="A541" s="35"/>
      <c r="B541" s="48">
        <v>482</v>
      </c>
      <c r="C541" s="49">
        <v>1492.6553854231954</v>
      </c>
      <c r="D541" s="48">
        <v>482</v>
      </c>
      <c r="E541" s="49">
        <v>-5.6751872247430075</v>
      </c>
      <c r="F541" s="48">
        <v>482</v>
      </c>
      <c r="G541" s="49">
        <v>1093.8851996666522</v>
      </c>
      <c r="H541" s="35"/>
      <c r="I541" s="35"/>
      <c r="J541" s="35"/>
      <c r="K541" s="35"/>
      <c r="L541" s="35"/>
      <c r="M541" s="35"/>
      <c r="N541" s="35"/>
    </row>
    <row r="542" spans="1:14" x14ac:dyDescent="0.3">
      <c r="A542" s="35"/>
      <c r="B542" s="48">
        <v>483</v>
      </c>
      <c r="C542" s="49">
        <v>491.49903692063901</v>
      </c>
      <c r="D542" s="48">
        <v>483</v>
      </c>
      <c r="E542" s="49">
        <v>-5.6464005530994914</v>
      </c>
      <c r="F542" s="48">
        <v>483</v>
      </c>
      <c r="G542" s="49">
        <v>1138.8128882661633</v>
      </c>
      <c r="H542" s="35"/>
      <c r="I542" s="35"/>
      <c r="J542" s="35"/>
      <c r="K542" s="35"/>
      <c r="L542" s="35"/>
      <c r="M542" s="35"/>
      <c r="N542" s="35"/>
    </row>
    <row r="543" spans="1:14" x14ac:dyDescent="0.3">
      <c r="A543" s="35"/>
      <c r="B543" s="48">
        <v>484</v>
      </c>
      <c r="C543" s="49">
        <v>479.39060723337855</v>
      </c>
      <c r="D543" s="48">
        <v>484</v>
      </c>
      <c r="E543" s="49">
        <v>24.082024509013124</v>
      </c>
      <c r="F543" s="48">
        <v>484</v>
      </c>
      <c r="G543" s="49">
        <v>1118.5598895050243</v>
      </c>
      <c r="H543" s="35"/>
      <c r="I543" s="35"/>
      <c r="J543" s="35"/>
      <c r="K543" s="35"/>
      <c r="L543" s="35"/>
      <c r="M543" s="35"/>
      <c r="N543" s="35"/>
    </row>
    <row r="544" spans="1:14" x14ac:dyDescent="0.3">
      <c r="A544" s="35"/>
      <c r="B544" s="48">
        <v>485</v>
      </c>
      <c r="C544" s="49">
        <v>1013.660377336549</v>
      </c>
      <c r="D544" s="48">
        <v>485</v>
      </c>
      <c r="E544" s="49">
        <v>11.117137970472815</v>
      </c>
      <c r="F544" s="48">
        <v>485</v>
      </c>
      <c r="G544" s="49">
        <v>1542.4787870157111</v>
      </c>
      <c r="H544" s="35"/>
      <c r="I544" s="35"/>
      <c r="J544" s="35"/>
      <c r="K544" s="35"/>
      <c r="L544" s="35"/>
      <c r="M544" s="35"/>
      <c r="N544" s="35"/>
    </row>
    <row r="545" spans="1:14" x14ac:dyDescent="0.3">
      <c r="A545" s="35"/>
      <c r="B545" s="48">
        <v>486</v>
      </c>
      <c r="C545" s="49">
        <v>1020.6235821861808</v>
      </c>
      <c r="D545" s="48">
        <v>486</v>
      </c>
      <c r="E545" s="49">
        <v>37.446871933581576</v>
      </c>
      <c r="F545" s="48">
        <v>486</v>
      </c>
      <c r="G545" s="49">
        <v>1009.3386988170516</v>
      </c>
      <c r="H545" s="35"/>
      <c r="I545" s="35"/>
      <c r="J545" s="35"/>
      <c r="K545" s="35"/>
      <c r="L545" s="35"/>
      <c r="M545" s="35"/>
      <c r="N545" s="35"/>
    </row>
    <row r="546" spans="1:14" x14ac:dyDescent="0.3">
      <c r="A546" s="35"/>
      <c r="B546" s="48">
        <v>487</v>
      </c>
      <c r="C546" s="49">
        <v>636.70066424834317</v>
      </c>
      <c r="D546" s="48">
        <v>487</v>
      </c>
      <c r="E546" s="49">
        <v>16.604182706228325</v>
      </c>
      <c r="F546" s="48">
        <v>487</v>
      </c>
      <c r="G546" s="49">
        <v>1322.1006038190199</v>
      </c>
      <c r="H546" s="35"/>
      <c r="I546" s="35"/>
      <c r="J546" s="35"/>
      <c r="K546" s="35"/>
      <c r="L546" s="35"/>
      <c r="M546" s="35"/>
      <c r="N546" s="35"/>
    </row>
    <row r="547" spans="1:14" x14ac:dyDescent="0.3">
      <c r="A547" s="35"/>
      <c r="B547" s="48">
        <v>488</v>
      </c>
      <c r="C547" s="49">
        <v>835.1013457236113</v>
      </c>
      <c r="D547" s="48">
        <v>488</v>
      </c>
      <c r="E547" s="49">
        <v>32.448341486138268</v>
      </c>
      <c r="F547" s="48">
        <v>488</v>
      </c>
      <c r="G547" s="49">
        <v>949.59289012515637</v>
      </c>
      <c r="H547" s="35"/>
      <c r="I547" s="35"/>
      <c r="J547" s="35"/>
      <c r="K547" s="35"/>
      <c r="L547" s="35"/>
      <c r="M547" s="35"/>
      <c r="N547" s="35"/>
    </row>
    <row r="548" spans="1:14" x14ac:dyDescent="0.3">
      <c r="A548" s="35"/>
      <c r="B548" s="48">
        <v>489</v>
      </c>
      <c r="C548" s="49">
        <v>647.78191910664634</v>
      </c>
      <c r="D548" s="48">
        <v>489</v>
      </c>
      <c r="E548" s="49">
        <v>-1.3253002012171522</v>
      </c>
      <c r="F548" s="48">
        <v>489</v>
      </c>
      <c r="G548" s="49">
        <v>1156.4395303764559</v>
      </c>
      <c r="H548" s="35"/>
      <c r="I548" s="35"/>
      <c r="J548" s="35"/>
      <c r="K548" s="35"/>
      <c r="L548" s="35"/>
      <c r="M548" s="35"/>
      <c r="N548" s="35"/>
    </row>
    <row r="549" spans="1:14" x14ac:dyDescent="0.3">
      <c r="A549" s="35"/>
      <c r="B549" s="48">
        <v>490</v>
      </c>
      <c r="C549" s="49">
        <v>975.33054749559778</v>
      </c>
      <c r="D549" s="48">
        <v>490</v>
      </c>
      <c r="E549" s="49">
        <v>10.639413523629276</v>
      </c>
      <c r="F549" s="48">
        <v>490</v>
      </c>
      <c r="G549" s="49">
        <v>809.48078801187353</v>
      </c>
      <c r="H549" s="35"/>
      <c r="I549" s="35"/>
      <c r="J549" s="35"/>
      <c r="K549" s="35"/>
      <c r="L549" s="35"/>
      <c r="M549" s="35"/>
      <c r="N549" s="35"/>
    </row>
    <row r="550" spans="1:14" x14ac:dyDescent="0.3">
      <c r="A550" s="35"/>
      <c r="B550" s="48">
        <v>491</v>
      </c>
      <c r="C550" s="49">
        <v>833.21172096872397</v>
      </c>
      <c r="D550" s="48">
        <v>491</v>
      </c>
      <c r="E550" s="49">
        <v>-47.011111995833019</v>
      </c>
      <c r="F550" s="48">
        <v>491</v>
      </c>
      <c r="G550" s="49">
        <v>1025.8718768814308</v>
      </c>
      <c r="H550" s="35"/>
      <c r="I550" s="35"/>
      <c r="J550" s="35"/>
      <c r="K550" s="35"/>
      <c r="L550" s="35"/>
      <c r="M550" s="35"/>
      <c r="N550" s="35"/>
    </row>
    <row r="551" spans="1:14" x14ac:dyDescent="0.3">
      <c r="A551" s="35"/>
      <c r="B551" s="48">
        <v>492</v>
      </c>
      <c r="C551" s="49">
        <v>908.36228992209817</v>
      </c>
      <c r="D551" s="48">
        <v>492</v>
      </c>
      <c r="E551" s="49">
        <v>-18.169787551996325</v>
      </c>
      <c r="F551" s="48">
        <v>492</v>
      </c>
      <c r="G551" s="49">
        <v>962.02120959732895</v>
      </c>
      <c r="H551" s="35"/>
      <c r="I551" s="35"/>
      <c r="J551" s="35"/>
      <c r="K551" s="35"/>
      <c r="L551" s="35"/>
      <c r="M551" s="35"/>
      <c r="N551" s="35"/>
    </row>
    <row r="552" spans="1:14" x14ac:dyDescent="0.3">
      <c r="A552" s="35"/>
      <c r="B552" s="48">
        <v>493</v>
      </c>
      <c r="C552" s="49">
        <v>620.08450920811413</v>
      </c>
      <c r="D552" s="48">
        <v>493</v>
      </c>
      <c r="E552" s="49">
        <v>12.499804458181924</v>
      </c>
      <c r="F552" s="48">
        <v>493</v>
      </c>
      <c r="G552" s="49">
        <v>884.29507398406656</v>
      </c>
      <c r="H552" s="35"/>
      <c r="I552" s="35"/>
      <c r="J552" s="35"/>
      <c r="K552" s="35"/>
      <c r="L552" s="35"/>
      <c r="M552" s="35"/>
      <c r="N552" s="35"/>
    </row>
    <row r="553" spans="1:14" x14ac:dyDescent="0.3">
      <c r="A553" s="35"/>
      <c r="B553" s="48">
        <v>494</v>
      </c>
      <c r="C553" s="49">
        <v>1143.7455794020545</v>
      </c>
      <c r="D553" s="48">
        <v>494</v>
      </c>
      <c r="E553" s="49">
        <v>-37.575286556846983</v>
      </c>
      <c r="F553" s="48">
        <v>494</v>
      </c>
      <c r="G553" s="49">
        <v>746.61457601089228</v>
      </c>
      <c r="H553" s="35"/>
      <c r="I553" s="35"/>
      <c r="J553" s="35"/>
      <c r="K553" s="35"/>
      <c r="L553" s="35"/>
      <c r="M553" s="35"/>
      <c r="N553" s="35"/>
    </row>
    <row r="554" spans="1:14" x14ac:dyDescent="0.3">
      <c r="A554" s="35"/>
      <c r="B554" s="48">
        <v>495</v>
      </c>
      <c r="C554" s="49">
        <v>985.27491572981603</v>
      </c>
      <c r="D554" s="48">
        <v>495</v>
      </c>
      <c r="E554" s="49">
        <v>16.4532196039547</v>
      </c>
      <c r="F554" s="48">
        <v>495</v>
      </c>
      <c r="G554" s="49">
        <v>799.54506477880352</v>
      </c>
      <c r="H554" s="35"/>
      <c r="I554" s="35"/>
      <c r="J554" s="35"/>
      <c r="K554" s="35"/>
      <c r="L554" s="35"/>
      <c r="M554" s="35"/>
      <c r="N554" s="35"/>
    </row>
    <row r="555" spans="1:14" x14ac:dyDescent="0.3">
      <c r="A555" s="35"/>
      <c r="B555" s="48">
        <v>496</v>
      </c>
      <c r="C555" s="49">
        <v>1040.2568842425665</v>
      </c>
      <c r="D555" s="48">
        <v>496</v>
      </c>
      <c r="E555" s="49">
        <v>2.7962868170674056</v>
      </c>
      <c r="F555" s="48">
        <v>496</v>
      </c>
      <c r="G555" s="49">
        <v>463.42374279366641</v>
      </c>
      <c r="H555" s="35"/>
      <c r="I555" s="35"/>
      <c r="J555" s="35"/>
      <c r="K555" s="35"/>
      <c r="L555" s="35"/>
      <c r="M555" s="35"/>
      <c r="N555" s="35"/>
    </row>
    <row r="556" spans="1:14" x14ac:dyDescent="0.3">
      <c r="A556" s="35"/>
      <c r="B556" s="48">
        <v>497</v>
      </c>
      <c r="C556" s="49">
        <v>987.83995633734048</v>
      </c>
      <c r="D556" s="48">
        <v>497</v>
      </c>
      <c r="E556" s="49">
        <v>24.175486598935176</v>
      </c>
      <c r="F556" s="48">
        <v>497</v>
      </c>
      <c r="G556" s="49">
        <v>807.17985446900389</v>
      </c>
      <c r="H556" s="35"/>
      <c r="I556" s="35"/>
      <c r="J556" s="35"/>
      <c r="K556" s="35"/>
      <c r="L556" s="35"/>
      <c r="M556" s="35"/>
      <c r="N556" s="35"/>
    </row>
    <row r="557" spans="1:14" x14ac:dyDescent="0.3">
      <c r="A557" s="35"/>
      <c r="B557" s="48">
        <v>498</v>
      </c>
      <c r="C557" s="49">
        <v>972.21384911062103</v>
      </c>
      <c r="D557" s="48">
        <v>498</v>
      </c>
      <c r="E557" s="49">
        <v>30.073041429319954</v>
      </c>
      <c r="F557" s="48">
        <v>498</v>
      </c>
      <c r="G557" s="49">
        <v>670.43853394012149</v>
      </c>
      <c r="H557" s="35"/>
      <c r="I557" s="35"/>
      <c r="J557" s="35"/>
      <c r="K557" s="35"/>
      <c r="L557" s="35"/>
      <c r="M557" s="35"/>
      <c r="N557" s="35"/>
    </row>
    <row r="558" spans="1:14" x14ac:dyDescent="0.3">
      <c r="A558" s="35"/>
      <c r="B558" s="48">
        <v>499</v>
      </c>
      <c r="C558" s="49">
        <v>1339.2229072516775</v>
      </c>
      <c r="D558" s="48">
        <v>499</v>
      </c>
      <c r="E558" s="49">
        <v>7.3435919022216449</v>
      </c>
      <c r="F558" s="48">
        <v>499</v>
      </c>
      <c r="G558" s="49">
        <v>893.938567807411</v>
      </c>
      <c r="H558" s="35"/>
      <c r="I558" s="35"/>
      <c r="J558" s="35"/>
      <c r="K558" s="35"/>
      <c r="L558" s="35"/>
      <c r="M558" s="35"/>
      <c r="N558" s="35"/>
    </row>
    <row r="559" spans="1:14" x14ac:dyDescent="0.3">
      <c r="A559" s="35"/>
      <c r="B559" s="48">
        <v>500</v>
      </c>
      <c r="C559" s="49">
        <v>1051.0390837589769</v>
      </c>
      <c r="D559" s="48">
        <v>500</v>
      </c>
      <c r="E559" s="49">
        <v>-45.846492064719058</v>
      </c>
      <c r="F559" s="48">
        <v>500</v>
      </c>
      <c r="G559" s="49">
        <v>1230.396779399827</v>
      </c>
      <c r="H559" s="35"/>
      <c r="I559" s="35"/>
      <c r="J559" s="35"/>
      <c r="K559" s="35"/>
      <c r="L559" s="35"/>
      <c r="M559" s="35"/>
      <c r="N559" s="35"/>
    </row>
    <row r="560" spans="1:14" x14ac:dyDescent="0.3">
      <c r="A560" s="35"/>
      <c r="B560" s="35"/>
      <c r="C560" s="28"/>
      <c r="D560" s="35"/>
      <c r="E560" s="28"/>
      <c r="F560" s="35"/>
      <c r="G560" s="28"/>
      <c r="H560" s="35"/>
      <c r="I560" s="35"/>
      <c r="J560" s="35"/>
      <c r="K560" s="35"/>
      <c r="L560" s="35"/>
      <c r="M560" s="35"/>
      <c r="N560" s="35"/>
    </row>
    <row r="561" spans="1:14" x14ac:dyDescent="0.3">
      <c r="A561" s="35"/>
      <c r="B561" s="35"/>
      <c r="C561" s="28"/>
      <c r="D561" s="35"/>
      <c r="E561" s="28"/>
      <c r="F561" s="35"/>
      <c r="G561" s="28"/>
      <c r="H561" s="35"/>
      <c r="I561" s="35"/>
      <c r="J561" s="35"/>
      <c r="K561" s="35"/>
      <c r="L561" s="35"/>
      <c r="M561" s="35"/>
      <c r="N561" s="35"/>
    </row>
    <row r="562" spans="1:14" x14ac:dyDescent="0.3">
      <c r="A562" s="35"/>
      <c r="B562" s="35"/>
      <c r="C562" s="28"/>
      <c r="D562" s="35"/>
      <c r="E562" s="28"/>
      <c r="F562" s="35"/>
      <c r="G562" s="28"/>
      <c r="H562" s="35"/>
      <c r="I562" s="35"/>
      <c r="J562" s="35"/>
      <c r="K562" s="35"/>
      <c r="L562" s="35"/>
      <c r="M562" s="35"/>
      <c r="N562" s="35"/>
    </row>
    <row r="563" spans="1:14" x14ac:dyDescent="0.3">
      <c r="A563" s="35"/>
      <c r="B563" s="35"/>
      <c r="C563" s="28"/>
      <c r="D563" s="35"/>
      <c r="E563" s="28"/>
      <c r="F563" s="35"/>
      <c r="G563" s="28"/>
      <c r="H563" s="35"/>
      <c r="I563" s="35"/>
      <c r="J563" s="35"/>
      <c r="K563" s="35"/>
      <c r="L563" s="35"/>
      <c r="M563" s="35"/>
      <c r="N563" s="35"/>
    </row>
    <row r="564" spans="1:14" x14ac:dyDescent="0.3">
      <c r="A564" s="35"/>
      <c r="B564" s="35"/>
      <c r="C564" s="28"/>
      <c r="D564" s="35"/>
      <c r="E564" s="28"/>
      <c r="F564" s="35"/>
      <c r="G564" s="28"/>
      <c r="H564" s="35"/>
      <c r="I564" s="35"/>
      <c r="J564" s="35"/>
      <c r="K564" s="35"/>
      <c r="L564" s="35"/>
      <c r="M564" s="35"/>
      <c r="N564" s="35"/>
    </row>
    <row r="565" spans="1:14" x14ac:dyDescent="0.3">
      <c r="A565" s="35"/>
      <c r="B565" s="35"/>
      <c r="C565" s="28"/>
      <c r="D565" s="35"/>
      <c r="E565" s="28"/>
      <c r="F565" s="35"/>
      <c r="G565" s="28"/>
      <c r="H565" s="35"/>
      <c r="I565" s="35"/>
      <c r="J565" s="35"/>
      <c r="K565" s="35"/>
      <c r="L565" s="35"/>
      <c r="M565" s="35"/>
      <c r="N565" s="35"/>
    </row>
    <row r="566" spans="1:14" x14ac:dyDescent="0.3">
      <c r="A566" s="35"/>
      <c r="B566" s="35"/>
      <c r="C566" s="28"/>
      <c r="D566" s="35"/>
      <c r="E566" s="28"/>
      <c r="F566" s="35"/>
      <c r="G566" s="28"/>
      <c r="H566" s="35"/>
      <c r="I566" s="35"/>
      <c r="J566" s="35"/>
      <c r="K566" s="35"/>
      <c r="L566" s="35"/>
      <c r="M566" s="35"/>
      <c r="N566" s="35"/>
    </row>
    <row r="567" spans="1:14" x14ac:dyDescent="0.3">
      <c r="A567" s="35"/>
      <c r="B567" s="35"/>
      <c r="C567" s="28"/>
      <c r="D567" s="35"/>
      <c r="E567" s="28"/>
      <c r="F567" s="35"/>
      <c r="G567" s="28"/>
      <c r="H567" s="35"/>
      <c r="I567" s="35"/>
      <c r="J567" s="35"/>
      <c r="K567" s="35"/>
      <c r="L567" s="35"/>
      <c r="M567" s="35"/>
      <c r="N567" s="35"/>
    </row>
    <row r="568" spans="1:14" x14ac:dyDescent="0.3">
      <c r="A568" s="35"/>
      <c r="B568" s="35"/>
      <c r="C568" s="28"/>
      <c r="D568" s="35"/>
      <c r="E568" s="28"/>
      <c r="F568" s="35"/>
      <c r="G568" s="28"/>
      <c r="H568" s="35"/>
      <c r="I568" s="35"/>
      <c r="J568" s="35"/>
      <c r="K568" s="35"/>
      <c r="L568" s="35"/>
      <c r="M568" s="35"/>
      <c r="N568" s="35"/>
    </row>
    <row r="569" spans="1:14" x14ac:dyDescent="0.3">
      <c r="A569" s="35"/>
      <c r="B569" s="35"/>
      <c r="C569" s="28"/>
      <c r="D569" s="35"/>
      <c r="E569" s="28"/>
      <c r="F569" s="35"/>
      <c r="G569" s="28"/>
      <c r="H569" s="35"/>
      <c r="I569" s="35"/>
      <c r="J569" s="35"/>
      <c r="K569" s="35"/>
      <c r="L569" s="35"/>
      <c r="M569" s="35"/>
      <c r="N569" s="35"/>
    </row>
    <row r="570" spans="1:14" x14ac:dyDescent="0.3">
      <c r="A570" s="35"/>
      <c r="B570" s="35"/>
      <c r="C570" s="28"/>
      <c r="D570" s="35"/>
      <c r="E570" s="28"/>
      <c r="F570" s="35"/>
      <c r="G570" s="28"/>
      <c r="H570" s="35"/>
      <c r="I570" s="35"/>
      <c r="J570" s="35"/>
      <c r="K570" s="35"/>
      <c r="L570" s="35"/>
      <c r="M570" s="35"/>
      <c r="N570" s="35"/>
    </row>
    <row r="571" spans="1:14" x14ac:dyDescent="0.3">
      <c r="A571" s="35"/>
      <c r="B571" s="35"/>
      <c r="C571" s="28"/>
      <c r="D571" s="35"/>
      <c r="E571" s="28"/>
      <c r="F571" s="35"/>
      <c r="G571" s="28"/>
      <c r="H571" s="35"/>
      <c r="I571" s="35"/>
      <c r="J571" s="35"/>
      <c r="K571" s="35"/>
      <c r="L571" s="35"/>
      <c r="M571" s="35"/>
      <c r="N571" s="35"/>
    </row>
    <row r="572" spans="1:14" x14ac:dyDescent="0.3">
      <c r="A572" s="35"/>
      <c r="B572" s="35"/>
      <c r="C572" s="28"/>
      <c r="D572" s="35"/>
      <c r="E572" s="28"/>
      <c r="F572" s="35"/>
      <c r="G572" s="28"/>
      <c r="H572" s="35"/>
      <c r="I572" s="35"/>
      <c r="J572" s="35"/>
      <c r="K572" s="35"/>
      <c r="L572" s="35"/>
      <c r="M572" s="35"/>
      <c r="N572" s="35"/>
    </row>
    <row r="573" spans="1:14" x14ac:dyDescent="0.3">
      <c r="A573" s="35"/>
      <c r="B573" s="35"/>
      <c r="C573" s="28"/>
      <c r="D573" s="35"/>
      <c r="E573" s="28"/>
      <c r="F573" s="35"/>
      <c r="G573" s="28"/>
      <c r="H573" s="35"/>
      <c r="I573" s="35"/>
      <c r="J573" s="35"/>
      <c r="K573" s="35"/>
      <c r="L573" s="35"/>
      <c r="M573" s="35"/>
      <c r="N573" s="35"/>
    </row>
    <row r="574" spans="1:14" x14ac:dyDescent="0.3">
      <c r="A574" s="35"/>
      <c r="B574" s="35"/>
      <c r="C574" s="28"/>
      <c r="D574" s="35"/>
      <c r="E574" s="28"/>
      <c r="F574" s="35"/>
      <c r="G574" s="28"/>
      <c r="H574" s="35"/>
      <c r="I574" s="35"/>
      <c r="J574" s="35"/>
      <c r="K574" s="35"/>
      <c r="L574" s="35"/>
      <c r="M574" s="35"/>
      <c r="N574" s="35"/>
    </row>
    <row r="575" spans="1:14" x14ac:dyDescent="0.3">
      <c r="A575" s="35"/>
      <c r="B575" s="35"/>
      <c r="C575" s="28"/>
      <c r="D575" s="35"/>
      <c r="E575" s="28"/>
      <c r="F575" s="35"/>
      <c r="G575" s="28"/>
      <c r="H575" s="35"/>
      <c r="I575" s="35"/>
      <c r="J575" s="35"/>
      <c r="K575" s="35"/>
      <c r="L575" s="35"/>
      <c r="M575" s="35"/>
      <c r="N575" s="35"/>
    </row>
    <row r="576" spans="1:14" x14ac:dyDescent="0.3">
      <c r="A576" s="35"/>
      <c r="B576" s="35"/>
      <c r="C576" s="28"/>
      <c r="D576" s="35"/>
      <c r="E576" s="28"/>
      <c r="F576" s="35"/>
      <c r="G576" s="28"/>
      <c r="H576" s="35"/>
      <c r="I576" s="35"/>
      <c r="J576" s="35"/>
      <c r="K576" s="35"/>
      <c r="L576" s="35"/>
      <c r="M576" s="35"/>
      <c r="N576" s="35"/>
    </row>
    <row r="577" spans="1:14" x14ac:dyDescent="0.3">
      <c r="A577" s="35"/>
      <c r="B577" s="35"/>
      <c r="C577" s="28"/>
      <c r="D577" s="35"/>
      <c r="E577" s="28"/>
      <c r="F577" s="35"/>
      <c r="G577" s="28"/>
      <c r="H577" s="35"/>
      <c r="I577" s="35"/>
      <c r="J577" s="35"/>
      <c r="K577" s="35"/>
      <c r="L577" s="35"/>
      <c r="M577" s="35"/>
      <c r="N577" s="35"/>
    </row>
    <row r="578" spans="1:14" x14ac:dyDescent="0.3">
      <c r="A578" s="35"/>
      <c r="B578" s="35"/>
      <c r="C578" s="28"/>
      <c r="D578" s="35"/>
      <c r="E578" s="28"/>
      <c r="F578" s="35"/>
      <c r="G578" s="28"/>
      <c r="H578" s="35"/>
      <c r="I578" s="35"/>
      <c r="J578" s="35"/>
      <c r="K578" s="35"/>
      <c r="L578" s="35"/>
      <c r="M578" s="35"/>
      <c r="N578" s="35"/>
    </row>
    <row r="579" spans="1:14" x14ac:dyDescent="0.3">
      <c r="A579" s="35"/>
      <c r="B579" s="35"/>
      <c r="C579" s="28"/>
      <c r="D579" s="35"/>
      <c r="E579" s="28"/>
      <c r="F579" s="35"/>
      <c r="G579" s="28"/>
      <c r="H579" s="35"/>
      <c r="I579" s="35"/>
      <c r="J579" s="35"/>
      <c r="K579" s="35"/>
      <c r="L579" s="35"/>
      <c r="M579" s="35"/>
      <c r="N579" s="35"/>
    </row>
    <row r="580" spans="1:14" x14ac:dyDescent="0.3">
      <c r="A580" s="35"/>
      <c r="B580" s="35"/>
      <c r="C580" s="28"/>
      <c r="D580" s="35"/>
      <c r="E580" s="28"/>
      <c r="F580" s="35"/>
      <c r="G580" s="28"/>
      <c r="H580" s="35"/>
      <c r="I580" s="35"/>
      <c r="J580" s="35"/>
      <c r="K580" s="35"/>
      <c r="L580" s="35"/>
      <c r="M580" s="35"/>
      <c r="N580" s="35"/>
    </row>
    <row r="581" spans="1:14" x14ac:dyDescent="0.3">
      <c r="A581" s="35"/>
      <c r="B581" s="35"/>
      <c r="C581" s="28"/>
      <c r="D581" s="35"/>
      <c r="E581" s="28"/>
      <c r="F581" s="35"/>
      <c r="G581" s="28"/>
      <c r="H581" s="35"/>
      <c r="I581" s="35"/>
      <c r="J581" s="35"/>
      <c r="K581" s="35"/>
      <c r="L581" s="35"/>
      <c r="M581" s="35"/>
      <c r="N581" s="35"/>
    </row>
    <row r="582" spans="1:14" x14ac:dyDescent="0.3">
      <c r="A582" s="35"/>
      <c r="B582" s="35"/>
      <c r="C582" s="28"/>
      <c r="D582" s="35"/>
      <c r="E582" s="28"/>
      <c r="F582" s="35"/>
      <c r="G582" s="28"/>
      <c r="H582" s="35"/>
      <c r="I582" s="35"/>
      <c r="J582" s="35"/>
      <c r="K582" s="35"/>
      <c r="L582" s="35"/>
      <c r="M582" s="35"/>
      <c r="N582" s="35"/>
    </row>
    <row r="583" spans="1:14" x14ac:dyDescent="0.3">
      <c r="A583" s="35"/>
      <c r="B583" s="35"/>
      <c r="C583" s="28"/>
      <c r="D583" s="35"/>
      <c r="E583" s="28"/>
      <c r="F583" s="35"/>
      <c r="G583" s="28"/>
      <c r="H583" s="35"/>
      <c r="I583" s="35"/>
      <c r="J583" s="35"/>
      <c r="K583" s="35"/>
      <c r="L583" s="35"/>
      <c r="M583" s="35"/>
      <c r="N583" s="35"/>
    </row>
    <row r="584" spans="1:14" x14ac:dyDescent="0.3">
      <c r="A584" s="35"/>
      <c r="B584" s="35"/>
      <c r="C584" s="28"/>
      <c r="D584" s="35"/>
      <c r="E584" s="28"/>
      <c r="F584" s="35"/>
      <c r="G584" s="28"/>
      <c r="H584" s="35"/>
      <c r="I584" s="35"/>
      <c r="J584" s="35"/>
      <c r="K584" s="35"/>
      <c r="L584" s="35"/>
      <c r="M584" s="35"/>
      <c r="N584" s="35"/>
    </row>
    <row r="585" spans="1:14" x14ac:dyDescent="0.3">
      <c r="A585" s="35"/>
      <c r="B585" s="35"/>
      <c r="C585" s="28"/>
      <c r="D585" s="35"/>
      <c r="E585" s="28"/>
      <c r="F585" s="35"/>
      <c r="G585" s="28"/>
      <c r="H585" s="35"/>
      <c r="I585" s="35"/>
      <c r="J585" s="35"/>
      <c r="K585" s="35"/>
      <c r="L585" s="35"/>
      <c r="M585" s="35"/>
      <c r="N585" s="35"/>
    </row>
    <row r="586" spans="1:14" x14ac:dyDescent="0.3">
      <c r="A586" s="35"/>
      <c r="B586" s="35"/>
      <c r="C586" s="28"/>
      <c r="D586" s="35"/>
      <c r="E586" s="28"/>
      <c r="F586" s="35"/>
      <c r="G586" s="28"/>
      <c r="H586" s="35"/>
      <c r="I586" s="35"/>
      <c r="J586" s="35"/>
      <c r="K586" s="35"/>
      <c r="L586" s="35"/>
      <c r="M586" s="35"/>
      <c r="N586" s="35"/>
    </row>
    <row r="587" spans="1:14" x14ac:dyDescent="0.3">
      <c r="A587" s="35"/>
      <c r="B587" s="35"/>
      <c r="C587" s="28"/>
      <c r="D587" s="35"/>
      <c r="E587" s="28"/>
      <c r="F587" s="35"/>
      <c r="G587" s="28"/>
      <c r="H587" s="35"/>
      <c r="I587" s="35"/>
      <c r="J587" s="35"/>
      <c r="K587" s="35"/>
      <c r="L587" s="35"/>
      <c r="M587" s="35"/>
      <c r="N587" s="35"/>
    </row>
    <row r="588" spans="1:14" x14ac:dyDescent="0.3">
      <c r="A588" s="35"/>
      <c r="B588" s="35"/>
      <c r="C588" s="28"/>
      <c r="D588" s="35"/>
      <c r="E588" s="28"/>
      <c r="F588" s="35"/>
      <c r="G588" s="28"/>
      <c r="H588" s="35"/>
      <c r="I588" s="35"/>
      <c r="J588" s="35"/>
      <c r="K588" s="35"/>
      <c r="L588" s="35"/>
      <c r="M588" s="35"/>
      <c r="N588" s="35"/>
    </row>
    <row r="589" spans="1:14" x14ac:dyDescent="0.3">
      <c r="A589" s="35"/>
      <c r="B589" s="35"/>
      <c r="C589" s="28"/>
      <c r="D589" s="35"/>
      <c r="E589" s="28"/>
      <c r="F589" s="35"/>
      <c r="G589" s="28"/>
      <c r="H589" s="35"/>
      <c r="I589" s="35"/>
      <c r="J589" s="35"/>
      <c r="K589" s="35"/>
      <c r="L589" s="35"/>
      <c r="M589" s="35"/>
      <c r="N589" s="35"/>
    </row>
    <row r="590" spans="1:14" x14ac:dyDescent="0.3">
      <c r="A590" s="35"/>
      <c r="B590" s="35"/>
      <c r="C590" s="28"/>
      <c r="D590" s="35"/>
      <c r="E590" s="28"/>
      <c r="F590" s="35"/>
      <c r="G590" s="28"/>
      <c r="H590" s="35"/>
      <c r="I590" s="35"/>
      <c r="J590" s="35"/>
      <c r="K590" s="35"/>
      <c r="L590" s="35"/>
      <c r="M590" s="35"/>
      <c r="N590" s="35"/>
    </row>
    <row r="591" spans="1:14" x14ac:dyDescent="0.3">
      <c r="A591" s="35"/>
      <c r="B591" s="35"/>
      <c r="C591" s="28"/>
      <c r="D591" s="35"/>
      <c r="E591" s="28"/>
      <c r="F591" s="35"/>
      <c r="G591" s="28"/>
      <c r="H591" s="35"/>
      <c r="I591" s="35"/>
      <c r="J591" s="35"/>
      <c r="K591" s="35"/>
      <c r="L591" s="35"/>
      <c r="M591" s="35"/>
      <c r="N591" s="35"/>
    </row>
    <row r="592" spans="1:14" x14ac:dyDescent="0.3">
      <c r="A592" s="35"/>
      <c r="B592" s="35"/>
      <c r="C592" s="28"/>
      <c r="D592" s="35"/>
      <c r="E592" s="28"/>
      <c r="F592" s="35"/>
      <c r="G592" s="28"/>
      <c r="H592" s="35"/>
      <c r="I592" s="35"/>
      <c r="J592" s="35"/>
      <c r="K592" s="35"/>
      <c r="L592" s="35"/>
      <c r="M592" s="35"/>
      <c r="N592" s="35"/>
    </row>
    <row r="593" spans="1:14" x14ac:dyDescent="0.3">
      <c r="A593" s="35"/>
      <c r="B593" s="35"/>
      <c r="C593" s="28"/>
      <c r="D593" s="35"/>
      <c r="E593" s="28"/>
      <c r="F593" s="35"/>
      <c r="G593" s="28"/>
      <c r="H593" s="35"/>
      <c r="I593" s="35"/>
      <c r="J593" s="35"/>
      <c r="K593" s="35"/>
      <c r="L593" s="35"/>
      <c r="M593" s="35"/>
      <c r="N593" s="35"/>
    </row>
    <row r="594" spans="1:14" x14ac:dyDescent="0.3">
      <c r="A594" s="35"/>
      <c r="B594" s="35"/>
      <c r="C594" s="28"/>
      <c r="D594" s="35"/>
      <c r="E594" s="28"/>
      <c r="F594" s="35"/>
      <c r="G594" s="28"/>
      <c r="H594" s="35"/>
      <c r="I594" s="35"/>
      <c r="J594" s="35"/>
      <c r="K594" s="35"/>
      <c r="L594" s="35"/>
      <c r="M594" s="35"/>
      <c r="N594" s="35"/>
    </row>
    <row r="595" spans="1:14" x14ac:dyDescent="0.3">
      <c r="A595" s="35"/>
      <c r="B595" s="35"/>
      <c r="C595" s="28"/>
      <c r="D595" s="35"/>
      <c r="E595" s="28"/>
      <c r="F595" s="35"/>
      <c r="G595" s="28"/>
      <c r="H595" s="35"/>
      <c r="I595" s="35"/>
      <c r="J595" s="35"/>
      <c r="K595" s="35"/>
      <c r="L595" s="35"/>
      <c r="M595" s="35"/>
      <c r="N595" s="35"/>
    </row>
    <row r="596" spans="1:14" x14ac:dyDescent="0.3">
      <c r="A596" s="35"/>
      <c r="B596" s="35"/>
      <c r="C596" s="28"/>
      <c r="D596" s="35"/>
      <c r="E596" s="28"/>
      <c r="F596" s="35"/>
      <c r="G596" s="28"/>
      <c r="H596" s="35"/>
      <c r="I596" s="35"/>
      <c r="J596" s="35"/>
      <c r="K596" s="35"/>
      <c r="L596" s="35"/>
      <c r="M596" s="35"/>
      <c r="N596" s="35"/>
    </row>
    <row r="597" spans="1:14" x14ac:dyDescent="0.3">
      <c r="A597" s="35"/>
      <c r="B597" s="35"/>
      <c r="C597" s="28"/>
      <c r="D597" s="35"/>
      <c r="E597" s="28"/>
      <c r="F597" s="35"/>
      <c r="G597" s="28"/>
      <c r="H597" s="35"/>
      <c r="I597" s="35"/>
      <c r="J597" s="35"/>
      <c r="K597" s="35"/>
      <c r="L597" s="35"/>
      <c r="M597" s="35"/>
      <c r="N597" s="35"/>
    </row>
    <row r="598" spans="1:14" x14ac:dyDescent="0.3">
      <c r="A598" s="35"/>
      <c r="B598" s="35"/>
      <c r="C598" s="28"/>
      <c r="D598" s="35"/>
      <c r="E598" s="28"/>
      <c r="F598" s="35"/>
      <c r="G598" s="28"/>
      <c r="H598" s="35"/>
      <c r="I598" s="35"/>
      <c r="J598" s="35"/>
      <c r="K598" s="35"/>
      <c r="L598" s="35"/>
      <c r="M598" s="35"/>
      <c r="N598" s="35"/>
    </row>
    <row r="599" spans="1:14" x14ac:dyDescent="0.3">
      <c r="A599" s="35"/>
      <c r="B599" s="35"/>
      <c r="C599" s="28"/>
      <c r="D599" s="35"/>
      <c r="E599" s="28"/>
      <c r="F599" s="35"/>
      <c r="G599" s="28"/>
      <c r="H599" s="35"/>
      <c r="I599" s="35"/>
      <c r="J599" s="35"/>
      <c r="K599" s="35"/>
      <c r="L599" s="35"/>
      <c r="M599" s="35"/>
      <c r="N599" s="35"/>
    </row>
    <row r="600" spans="1:14" x14ac:dyDescent="0.3">
      <c r="A600" s="35"/>
      <c r="B600" s="35"/>
      <c r="C600" s="28"/>
      <c r="D600" s="35"/>
      <c r="E600" s="28"/>
      <c r="F600" s="35"/>
      <c r="G600" s="28"/>
      <c r="H600" s="35"/>
      <c r="I600" s="35"/>
      <c r="J600" s="35"/>
      <c r="K600" s="35"/>
      <c r="L600" s="35"/>
      <c r="M600" s="35"/>
      <c r="N600" s="35"/>
    </row>
    <row r="601" spans="1:14" x14ac:dyDescent="0.3">
      <c r="A601" s="35"/>
      <c r="B601" s="35"/>
      <c r="C601" s="28"/>
      <c r="D601" s="35"/>
      <c r="E601" s="28"/>
      <c r="F601" s="35"/>
      <c r="G601" s="28"/>
      <c r="H601" s="35"/>
      <c r="I601" s="35"/>
      <c r="J601" s="35"/>
      <c r="K601" s="35"/>
      <c r="L601" s="35"/>
      <c r="M601" s="35"/>
      <c r="N601" s="35"/>
    </row>
    <row r="602" spans="1:14" x14ac:dyDescent="0.3">
      <c r="A602" s="35"/>
      <c r="B602" s="35"/>
      <c r="C602" s="28"/>
      <c r="D602" s="35"/>
      <c r="E602" s="28"/>
      <c r="F602" s="35"/>
      <c r="G602" s="28"/>
      <c r="H602" s="35"/>
      <c r="I602" s="35"/>
      <c r="J602" s="35"/>
      <c r="K602" s="35"/>
      <c r="L602" s="35"/>
      <c r="M602" s="35"/>
      <c r="N602" s="35"/>
    </row>
    <row r="603" spans="1:14" x14ac:dyDescent="0.3">
      <c r="A603" s="35"/>
      <c r="B603" s="35"/>
      <c r="C603" s="28"/>
      <c r="D603" s="35"/>
      <c r="E603" s="28"/>
      <c r="F603" s="35"/>
      <c r="G603" s="28"/>
      <c r="H603" s="35"/>
      <c r="I603" s="35"/>
      <c r="J603" s="35"/>
      <c r="K603" s="35"/>
      <c r="L603" s="35"/>
      <c r="M603" s="35"/>
      <c r="N603" s="35"/>
    </row>
    <row r="604" spans="1:14" x14ac:dyDescent="0.3">
      <c r="A604" s="35"/>
      <c r="B604" s="35"/>
      <c r="C604" s="28"/>
      <c r="D604" s="35"/>
      <c r="E604" s="28"/>
      <c r="F604" s="35"/>
      <c r="G604" s="28"/>
      <c r="H604" s="35"/>
      <c r="I604" s="35"/>
      <c r="J604" s="35"/>
      <c r="K604" s="35"/>
      <c r="L604" s="35"/>
      <c r="M604" s="35"/>
      <c r="N604" s="35"/>
    </row>
    <row r="605" spans="1:14" x14ac:dyDescent="0.3">
      <c r="A605" s="35"/>
      <c r="B605" s="35"/>
      <c r="C605" s="28"/>
      <c r="D605" s="35"/>
      <c r="E605" s="28"/>
      <c r="F605" s="35"/>
      <c r="G605" s="28"/>
      <c r="H605" s="35"/>
      <c r="I605" s="35"/>
      <c r="J605" s="35"/>
      <c r="K605" s="35"/>
      <c r="L605" s="35"/>
      <c r="M605" s="35"/>
      <c r="N605" s="35"/>
    </row>
    <row r="606" spans="1:14" x14ac:dyDescent="0.3">
      <c r="A606" s="35"/>
      <c r="B606" s="35"/>
      <c r="C606" s="28"/>
      <c r="D606" s="35"/>
      <c r="E606" s="28"/>
      <c r="F606" s="35"/>
      <c r="G606" s="28"/>
      <c r="H606" s="35"/>
      <c r="I606" s="35"/>
      <c r="J606" s="35"/>
      <c r="K606" s="35"/>
      <c r="L606" s="35"/>
      <c r="M606" s="35"/>
      <c r="N606" s="35"/>
    </row>
    <row r="607" spans="1:14" x14ac:dyDescent="0.3">
      <c r="A607" s="35"/>
      <c r="B607" s="35"/>
      <c r="C607" s="28"/>
      <c r="D607" s="35"/>
      <c r="E607" s="28"/>
      <c r="F607" s="35"/>
      <c r="G607" s="28"/>
      <c r="H607" s="35"/>
      <c r="I607" s="35"/>
      <c r="J607" s="35"/>
      <c r="K607" s="35"/>
      <c r="L607" s="35"/>
      <c r="M607" s="35"/>
      <c r="N607" s="35"/>
    </row>
    <row r="608" spans="1:14" x14ac:dyDescent="0.3">
      <c r="A608" s="35"/>
      <c r="B608" s="35"/>
      <c r="C608" s="28"/>
      <c r="D608" s="35"/>
      <c r="E608" s="28"/>
      <c r="F608" s="35"/>
      <c r="G608" s="28"/>
      <c r="H608" s="35"/>
      <c r="I608" s="35"/>
      <c r="J608" s="35"/>
      <c r="K608" s="35"/>
      <c r="L608" s="35"/>
      <c r="M608" s="35"/>
      <c r="N608" s="35"/>
    </row>
    <row r="609" spans="1:14" x14ac:dyDescent="0.3">
      <c r="A609" s="35"/>
      <c r="B609" s="35"/>
      <c r="C609" s="28"/>
      <c r="D609" s="35"/>
      <c r="E609" s="28"/>
      <c r="F609" s="35"/>
      <c r="G609" s="28"/>
      <c r="H609" s="35"/>
      <c r="I609" s="35"/>
      <c r="J609" s="35"/>
      <c r="K609" s="35"/>
      <c r="L609" s="35"/>
      <c r="M609" s="35"/>
      <c r="N609" s="35"/>
    </row>
    <row r="610" spans="1:14" x14ac:dyDescent="0.3">
      <c r="A610" s="35"/>
      <c r="B610" s="35"/>
      <c r="C610" s="28"/>
      <c r="D610" s="35"/>
      <c r="E610" s="28"/>
      <c r="F610" s="35"/>
      <c r="G610" s="28"/>
      <c r="H610" s="35"/>
      <c r="I610" s="35"/>
      <c r="J610" s="35"/>
      <c r="K610" s="35"/>
      <c r="L610" s="35"/>
      <c r="M610" s="35"/>
      <c r="N610" s="35"/>
    </row>
    <row r="611" spans="1:14" x14ac:dyDescent="0.3">
      <c r="A611" s="35"/>
      <c r="B611" s="35"/>
      <c r="C611" s="28"/>
      <c r="D611" s="35"/>
      <c r="E611" s="28"/>
      <c r="F611" s="35"/>
      <c r="G611" s="28"/>
      <c r="H611" s="35"/>
      <c r="I611" s="35"/>
      <c r="J611" s="35"/>
      <c r="K611" s="35"/>
      <c r="L611" s="35"/>
      <c r="M611" s="35"/>
      <c r="N611" s="35"/>
    </row>
    <row r="612" spans="1:14" x14ac:dyDescent="0.3">
      <c r="A612" s="35"/>
      <c r="B612" s="35"/>
      <c r="C612" s="28"/>
      <c r="D612" s="35"/>
      <c r="E612" s="28"/>
      <c r="F612" s="35"/>
      <c r="G612" s="28"/>
      <c r="H612" s="35"/>
      <c r="I612" s="35"/>
      <c r="J612" s="35"/>
      <c r="K612" s="35"/>
      <c r="L612" s="35"/>
      <c r="M612" s="35"/>
      <c r="N612" s="35"/>
    </row>
    <row r="613" spans="1:14" x14ac:dyDescent="0.3">
      <c r="A613" s="35"/>
      <c r="B613" s="35"/>
      <c r="C613" s="28"/>
      <c r="D613" s="35"/>
      <c r="E613" s="28"/>
      <c r="F613" s="35"/>
      <c r="G613" s="28"/>
      <c r="H613" s="35"/>
      <c r="I613" s="35"/>
      <c r="J613" s="35"/>
      <c r="K613" s="35"/>
      <c r="L613" s="35"/>
      <c r="M613" s="35"/>
      <c r="N613" s="35"/>
    </row>
    <row r="614" spans="1:14" x14ac:dyDescent="0.3">
      <c r="A614" s="35"/>
      <c r="B614" s="35"/>
      <c r="C614" s="28"/>
      <c r="D614" s="35"/>
      <c r="E614" s="28"/>
      <c r="F614" s="35"/>
      <c r="G614" s="28"/>
      <c r="H614" s="35"/>
      <c r="I614" s="35"/>
      <c r="J614" s="35"/>
      <c r="K614" s="35"/>
      <c r="L614" s="35"/>
      <c r="M614" s="35"/>
      <c r="N614" s="35"/>
    </row>
    <row r="615" spans="1:14" x14ac:dyDescent="0.3">
      <c r="A615" s="35"/>
      <c r="B615" s="35"/>
      <c r="C615" s="28"/>
      <c r="D615" s="35"/>
      <c r="E615" s="28"/>
      <c r="F615" s="35"/>
      <c r="G615" s="28"/>
      <c r="H615" s="35"/>
      <c r="I615" s="35"/>
      <c r="J615" s="35"/>
      <c r="K615" s="35"/>
      <c r="L615" s="35"/>
      <c r="M615" s="35"/>
      <c r="N615" s="35"/>
    </row>
    <row r="616" spans="1:14" x14ac:dyDescent="0.3">
      <c r="A616" s="35"/>
      <c r="B616" s="35"/>
      <c r="C616" s="28"/>
      <c r="D616" s="35"/>
      <c r="E616" s="28"/>
      <c r="F616" s="35"/>
      <c r="G616" s="28"/>
      <c r="H616" s="35"/>
      <c r="I616" s="35"/>
      <c r="J616" s="35"/>
      <c r="K616" s="35"/>
      <c r="L616" s="35"/>
      <c r="M616" s="35"/>
      <c r="N616" s="35"/>
    </row>
    <row r="617" spans="1:14" x14ac:dyDescent="0.3">
      <c r="A617" s="35"/>
      <c r="B617" s="35"/>
      <c r="C617" s="28"/>
      <c r="D617" s="35"/>
      <c r="E617" s="28"/>
      <c r="F617" s="35"/>
      <c r="G617" s="28"/>
      <c r="H617" s="35"/>
      <c r="I617" s="35"/>
      <c r="J617" s="35"/>
      <c r="K617" s="35"/>
      <c r="L617" s="35"/>
      <c r="M617" s="35"/>
      <c r="N617" s="35"/>
    </row>
    <row r="618" spans="1:14" x14ac:dyDescent="0.3">
      <c r="A618" s="35"/>
      <c r="B618" s="35"/>
      <c r="C618" s="28"/>
      <c r="D618" s="35"/>
      <c r="E618" s="28"/>
      <c r="F618" s="35"/>
      <c r="G618" s="28"/>
      <c r="H618" s="35"/>
      <c r="I618" s="35"/>
      <c r="J618" s="35"/>
      <c r="K618" s="35"/>
      <c r="L618" s="35"/>
      <c r="M618" s="35"/>
      <c r="N618" s="35"/>
    </row>
    <row r="619" spans="1:14" x14ac:dyDescent="0.3">
      <c r="A619" s="35"/>
      <c r="B619" s="35"/>
      <c r="C619" s="28"/>
      <c r="D619" s="35"/>
      <c r="E619" s="28"/>
      <c r="F619" s="35"/>
      <c r="G619" s="28"/>
      <c r="H619" s="35"/>
      <c r="I619" s="35"/>
      <c r="J619" s="35"/>
      <c r="K619" s="35"/>
      <c r="L619" s="35"/>
      <c r="M619" s="35"/>
      <c r="N619" s="35"/>
    </row>
    <row r="620" spans="1:14" x14ac:dyDescent="0.3">
      <c r="A620" s="35"/>
      <c r="B620" s="35"/>
      <c r="C620" s="28"/>
      <c r="D620" s="35"/>
      <c r="E620" s="28"/>
      <c r="F620" s="35"/>
      <c r="G620" s="28"/>
      <c r="H620" s="35"/>
      <c r="I620" s="35"/>
      <c r="J620" s="35"/>
      <c r="K620" s="35"/>
      <c r="L620" s="35"/>
      <c r="M620" s="35"/>
      <c r="N620" s="35"/>
    </row>
    <row r="621" spans="1:14" x14ac:dyDescent="0.3">
      <c r="A621" s="35"/>
      <c r="B621" s="35"/>
      <c r="C621" s="28"/>
      <c r="D621" s="35"/>
      <c r="E621" s="28"/>
      <c r="F621" s="35"/>
      <c r="G621" s="28"/>
      <c r="H621" s="35"/>
      <c r="I621" s="35"/>
      <c r="J621" s="35"/>
      <c r="K621" s="35"/>
      <c r="L621" s="35"/>
      <c r="M621" s="35"/>
      <c r="N621" s="35"/>
    </row>
    <row r="622" spans="1:14" x14ac:dyDescent="0.3">
      <c r="A622" s="35"/>
      <c r="B622" s="35"/>
      <c r="C622" s="28"/>
      <c r="D622" s="35"/>
      <c r="E622" s="28"/>
      <c r="F622" s="35"/>
      <c r="G622" s="28"/>
      <c r="H622" s="35"/>
      <c r="I622" s="35"/>
      <c r="J622" s="35"/>
      <c r="K622" s="35"/>
      <c r="L622" s="35"/>
      <c r="M622" s="35"/>
      <c r="N622" s="35"/>
    </row>
    <row r="623" spans="1:14" x14ac:dyDescent="0.3">
      <c r="A623" s="35"/>
      <c r="B623" s="35"/>
      <c r="C623" s="28"/>
      <c r="D623" s="35"/>
      <c r="E623" s="28"/>
      <c r="F623" s="35"/>
      <c r="G623" s="28"/>
      <c r="H623" s="35"/>
      <c r="I623" s="35"/>
      <c r="J623" s="35"/>
      <c r="K623" s="35"/>
      <c r="L623" s="35"/>
      <c r="M623" s="35"/>
      <c r="N623" s="35"/>
    </row>
    <row r="624" spans="1:14" x14ac:dyDescent="0.3">
      <c r="A624" s="35"/>
      <c r="B624" s="35"/>
      <c r="C624" s="28"/>
      <c r="D624" s="35"/>
      <c r="E624" s="28"/>
      <c r="F624" s="35"/>
      <c r="G624" s="28"/>
      <c r="H624" s="35"/>
      <c r="I624" s="35"/>
      <c r="J624" s="35"/>
      <c r="K624" s="35"/>
      <c r="L624" s="35"/>
      <c r="M624" s="35"/>
      <c r="N624" s="35"/>
    </row>
    <row r="625" spans="1:14" x14ac:dyDescent="0.3">
      <c r="A625" s="35"/>
      <c r="B625" s="35"/>
      <c r="C625" s="28"/>
      <c r="D625" s="35"/>
      <c r="E625" s="28"/>
      <c r="F625" s="35"/>
      <c r="G625" s="28"/>
      <c r="H625" s="35"/>
      <c r="I625" s="35"/>
      <c r="J625" s="35"/>
      <c r="K625" s="35"/>
      <c r="L625" s="35"/>
      <c r="M625" s="35"/>
      <c r="N625" s="35"/>
    </row>
    <row r="626" spans="1:14" x14ac:dyDescent="0.3">
      <c r="A626" s="35"/>
      <c r="B626" s="35"/>
      <c r="C626" s="28"/>
      <c r="D626" s="35"/>
      <c r="E626" s="28"/>
      <c r="F626" s="35"/>
      <c r="G626" s="28"/>
      <c r="H626" s="35"/>
      <c r="I626" s="35"/>
      <c r="J626" s="35"/>
      <c r="K626" s="35"/>
      <c r="L626" s="35"/>
      <c r="M626" s="35"/>
      <c r="N626" s="35"/>
    </row>
    <row r="627" spans="1:14" x14ac:dyDescent="0.3">
      <c r="A627" s="35"/>
      <c r="B627" s="35"/>
      <c r="C627" s="28"/>
      <c r="D627" s="35"/>
      <c r="E627" s="28"/>
      <c r="F627" s="35"/>
      <c r="G627" s="28"/>
      <c r="H627" s="35"/>
      <c r="I627" s="35"/>
      <c r="J627" s="35"/>
      <c r="K627" s="35"/>
      <c r="L627" s="35"/>
      <c r="M627" s="35"/>
      <c r="N627" s="35"/>
    </row>
    <row r="628" spans="1:14" x14ac:dyDescent="0.3">
      <c r="A628" s="35"/>
      <c r="B628" s="35"/>
      <c r="C628" s="28"/>
      <c r="D628" s="35"/>
      <c r="E628" s="28"/>
      <c r="F628" s="35"/>
      <c r="G628" s="28"/>
      <c r="H628" s="35"/>
      <c r="I628" s="35"/>
      <c r="J628" s="35"/>
      <c r="K628" s="35"/>
      <c r="L628" s="35"/>
      <c r="M628" s="35"/>
      <c r="N628" s="35"/>
    </row>
    <row r="629" spans="1:14" x14ac:dyDescent="0.3">
      <c r="A629" s="35"/>
      <c r="B629" s="35"/>
      <c r="C629" s="28"/>
      <c r="D629" s="35"/>
      <c r="E629" s="28"/>
      <c r="F629" s="35"/>
      <c r="G629" s="28"/>
      <c r="H629" s="35"/>
      <c r="I629" s="35"/>
      <c r="J629" s="35"/>
      <c r="K629" s="35"/>
      <c r="L629" s="35"/>
      <c r="M629" s="35"/>
      <c r="N629" s="35"/>
    </row>
    <row r="630" spans="1:14" x14ac:dyDescent="0.3">
      <c r="A630" s="35"/>
      <c r="B630" s="35"/>
      <c r="C630" s="28"/>
      <c r="D630" s="35"/>
      <c r="E630" s="28"/>
      <c r="F630" s="35"/>
      <c r="G630" s="28"/>
      <c r="H630" s="35"/>
      <c r="I630" s="35"/>
      <c r="J630" s="35"/>
      <c r="K630" s="35"/>
      <c r="L630" s="35"/>
      <c r="M630" s="35"/>
      <c r="N630" s="35"/>
    </row>
    <row r="631" spans="1:14" x14ac:dyDescent="0.3">
      <c r="A631" s="35"/>
      <c r="B631" s="35"/>
      <c r="C631" s="28"/>
      <c r="D631" s="35"/>
      <c r="E631" s="28"/>
      <c r="F631" s="35"/>
      <c r="G631" s="28"/>
      <c r="H631" s="35"/>
      <c r="I631" s="35"/>
      <c r="J631" s="35"/>
      <c r="K631" s="35"/>
      <c r="L631" s="35"/>
      <c r="M631" s="35"/>
      <c r="N631" s="35"/>
    </row>
    <row r="632" spans="1:14" x14ac:dyDescent="0.3">
      <c r="A632" s="35"/>
      <c r="B632" s="35"/>
      <c r="C632" s="28"/>
      <c r="D632" s="35"/>
      <c r="E632" s="28"/>
      <c r="F632" s="35"/>
      <c r="G632" s="28"/>
      <c r="H632" s="35"/>
      <c r="I632" s="35"/>
      <c r="J632" s="35"/>
      <c r="K632" s="35"/>
      <c r="L632" s="35"/>
      <c r="M632" s="35"/>
      <c r="N632" s="35"/>
    </row>
    <row r="633" spans="1:14" x14ac:dyDescent="0.3">
      <c r="A633" s="35"/>
      <c r="B633" s="35"/>
      <c r="C633" s="28"/>
      <c r="D633" s="35"/>
      <c r="E633" s="28"/>
      <c r="F633" s="35"/>
      <c r="G633" s="28"/>
      <c r="H633" s="35"/>
      <c r="I633" s="35"/>
      <c r="J633" s="35"/>
      <c r="K633" s="35"/>
      <c r="L633" s="35"/>
      <c r="M633" s="35"/>
      <c r="N633" s="35"/>
    </row>
    <row r="634" spans="1:14" x14ac:dyDescent="0.3">
      <c r="A634" s="35"/>
      <c r="B634" s="35"/>
      <c r="C634" s="28"/>
      <c r="D634" s="35"/>
      <c r="E634" s="28"/>
      <c r="F634" s="35"/>
      <c r="G634" s="28"/>
      <c r="H634" s="35"/>
      <c r="I634" s="35"/>
      <c r="J634" s="35"/>
      <c r="K634" s="35"/>
      <c r="L634" s="35"/>
      <c r="M634" s="35"/>
      <c r="N634" s="35"/>
    </row>
    <row r="635" spans="1:14" x14ac:dyDescent="0.3">
      <c r="A635" s="35"/>
      <c r="B635" s="35"/>
      <c r="C635" s="28"/>
      <c r="D635" s="35"/>
      <c r="E635" s="28"/>
      <c r="F635" s="35"/>
      <c r="G635" s="28"/>
      <c r="H635" s="35"/>
      <c r="I635" s="35"/>
      <c r="J635" s="35"/>
      <c r="K635" s="35"/>
      <c r="L635" s="35"/>
      <c r="M635" s="35"/>
      <c r="N635" s="35"/>
    </row>
    <row r="636" spans="1:14" x14ac:dyDescent="0.3">
      <c r="A636" s="35"/>
      <c r="B636" s="35"/>
      <c r="C636" s="28"/>
      <c r="D636" s="35"/>
      <c r="E636" s="28"/>
      <c r="F636" s="35"/>
      <c r="G636" s="28"/>
      <c r="H636" s="35"/>
      <c r="I636" s="35"/>
      <c r="J636" s="35"/>
      <c r="K636" s="35"/>
      <c r="L636" s="35"/>
      <c r="M636" s="35"/>
      <c r="N636" s="35"/>
    </row>
    <row r="637" spans="1:14" x14ac:dyDescent="0.3">
      <c r="A637" s="35"/>
      <c r="B637" s="35"/>
      <c r="C637" s="28"/>
      <c r="D637" s="35"/>
      <c r="E637" s="28"/>
      <c r="F637" s="35"/>
      <c r="G637" s="28"/>
      <c r="H637" s="35"/>
      <c r="I637" s="35"/>
      <c r="J637" s="35"/>
      <c r="K637" s="35"/>
      <c r="L637" s="35"/>
      <c r="M637" s="35"/>
      <c r="N637" s="35"/>
    </row>
    <row r="638" spans="1:14" x14ac:dyDescent="0.3">
      <c r="A638" s="35"/>
      <c r="B638" s="35"/>
      <c r="C638" s="28"/>
      <c r="D638" s="35"/>
      <c r="E638" s="28"/>
      <c r="F638" s="35"/>
      <c r="G638" s="28"/>
      <c r="H638" s="35"/>
      <c r="I638" s="35"/>
      <c r="J638" s="35"/>
      <c r="K638" s="35"/>
      <c r="L638" s="35"/>
      <c r="M638" s="35"/>
      <c r="N638" s="35"/>
    </row>
    <row r="639" spans="1:14" x14ac:dyDescent="0.3">
      <c r="A639" s="35"/>
      <c r="B639" s="35"/>
      <c r="C639" s="28"/>
      <c r="D639" s="35"/>
      <c r="E639" s="28"/>
      <c r="F639" s="35"/>
      <c r="G639" s="28"/>
      <c r="H639" s="35"/>
      <c r="I639" s="35"/>
      <c r="J639" s="35"/>
      <c r="K639" s="35"/>
      <c r="L639" s="35"/>
      <c r="M639" s="35"/>
      <c r="N639" s="35"/>
    </row>
    <row r="640" spans="1:14" x14ac:dyDescent="0.3">
      <c r="A640" s="35"/>
      <c r="B640" s="35"/>
      <c r="C640" s="28"/>
      <c r="D640" s="35"/>
      <c r="E640" s="28"/>
      <c r="F640" s="35"/>
      <c r="G640" s="28"/>
      <c r="H640" s="35"/>
      <c r="I640" s="35"/>
      <c r="J640" s="35"/>
      <c r="K640" s="35"/>
      <c r="L640" s="35"/>
      <c r="M640" s="35"/>
      <c r="N640" s="35"/>
    </row>
    <row r="641" spans="1:14" x14ac:dyDescent="0.3">
      <c r="A641" s="35"/>
      <c r="B641" s="35"/>
      <c r="C641" s="28"/>
      <c r="D641" s="35"/>
      <c r="E641" s="28"/>
      <c r="F641" s="35"/>
      <c r="G641" s="28"/>
      <c r="H641" s="35"/>
      <c r="I641" s="35"/>
      <c r="J641" s="35"/>
      <c r="K641" s="35"/>
      <c r="L641" s="35"/>
      <c r="M641" s="35"/>
      <c r="N641" s="35"/>
    </row>
    <row r="642" spans="1:14" x14ac:dyDescent="0.3">
      <c r="A642" s="35"/>
      <c r="B642" s="35"/>
      <c r="C642" s="28"/>
      <c r="D642" s="35"/>
      <c r="E642" s="28"/>
      <c r="F642" s="35"/>
      <c r="G642" s="28"/>
      <c r="H642" s="35"/>
      <c r="I642" s="35"/>
      <c r="J642" s="35"/>
      <c r="K642" s="35"/>
      <c r="L642" s="35"/>
      <c r="M642" s="35"/>
      <c r="N642" s="35"/>
    </row>
    <row r="643" spans="1:14" x14ac:dyDescent="0.3">
      <c r="A643" s="35"/>
      <c r="B643" s="35"/>
      <c r="C643" s="28"/>
      <c r="D643" s="35"/>
      <c r="E643" s="28"/>
      <c r="F643" s="35"/>
      <c r="G643" s="28"/>
      <c r="H643" s="35"/>
      <c r="I643" s="35"/>
      <c r="J643" s="35"/>
      <c r="K643" s="35"/>
      <c r="L643" s="35"/>
      <c r="M643" s="35"/>
      <c r="N643" s="35"/>
    </row>
    <row r="644" spans="1:14" x14ac:dyDescent="0.3">
      <c r="A644" s="35"/>
      <c r="B644" s="35"/>
      <c r="C644" s="28"/>
      <c r="D644" s="35"/>
      <c r="E644" s="28"/>
      <c r="F644" s="35"/>
      <c r="G644" s="28"/>
      <c r="H644" s="35"/>
      <c r="I644" s="35"/>
      <c r="J644" s="35"/>
      <c r="K644" s="35"/>
      <c r="L644" s="35"/>
      <c r="M644" s="35"/>
      <c r="N644" s="35"/>
    </row>
    <row r="645" spans="1:14" x14ac:dyDescent="0.3">
      <c r="A645" s="35"/>
      <c r="B645" s="35"/>
      <c r="C645" s="28"/>
      <c r="D645" s="35"/>
      <c r="E645" s="28"/>
      <c r="F645" s="35"/>
      <c r="G645" s="28"/>
      <c r="H645" s="35"/>
      <c r="I645" s="35"/>
      <c r="J645" s="35"/>
      <c r="K645" s="35"/>
      <c r="L645" s="35"/>
      <c r="M645" s="35"/>
      <c r="N645" s="35"/>
    </row>
    <row r="646" spans="1:14" x14ac:dyDescent="0.3">
      <c r="A646" s="35"/>
      <c r="B646" s="35"/>
      <c r="C646" s="28"/>
      <c r="D646" s="35"/>
      <c r="E646" s="28"/>
      <c r="F646" s="35"/>
      <c r="G646" s="28"/>
      <c r="H646" s="35"/>
      <c r="I646" s="35"/>
      <c r="J646" s="35"/>
      <c r="K646" s="35"/>
      <c r="L646" s="35"/>
      <c r="M646" s="35"/>
      <c r="N646" s="35"/>
    </row>
    <row r="647" spans="1:14" x14ac:dyDescent="0.3">
      <c r="A647" s="35"/>
      <c r="B647" s="35"/>
      <c r="C647" s="28"/>
      <c r="D647" s="35"/>
      <c r="E647" s="28"/>
      <c r="F647" s="35"/>
      <c r="G647" s="28"/>
      <c r="H647" s="35"/>
      <c r="I647" s="35"/>
      <c r="J647" s="35"/>
      <c r="K647" s="35"/>
      <c r="L647" s="35"/>
      <c r="M647" s="35"/>
      <c r="N647" s="35"/>
    </row>
    <row r="648" spans="1:14" x14ac:dyDescent="0.3">
      <c r="A648" s="35"/>
      <c r="B648" s="35"/>
      <c r="C648" s="28"/>
      <c r="D648" s="35"/>
      <c r="E648" s="28"/>
      <c r="F648" s="35"/>
      <c r="G648" s="28"/>
      <c r="H648" s="35"/>
      <c r="I648" s="35"/>
      <c r="J648" s="35"/>
      <c r="K648" s="35"/>
      <c r="L648" s="35"/>
      <c r="M648" s="35"/>
      <c r="N648" s="35"/>
    </row>
    <row r="649" spans="1:14" x14ac:dyDescent="0.3">
      <c r="A649" s="35"/>
      <c r="B649" s="35"/>
      <c r="C649" s="28"/>
      <c r="D649" s="35"/>
      <c r="E649" s="28"/>
      <c r="F649" s="35"/>
      <c r="G649" s="28"/>
      <c r="H649" s="35"/>
      <c r="I649" s="35"/>
      <c r="J649" s="35"/>
      <c r="K649" s="35"/>
      <c r="L649" s="35"/>
      <c r="M649" s="35"/>
      <c r="N649" s="35"/>
    </row>
    <row r="650" spans="1:14" x14ac:dyDescent="0.3">
      <c r="A650" s="35"/>
      <c r="B650" s="35"/>
      <c r="C650" s="28"/>
      <c r="D650" s="35"/>
      <c r="E650" s="28"/>
      <c r="F650" s="35"/>
      <c r="G650" s="28"/>
      <c r="H650" s="35"/>
      <c r="I650" s="35"/>
      <c r="J650" s="35"/>
      <c r="K650" s="35"/>
      <c r="L650" s="35"/>
      <c r="M650" s="35"/>
      <c r="N650" s="35"/>
    </row>
    <row r="651" spans="1:14" x14ac:dyDescent="0.3">
      <c r="A651" s="35"/>
      <c r="B651" s="35"/>
      <c r="C651" s="28"/>
      <c r="D651" s="35"/>
      <c r="E651" s="28"/>
      <c r="F651" s="35"/>
      <c r="G651" s="28"/>
      <c r="H651" s="35"/>
      <c r="I651" s="35"/>
      <c r="J651" s="35"/>
      <c r="K651" s="35"/>
      <c r="L651" s="35"/>
      <c r="M651" s="35"/>
      <c r="N651" s="35"/>
    </row>
    <row r="652" spans="1:14" x14ac:dyDescent="0.3">
      <c r="A652" s="35"/>
      <c r="B652" s="35"/>
      <c r="C652" s="28"/>
      <c r="D652" s="35"/>
      <c r="E652" s="28"/>
      <c r="F652" s="35"/>
      <c r="G652" s="28"/>
      <c r="H652" s="35"/>
      <c r="I652" s="35"/>
      <c r="J652" s="35"/>
      <c r="K652" s="35"/>
      <c r="L652" s="35"/>
      <c r="M652" s="35"/>
      <c r="N652" s="35"/>
    </row>
    <row r="653" spans="1:14" x14ac:dyDescent="0.3">
      <c r="A653" s="35"/>
      <c r="B653" s="35"/>
      <c r="C653" s="28"/>
      <c r="D653" s="35"/>
      <c r="E653" s="28"/>
      <c r="F653" s="35"/>
      <c r="G653" s="28"/>
      <c r="H653" s="35"/>
      <c r="I653" s="35"/>
      <c r="J653" s="35"/>
      <c r="K653" s="35"/>
      <c r="L653" s="35"/>
      <c r="M653" s="35"/>
      <c r="N653" s="35"/>
    </row>
    <row r="654" spans="1:14" x14ac:dyDescent="0.3">
      <c r="A654" s="35"/>
      <c r="B654" s="35"/>
      <c r="C654" s="28"/>
      <c r="D654" s="35"/>
      <c r="E654" s="28"/>
      <c r="F654" s="35"/>
      <c r="G654" s="28"/>
      <c r="H654" s="35"/>
      <c r="I654" s="35"/>
      <c r="J654" s="35"/>
      <c r="K654" s="35"/>
      <c r="L654" s="35"/>
      <c r="M654" s="35"/>
      <c r="N654" s="35"/>
    </row>
    <row r="655" spans="1:14" x14ac:dyDescent="0.3">
      <c r="A655" s="35"/>
      <c r="B655" s="35"/>
      <c r="C655" s="28"/>
      <c r="D655" s="35"/>
      <c r="E655" s="28"/>
      <c r="F655" s="35"/>
      <c r="G655" s="28"/>
      <c r="H655" s="35"/>
      <c r="I655" s="35"/>
      <c r="J655" s="35"/>
      <c r="K655" s="35"/>
      <c r="L655" s="35"/>
      <c r="M655" s="35"/>
      <c r="N655" s="35"/>
    </row>
    <row r="656" spans="1:14" x14ac:dyDescent="0.3">
      <c r="A656" s="35"/>
      <c r="B656" s="35"/>
      <c r="C656" s="28"/>
      <c r="D656" s="35"/>
      <c r="E656" s="28"/>
      <c r="F656" s="35"/>
      <c r="G656" s="28"/>
      <c r="H656" s="35"/>
      <c r="I656" s="35"/>
      <c r="J656" s="35"/>
      <c r="K656" s="35"/>
      <c r="L656" s="35"/>
      <c r="M656" s="35"/>
      <c r="N656" s="35"/>
    </row>
    <row r="657" spans="1:14" x14ac:dyDescent="0.3">
      <c r="A657" s="35"/>
      <c r="B657" s="35"/>
      <c r="C657" s="28"/>
      <c r="D657" s="35"/>
      <c r="E657" s="28"/>
      <c r="F657" s="35"/>
      <c r="G657" s="28"/>
      <c r="H657" s="35"/>
      <c r="I657" s="35"/>
      <c r="J657" s="35"/>
      <c r="K657" s="35"/>
      <c r="L657" s="35"/>
      <c r="M657" s="35"/>
      <c r="N657" s="35"/>
    </row>
    <row r="658" spans="1:14" x14ac:dyDescent="0.3">
      <c r="A658" s="35"/>
      <c r="B658" s="35"/>
      <c r="C658" s="28"/>
      <c r="D658" s="35"/>
      <c r="E658" s="28"/>
      <c r="F658" s="35"/>
      <c r="G658" s="28"/>
      <c r="H658" s="35"/>
      <c r="I658" s="35"/>
      <c r="J658" s="35"/>
      <c r="K658" s="35"/>
      <c r="L658" s="35"/>
      <c r="M658" s="35"/>
      <c r="N658" s="35"/>
    </row>
    <row r="659" spans="1:14" x14ac:dyDescent="0.3">
      <c r="A659" s="35"/>
      <c r="B659" s="35"/>
      <c r="C659" s="28"/>
      <c r="D659" s="35"/>
      <c r="E659" s="28"/>
      <c r="F659" s="35"/>
      <c r="G659" s="28"/>
      <c r="H659" s="35"/>
      <c r="I659" s="35"/>
      <c r="J659" s="35"/>
      <c r="K659" s="35"/>
      <c r="L659" s="35"/>
      <c r="M659" s="35"/>
      <c r="N659" s="35"/>
    </row>
    <row r="660" spans="1:14" x14ac:dyDescent="0.3">
      <c r="A660" s="35"/>
      <c r="B660" s="35"/>
      <c r="C660" s="28"/>
      <c r="D660" s="35"/>
      <c r="E660" s="28"/>
      <c r="F660" s="35"/>
      <c r="G660" s="28"/>
      <c r="H660" s="35"/>
      <c r="I660" s="35"/>
      <c r="J660" s="35"/>
      <c r="K660" s="35"/>
      <c r="L660" s="35"/>
      <c r="M660" s="35"/>
      <c r="N660" s="35"/>
    </row>
    <row r="661" spans="1:14" x14ac:dyDescent="0.3">
      <c r="A661" s="35"/>
      <c r="B661" s="35"/>
      <c r="C661" s="28"/>
      <c r="D661" s="35"/>
      <c r="E661" s="28"/>
      <c r="F661" s="35"/>
      <c r="G661" s="28"/>
      <c r="H661" s="35"/>
      <c r="I661" s="35"/>
      <c r="J661" s="35"/>
      <c r="K661" s="35"/>
      <c r="L661" s="35"/>
      <c r="M661" s="35"/>
      <c r="N661" s="35"/>
    </row>
    <row r="662" spans="1:14" x14ac:dyDescent="0.3">
      <c r="A662" s="35"/>
      <c r="B662" s="35"/>
      <c r="C662" s="28"/>
      <c r="D662" s="35"/>
      <c r="E662" s="28"/>
      <c r="F662" s="35"/>
      <c r="G662" s="28"/>
      <c r="H662" s="35"/>
      <c r="I662" s="35"/>
      <c r="J662" s="35"/>
      <c r="K662" s="35"/>
      <c r="L662" s="35"/>
      <c r="M662" s="35"/>
      <c r="N662" s="35"/>
    </row>
    <row r="663" spans="1:14" x14ac:dyDescent="0.3">
      <c r="A663" s="35"/>
      <c r="B663" s="35"/>
      <c r="C663" s="28"/>
      <c r="D663" s="35"/>
      <c r="E663" s="28"/>
      <c r="F663" s="35"/>
      <c r="G663" s="28"/>
      <c r="H663" s="35"/>
      <c r="I663" s="35"/>
      <c r="J663" s="35"/>
      <c r="K663" s="35"/>
      <c r="L663" s="35"/>
      <c r="M663" s="35"/>
      <c r="N663" s="35"/>
    </row>
    <row r="664" spans="1:14" x14ac:dyDescent="0.3">
      <c r="A664" s="35"/>
      <c r="B664" s="35"/>
      <c r="C664" s="28"/>
      <c r="D664" s="35"/>
      <c r="E664" s="28"/>
      <c r="F664" s="35"/>
      <c r="G664" s="28"/>
      <c r="H664" s="35"/>
      <c r="I664" s="35"/>
      <c r="J664" s="35"/>
      <c r="K664" s="35"/>
      <c r="L664" s="35"/>
      <c r="M664" s="35"/>
      <c r="N664" s="35"/>
    </row>
    <row r="665" spans="1:14" x14ac:dyDescent="0.3">
      <c r="A665" s="35"/>
      <c r="B665" s="35"/>
      <c r="C665" s="28"/>
      <c r="D665" s="35"/>
      <c r="E665" s="28"/>
      <c r="F665" s="35"/>
      <c r="G665" s="28"/>
      <c r="H665" s="35"/>
      <c r="I665" s="35"/>
      <c r="J665" s="35"/>
      <c r="K665" s="35"/>
      <c r="L665" s="35"/>
      <c r="M665" s="35"/>
      <c r="N665" s="35"/>
    </row>
    <row r="666" spans="1:14" x14ac:dyDescent="0.3">
      <c r="A666" s="35"/>
      <c r="B666" s="35"/>
      <c r="C666" s="28"/>
      <c r="D666" s="35"/>
      <c r="E666" s="28"/>
      <c r="F666" s="35"/>
      <c r="G666" s="28"/>
      <c r="H666" s="35"/>
      <c r="I666" s="35"/>
      <c r="J666" s="35"/>
      <c r="K666" s="35"/>
      <c r="L666" s="35"/>
      <c r="M666" s="35"/>
      <c r="N666" s="35"/>
    </row>
    <row r="667" spans="1:14" x14ac:dyDescent="0.3">
      <c r="A667" s="35"/>
      <c r="B667" s="35"/>
      <c r="C667" s="28"/>
      <c r="D667" s="35"/>
      <c r="E667" s="28"/>
      <c r="F667" s="35"/>
      <c r="G667" s="28"/>
      <c r="H667" s="35"/>
      <c r="I667" s="35"/>
      <c r="J667" s="35"/>
      <c r="K667" s="35"/>
      <c r="L667" s="35"/>
      <c r="M667" s="35"/>
      <c r="N667" s="35"/>
    </row>
    <row r="668" spans="1:14" x14ac:dyDescent="0.3">
      <c r="A668" s="35"/>
      <c r="B668" s="35"/>
      <c r="C668" s="28"/>
      <c r="D668" s="35"/>
      <c r="E668" s="28"/>
      <c r="F668" s="35"/>
      <c r="G668" s="28"/>
      <c r="H668" s="35"/>
      <c r="I668" s="35"/>
      <c r="J668" s="35"/>
      <c r="K668" s="35"/>
      <c r="L668" s="35"/>
      <c r="M668" s="35"/>
      <c r="N668" s="35"/>
    </row>
    <row r="669" spans="1:14" x14ac:dyDescent="0.3">
      <c r="A669" s="35"/>
      <c r="B669" s="35"/>
      <c r="C669" s="28"/>
      <c r="D669" s="35"/>
      <c r="E669" s="28"/>
      <c r="F669" s="35"/>
      <c r="G669" s="28"/>
      <c r="H669" s="35"/>
      <c r="I669" s="35"/>
      <c r="J669" s="35"/>
      <c r="K669" s="35"/>
      <c r="L669" s="35"/>
      <c r="M669" s="35"/>
      <c r="N669" s="35"/>
    </row>
    <row r="670" spans="1:14" x14ac:dyDescent="0.3">
      <c r="A670" s="35"/>
      <c r="B670" s="35"/>
      <c r="C670" s="28"/>
      <c r="D670" s="35"/>
      <c r="E670" s="28"/>
      <c r="F670" s="35"/>
      <c r="G670" s="28"/>
      <c r="H670" s="35"/>
      <c r="I670" s="35"/>
      <c r="J670" s="35"/>
      <c r="K670" s="35"/>
      <c r="L670" s="35"/>
      <c r="M670" s="35"/>
      <c r="N670" s="35"/>
    </row>
    <row r="671" spans="1:14" x14ac:dyDescent="0.3">
      <c r="A671" s="35"/>
      <c r="B671" s="35"/>
      <c r="C671" s="28"/>
      <c r="D671" s="35"/>
      <c r="E671" s="28"/>
      <c r="F671" s="35"/>
      <c r="G671" s="28"/>
      <c r="H671" s="35"/>
      <c r="I671" s="35"/>
      <c r="J671" s="35"/>
      <c r="K671" s="35"/>
      <c r="L671" s="35"/>
      <c r="M671" s="35"/>
      <c r="N671" s="35"/>
    </row>
    <row r="672" spans="1:14" x14ac:dyDescent="0.3">
      <c r="A672" s="35"/>
      <c r="B672" s="35"/>
      <c r="C672" s="28"/>
      <c r="D672" s="35"/>
      <c r="E672" s="28"/>
      <c r="F672" s="35"/>
      <c r="G672" s="28"/>
      <c r="H672" s="35"/>
      <c r="I672" s="35"/>
      <c r="J672" s="35"/>
      <c r="K672" s="35"/>
      <c r="L672" s="35"/>
      <c r="M672" s="35"/>
      <c r="N672" s="35"/>
    </row>
    <row r="673" spans="1:14" x14ac:dyDescent="0.3">
      <c r="A673" s="35"/>
      <c r="B673" s="35"/>
      <c r="C673" s="28"/>
      <c r="D673" s="35"/>
      <c r="E673" s="28"/>
      <c r="F673" s="35"/>
      <c r="G673" s="28"/>
      <c r="H673" s="35"/>
      <c r="I673" s="35"/>
      <c r="J673" s="35"/>
      <c r="K673" s="35"/>
      <c r="L673" s="35"/>
      <c r="M673" s="35"/>
      <c r="N673" s="35"/>
    </row>
    <row r="674" spans="1:14" x14ac:dyDescent="0.3">
      <c r="A674" s="35"/>
      <c r="B674" s="35"/>
      <c r="C674" s="28"/>
      <c r="D674" s="35"/>
      <c r="E674" s="28"/>
      <c r="F674" s="35"/>
      <c r="G674" s="28"/>
      <c r="H674" s="35"/>
      <c r="I674" s="35"/>
      <c r="J674" s="35"/>
      <c r="K674" s="35"/>
      <c r="L674" s="35"/>
      <c r="M674" s="35"/>
      <c r="N674" s="35"/>
    </row>
    <row r="675" spans="1:14" x14ac:dyDescent="0.3">
      <c r="A675" s="35"/>
      <c r="B675" s="35"/>
      <c r="C675" s="28"/>
      <c r="D675" s="35"/>
      <c r="E675" s="28"/>
      <c r="F675" s="35"/>
      <c r="G675" s="28"/>
      <c r="H675" s="35"/>
      <c r="I675" s="35"/>
      <c r="J675" s="35"/>
      <c r="K675" s="35"/>
      <c r="L675" s="35"/>
      <c r="M675" s="35"/>
      <c r="N675" s="35"/>
    </row>
    <row r="676" spans="1:14" x14ac:dyDescent="0.3">
      <c r="A676" s="35"/>
      <c r="B676" s="35"/>
      <c r="C676" s="28"/>
      <c r="D676" s="35"/>
      <c r="E676" s="28"/>
      <c r="F676" s="35"/>
      <c r="G676" s="28"/>
      <c r="H676" s="35"/>
      <c r="I676" s="35"/>
      <c r="J676" s="35"/>
      <c r="K676" s="35"/>
      <c r="L676" s="35"/>
      <c r="M676" s="35"/>
      <c r="N676" s="35"/>
    </row>
    <row r="677" spans="1:14" x14ac:dyDescent="0.3">
      <c r="A677" s="35"/>
      <c r="B677" s="35"/>
      <c r="C677" s="28"/>
      <c r="D677" s="35"/>
      <c r="E677" s="28"/>
      <c r="F677" s="35"/>
      <c r="G677" s="28"/>
      <c r="H677" s="35"/>
      <c r="I677" s="35"/>
      <c r="J677" s="35"/>
      <c r="K677" s="35"/>
      <c r="L677" s="35"/>
      <c r="M677" s="35"/>
      <c r="N677" s="35"/>
    </row>
    <row r="678" spans="1:14" x14ac:dyDescent="0.3">
      <c r="A678" s="35"/>
      <c r="B678" s="35"/>
      <c r="C678" s="28"/>
      <c r="D678" s="35"/>
      <c r="E678" s="28"/>
      <c r="F678" s="35"/>
      <c r="G678" s="28"/>
      <c r="H678" s="35"/>
      <c r="I678" s="35"/>
      <c r="J678" s="35"/>
      <c r="K678" s="35"/>
      <c r="L678" s="35"/>
      <c r="M678" s="35"/>
      <c r="N678" s="35"/>
    </row>
    <row r="679" spans="1:14" x14ac:dyDescent="0.3">
      <c r="A679" s="35"/>
      <c r="B679" s="35"/>
      <c r="C679" s="28"/>
      <c r="D679" s="35"/>
      <c r="E679" s="28"/>
      <c r="F679" s="35"/>
      <c r="G679" s="28"/>
      <c r="H679" s="35"/>
      <c r="I679" s="35"/>
      <c r="J679" s="35"/>
      <c r="K679" s="35"/>
      <c r="L679" s="35"/>
      <c r="M679" s="35"/>
      <c r="N679" s="35"/>
    </row>
    <row r="680" spans="1:14" x14ac:dyDescent="0.3">
      <c r="A680" s="35"/>
      <c r="B680" s="35"/>
      <c r="C680" s="28"/>
      <c r="D680" s="35"/>
      <c r="E680" s="28"/>
      <c r="F680" s="35"/>
      <c r="G680" s="28"/>
      <c r="H680" s="35"/>
      <c r="I680" s="35"/>
      <c r="J680" s="35"/>
      <c r="K680" s="35"/>
      <c r="L680" s="35"/>
      <c r="M680" s="35"/>
      <c r="N680" s="35"/>
    </row>
    <row r="681" spans="1:14" x14ac:dyDescent="0.3">
      <c r="A681" s="35"/>
      <c r="B681" s="35"/>
      <c r="C681" s="28"/>
      <c r="D681" s="35"/>
      <c r="E681" s="28"/>
      <c r="F681" s="35"/>
      <c r="G681" s="28"/>
      <c r="H681" s="35"/>
      <c r="I681" s="35"/>
      <c r="J681" s="35"/>
      <c r="K681" s="35"/>
      <c r="L681" s="35"/>
      <c r="M681" s="35"/>
      <c r="N681" s="35"/>
    </row>
    <row r="682" spans="1:14" x14ac:dyDescent="0.3">
      <c r="A682" s="35"/>
      <c r="B682" s="35"/>
      <c r="C682" s="28"/>
      <c r="D682" s="35"/>
      <c r="E682" s="28"/>
      <c r="F682" s="35"/>
      <c r="G682" s="28"/>
      <c r="H682" s="35"/>
      <c r="I682" s="35"/>
      <c r="J682" s="35"/>
      <c r="K682" s="35"/>
      <c r="L682" s="35"/>
      <c r="M682" s="35"/>
      <c r="N682" s="35"/>
    </row>
    <row r="683" spans="1:14" x14ac:dyDescent="0.3">
      <c r="A683" s="35"/>
      <c r="B683" s="35"/>
      <c r="C683" s="28"/>
      <c r="D683" s="35"/>
      <c r="E683" s="28"/>
      <c r="F683" s="35"/>
      <c r="G683" s="28"/>
      <c r="H683" s="35"/>
      <c r="I683" s="35"/>
      <c r="J683" s="35"/>
      <c r="K683" s="35"/>
      <c r="L683" s="35"/>
      <c r="M683" s="35"/>
      <c r="N683" s="35"/>
    </row>
    <row r="684" spans="1:14" x14ac:dyDescent="0.3">
      <c r="A684" s="35"/>
      <c r="B684" s="35"/>
      <c r="C684" s="28"/>
      <c r="D684" s="35"/>
      <c r="E684" s="28"/>
      <c r="F684" s="35"/>
      <c r="G684" s="28"/>
      <c r="H684" s="35"/>
      <c r="I684" s="35"/>
      <c r="J684" s="35"/>
      <c r="K684" s="35"/>
      <c r="L684" s="35"/>
      <c r="M684" s="35"/>
      <c r="N684" s="35"/>
    </row>
    <row r="685" spans="1:14" x14ac:dyDescent="0.3">
      <c r="A685" s="35"/>
      <c r="B685" s="35"/>
      <c r="C685" s="28"/>
      <c r="D685" s="35"/>
      <c r="E685" s="28"/>
      <c r="F685" s="35"/>
      <c r="G685" s="28"/>
      <c r="H685" s="35"/>
      <c r="I685" s="35"/>
      <c r="J685" s="35"/>
      <c r="K685" s="35"/>
      <c r="L685" s="35"/>
      <c r="M685" s="35"/>
      <c r="N685" s="35"/>
    </row>
    <row r="686" spans="1:14" x14ac:dyDescent="0.3">
      <c r="A686" s="35"/>
      <c r="B686" s="35"/>
      <c r="C686" s="28"/>
      <c r="D686" s="35"/>
      <c r="E686" s="28"/>
      <c r="F686" s="35"/>
      <c r="G686" s="28"/>
      <c r="H686" s="35"/>
      <c r="I686" s="35"/>
      <c r="J686" s="35"/>
      <c r="K686" s="35"/>
      <c r="L686" s="35"/>
      <c r="M686" s="35"/>
      <c r="N686" s="35"/>
    </row>
    <row r="687" spans="1:14" x14ac:dyDescent="0.3">
      <c r="A687" s="35"/>
      <c r="B687" s="35"/>
      <c r="C687" s="28"/>
      <c r="D687" s="35"/>
      <c r="E687" s="28"/>
      <c r="F687" s="35"/>
      <c r="G687" s="28"/>
      <c r="H687" s="35"/>
      <c r="I687" s="35"/>
      <c r="J687" s="35"/>
      <c r="K687" s="35"/>
      <c r="L687" s="35"/>
      <c r="M687" s="35"/>
      <c r="N687" s="35"/>
    </row>
    <row r="688" spans="1:14" x14ac:dyDescent="0.3">
      <c r="A688" s="35"/>
      <c r="B688" s="35"/>
      <c r="C688" s="28"/>
      <c r="D688" s="35"/>
      <c r="E688" s="28"/>
      <c r="F688" s="35"/>
      <c r="G688" s="28"/>
      <c r="H688" s="35"/>
      <c r="I688" s="35"/>
      <c r="J688" s="35"/>
      <c r="K688" s="35"/>
      <c r="L688" s="35"/>
      <c r="M688" s="35"/>
      <c r="N688" s="35"/>
    </row>
    <row r="689" spans="1:14" x14ac:dyDescent="0.3">
      <c r="A689" s="35"/>
      <c r="B689" s="35"/>
      <c r="C689" s="28"/>
      <c r="D689" s="35"/>
      <c r="E689" s="28"/>
      <c r="F689" s="35"/>
      <c r="G689" s="28"/>
      <c r="H689" s="35"/>
      <c r="I689" s="35"/>
      <c r="J689" s="35"/>
      <c r="K689" s="35"/>
      <c r="L689" s="35"/>
      <c r="M689" s="35"/>
      <c r="N689" s="35"/>
    </row>
    <row r="690" spans="1:14" x14ac:dyDescent="0.3">
      <c r="A690" s="35"/>
      <c r="B690" s="35"/>
      <c r="C690" s="28"/>
      <c r="D690" s="35"/>
      <c r="E690" s="28"/>
      <c r="F690" s="35"/>
      <c r="G690" s="28"/>
      <c r="H690" s="35"/>
      <c r="I690" s="35"/>
      <c r="J690" s="35"/>
      <c r="K690" s="35"/>
      <c r="L690" s="35"/>
      <c r="M690" s="35"/>
      <c r="N690" s="35"/>
    </row>
    <row r="691" spans="1:14" x14ac:dyDescent="0.3">
      <c r="A691" s="35"/>
      <c r="B691" s="35"/>
      <c r="C691" s="28"/>
      <c r="D691" s="35"/>
      <c r="E691" s="28"/>
      <c r="F691" s="35"/>
      <c r="G691" s="28"/>
      <c r="H691" s="35"/>
      <c r="I691" s="35"/>
      <c r="J691" s="35"/>
      <c r="K691" s="35"/>
      <c r="L691" s="35"/>
      <c r="M691" s="35"/>
      <c r="N691" s="35"/>
    </row>
    <row r="692" spans="1:14" x14ac:dyDescent="0.3">
      <c r="A692" s="35"/>
      <c r="B692" s="35"/>
      <c r="C692" s="28"/>
      <c r="D692" s="35"/>
      <c r="E692" s="28"/>
      <c r="F692" s="35"/>
      <c r="G692" s="28"/>
      <c r="H692" s="35"/>
      <c r="I692" s="35"/>
      <c r="J692" s="35"/>
      <c r="K692" s="35"/>
      <c r="L692" s="35"/>
      <c r="M692" s="35"/>
      <c r="N692" s="35"/>
    </row>
    <row r="693" spans="1:14" x14ac:dyDescent="0.3">
      <c r="A693" s="35"/>
      <c r="B693" s="35"/>
      <c r="C693" s="28"/>
      <c r="D693" s="35"/>
      <c r="E693" s="28"/>
      <c r="F693" s="35"/>
      <c r="G693" s="28"/>
      <c r="H693" s="35"/>
      <c r="I693" s="35"/>
      <c r="J693" s="35"/>
      <c r="K693" s="35"/>
      <c r="L693" s="35"/>
      <c r="M693" s="35"/>
      <c r="N693" s="35"/>
    </row>
    <row r="694" spans="1:14" x14ac:dyDescent="0.3">
      <c r="A694" s="35"/>
      <c r="B694" s="35"/>
      <c r="C694" s="28"/>
      <c r="D694" s="35"/>
      <c r="E694" s="28"/>
      <c r="F694" s="35"/>
      <c r="G694" s="28"/>
      <c r="H694" s="35"/>
      <c r="I694" s="35"/>
      <c r="J694" s="35"/>
      <c r="K694" s="35"/>
      <c r="L694" s="35"/>
      <c r="M694" s="35"/>
      <c r="N694" s="35"/>
    </row>
    <row r="695" spans="1:14" x14ac:dyDescent="0.3">
      <c r="A695" s="35"/>
      <c r="B695" s="35"/>
      <c r="C695" s="28"/>
      <c r="D695" s="35"/>
      <c r="E695" s="28"/>
      <c r="F695" s="35"/>
      <c r="G695" s="28"/>
      <c r="H695" s="35"/>
      <c r="I695" s="35"/>
      <c r="J695" s="35"/>
      <c r="K695" s="35"/>
      <c r="L695" s="35"/>
      <c r="M695" s="35"/>
      <c r="N695" s="35"/>
    </row>
    <row r="696" spans="1:14" x14ac:dyDescent="0.3">
      <c r="A696" s="35"/>
      <c r="B696" s="35"/>
      <c r="C696" s="28"/>
      <c r="D696" s="35"/>
      <c r="E696" s="28"/>
      <c r="F696" s="35"/>
      <c r="G696" s="28"/>
      <c r="H696" s="35"/>
      <c r="I696" s="35"/>
      <c r="J696" s="35"/>
      <c r="K696" s="35"/>
      <c r="L696" s="35"/>
      <c r="M696" s="35"/>
      <c r="N696" s="35"/>
    </row>
    <row r="697" spans="1:14" x14ac:dyDescent="0.3">
      <c r="A697" s="35"/>
      <c r="B697" s="35"/>
      <c r="C697" s="28"/>
      <c r="D697" s="35"/>
      <c r="E697" s="28"/>
      <c r="F697" s="35"/>
      <c r="G697" s="28"/>
      <c r="H697" s="35"/>
      <c r="I697" s="35"/>
      <c r="J697" s="35"/>
      <c r="K697" s="35"/>
      <c r="L697" s="35"/>
      <c r="M697" s="35"/>
      <c r="N697" s="35"/>
    </row>
    <row r="698" spans="1:14" x14ac:dyDescent="0.3">
      <c r="A698" s="35"/>
      <c r="B698" s="35"/>
      <c r="C698" s="28"/>
      <c r="D698" s="35"/>
      <c r="E698" s="28"/>
      <c r="F698" s="35"/>
      <c r="G698" s="28"/>
      <c r="H698" s="35"/>
      <c r="I698" s="35"/>
      <c r="J698" s="35"/>
      <c r="K698" s="35"/>
      <c r="L698" s="35"/>
      <c r="M698" s="35"/>
      <c r="N698" s="35"/>
    </row>
    <row r="699" spans="1:14" x14ac:dyDescent="0.3">
      <c r="A699" s="35"/>
      <c r="B699" s="35"/>
      <c r="C699" s="28"/>
      <c r="D699" s="35"/>
      <c r="E699" s="28"/>
      <c r="F699" s="35"/>
      <c r="G699" s="28"/>
      <c r="H699" s="35"/>
      <c r="I699" s="35"/>
      <c r="J699" s="35"/>
      <c r="K699" s="35"/>
      <c r="L699" s="35"/>
      <c r="M699" s="35"/>
      <c r="N699" s="35"/>
    </row>
    <row r="700" spans="1:14" x14ac:dyDescent="0.3">
      <c r="A700" s="35"/>
      <c r="B700" s="35"/>
      <c r="C700" s="28"/>
      <c r="D700" s="35"/>
      <c r="E700" s="28"/>
      <c r="F700" s="35"/>
      <c r="G700" s="28"/>
      <c r="H700" s="35"/>
      <c r="I700" s="35"/>
      <c r="J700" s="35"/>
      <c r="K700" s="35"/>
      <c r="L700" s="35"/>
      <c r="M700" s="35"/>
      <c r="N700" s="35"/>
    </row>
    <row r="701" spans="1:14" x14ac:dyDescent="0.3">
      <c r="A701" s="35"/>
      <c r="B701" s="35"/>
      <c r="C701" s="28"/>
      <c r="D701" s="35"/>
      <c r="E701" s="28"/>
      <c r="F701" s="35"/>
      <c r="G701" s="28"/>
      <c r="H701" s="35"/>
      <c r="I701" s="35"/>
      <c r="J701" s="35"/>
      <c r="K701" s="35"/>
      <c r="L701" s="35"/>
      <c r="M701" s="35"/>
      <c r="N701" s="35"/>
    </row>
    <row r="702" spans="1:14" x14ac:dyDescent="0.3">
      <c r="A702" s="35"/>
      <c r="B702" s="35"/>
      <c r="C702" s="28"/>
      <c r="D702" s="35"/>
      <c r="E702" s="28"/>
      <c r="F702" s="35"/>
      <c r="G702" s="28"/>
      <c r="H702" s="35"/>
      <c r="I702" s="35"/>
      <c r="J702" s="35"/>
      <c r="K702" s="35"/>
      <c r="L702" s="35"/>
      <c r="M702" s="35"/>
      <c r="N702" s="35"/>
    </row>
    <row r="703" spans="1:14" x14ac:dyDescent="0.3">
      <c r="A703" s="35"/>
      <c r="B703" s="35"/>
      <c r="C703" s="28"/>
      <c r="D703" s="35"/>
      <c r="E703" s="28"/>
      <c r="F703" s="35"/>
      <c r="G703" s="28"/>
      <c r="H703" s="35"/>
      <c r="I703" s="35"/>
      <c r="J703" s="35"/>
      <c r="K703" s="35"/>
      <c r="L703" s="35"/>
      <c r="M703" s="35"/>
      <c r="N703" s="35"/>
    </row>
    <row r="704" spans="1:14" x14ac:dyDescent="0.3">
      <c r="A704" s="35"/>
      <c r="B704" s="35"/>
      <c r="C704" s="28"/>
      <c r="D704" s="35"/>
      <c r="E704" s="28"/>
      <c r="F704" s="35"/>
      <c r="G704" s="28"/>
      <c r="H704" s="35"/>
      <c r="I704" s="35"/>
      <c r="J704" s="35"/>
      <c r="K704" s="35"/>
      <c r="L704" s="35"/>
      <c r="M704" s="35"/>
      <c r="N704" s="35"/>
    </row>
    <row r="705" spans="1:14" x14ac:dyDescent="0.3">
      <c r="A705" s="35"/>
      <c r="B705" s="35"/>
      <c r="C705" s="28"/>
      <c r="D705" s="35"/>
      <c r="E705" s="28"/>
      <c r="F705" s="35"/>
      <c r="G705" s="28"/>
      <c r="H705" s="35"/>
      <c r="I705" s="35"/>
      <c r="J705" s="35"/>
      <c r="K705" s="35"/>
      <c r="L705" s="35"/>
      <c r="M705" s="35"/>
      <c r="N705" s="35"/>
    </row>
    <row r="706" spans="1:14" x14ac:dyDescent="0.3">
      <c r="A706" s="35"/>
      <c r="B706" s="35"/>
      <c r="C706" s="28"/>
      <c r="D706" s="35"/>
      <c r="E706" s="28"/>
      <c r="F706" s="35"/>
      <c r="G706" s="28"/>
      <c r="H706" s="35"/>
      <c r="I706" s="35"/>
      <c r="J706" s="35"/>
      <c r="K706" s="35"/>
      <c r="L706" s="35"/>
      <c r="M706" s="35"/>
      <c r="N706" s="35"/>
    </row>
    <row r="707" spans="1:14" x14ac:dyDescent="0.3">
      <c r="A707" s="35"/>
      <c r="B707" s="35"/>
      <c r="C707" s="28"/>
      <c r="D707" s="35"/>
      <c r="E707" s="28"/>
      <c r="F707" s="35"/>
      <c r="G707" s="28"/>
      <c r="H707" s="35"/>
      <c r="I707" s="35"/>
      <c r="J707" s="35"/>
      <c r="K707" s="35"/>
      <c r="L707" s="35"/>
      <c r="M707" s="35"/>
      <c r="N707" s="35"/>
    </row>
    <row r="708" spans="1:14" x14ac:dyDescent="0.3">
      <c r="A708" s="35"/>
      <c r="B708" s="35"/>
      <c r="C708" s="28"/>
      <c r="D708" s="35"/>
      <c r="E708" s="28"/>
      <c r="F708" s="35"/>
      <c r="G708" s="28"/>
      <c r="H708" s="35"/>
      <c r="I708" s="35"/>
      <c r="J708" s="35"/>
      <c r="K708" s="35"/>
      <c r="L708" s="35"/>
      <c r="M708" s="35"/>
      <c r="N708" s="35"/>
    </row>
    <row r="709" spans="1:14" x14ac:dyDescent="0.3">
      <c r="A709" s="35"/>
      <c r="B709" s="35"/>
      <c r="C709" s="28"/>
      <c r="D709" s="35"/>
      <c r="E709" s="28"/>
      <c r="F709" s="35"/>
      <c r="G709" s="28"/>
      <c r="H709" s="35"/>
      <c r="I709" s="35"/>
      <c r="J709" s="35"/>
      <c r="K709" s="35"/>
      <c r="L709" s="35"/>
      <c r="M709" s="35"/>
      <c r="N709" s="35"/>
    </row>
    <row r="710" spans="1:14" x14ac:dyDescent="0.3">
      <c r="A710" s="35"/>
      <c r="B710" s="35"/>
      <c r="C710" s="28"/>
      <c r="D710" s="35"/>
      <c r="E710" s="28"/>
      <c r="F710" s="35"/>
      <c r="G710" s="28"/>
      <c r="H710" s="35"/>
      <c r="I710" s="35"/>
      <c r="J710" s="35"/>
      <c r="K710" s="35"/>
      <c r="L710" s="35"/>
      <c r="M710" s="35"/>
      <c r="N710" s="35"/>
    </row>
    <row r="711" spans="1:14" x14ac:dyDescent="0.3">
      <c r="A711" s="35"/>
      <c r="B711" s="35"/>
      <c r="C711" s="28"/>
      <c r="D711" s="35"/>
      <c r="E711" s="28"/>
      <c r="F711" s="35"/>
      <c r="G711" s="28"/>
      <c r="H711" s="35"/>
      <c r="I711" s="35"/>
      <c r="J711" s="35"/>
      <c r="K711" s="35"/>
      <c r="L711" s="35"/>
      <c r="M711" s="35"/>
      <c r="N711" s="35"/>
    </row>
    <row r="712" spans="1:14" x14ac:dyDescent="0.3">
      <c r="A712" s="35"/>
      <c r="B712" s="35"/>
      <c r="C712" s="28"/>
      <c r="D712" s="35"/>
      <c r="E712" s="28"/>
      <c r="F712" s="35"/>
      <c r="G712" s="28"/>
      <c r="H712" s="35"/>
      <c r="I712" s="35"/>
      <c r="J712" s="35"/>
      <c r="K712" s="35"/>
      <c r="L712" s="35"/>
      <c r="M712" s="35"/>
      <c r="N712" s="35"/>
    </row>
    <row r="713" spans="1:14" x14ac:dyDescent="0.3">
      <c r="A713" s="35"/>
      <c r="B713" s="35"/>
      <c r="C713" s="28"/>
      <c r="D713" s="35"/>
      <c r="E713" s="28"/>
      <c r="F713" s="35"/>
      <c r="G713" s="28"/>
      <c r="H713" s="35"/>
      <c r="I713" s="35"/>
      <c r="J713" s="35"/>
      <c r="K713" s="35"/>
      <c r="L713" s="35"/>
      <c r="M713" s="35"/>
      <c r="N713" s="35"/>
    </row>
    <row r="714" spans="1:14" x14ac:dyDescent="0.3">
      <c r="A714" s="35"/>
      <c r="B714" s="35"/>
      <c r="C714" s="28"/>
      <c r="D714" s="35"/>
      <c r="E714" s="28"/>
      <c r="F714" s="35"/>
      <c r="G714" s="28"/>
      <c r="H714" s="35"/>
      <c r="I714" s="35"/>
      <c r="J714" s="35"/>
      <c r="K714" s="35"/>
      <c r="L714" s="35"/>
      <c r="M714" s="35"/>
      <c r="N714" s="35"/>
    </row>
    <row r="715" spans="1:14" x14ac:dyDescent="0.3">
      <c r="A715" s="35"/>
      <c r="B715" s="35"/>
      <c r="C715" s="28"/>
      <c r="D715" s="35"/>
      <c r="E715" s="28"/>
      <c r="F715" s="35"/>
      <c r="G715" s="28"/>
      <c r="H715" s="35"/>
      <c r="I715" s="35"/>
      <c r="J715" s="35"/>
      <c r="K715" s="35"/>
      <c r="L715" s="35"/>
      <c r="M715" s="35"/>
      <c r="N715" s="35"/>
    </row>
    <row r="716" spans="1:14" x14ac:dyDescent="0.3">
      <c r="A716" s="35"/>
      <c r="B716" s="35"/>
      <c r="C716" s="28"/>
      <c r="D716" s="35"/>
      <c r="E716" s="28"/>
      <c r="F716" s="35"/>
      <c r="G716" s="28"/>
      <c r="H716" s="35"/>
      <c r="I716" s="35"/>
      <c r="J716" s="35"/>
      <c r="K716" s="35"/>
      <c r="L716" s="35"/>
      <c r="M716" s="35"/>
      <c r="N716" s="35"/>
    </row>
    <row r="717" spans="1:14" x14ac:dyDescent="0.3">
      <c r="A717" s="35"/>
      <c r="B717" s="35"/>
      <c r="C717" s="28"/>
      <c r="D717" s="35"/>
      <c r="E717" s="28"/>
      <c r="F717" s="35"/>
      <c r="G717" s="28"/>
      <c r="H717" s="35"/>
      <c r="I717" s="35"/>
      <c r="J717" s="35"/>
      <c r="K717" s="35"/>
      <c r="L717" s="35"/>
      <c r="M717" s="35"/>
      <c r="N717" s="35"/>
    </row>
    <row r="718" spans="1:14" x14ac:dyDescent="0.3">
      <c r="A718" s="35"/>
      <c r="B718" s="35"/>
      <c r="C718" s="28"/>
      <c r="D718" s="35"/>
      <c r="E718" s="28"/>
      <c r="F718" s="35"/>
      <c r="G718" s="28"/>
      <c r="H718" s="35"/>
      <c r="I718" s="35"/>
      <c r="J718" s="35"/>
      <c r="K718" s="35"/>
      <c r="L718" s="35"/>
      <c r="M718" s="35"/>
      <c r="N718" s="35"/>
    </row>
    <row r="719" spans="1:14" x14ac:dyDescent="0.3">
      <c r="A719" s="35"/>
      <c r="B719" s="35"/>
      <c r="C719" s="28"/>
      <c r="D719" s="35"/>
      <c r="E719" s="28"/>
      <c r="F719" s="35"/>
      <c r="G719" s="28"/>
      <c r="H719" s="35"/>
      <c r="I719" s="35"/>
      <c r="J719" s="35"/>
      <c r="K719" s="35"/>
      <c r="L719" s="35"/>
      <c r="M719" s="35"/>
      <c r="N719" s="35"/>
    </row>
    <row r="720" spans="1:14" x14ac:dyDescent="0.3">
      <c r="A720" s="35"/>
      <c r="B720" s="35"/>
      <c r="C720" s="28"/>
      <c r="D720" s="35"/>
      <c r="E720" s="28"/>
      <c r="F720" s="35"/>
      <c r="G720" s="28"/>
      <c r="H720" s="35"/>
      <c r="I720" s="35"/>
      <c r="J720" s="35"/>
      <c r="K720" s="35"/>
      <c r="L720" s="35"/>
      <c r="M720" s="35"/>
      <c r="N720" s="35"/>
    </row>
    <row r="721" spans="1:14" x14ac:dyDescent="0.3">
      <c r="A721" s="35"/>
      <c r="B721" s="35"/>
      <c r="C721" s="28"/>
      <c r="D721" s="35"/>
      <c r="E721" s="28"/>
      <c r="F721" s="35"/>
      <c r="G721" s="28"/>
      <c r="H721" s="35"/>
      <c r="I721" s="35"/>
      <c r="J721" s="35"/>
      <c r="K721" s="35"/>
      <c r="L721" s="35"/>
      <c r="M721" s="35"/>
      <c r="N721" s="35"/>
    </row>
    <row r="722" spans="1:14" x14ac:dyDescent="0.3">
      <c r="A722" s="35"/>
      <c r="B722" s="35"/>
      <c r="C722" s="28"/>
      <c r="D722" s="35"/>
      <c r="E722" s="28"/>
      <c r="F722" s="35"/>
      <c r="G722" s="28"/>
      <c r="H722" s="35"/>
      <c r="I722" s="35"/>
      <c r="J722" s="35"/>
      <c r="K722" s="35"/>
      <c r="L722" s="35"/>
      <c r="M722" s="35"/>
      <c r="N722" s="35"/>
    </row>
    <row r="723" spans="1:14" x14ac:dyDescent="0.3">
      <c r="A723" s="35"/>
      <c r="B723" s="35"/>
      <c r="C723" s="28"/>
      <c r="D723" s="35"/>
      <c r="E723" s="28"/>
      <c r="F723" s="35"/>
      <c r="G723" s="28"/>
      <c r="H723" s="35"/>
      <c r="I723" s="35"/>
      <c r="J723" s="35"/>
      <c r="K723" s="35"/>
      <c r="L723" s="35"/>
      <c r="M723" s="35"/>
      <c r="N723" s="35"/>
    </row>
    <row r="724" spans="1:14" x14ac:dyDescent="0.3">
      <c r="A724" s="35"/>
      <c r="B724" s="35"/>
      <c r="C724" s="28"/>
      <c r="D724" s="35"/>
      <c r="E724" s="28"/>
      <c r="F724" s="35"/>
      <c r="G724" s="28"/>
      <c r="H724" s="35"/>
      <c r="I724" s="35"/>
      <c r="J724" s="35"/>
      <c r="K724" s="35"/>
      <c r="L724" s="35"/>
      <c r="M724" s="35"/>
      <c r="N724" s="35"/>
    </row>
    <row r="725" spans="1:14" x14ac:dyDescent="0.3">
      <c r="A725" s="35"/>
      <c r="B725" s="35"/>
      <c r="C725" s="28"/>
      <c r="D725" s="35"/>
      <c r="E725" s="28"/>
      <c r="F725" s="35"/>
      <c r="G725" s="28"/>
      <c r="H725" s="35"/>
      <c r="I725" s="35"/>
      <c r="J725" s="35"/>
      <c r="K725" s="35"/>
      <c r="L725" s="35"/>
      <c r="M725" s="35"/>
      <c r="N725" s="35"/>
    </row>
    <row r="726" spans="1:14" x14ac:dyDescent="0.3">
      <c r="A726" s="35"/>
      <c r="B726" s="35"/>
      <c r="C726" s="28"/>
      <c r="D726" s="35"/>
      <c r="E726" s="28"/>
      <c r="F726" s="35"/>
      <c r="G726" s="28"/>
      <c r="H726" s="35"/>
      <c r="I726" s="35"/>
      <c r="J726" s="35"/>
      <c r="K726" s="35"/>
      <c r="L726" s="35"/>
      <c r="M726" s="35"/>
      <c r="N726" s="35"/>
    </row>
    <row r="727" spans="1:14" x14ac:dyDescent="0.3">
      <c r="A727" s="35"/>
      <c r="B727" s="35"/>
      <c r="C727" s="28"/>
      <c r="D727" s="35"/>
      <c r="E727" s="28"/>
      <c r="F727" s="35"/>
      <c r="G727" s="28"/>
      <c r="H727" s="35"/>
      <c r="I727" s="35"/>
      <c r="J727" s="35"/>
      <c r="K727" s="35"/>
      <c r="L727" s="35"/>
      <c r="M727" s="35"/>
      <c r="N727" s="35"/>
    </row>
    <row r="728" spans="1:14" x14ac:dyDescent="0.3">
      <c r="A728" s="35"/>
      <c r="B728" s="35"/>
      <c r="C728" s="28"/>
      <c r="D728" s="35"/>
      <c r="E728" s="28"/>
      <c r="F728" s="35"/>
      <c r="G728" s="28"/>
      <c r="H728" s="35"/>
      <c r="I728" s="35"/>
      <c r="J728" s="35"/>
      <c r="K728" s="35"/>
      <c r="L728" s="35"/>
      <c r="M728" s="35"/>
      <c r="N728" s="35"/>
    </row>
    <row r="729" spans="1:14" x14ac:dyDescent="0.3">
      <c r="A729" s="35"/>
      <c r="B729" s="35"/>
      <c r="C729" s="28"/>
      <c r="D729" s="35"/>
      <c r="E729" s="28"/>
      <c r="F729" s="35"/>
      <c r="G729" s="28"/>
      <c r="H729" s="35"/>
      <c r="I729" s="35"/>
      <c r="J729" s="35"/>
      <c r="K729" s="35"/>
      <c r="L729" s="35"/>
      <c r="M729" s="35"/>
      <c r="N729" s="35"/>
    </row>
    <row r="730" spans="1:14" x14ac:dyDescent="0.3">
      <c r="A730" s="35"/>
      <c r="B730" s="35"/>
      <c r="C730" s="28"/>
      <c r="D730" s="35"/>
      <c r="E730" s="28"/>
      <c r="F730" s="35"/>
      <c r="G730" s="28"/>
      <c r="H730" s="35"/>
      <c r="I730" s="35"/>
      <c r="J730" s="35"/>
      <c r="K730" s="35"/>
      <c r="L730" s="35"/>
      <c r="M730" s="35"/>
      <c r="N730" s="35"/>
    </row>
    <row r="731" spans="1:14" x14ac:dyDescent="0.3">
      <c r="A731" s="35"/>
      <c r="B731" s="35"/>
      <c r="C731" s="28"/>
      <c r="D731" s="35"/>
      <c r="E731" s="28"/>
      <c r="F731" s="35"/>
      <c r="G731" s="28"/>
      <c r="H731" s="35"/>
      <c r="I731" s="35"/>
      <c r="J731" s="35"/>
      <c r="K731" s="35"/>
      <c r="L731" s="35"/>
      <c r="M731" s="35"/>
      <c r="N731" s="35"/>
    </row>
    <row r="732" spans="1:14" x14ac:dyDescent="0.3">
      <c r="A732" s="35"/>
      <c r="B732" s="35"/>
      <c r="C732" s="28"/>
      <c r="D732" s="35"/>
      <c r="E732" s="28"/>
      <c r="F732" s="35"/>
      <c r="G732" s="28"/>
      <c r="H732" s="35"/>
      <c r="I732" s="35"/>
      <c r="J732" s="35"/>
      <c r="K732" s="35"/>
      <c r="L732" s="35"/>
      <c r="M732" s="35"/>
      <c r="N732" s="35"/>
    </row>
    <row r="733" spans="1:14" x14ac:dyDescent="0.3">
      <c r="A733" s="35"/>
      <c r="B733" s="35"/>
      <c r="C733" s="28"/>
      <c r="D733" s="35"/>
      <c r="E733" s="28"/>
      <c r="F733" s="35"/>
      <c r="G733" s="28"/>
      <c r="H733" s="35"/>
      <c r="I733" s="35"/>
      <c r="J733" s="35"/>
      <c r="K733" s="35"/>
      <c r="L733" s="35"/>
      <c r="M733" s="35"/>
      <c r="N733" s="35"/>
    </row>
    <row r="734" spans="1:14" x14ac:dyDescent="0.3">
      <c r="A734" s="35"/>
      <c r="B734" s="35"/>
      <c r="C734" s="28"/>
      <c r="D734" s="35"/>
      <c r="E734" s="28"/>
      <c r="F734" s="35"/>
      <c r="G734" s="28"/>
      <c r="H734" s="35"/>
      <c r="I734" s="35"/>
      <c r="J734" s="35"/>
      <c r="K734" s="35"/>
      <c r="L734" s="35"/>
      <c r="M734" s="35"/>
      <c r="N734" s="35"/>
    </row>
    <row r="735" spans="1:14" x14ac:dyDescent="0.3">
      <c r="A735" s="35"/>
      <c r="B735" s="35"/>
      <c r="C735" s="28"/>
      <c r="D735" s="35"/>
      <c r="E735" s="28"/>
      <c r="F735" s="35"/>
      <c r="G735" s="28"/>
      <c r="H735" s="35"/>
      <c r="I735" s="35"/>
      <c r="J735" s="35"/>
      <c r="K735" s="35"/>
      <c r="L735" s="35"/>
      <c r="M735" s="35"/>
      <c r="N735" s="35"/>
    </row>
    <row r="736" spans="1:14" x14ac:dyDescent="0.3">
      <c r="A736" s="35"/>
      <c r="B736" s="35"/>
      <c r="C736" s="28"/>
      <c r="D736" s="35"/>
      <c r="E736" s="28"/>
      <c r="F736" s="35"/>
      <c r="G736" s="28"/>
      <c r="H736" s="35"/>
      <c r="I736" s="35"/>
      <c r="J736" s="35"/>
      <c r="K736" s="35"/>
      <c r="L736" s="35"/>
      <c r="M736" s="35"/>
      <c r="N736" s="35"/>
    </row>
    <row r="737" spans="1:14" x14ac:dyDescent="0.3">
      <c r="A737" s="35"/>
      <c r="B737" s="35"/>
      <c r="C737" s="28"/>
      <c r="D737" s="35"/>
      <c r="E737" s="28"/>
      <c r="F737" s="35"/>
      <c r="G737" s="28"/>
      <c r="H737" s="35"/>
      <c r="I737" s="35"/>
      <c r="J737" s="35"/>
      <c r="K737" s="35"/>
      <c r="L737" s="35"/>
      <c r="M737" s="35"/>
      <c r="N737" s="35"/>
    </row>
    <row r="738" spans="1:14" x14ac:dyDescent="0.3">
      <c r="A738" s="35"/>
      <c r="B738" s="35"/>
      <c r="C738" s="28"/>
      <c r="D738" s="35"/>
      <c r="E738" s="28"/>
      <c r="F738" s="35"/>
      <c r="G738" s="28"/>
      <c r="H738" s="35"/>
      <c r="I738" s="35"/>
      <c r="J738" s="35"/>
      <c r="K738" s="35"/>
      <c r="L738" s="35"/>
      <c r="M738" s="35"/>
      <c r="N738" s="35"/>
    </row>
    <row r="739" spans="1:14" x14ac:dyDescent="0.3">
      <c r="A739" s="35"/>
      <c r="B739" s="35"/>
      <c r="C739" s="28"/>
      <c r="D739" s="35"/>
      <c r="E739" s="28"/>
      <c r="F739" s="35"/>
      <c r="G739" s="28"/>
      <c r="H739" s="35"/>
      <c r="I739" s="35"/>
      <c r="J739" s="35"/>
      <c r="K739" s="35"/>
      <c r="L739" s="35"/>
      <c r="M739" s="35"/>
      <c r="N739" s="35"/>
    </row>
    <row r="740" spans="1:14" x14ac:dyDescent="0.3">
      <c r="A740" s="35"/>
      <c r="B740" s="35"/>
      <c r="C740" s="28"/>
      <c r="D740" s="35"/>
      <c r="E740" s="28"/>
      <c r="F740" s="35"/>
      <c r="G740" s="28"/>
      <c r="H740" s="35"/>
      <c r="I740" s="35"/>
      <c r="J740" s="35"/>
      <c r="K740" s="35"/>
      <c r="L740" s="35"/>
      <c r="M740" s="35"/>
      <c r="N740" s="35"/>
    </row>
    <row r="741" spans="1:14" x14ac:dyDescent="0.3">
      <c r="A741" s="35"/>
      <c r="B741" s="35"/>
      <c r="C741" s="28"/>
      <c r="D741" s="35"/>
      <c r="E741" s="28"/>
      <c r="F741" s="35"/>
      <c r="G741" s="28"/>
      <c r="H741" s="35"/>
      <c r="I741" s="35"/>
      <c r="J741" s="35"/>
      <c r="K741" s="35"/>
      <c r="L741" s="35"/>
      <c r="M741" s="35"/>
      <c r="N741" s="35"/>
    </row>
    <row r="742" spans="1:14" x14ac:dyDescent="0.3">
      <c r="A742" s="35"/>
      <c r="B742" s="35"/>
      <c r="C742" s="28"/>
      <c r="D742" s="35"/>
      <c r="E742" s="28"/>
      <c r="F742" s="35"/>
      <c r="G742" s="28"/>
      <c r="H742" s="35"/>
      <c r="I742" s="35"/>
      <c r="J742" s="35"/>
      <c r="K742" s="35"/>
      <c r="L742" s="35"/>
      <c r="M742" s="35"/>
      <c r="N742" s="35"/>
    </row>
    <row r="743" spans="1:14" x14ac:dyDescent="0.3">
      <c r="A743" s="35"/>
      <c r="B743" s="35"/>
      <c r="C743" s="28"/>
      <c r="D743" s="35"/>
      <c r="E743" s="28"/>
      <c r="F743" s="35"/>
      <c r="G743" s="28"/>
      <c r="H743" s="35"/>
      <c r="I743" s="35"/>
      <c r="J743" s="35"/>
      <c r="K743" s="35"/>
      <c r="L743" s="35"/>
      <c r="M743" s="35"/>
      <c r="N743" s="35"/>
    </row>
    <row r="744" spans="1:14" x14ac:dyDescent="0.3">
      <c r="A744" s="35"/>
      <c r="B744" s="35"/>
      <c r="C744" s="28"/>
      <c r="D744" s="35"/>
      <c r="E744" s="28"/>
      <c r="F744" s="35"/>
      <c r="G744" s="28"/>
      <c r="H744" s="35"/>
      <c r="I744" s="35"/>
      <c r="J744" s="35"/>
      <c r="K744" s="35"/>
      <c r="L744" s="35"/>
      <c r="M744" s="35"/>
      <c r="N744" s="35"/>
    </row>
    <row r="745" spans="1:14" x14ac:dyDescent="0.3">
      <c r="A745" s="35"/>
      <c r="B745" s="35"/>
      <c r="C745" s="28"/>
      <c r="D745" s="35"/>
      <c r="E745" s="28"/>
      <c r="F745" s="35"/>
      <c r="G745" s="28"/>
      <c r="H745" s="35"/>
      <c r="I745" s="35"/>
      <c r="J745" s="35"/>
      <c r="K745" s="35"/>
      <c r="L745" s="35"/>
      <c r="M745" s="35"/>
      <c r="N745" s="35"/>
    </row>
    <row r="746" spans="1:14" x14ac:dyDescent="0.3">
      <c r="A746" s="35"/>
      <c r="B746" s="35"/>
      <c r="C746" s="28"/>
      <c r="D746" s="35"/>
      <c r="E746" s="28"/>
      <c r="F746" s="35"/>
      <c r="G746" s="28"/>
      <c r="H746" s="35"/>
      <c r="I746" s="35"/>
      <c r="J746" s="35"/>
      <c r="K746" s="35"/>
      <c r="L746" s="35"/>
      <c r="M746" s="35"/>
      <c r="N746" s="35"/>
    </row>
    <row r="747" spans="1:14" x14ac:dyDescent="0.3">
      <c r="A747" s="35"/>
      <c r="B747" s="35"/>
      <c r="C747" s="28"/>
      <c r="D747" s="35"/>
      <c r="E747" s="28"/>
      <c r="F747" s="35"/>
      <c r="G747" s="28"/>
      <c r="H747" s="35"/>
      <c r="I747" s="35"/>
      <c r="J747" s="35"/>
      <c r="K747" s="35"/>
      <c r="L747" s="35"/>
      <c r="M747" s="35"/>
      <c r="N747" s="35"/>
    </row>
    <row r="748" spans="1:14" x14ac:dyDescent="0.3">
      <c r="A748" s="35"/>
      <c r="B748" s="35"/>
      <c r="C748" s="28"/>
      <c r="D748" s="35"/>
      <c r="E748" s="28"/>
      <c r="F748" s="35"/>
      <c r="G748" s="28"/>
      <c r="H748" s="35"/>
      <c r="I748" s="35"/>
      <c r="J748" s="35"/>
      <c r="K748" s="35"/>
      <c r="L748" s="35"/>
      <c r="M748" s="35"/>
      <c r="N748" s="35"/>
    </row>
    <row r="749" spans="1:14" x14ac:dyDescent="0.3">
      <c r="A749" s="35"/>
      <c r="B749" s="35"/>
      <c r="C749" s="28"/>
      <c r="D749" s="35"/>
      <c r="E749" s="28"/>
      <c r="F749" s="35"/>
      <c r="G749" s="28"/>
      <c r="H749" s="35"/>
      <c r="I749" s="35"/>
      <c r="J749" s="35"/>
      <c r="K749" s="35"/>
      <c r="L749" s="35"/>
      <c r="M749" s="35"/>
      <c r="N749" s="35"/>
    </row>
    <row r="750" spans="1:14" x14ac:dyDescent="0.3">
      <c r="A750" s="35"/>
      <c r="B750" s="35"/>
      <c r="C750" s="28"/>
      <c r="D750" s="35"/>
      <c r="E750" s="28"/>
      <c r="F750" s="35"/>
      <c r="G750" s="28"/>
      <c r="H750" s="35"/>
      <c r="I750" s="35"/>
      <c r="J750" s="35"/>
      <c r="K750" s="35"/>
      <c r="L750" s="35"/>
      <c r="M750" s="35"/>
      <c r="N750" s="35"/>
    </row>
    <row r="751" spans="1:14" x14ac:dyDescent="0.3">
      <c r="A751" s="35"/>
      <c r="B751" s="35"/>
      <c r="C751" s="28"/>
      <c r="D751" s="35"/>
      <c r="E751" s="28"/>
      <c r="F751" s="35"/>
      <c r="G751" s="28"/>
      <c r="H751" s="35"/>
      <c r="I751" s="35"/>
      <c r="J751" s="35"/>
      <c r="K751" s="35"/>
      <c r="L751" s="35"/>
      <c r="M751" s="35"/>
      <c r="N751" s="35"/>
    </row>
    <row r="752" spans="1:14" x14ac:dyDescent="0.3">
      <c r="A752" s="35"/>
      <c r="B752" s="35"/>
      <c r="C752" s="28"/>
      <c r="D752" s="35"/>
      <c r="E752" s="28"/>
      <c r="F752" s="35"/>
      <c r="G752" s="28"/>
      <c r="H752" s="35"/>
      <c r="I752" s="35"/>
      <c r="J752" s="35"/>
      <c r="K752" s="35"/>
      <c r="L752" s="35"/>
      <c r="M752" s="35"/>
      <c r="N752" s="35"/>
    </row>
    <row r="753" spans="1:14" x14ac:dyDescent="0.3">
      <c r="A753" s="35"/>
      <c r="B753" s="35"/>
      <c r="C753" s="28"/>
      <c r="D753" s="35"/>
      <c r="E753" s="28"/>
      <c r="F753" s="35"/>
      <c r="G753" s="28"/>
      <c r="H753" s="35"/>
      <c r="I753" s="35"/>
      <c r="J753" s="35"/>
      <c r="K753" s="35"/>
      <c r="L753" s="35"/>
      <c r="M753" s="35"/>
      <c r="N753" s="35"/>
    </row>
    <row r="754" spans="1:14" x14ac:dyDescent="0.3">
      <c r="A754" s="35"/>
      <c r="B754" s="35"/>
      <c r="C754" s="28"/>
      <c r="D754" s="35"/>
      <c r="E754" s="28"/>
      <c r="F754" s="35"/>
      <c r="G754" s="28"/>
      <c r="H754" s="35"/>
      <c r="I754" s="35"/>
      <c r="J754" s="35"/>
      <c r="K754" s="35"/>
      <c r="L754" s="35"/>
      <c r="M754" s="35"/>
      <c r="N754" s="35"/>
    </row>
    <row r="755" spans="1:14" x14ac:dyDescent="0.3">
      <c r="A755" s="35"/>
      <c r="B755" s="35"/>
      <c r="C755" s="28"/>
      <c r="D755" s="35"/>
      <c r="E755" s="28"/>
      <c r="F755" s="35"/>
      <c r="G755" s="28"/>
      <c r="H755" s="35"/>
      <c r="I755" s="35"/>
      <c r="J755" s="35"/>
      <c r="K755" s="35"/>
      <c r="L755" s="35"/>
      <c r="M755" s="35"/>
      <c r="N755" s="35"/>
    </row>
    <row r="756" spans="1:14" x14ac:dyDescent="0.3">
      <c r="A756" s="35"/>
      <c r="B756" s="35"/>
      <c r="C756" s="28"/>
      <c r="D756" s="35"/>
      <c r="E756" s="28"/>
      <c r="F756" s="35"/>
      <c r="G756" s="28"/>
      <c r="H756" s="35"/>
      <c r="I756" s="35"/>
      <c r="J756" s="35"/>
      <c r="K756" s="35"/>
      <c r="L756" s="35"/>
      <c r="M756" s="35"/>
      <c r="N756" s="35"/>
    </row>
    <row r="757" spans="1:14" x14ac:dyDescent="0.3">
      <c r="A757" s="35"/>
      <c r="B757" s="35"/>
      <c r="C757" s="28"/>
      <c r="D757" s="35"/>
      <c r="E757" s="28"/>
      <c r="F757" s="35"/>
      <c r="G757" s="28"/>
      <c r="H757" s="35"/>
      <c r="I757" s="35"/>
      <c r="J757" s="35"/>
      <c r="K757" s="35"/>
      <c r="L757" s="35"/>
      <c r="M757" s="35"/>
      <c r="N757" s="35"/>
    </row>
    <row r="758" spans="1:14" x14ac:dyDescent="0.3">
      <c r="A758" s="35"/>
      <c r="B758" s="35"/>
      <c r="C758" s="28"/>
      <c r="D758" s="35"/>
      <c r="E758" s="28"/>
      <c r="F758" s="35"/>
      <c r="G758" s="28"/>
      <c r="H758" s="35"/>
      <c r="I758" s="35"/>
      <c r="J758" s="35"/>
      <c r="K758" s="35"/>
      <c r="L758" s="35"/>
      <c r="M758" s="35"/>
      <c r="N758" s="35"/>
    </row>
  </sheetData>
  <mergeCells count="114">
    <mergeCell ref="C1:G1"/>
    <mergeCell ref="C2:D2"/>
    <mergeCell ref="E2:F2"/>
    <mergeCell ref="C3:D3"/>
    <mergeCell ref="E3:F3"/>
    <mergeCell ref="C4:D4"/>
    <mergeCell ref="E4:F4"/>
    <mergeCell ref="C8:D8"/>
    <mergeCell ref="E8:F8"/>
    <mergeCell ref="C9:D9"/>
    <mergeCell ref="E9:F9"/>
    <mergeCell ref="C10:D10"/>
    <mergeCell ref="E10:F10"/>
    <mergeCell ref="C5:D5"/>
    <mergeCell ref="E5:F5"/>
    <mergeCell ref="C6:D6"/>
    <mergeCell ref="E6:F6"/>
    <mergeCell ref="C7:D7"/>
    <mergeCell ref="E7:F7"/>
    <mergeCell ref="C13:D13"/>
    <mergeCell ref="E13:F13"/>
    <mergeCell ref="C14:D14"/>
    <mergeCell ref="E14:F14"/>
    <mergeCell ref="C15:D15"/>
    <mergeCell ref="E15:F15"/>
    <mergeCell ref="C11:D11"/>
    <mergeCell ref="E11:F11"/>
    <mergeCell ref="C12:D12"/>
    <mergeCell ref="E12:F12"/>
    <mergeCell ref="C18:G18"/>
    <mergeCell ref="C19:D19"/>
    <mergeCell ref="E19:F19"/>
    <mergeCell ref="C20:D20"/>
    <mergeCell ref="E20:F20"/>
    <mergeCell ref="E22:F22"/>
    <mergeCell ref="C22:D22"/>
    <mergeCell ref="C16:D16"/>
    <mergeCell ref="E16:F16"/>
    <mergeCell ref="C17:D17"/>
    <mergeCell ref="E17:F17"/>
    <mergeCell ref="C25:D25"/>
    <mergeCell ref="E25:F25"/>
    <mergeCell ref="C26:D26"/>
    <mergeCell ref="E26:F26"/>
    <mergeCell ref="C27:D27"/>
    <mergeCell ref="E27:F27"/>
    <mergeCell ref="C21:D21"/>
    <mergeCell ref="E21:F21"/>
    <mergeCell ref="C23:D23"/>
    <mergeCell ref="E23:F23"/>
    <mergeCell ref="C24:D24"/>
    <mergeCell ref="E24:F24"/>
    <mergeCell ref="C32:D32"/>
    <mergeCell ref="E32:F32"/>
    <mergeCell ref="M32:N32"/>
    <mergeCell ref="C33:D33"/>
    <mergeCell ref="E33:F33"/>
    <mergeCell ref="C34:D34"/>
    <mergeCell ref="E34:F34"/>
    <mergeCell ref="C28:D28"/>
    <mergeCell ref="E28:F28"/>
    <mergeCell ref="C29:D29"/>
    <mergeCell ref="E29:F29"/>
    <mergeCell ref="A30:G30"/>
    <mergeCell ref="A31:G31"/>
    <mergeCell ref="C38:D38"/>
    <mergeCell ref="E38:F38"/>
    <mergeCell ref="C39:D39"/>
    <mergeCell ref="E39:F39"/>
    <mergeCell ref="C40:D40"/>
    <mergeCell ref="E40:F40"/>
    <mergeCell ref="C35:D35"/>
    <mergeCell ref="E35:F35"/>
    <mergeCell ref="C36:D36"/>
    <mergeCell ref="E36:F36"/>
    <mergeCell ref="C37:D37"/>
    <mergeCell ref="E37:F37"/>
    <mergeCell ref="C46:D46"/>
    <mergeCell ref="E46:F46"/>
    <mergeCell ref="C47:D47"/>
    <mergeCell ref="E47:F47"/>
    <mergeCell ref="C48:D48"/>
    <mergeCell ref="E48:F48"/>
    <mergeCell ref="C41:D41"/>
    <mergeCell ref="E41:F41"/>
    <mergeCell ref="B42:G42"/>
    <mergeCell ref="C43:D43"/>
    <mergeCell ref="E43:F43"/>
    <mergeCell ref="C45:D45"/>
    <mergeCell ref="E45:F45"/>
    <mergeCell ref="C44:D44"/>
    <mergeCell ref="E44:F44"/>
    <mergeCell ref="C53:D53"/>
    <mergeCell ref="E53:F53"/>
    <mergeCell ref="C54:D54"/>
    <mergeCell ref="E54:F54"/>
    <mergeCell ref="C51:D51"/>
    <mergeCell ref="E51:F51"/>
    <mergeCell ref="C52:D52"/>
    <mergeCell ref="E52:F52"/>
    <mergeCell ref="C49:D49"/>
    <mergeCell ref="E49:F49"/>
    <mergeCell ref="C50:D50"/>
    <mergeCell ref="E50:F50"/>
    <mergeCell ref="C59:D59"/>
    <mergeCell ref="E59:F59"/>
    <mergeCell ref="C56:D56"/>
    <mergeCell ref="E56:F56"/>
    <mergeCell ref="C57:D57"/>
    <mergeCell ref="E57:F57"/>
    <mergeCell ref="C58:D58"/>
    <mergeCell ref="E58:F58"/>
    <mergeCell ref="C55:D55"/>
    <mergeCell ref="E55:F5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FC874C-A7C8-44B8-912E-336BF5ACB3D6}">
  <dimension ref="A1:L566"/>
  <sheetViews>
    <sheetView workbookViewId="0">
      <selection activeCell="N13" sqref="N13"/>
    </sheetView>
  </sheetViews>
  <sheetFormatPr defaultRowHeight="14.4" x14ac:dyDescent="0.3"/>
  <cols>
    <col min="1" max="1" width="31.21875" customWidth="1"/>
    <col min="2" max="2" width="4.6640625" customWidth="1"/>
    <col min="3" max="3" width="12.5546875" bestFit="1" customWidth="1"/>
    <col min="4" max="4" width="6.6640625" customWidth="1"/>
    <col min="5" max="5" width="12.5546875" bestFit="1" customWidth="1"/>
  </cols>
  <sheetData>
    <row r="1" spans="1:12" x14ac:dyDescent="0.3">
      <c r="B1" s="104" t="s">
        <v>90</v>
      </c>
      <c r="C1" s="104"/>
      <c r="D1" s="104"/>
      <c r="E1" s="104"/>
    </row>
    <row r="2" spans="1:12" x14ac:dyDescent="0.3">
      <c r="A2" s="1" t="s">
        <v>53</v>
      </c>
      <c r="B2" s="110" t="s">
        <v>101</v>
      </c>
      <c r="C2" s="110"/>
      <c r="D2" s="110" t="s">
        <v>102</v>
      </c>
      <c r="E2" s="110"/>
    </row>
    <row r="3" spans="1:12" x14ac:dyDescent="0.3">
      <c r="A3" t="s">
        <v>15</v>
      </c>
      <c r="B3" s="105">
        <f>[1]All!$L$6*L17</f>
        <v>0.39642940716394504</v>
      </c>
      <c r="C3" s="105"/>
      <c r="D3" s="105">
        <f>[1]All!$L$7*L17</f>
        <v>0.55747885382429763</v>
      </c>
      <c r="E3" s="105"/>
    </row>
    <row r="4" spans="1:12" x14ac:dyDescent="0.3">
      <c r="A4" t="s">
        <v>16</v>
      </c>
      <c r="B4" s="102">
        <f>[2]prod_herd_data!H17</f>
        <v>320.35867062067865</v>
      </c>
      <c r="C4" s="102"/>
      <c r="D4" s="102">
        <f>[2]prod_herd_data!H18</f>
        <v>1025.9808491887786</v>
      </c>
      <c r="E4" s="102"/>
    </row>
    <row r="5" spans="1:12" x14ac:dyDescent="0.3">
      <c r="A5" t="s">
        <v>4</v>
      </c>
      <c r="B5" s="102">
        <f>B4*B3</f>
        <v>126.99959787398517</v>
      </c>
      <c r="C5" s="102"/>
      <c r="D5" s="102">
        <f>D4*D3</f>
        <v>571.96262785143983</v>
      </c>
      <c r="E5" s="102"/>
    </row>
    <row r="6" spans="1:12" x14ac:dyDescent="0.3">
      <c r="B6" s="103"/>
      <c r="C6" s="103"/>
      <c r="D6" s="101"/>
      <c r="E6" s="101"/>
    </row>
    <row r="7" spans="1:12" x14ac:dyDescent="0.3">
      <c r="A7" s="1" t="s">
        <v>54</v>
      </c>
      <c r="B7" s="103"/>
      <c r="C7" s="103"/>
      <c r="D7" s="101"/>
      <c r="E7" s="101"/>
    </row>
    <row r="8" spans="1:12" x14ac:dyDescent="0.3">
      <c r="A8" t="s">
        <v>30</v>
      </c>
      <c r="B8" s="102">
        <f xml:space="preserve"> (([2]FEEDING_base!$H$17*L30)+([2]FEEDING_base!$H$18*L31))</f>
        <v>85.998727070361042</v>
      </c>
      <c r="C8" s="102"/>
      <c r="D8" s="102">
        <f>(([2]FEEDING_base!$H$23*L31)+([2]FEEDING_base!$H$24*L30))</f>
        <v>186.43581434115202</v>
      </c>
      <c r="E8" s="102"/>
    </row>
    <row r="9" spans="1:12" x14ac:dyDescent="0.3">
      <c r="A9" t="s">
        <v>1</v>
      </c>
      <c r="B9" s="102">
        <f>[1]All!$P$6*L17</f>
        <v>1.404872254769135</v>
      </c>
      <c r="C9" s="102"/>
      <c r="D9" s="102">
        <f>[1]All!$P$7*Dairy_Income_Roadmap!L16</f>
        <v>7.6629395714680086</v>
      </c>
      <c r="E9" s="102"/>
    </row>
    <row r="10" spans="1:12" x14ac:dyDescent="0.3">
      <c r="A10" t="s">
        <v>55</v>
      </c>
      <c r="B10" s="102">
        <f>[1]All!$Q$6*L17</f>
        <v>8.3015178690903433</v>
      </c>
      <c r="C10" s="102"/>
      <c r="D10" s="102">
        <f>[1]All!$Q$7*Dairy_Income_Roadmap!L16</f>
        <v>18.263339311998756</v>
      </c>
      <c r="E10" s="102"/>
      <c r="K10" s="1" t="str">
        <f>Dairy_Income_Roadmap!K10</f>
        <v>Basic income parameters</v>
      </c>
    </row>
    <row r="11" spans="1:12" x14ac:dyDescent="0.3">
      <c r="A11" t="s">
        <v>56</v>
      </c>
      <c r="B11" s="102">
        <f>[1]All!$R$6*L17</f>
        <v>1.6620356445247293E-4</v>
      </c>
      <c r="C11" s="102"/>
      <c r="D11" s="102">
        <f>[1]All!$R$7*Dairy_Income_Roadmap!L16</f>
        <v>0.12771565952446681</v>
      </c>
      <c r="E11" s="102"/>
      <c r="K11" s="76" t="s">
        <v>88</v>
      </c>
      <c r="L11">
        <f>Dairy_Income_Roadmap!L11</f>
        <v>12</v>
      </c>
    </row>
    <row r="12" spans="1:12" x14ac:dyDescent="0.3">
      <c r="A12" t="s">
        <v>57</v>
      </c>
      <c r="B12" s="102">
        <f>0*L17</f>
        <v>0</v>
      </c>
      <c r="C12" s="102"/>
      <c r="D12" s="102">
        <f>0*L17</f>
        <v>0</v>
      </c>
      <c r="E12" s="102"/>
    </row>
    <row r="13" spans="1:12" x14ac:dyDescent="0.3">
      <c r="B13" s="101"/>
      <c r="C13" s="101"/>
      <c r="D13" s="102"/>
      <c r="E13" s="102"/>
    </row>
    <row r="14" spans="1:12" x14ac:dyDescent="0.3">
      <c r="A14" s="1" t="s">
        <v>86</v>
      </c>
      <c r="B14" s="102">
        <f>SUM(B8:B12)</f>
        <v>95.705283397784967</v>
      </c>
      <c r="C14" s="102"/>
      <c r="D14" s="102">
        <f>SUM(D8:D12)</f>
        <v>212.48980888414323</v>
      </c>
      <c r="E14" s="102"/>
      <c r="K14" t="str">
        <f>[5]NPV_Roadmap!K14</f>
        <v>Price acquring new animal (USD/head)</v>
      </c>
      <c r="L14">
        <f>[1]All!$M$6</f>
        <v>254.1</v>
      </c>
    </row>
    <row r="15" spans="1:12" x14ac:dyDescent="0.3">
      <c r="B15" s="101"/>
      <c r="C15" s="101"/>
      <c r="D15" s="101"/>
      <c r="E15" s="101"/>
    </row>
    <row r="16" spans="1:12" x14ac:dyDescent="0.3">
      <c r="B16" s="101"/>
      <c r="C16" s="101"/>
      <c r="D16" s="101"/>
      <c r="E16" s="101"/>
    </row>
    <row r="17" spans="1:12" x14ac:dyDescent="0.3">
      <c r="B17" s="102"/>
      <c r="C17" s="102"/>
      <c r="D17" s="102"/>
      <c r="E17" s="102"/>
      <c r="K17" s="78" t="s">
        <v>94</v>
      </c>
      <c r="L17" s="16">
        <f>Dairy_Income_Roadmap!L16</f>
        <v>1.2771565952446682</v>
      </c>
    </row>
    <row r="18" spans="1:12" x14ac:dyDescent="0.3">
      <c r="B18" s="104" t="s">
        <v>58</v>
      </c>
      <c r="C18" s="104"/>
      <c r="D18" s="104"/>
      <c r="E18" s="104"/>
    </row>
    <row r="19" spans="1:12" x14ac:dyDescent="0.3">
      <c r="A19" t="s">
        <v>7</v>
      </c>
      <c r="B19" s="102">
        <f>L36*L17</f>
        <v>319.71061048759782</v>
      </c>
      <c r="C19" s="102"/>
      <c r="D19" s="102">
        <f>L38*L17</f>
        <v>332.95472438028497</v>
      </c>
      <c r="E19" s="102"/>
      <c r="K19" s="1" t="str">
        <f>[5]NPV_Roadmap!K24</f>
        <v>Cropping parameters</v>
      </c>
    </row>
    <row r="20" spans="1:12" x14ac:dyDescent="0.3">
      <c r="A20" s="50" t="s">
        <v>76</v>
      </c>
      <c r="B20" s="102">
        <f>( [6]Sheet1!$QH$29*[2]feeding_change_data!$H$4+      [6]Sheet1!$QH$20*[2]feeding_change_data!$I$4)/([2]feeding_change_data!$H$4+[2]feeding_change_data!$I$4)</f>
        <v>1.8944680977798487</v>
      </c>
      <c r="C20" s="102"/>
      <c r="D20" s="102">
        <f>( [6]Sheet1!$QG$29*[2]feeding_change_data!$H$4+      [6]Sheet1!$QG$20*[2]feeding_change_data!$I$4)/([2]feeding_change_data!$H$4+[2]feeding_change_data!$I$4)</f>
        <v>130.93127296143226</v>
      </c>
      <c r="E20" s="102"/>
      <c r="K20" t="str">
        <f>[5]NPV_Roadmap!K25</f>
        <v>Forage seeding cost (USD/ha/yr)</v>
      </c>
      <c r="L20">
        <f>[5]NPV_Roadmap!L25</f>
        <v>28</v>
      </c>
    </row>
    <row r="21" spans="1:12" x14ac:dyDescent="0.3">
      <c r="A21" s="50" t="s">
        <v>77</v>
      </c>
      <c r="B21" s="106">
        <f>(((1/1000)*(1/L23)/L33))*B20</f>
        <v>1.9430442028511269E-4</v>
      </c>
      <c r="C21" s="106"/>
      <c r="D21" s="102">
        <f>(((1/1000)*(1/L23)/L33))*D20</f>
        <v>1.3428848508864846E-2</v>
      </c>
      <c r="E21" s="102"/>
    </row>
    <row r="22" spans="1:12" x14ac:dyDescent="0.3">
      <c r="A22" s="50" t="s">
        <v>78</v>
      </c>
      <c r="B22" s="102">
        <f>( [6]Sheet1!$QP$29*[2]feeding_change_data_pasture!$H$4+      [6]Sheet1!$QP$20*[2]feeding_change_data_pasture!$I$4)/([2]feeding_change_data_pasture!$H$4+[2]feeding_change_data_pasture!$I$4)</f>
        <v>54.042316867241844</v>
      </c>
      <c r="C22" s="102"/>
      <c r="D22" s="102">
        <f>( [6]Sheet1!$QO$20*[2]feeding_change_data_pasture!$H$4+      [6]Sheet1!$QO$20*[2]feeding_change_data_pasture!$I$4)/([2]feeding_change_data_pasture!$H$4+[2]feeding_change_data_pasture!$I$4)</f>
        <v>205.7582485590861</v>
      </c>
      <c r="E22" s="102"/>
    </row>
    <row r="23" spans="1:12" x14ac:dyDescent="0.3">
      <c r="A23" s="50" t="s">
        <v>79</v>
      </c>
      <c r="B23" s="102">
        <f>(((1/1000)*(1/L25)/L34))*B22</f>
        <v>2.1616926746896737E-2</v>
      </c>
      <c r="C23" s="102"/>
      <c r="D23" s="102">
        <f>(((1/1000)*(1/L25)/L34))*D22</f>
        <v>8.2303299423634443E-2</v>
      </c>
      <c r="E23" s="102"/>
      <c r="K23" t="str">
        <f>[5]NPV_Roadmap!K28</f>
        <v>Use efficiency napier</v>
      </c>
      <c r="L23">
        <f>[5]NPV_Roadmap!L28</f>
        <v>0.75</v>
      </c>
    </row>
    <row r="24" spans="1:12" s="57" customFormat="1" x14ac:dyDescent="0.3">
      <c r="A24" s="57" t="s">
        <v>82</v>
      </c>
      <c r="B24" s="105">
        <f>SUM(B23+B21)</f>
        <v>2.1811231167181849E-2</v>
      </c>
      <c r="C24" s="105"/>
      <c r="D24" s="105">
        <f>SUM(D23+D21)</f>
        <v>9.573214793249929E-2</v>
      </c>
      <c r="E24" s="105"/>
    </row>
    <row r="25" spans="1:12" x14ac:dyDescent="0.3">
      <c r="A25" t="s">
        <v>59</v>
      </c>
      <c r="B25" s="102">
        <f>(B21+B23)*L17*L20</f>
        <v>0.77997801659602606</v>
      </c>
      <c r="C25" s="102"/>
      <c r="D25" s="102">
        <f>(D21+D23)*L17*L20</f>
        <v>3.4234184350500314</v>
      </c>
      <c r="E25" s="102"/>
      <c r="K25" t="str">
        <f>[5]NPV_Roadmap!K29</f>
        <v>Use efficiency pasture</v>
      </c>
      <c r="L25">
        <f>[5]NPV_Roadmap!L29</f>
        <v>0.5</v>
      </c>
    </row>
    <row r="26" spans="1:12" x14ac:dyDescent="0.3">
      <c r="A26" t="s">
        <v>81</v>
      </c>
      <c r="B26" s="102">
        <f>(B21+B23)*B19+B25</f>
        <v>7.753260048541855</v>
      </c>
      <c r="C26" s="102"/>
      <c r="D26" s="102">
        <f>(D21+D23)*D19+D25</f>
        <v>35.297889364248</v>
      </c>
      <c r="E26" s="102"/>
    </row>
    <row r="27" spans="1:12" x14ac:dyDescent="0.3">
      <c r="B27" s="103"/>
      <c r="C27" s="103"/>
      <c r="D27" s="102"/>
      <c r="E27" s="102"/>
      <c r="K27" t="str">
        <f>[5]NPV_Roadmap!K31</f>
        <v>Standard error (%) improved forage yield</v>
      </c>
      <c r="L27">
        <f>[5]NPV_Roadmap!L31</f>
        <v>7.5</v>
      </c>
    </row>
    <row r="28" spans="1:12" x14ac:dyDescent="0.3">
      <c r="A28" s="1" t="s">
        <v>48</v>
      </c>
      <c r="B28" s="102">
        <f>B5-B14</f>
        <v>31.294314476200199</v>
      </c>
      <c r="C28" s="102"/>
      <c r="D28" s="102">
        <f>D5-D14</f>
        <v>359.47281896729658</v>
      </c>
      <c r="E28" s="102">
        <f>E5-E14</f>
        <v>0</v>
      </c>
      <c r="K28" t="str">
        <f>[5]NPV_Roadmap!K32</f>
        <v>Standard error (%) improved forage yield</v>
      </c>
      <c r="L28">
        <f>[5]NPV_Roadmap!L32</f>
        <v>20</v>
      </c>
    </row>
    <row r="29" spans="1:12" x14ac:dyDescent="0.3">
      <c r="B29" s="103"/>
      <c r="C29" s="103"/>
      <c r="D29" s="103"/>
      <c r="E29" s="103"/>
    </row>
    <row r="30" spans="1:12" x14ac:dyDescent="0.3">
      <c r="B30" s="103"/>
      <c r="C30" s="103"/>
      <c r="D30" s="103"/>
      <c r="E30" s="103"/>
      <c r="K30" t="str">
        <f>[5]NPV_Roadmap!K34</f>
        <v>Market price Sunflower cake (USD/kg)</v>
      </c>
      <c r="L30" s="16">
        <f>Dairy_Income_Roadmap!L29</f>
        <v>0.31928914881116705</v>
      </c>
    </row>
    <row r="31" spans="1:12" x14ac:dyDescent="0.3">
      <c r="B31" s="103"/>
      <c r="C31" s="103"/>
      <c r="D31" s="103"/>
      <c r="E31" s="103"/>
      <c r="K31" t="str">
        <f>[5]NPV_Roadmap!K35</f>
        <v>Market price Maize bran (USD/kg)</v>
      </c>
      <c r="L31" s="16">
        <f>Dairy_Income_Roadmap!L30</f>
        <v>0.26820288500138029</v>
      </c>
    </row>
    <row r="32" spans="1:12" x14ac:dyDescent="0.3">
      <c r="B32" s="103"/>
      <c r="C32" s="103"/>
      <c r="D32" s="103"/>
      <c r="E32" s="103"/>
    </row>
    <row r="33" spans="1:12" x14ac:dyDescent="0.3">
      <c r="B33" s="103"/>
      <c r="C33" s="103"/>
      <c r="D33" s="103"/>
      <c r="E33" s="103"/>
      <c r="K33" t="str">
        <f>[5]NPV_Roadmap!K37</f>
        <v>Napier yield (Mg/ha)</v>
      </c>
      <c r="L33">
        <f>[5]NPV_Roadmap!L37</f>
        <v>13</v>
      </c>
    </row>
    <row r="34" spans="1:12" x14ac:dyDescent="0.3">
      <c r="A34" s="104" t="s">
        <v>60</v>
      </c>
      <c r="B34" s="104"/>
      <c r="C34" s="104"/>
      <c r="D34" s="104"/>
      <c r="E34" s="104"/>
      <c r="K34" t="str">
        <f>[5]NPV_Roadmap!K38</f>
        <v>Pasture yield (Mg/ha)</v>
      </c>
      <c r="L34">
        <f>[5]NPV_Roadmap!L38</f>
        <v>5</v>
      </c>
    </row>
    <row r="35" spans="1:12" x14ac:dyDescent="0.3">
      <c r="A35" s="101" t="s">
        <v>61</v>
      </c>
      <c r="B35" s="101"/>
      <c r="C35" s="101"/>
      <c r="D35" s="101"/>
      <c r="E35" s="101"/>
    </row>
    <row r="36" spans="1:12" x14ac:dyDescent="0.3">
      <c r="A36" t="s">
        <v>17</v>
      </c>
      <c r="B36" s="106">
        <f>[1]All!$S$6*L17</f>
        <v>0.17880192333425357</v>
      </c>
      <c r="C36" s="106"/>
      <c r="D36" s="106">
        <f>[1]All!$S$7*L17</f>
        <v>7.6629395714680082E-2</v>
      </c>
      <c r="E36" s="106"/>
      <c r="K36" t="str">
        <f>[5]NPV_Roadmap!K40</f>
        <v xml:space="preserve">Opportunity cost land strata 1 </v>
      </c>
      <c r="L36" s="28">
        <f>[1]All!$N$6</f>
        <v>250.33</v>
      </c>
    </row>
    <row r="37" spans="1:12" x14ac:dyDescent="0.3">
      <c r="B37" s="103"/>
      <c r="C37" s="103"/>
      <c r="D37" s="106"/>
      <c r="E37" s="106"/>
      <c r="K37" t="str">
        <f>[5]NPV_Roadmap!K41</f>
        <v>SE (fraction)</v>
      </c>
      <c r="L37" s="28">
        <f>[1]All!$U$6*L17/L36</f>
        <v>1.9489226995704199</v>
      </c>
    </row>
    <row r="38" spans="1:12" x14ac:dyDescent="0.3">
      <c r="A38" t="s">
        <v>0</v>
      </c>
      <c r="B38" s="106">
        <f>[1]All!$V$6*L17</f>
        <v>51.341695128835667</v>
      </c>
      <c r="C38" s="106"/>
      <c r="D38" s="106">
        <f>[1]All!$V$7*L17</f>
        <v>195.78810605100765</v>
      </c>
      <c r="E38" s="106"/>
      <c r="K38" t="str">
        <f>[5]NPV_Roadmap!K42</f>
        <v>Opportunity cost land strata 2</v>
      </c>
      <c r="L38" s="28">
        <f>[1]All!$N$7</f>
        <v>260.7</v>
      </c>
    </row>
    <row r="39" spans="1:12" x14ac:dyDescent="0.3">
      <c r="A39" t="s">
        <v>1</v>
      </c>
      <c r="B39" s="106">
        <f>[1]All!$W$6*L17</f>
        <v>7.9183708905169432</v>
      </c>
      <c r="C39" s="106"/>
      <c r="D39" s="106">
        <f>[1]All!$W$7*L17</f>
        <v>43.934186876416582</v>
      </c>
      <c r="E39" s="106"/>
      <c r="K39" t="str">
        <f>[5]NPV_Roadmap!K43</f>
        <v>SE (fraction)</v>
      </c>
      <c r="L39" s="28">
        <f>[1]All!$U$7*L17/L38</f>
        <v>1.6881786065259405</v>
      </c>
    </row>
    <row r="40" spans="1:12" x14ac:dyDescent="0.3">
      <c r="A40" t="s">
        <v>2</v>
      </c>
      <c r="B40" s="106">
        <f>[1]All!$X$6*L17</f>
        <v>10.344968421481811</v>
      </c>
      <c r="C40" s="106"/>
      <c r="D40" s="106">
        <f>[1]All!$X$7*L17</f>
        <v>13.28242859054455</v>
      </c>
      <c r="E40" s="106"/>
    </row>
    <row r="41" spans="1:12" x14ac:dyDescent="0.3">
      <c r="A41" t="s">
        <v>5</v>
      </c>
      <c r="B41" s="106">
        <f>[1]All!$Y$6*L17</f>
        <v>1.6620356445247294E-5</v>
      </c>
      <c r="C41" s="106"/>
      <c r="D41" s="106">
        <f>[1]All!$Y$7*L17</f>
        <v>0.76629395714680093</v>
      </c>
      <c r="E41" s="106"/>
    </row>
    <row r="42" spans="1:12" x14ac:dyDescent="0.3">
      <c r="A42" t="s">
        <v>3</v>
      </c>
      <c r="B42" s="106">
        <f>B12*L17</f>
        <v>0</v>
      </c>
      <c r="C42" s="106"/>
      <c r="D42" s="106">
        <f>D12*L17</f>
        <v>0</v>
      </c>
      <c r="E42" s="106"/>
    </row>
    <row r="43" spans="1:12" x14ac:dyDescent="0.3">
      <c r="A43" t="s">
        <v>18</v>
      </c>
      <c r="B43" s="106">
        <f>(1/100)*(B21*L27+B23*L28)/SUM(B21,B23)</f>
        <v>0.19888644284453855</v>
      </c>
      <c r="C43" s="106"/>
      <c r="D43" s="106">
        <f>(1/100)*(D21*L27+D23*L28)/SUM(D21,D23)</f>
        <v>0.18246559698219983</v>
      </c>
      <c r="E43" s="106"/>
    </row>
    <row r="44" spans="1:12" x14ac:dyDescent="0.3">
      <c r="A44" t="s">
        <v>19</v>
      </c>
      <c r="B44" s="106">
        <f>B19*L37</f>
        <v>623.09126607279609</v>
      </c>
      <c r="C44" s="106"/>
      <c r="D44" s="106">
        <f>D19*L39</f>
        <v>562.08704264053813</v>
      </c>
      <c r="E44" s="106"/>
    </row>
    <row r="45" spans="1:12" x14ac:dyDescent="0.3">
      <c r="B45" s="103"/>
      <c r="C45" s="103"/>
      <c r="D45" s="103"/>
      <c r="E45" s="103"/>
    </row>
    <row r="46" spans="1:12" x14ac:dyDescent="0.3">
      <c r="B46" s="103"/>
      <c r="C46" s="103"/>
      <c r="D46" s="103"/>
      <c r="E46" s="103"/>
    </row>
    <row r="47" spans="1:12" x14ac:dyDescent="0.3">
      <c r="B47" s="53" t="s">
        <v>62</v>
      </c>
      <c r="C47" s="53"/>
      <c r="D47" s="53"/>
      <c r="E47" s="53"/>
    </row>
    <row r="48" spans="1:12" x14ac:dyDescent="0.3">
      <c r="A48" t="s">
        <v>9</v>
      </c>
      <c r="B48" s="105">
        <f ca="1">_xlfn.NORM.INV(RAND(),B3,B36)</f>
        <v>0.38442831715936027</v>
      </c>
      <c r="C48" s="105"/>
      <c r="D48" s="105">
        <f ca="1">_xlfn.NORM.INV(RAND(),D3,D36)</f>
        <v>0.49511769569794722</v>
      </c>
      <c r="E48" s="105"/>
    </row>
    <row r="49" spans="1:5" s="88" customFormat="1" x14ac:dyDescent="0.3">
      <c r="A49" s="88" t="s">
        <v>99</v>
      </c>
      <c r="B49" s="106">
        <f ca="1">_xlfn.NORM.INV(RAND(),B4,B4*Dairy_Income_Roadmap!L21)</f>
        <v>314.16060153208235</v>
      </c>
      <c r="C49" s="106"/>
      <c r="D49" s="106">
        <f ca="1">_xlfn.NORM.INV(RAND(),D4,D4*Dairy_Income_Roadmap!L21)</f>
        <v>1360.7253298607832</v>
      </c>
      <c r="E49" s="106"/>
    </row>
    <row r="50" spans="1:5" x14ac:dyDescent="0.3">
      <c r="B50" s="103"/>
      <c r="C50" s="103"/>
      <c r="D50" s="106"/>
      <c r="E50" s="106"/>
    </row>
    <row r="51" spans="1:5" x14ac:dyDescent="0.3">
      <c r="A51" t="s">
        <v>10</v>
      </c>
      <c r="B51" s="102">
        <f ca="1">_xlfn.NORM.INV(RAND(),B8,B38)</f>
        <v>17.053692692595206</v>
      </c>
      <c r="C51" s="102"/>
      <c r="D51" s="102">
        <f ca="1">_xlfn.NORM.INV(RAND(),D8,D38)</f>
        <v>197.11987365754106</v>
      </c>
      <c r="E51" s="102"/>
    </row>
    <row r="52" spans="1:5" x14ac:dyDescent="0.3">
      <c r="A52" t="s">
        <v>1</v>
      </c>
      <c r="B52" s="102">
        <f ca="1">_xlfn.NORM.INV(RAND(),B9,B39)</f>
        <v>-5.4077622673129726</v>
      </c>
      <c r="C52" s="102"/>
      <c r="D52" s="102">
        <f ca="1">_xlfn.NORM.INV(RAND(),D9,D39)</f>
        <v>16.174651408728444</v>
      </c>
      <c r="E52" s="102"/>
    </row>
    <row r="53" spans="1:5" x14ac:dyDescent="0.3">
      <c r="A53" t="s">
        <v>2</v>
      </c>
      <c r="B53" s="102">
        <f ca="1">_xlfn.NORM.INV(RAND(),B10,B40)</f>
        <v>10.69937251583289</v>
      </c>
      <c r="C53" s="102"/>
      <c r="D53" s="102">
        <f ca="1">_xlfn.NORM.INV(RAND(),D10,D40)</f>
        <v>45.194232974595081</v>
      </c>
      <c r="E53" s="102"/>
    </row>
    <row r="54" spans="1:5" x14ac:dyDescent="0.3">
      <c r="A54" t="s">
        <v>12</v>
      </c>
      <c r="B54" s="102">
        <f ca="1">_xlfn.NORM.INV(RAND(),B11,B41)</f>
        <v>1.7882323982752689E-4</v>
      </c>
      <c r="C54" s="102"/>
      <c r="D54" s="102">
        <f ca="1">_xlfn.NORM.INV(RAND(),D11,D41)</f>
        <v>-0.8569360483855526</v>
      </c>
      <c r="E54" s="102"/>
    </row>
    <row r="55" spans="1:5" x14ac:dyDescent="0.3">
      <c r="A55" t="s">
        <v>3</v>
      </c>
      <c r="B55" s="102">
        <v>1E-4</v>
      </c>
      <c r="C55" s="102"/>
      <c r="D55" s="102">
        <v>1E-4</v>
      </c>
      <c r="E55" s="102"/>
    </row>
    <row r="56" spans="1:5" x14ac:dyDescent="0.3">
      <c r="A56" t="s">
        <v>63</v>
      </c>
      <c r="B56" s="102">
        <f ca="1">_xlfn.NORM.INV(RAND(),(B21+B23),B43)</f>
        <v>8.1221459056527209E-2</v>
      </c>
      <c r="C56" s="102"/>
      <c r="D56" s="102">
        <f ca="1">_xlfn.NORM.INV(RAND(),ABS(D21+D23),ABS(D43))</f>
        <v>0.14957283990394016</v>
      </c>
      <c r="E56" s="102"/>
    </row>
    <row r="57" spans="1:5" x14ac:dyDescent="0.3">
      <c r="A57" t="s">
        <v>19</v>
      </c>
      <c r="B57" s="102">
        <f ca="1">_xlfn.NORM.INV(RAND(),B19,B44)</f>
        <v>230.63018194917041</v>
      </c>
      <c r="C57" s="102"/>
      <c r="D57" s="102">
        <f ca="1">_xlfn.NORM.INV(RAND(),D19,D44)</f>
        <v>-26.94473908241099</v>
      </c>
      <c r="E57" s="102"/>
    </row>
    <row r="58" spans="1:5" x14ac:dyDescent="0.3">
      <c r="B58" s="103"/>
      <c r="C58" s="103"/>
      <c r="D58" s="101"/>
      <c r="E58" s="101"/>
    </row>
    <row r="59" spans="1:5" x14ac:dyDescent="0.3">
      <c r="A59" s="1" t="s">
        <v>93</v>
      </c>
      <c r="B59" s="102">
        <f>SUM(C52:C55)</f>
        <v>0</v>
      </c>
      <c r="C59" s="102"/>
      <c r="D59" s="102">
        <f>SUM(E52:E55)</f>
        <v>0</v>
      </c>
      <c r="E59" s="102"/>
    </row>
    <row r="60" spans="1:5" x14ac:dyDescent="0.3">
      <c r="B60" s="103"/>
      <c r="C60" s="103"/>
      <c r="D60" s="102"/>
      <c r="E60" s="102"/>
    </row>
    <row r="61" spans="1:5" x14ac:dyDescent="0.3">
      <c r="A61" s="1" t="s">
        <v>48</v>
      </c>
      <c r="B61" s="102">
        <f ca="1">B48*B49-B59</f>
        <v>120.77223136475075</v>
      </c>
      <c r="C61" s="102"/>
      <c r="D61" s="102">
        <f ca="1">D48*D49-D59</f>
        <v>673.71918979850011</v>
      </c>
      <c r="E61" s="102"/>
    </row>
    <row r="62" spans="1:5" x14ac:dyDescent="0.3">
      <c r="A62" s="1"/>
      <c r="B62" s="103"/>
      <c r="C62" s="103"/>
      <c r="D62" s="102"/>
      <c r="E62" s="102"/>
    </row>
    <row r="63" spans="1:5" x14ac:dyDescent="0.3">
      <c r="A63" s="1" t="s">
        <v>13</v>
      </c>
      <c r="B63" s="102">
        <f ca="1">AVERAGE(C67:C566)</f>
        <v>110.1096216538829</v>
      </c>
      <c r="C63" s="102"/>
      <c r="D63" s="102">
        <f ca="1">AVERAGE(E67:E566)</f>
        <v>135.85822858472733</v>
      </c>
      <c r="E63" s="102"/>
    </row>
    <row r="64" spans="1:5" x14ac:dyDescent="0.3">
      <c r="A64" s="1" t="s">
        <v>11</v>
      </c>
      <c r="B64" s="102">
        <f ca="1">STDEVA(C67:C566)</f>
        <v>54.963265412292053</v>
      </c>
      <c r="C64" s="102"/>
      <c r="D64" s="102">
        <f ca="1">STDEVA(E67:E566)</f>
        <v>156.27722926428413</v>
      </c>
      <c r="E64" s="102"/>
    </row>
    <row r="65" spans="1:5" x14ac:dyDescent="0.3">
      <c r="B65" s="103"/>
      <c r="C65" s="103"/>
      <c r="D65" s="101"/>
      <c r="E65" s="101"/>
    </row>
    <row r="66" spans="1:5" x14ac:dyDescent="0.3">
      <c r="A66" s="1" t="s">
        <v>64</v>
      </c>
      <c r="B66" s="101"/>
      <c r="C66" s="101"/>
      <c r="D66" s="101"/>
      <c r="E66" s="101"/>
    </row>
    <row r="67" spans="1:5" x14ac:dyDescent="0.3">
      <c r="B67" s="48">
        <v>1</v>
      </c>
      <c r="C67" s="49">
        <f ca="1">B61</f>
        <v>120.77223136475075</v>
      </c>
      <c r="D67" s="48">
        <f>B67</f>
        <v>1</v>
      </c>
      <c r="E67" s="49">
        <f ca="1">D61</f>
        <v>673.71918979850011</v>
      </c>
    </row>
    <row r="68" spans="1:5" x14ac:dyDescent="0.3">
      <c r="B68" s="48">
        <v>2</v>
      </c>
      <c r="C68" s="49">
        <v>160.25905930034503</v>
      </c>
      <c r="D68" s="48">
        <f>B68</f>
        <v>2</v>
      </c>
      <c r="E68" s="49">
        <v>164.13392041025185</v>
      </c>
    </row>
    <row r="69" spans="1:5" x14ac:dyDescent="0.3">
      <c r="B69" s="48">
        <v>3</v>
      </c>
      <c r="C69" s="49">
        <v>151.92902126547568</v>
      </c>
      <c r="D69" s="48">
        <f t="shared" ref="D69:D132" si="0">B69</f>
        <v>3</v>
      </c>
      <c r="E69" s="49">
        <v>61.673922607328755</v>
      </c>
    </row>
    <row r="70" spans="1:5" x14ac:dyDescent="0.3">
      <c r="B70" s="48">
        <v>4</v>
      </c>
      <c r="C70" s="49">
        <v>144.63171858110269</v>
      </c>
      <c r="D70" s="48">
        <f t="shared" si="0"/>
        <v>4</v>
      </c>
      <c r="E70" s="49">
        <v>66.443626315318141</v>
      </c>
    </row>
    <row r="71" spans="1:5" x14ac:dyDescent="0.3">
      <c r="B71" s="48">
        <v>5</v>
      </c>
      <c r="C71" s="49">
        <v>121.26693387957928</v>
      </c>
      <c r="D71" s="48">
        <f t="shared" si="0"/>
        <v>5</v>
      </c>
      <c r="E71" s="49">
        <v>77.466748785674895</v>
      </c>
    </row>
    <row r="72" spans="1:5" x14ac:dyDescent="0.3">
      <c r="B72" s="48">
        <v>6</v>
      </c>
      <c r="C72" s="49">
        <v>164.00558440705746</v>
      </c>
      <c r="D72" s="48">
        <f t="shared" si="0"/>
        <v>6</v>
      </c>
      <c r="E72" s="49">
        <v>61.962454507798462</v>
      </c>
    </row>
    <row r="73" spans="1:5" x14ac:dyDescent="0.3">
      <c r="B73" s="48">
        <v>7</v>
      </c>
      <c r="C73" s="49">
        <v>121.52155447865786</v>
      </c>
      <c r="D73" s="48">
        <f t="shared" si="0"/>
        <v>7</v>
      </c>
      <c r="E73" s="49">
        <v>95.472126079795274</v>
      </c>
    </row>
    <row r="74" spans="1:5" x14ac:dyDescent="0.3">
      <c r="B74" s="48">
        <v>8</v>
      </c>
      <c r="C74" s="49">
        <v>135.55667801171893</v>
      </c>
      <c r="D74" s="48">
        <f t="shared" si="0"/>
        <v>8</v>
      </c>
      <c r="E74" s="49">
        <v>15.84334634643314</v>
      </c>
    </row>
    <row r="75" spans="1:5" x14ac:dyDescent="0.3">
      <c r="B75" s="48">
        <v>9</v>
      </c>
      <c r="C75" s="49">
        <v>64.261285606994875</v>
      </c>
      <c r="D75" s="48">
        <f t="shared" si="0"/>
        <v>9</v>
      </c>
      <c r="E75" s="49">
        <v>6.3175678890945814</v>
      </c>
    </row>
    <row r="76" spans="1:5" x14ac:dyDescent="0.3">
      <c r="B76" s="48">
        <v>10</v>
      </c>
      <c r="C76" s="49">
        <v>67.652519446420712</v>
      </c>
      <c r="D76" s="48">
        <f t="shared" si="0"/>
        <v>10</v>
      </c>
      <c r="E76" s="49">
        <v>228.81322604234819</v>
      </c>
    </row>
    <row r="77" spans="1:5" x14ac:dyDescent="0.3">
      <c r="B77" s="48">
        <v>11</v>
      </c>
      <c r="C77" s="49">
        <v>142.00782306088979</v>
      </c>
      <c r="D77" s="48">
        <f t="shared" si="0"/>
        <v>11</v>
      </c>
      <c r="E77" s="49">
        <v>415.41391110754432</v>
      </c>
    </row>
    <row r="78" spans="1:5" x14ac:dyDescent="0.3">
      <c r="B78" s="48">
        <v>12</v>
      </c>
      <c r="C78" s="49">
        <v>65.447825974447028</v>
      </c>
      <c r="D78" s="48">
        <f t="shared" si="0"/>
        <v>12</v>
      </c>
      <c r="E78" s="49">
        <v>215.41197306966893</v>
      </c>
    </row>
    <row r="79" spans="1:5" x14ac:dyDescent="0.3">
      <c r="B79" s="48">
        <v>13</v>
      </c>
      <c r="C79" s="49">
        <v>116.64723819039861</v>
      </c>
      <c r="D79" s="48">
        <f t="shared" si="0"/>
        <v>13</v>
      </c>
      <c r="E79" s="49">
        <v>329.14996677122684</v>
      </c>
    </row>
    <row r="80" spans="1:5" x14ac:dyDescent="0.3">
      <c r="B80" s="48">
        <v>14</v>
      </c>
      <c r="C80" s="49">
        <v>144.61557098210747</v>
      </c>
      <c r="D80" s="48">
        <f t="shared" si="0"/>
        <v>14</v>
      </c>
      <c r="E80" s="49">
        <v>-82.204033396896094</v>
      </c>
    </row>
    <row r="81" spans="2:5" x14ac:dyDescent="0.3">
      <c r="B81" s="48">
        <v>15</v>
      </c>
      <c r="C81" s="49">
        <v>152.22898704905577</v>
      </c>
      <c r="D81" s="48">
        <f t="shared" si="0"/>
        <v>15</v>
      </c>
      <c r="E81" s="49">
        <v>9.5152978509521979</v>
      </c>
    </row>
    <row r="82" spans="2:5" x14ac:dyDescent="0.3">
      <c r="B82" s="48">
        <v>16</v>
      </c>
      <c r="C82" s="49">
        <v>106.40965959325563</v>
      </c>
      <c r="D82" s="48">
        <f t="shared" si="0"/>
        <v>16</v>
      </c>
      <c r="E82" s="49">
        <v>288.84462288071546</v>
      </c>
    </row>
    <row r="83" spans="2:5" x14ac:dyDescent="0.3">
      <c r="B83" s="48">
        <v>17</v>
      </c>
      <c r="C83" s="49">
        <v>78.03628441721709</v>
      </c>
      <c r="D83" s="48">
        <f t="shared" si="0"/>
        <v>17</v>
      </c>
      <c r="E83" s="49">
        <v>216.71508345255239</v>
      </c>
    </row>
    <row r="84" spans="2:5" x14ac:dyDescent="0.3">
      <c r="B84" s="48">
        <v>18</v>
      </c>
      <c r="C84" s="49">
        <v>139.5921112843896</v>
      </c>
      <c r="D84" s="48">
        <f t="shared" si="0"/>
        <v>18</v>
      </c>
      <c r="E84" s="49">
        <v>-2.3436000327334154</v>
      </c>
    </row>
    <row r="85" spans="2:5" x14ac:dyDescent="0.3">
      <c r="B85" s="48">
        <v>19</v>
      </c>
      <c r="C85" s="49">
        <v>98.224679052950009</v>
      </c>
      <c r="D85" s="48">
        <f t="shared" si="0"/>
        <v>19</v>
      </c>
      <c r="E85" s="49">
        <v>96.384134682480379</v>
      </c>
    </row>
    <row r="86" spans="2:5" x14ac:dyDescent="0.3">
      <c r="B86" s="48">
        <v>20</v>
      </c>
      <c r="C86" s="49">
        <v>67.887819815811824</v>
      </c>
      <c r="D86" s="48">
        <f t="shared" si="0"/>
        <v>20</v>
      </c>
      <c r="E86" s="49">
        <v>13.480721413559928</v>
      </c>
    </row>
    <row r="87" spans="2:5" x14ac:dyDescent="0.3">
      <c r="B87" s="48">
        <v>21</v>
      </c>
      <c r="C87" s="49">
        <v>125.51965152915606</v>
      </c>
      <c r="D87" s="48">
        <f t="shared" si="0"/>
        <v>21</v>
      </c>
      <c r="E87" s="49">
        <v>266.87725057616404</v>
      </c>
    </row>
    <row r="88" spans="2:5" x14ac:dyDescent="0.3">
      <c r="B88" s="48">
        <v>22</v>
      </c>
      <c r="C88" s="49">
        <v>122.25619877827872</v>
      </c>
      <c r="D88" s="48">
        <f t="shared" si="0"/>
        <v>22</v>
      </c>
      <c r="E88" s="49">
        <v>337.58904038476402</v>
      </c>
    </row>
    <row r="89" spans="2:5" x14ac:dyDescent="0.3">
      <c r="B89" s="48">
        <v>23</v>
      </c>
      <c r="C89" s="49">
        <v>-29.606952987696918</v>
      </c>
      <c r="D89" s="48">
        <f t="shared" si="0"/>
        <v>23</v>
      </c>
      <c r="E89" s="49">
        <v>446.86535626462035</v>
      </c>
    </row>
    <row r="90" spans="2:5" x14ac:dyDescent="0.3">
      <c r="B90" s="48">
        <v>24</v>
      </c>
      <c r="C90" s="49">
        <v>105.09873278112943</v>
      </c>
      <c r="D90" s="48">
        <f t="shared" si="0"/>
        <v>24</v>
      </c>
      <c r="E90" s="49">
        <v>267.47810764979351</v>
      </c>
    </row>
    <row r="91" spans="2:5" x14ac:dyDescent="0.3">
      <c r="B91" s="48">
        <v>25</v>
      </c>
      <c r="C91" s="49">
        <v>130.83000368966114</v>
      </c>
      <c r="D91" s="48">
        <f t="shared" si="0"/>
        <v>25</v>
      </c>
      <c r="E91" s="49">
        <v>90.937673675817777</v>
      </c>
    </row>
    <row r="92" spans="2:5" x14ac:dyDescent="0.3">
      <c r="B92" s="48">
        <v>26</v>
      </c>
      <c r="C92" s="49">
        <v>137.2431109715647</v>
      </c>
      <c r="D92" s="48">
        <f t="shared" si="0"/>
        <v>26</v>
      </c>
      <c r="E92" s="49">
        <v>-114.3038628307726</v>
      </c>
    </row>
    <row r="93" spans="2:5" x14ac:dyDescent="0.3">
      <c r="B93" s="48">
        <v>27</v>
      </c>
      <c r="C93" s="49">
        <v>142.22890854797316</v>
      </c>
      <c r="D93" s="48">
        <f t="shared" si="0"/>
        <v>27</v>
      </c>
      <c r="E93" s="49">
        <v>-120.46730260426448</v>
      </c>
    </row>
    <row r="94" spans="2:5" x14ac:dyDescent="0.3">
      <c r="B94" s="48">
        <v>28</v>
      </c>
      <c r="C94" s="49">
        <v>143.15846267450195</v>
      </c>
      <c r="D94" s="48">
        <f t="shared" si="0"/>
        <v>28</v>
      </c>
      <c r="E94" s="49">
        <v>158.33312076542737</v>
      </c>
    </row>
    <row r="95" spans="2:5" x14ac:dyDescent="0.3">
      <c r="B95" s="48">
        <v>29</v>
      </c>
      <c r="C95" s="49">
        <v>160.75834455713928</v>
      </c>
      <c r="D95" s="48">
        <f t="shared" si="0"/>
        <v>29</v>
      </c>
      <c r="E95" s="49">
        <v>142.4130802284264</v>
      </c>
    </row>
    <row r="96" spans="2:5" x14ac:dyDescent="0.3">
      <c r="B96" s="48">
        <v>30</v>
      </c>
      <c r="C96" s="49">
        <v>96.408319797812766</v>
      </c>
      <c r="D96" s="48">
        <f t="shared" si="0"/>
        <v>30</v>
      </c>
      <c r="E96" s="49">
        <v>-57.243709540203596</v>
      </c>
    </row>
    <row r="97" spans="2:5" x14ac:dyDescent="0.3">
      <c r="B97" s="48">
        <v>31</v>
      </c>
      <c r="C97" s="49">
        <v>131.10901988809243</v>
      </c>
      <c r="D97" s="48">
        <f t="shared" si="0"/>
        <v>31</v>
      </c>
      <c r="E97" s="49">
        <v>146.38748838275214</v>
      </c>
    </row>
    <row r="98" spans="2:5" x14ac:dyDescent="0.3">
      <c r="B98" s="48">
        <v>32</v>
      </c>
      <c r="C98" s="49">
        <v>120.57692653377092</v>
      </c>
      <c r="D98" s="48">
        <f t="shared" si="0"/>
        <v>32</v>
      </c>
      <c r="E98" s="49">
        <v>263.14316771431402</v>
      </c>
    </row>
    <row r="99" spans="2:5" x14ac:dyDescent="0.3">
      <c r="B99" s="48">
        <v>33</v>
      </c>
      <c r="C99" s="49">
        <v>141.39705283392021</v>
      </c>
      <c r="D99" s="48">
        <f t="shared" si="0"/>
        <v>33</v>
      </c>
      <c r="E99" s="49">
        <v>273.41458419313921</v>
      </c>
    </row>
    <row r="100" spans="2:5" x14ac:dyDescent="0.3">
      <c r="B100" s="48">
        <v>34</v>
      </c>
      <c r="C100" s="49">
        <v>95.782914585273076</v>
      </c>
      <c r="D100" s="48">
        <f t="shared" si="0"/>
        <v>34</v>
      </c>
      <c r="E100" s="49">
        <v>260.02641306604039</v>
      </c>
    </row>
    <row r="101" spans="2:5" x14ac:dyDescent="0.3">
      <c r="B101" s="48">
        <v>35</v>
      </c>
      <c r="C101" s="49">
        <v>143.48313737199405</v>
      </c>
      <c r="D101" s="48">
        <f t="shared" si="0"/>
        <v>35</v>
      </c>
      <c r="E101" s="49">
        <v>144.92832918498729</v>
      </c>
    </row>
    <row r="102" spans="2:5" x14ac:dyDescent="0.3">
      <c r="B102" s="48">
        <v>36</v>
      </c>
      <c r="C102" s="49">
        <v>113.01878717813615</v>
      </c>
      <c r="D102" s="48">
        <f t="shared" si="0"/>
        <v>36</v>
      </c>
      <c r="E102" s="49">
        <v>291.99812236976118</v>
      </c>
    </row>
    <row r="103" spans="2:5" x14ac:dyDescent="0.3">
      <c r="B103" s="48">
        <v>37</v>
      </c>
      <c r="C103" s="49">
        <v>144.4373124044651</v>
      </c>
      <c r="D103" s="48">
        <f t="shared" si="0"/>
        <v>37</v>
      </c>
      <c r="E103" s="49">
        <v>122.40739636574475</v>
      </c>
    </row>
    <row r="104" spans="2:5" x14ac:dyDescent="0.3">
      <c r="B104" s="48">
        <v>38</v>
      </c>
      <c r="C104" s="49">
        <v>143.16122670503066</v>
      </c>
      <c r="D104" s="48">
        <f t="shared" si="0"/>
        <v>38</v>
      </c>
      <c r="E104" s="49">
        <v>288.27017587003036</v>
      </c>
    </row>
    <row r="105" spans="2:5" x14ac:dyDescent="0.3">
      <c r="B105" s="48">
        <v>39</v>
      </c>
      <c r="C105" s="49">
        <v>132.54063892187676</v>
      </c>
      <c r="D105" s="48">
        <f t="shared" si="0"/>
        <v>39</v>
      </c>
      <c r="E105" s="49">
        <v>151.27919873502756</v>
      </c>
    </row>
    <row r="106" spans="2:5" x14ac:dyDescent="0.3">
      <c r="B106" s="48">
        <v>40</v>
      </c>
      <c r="C106" s="49">
        <v>181.8828265160825</v>
      </c>
      <c r="D106" s="48">
        <f t="shared" si="0"/>
        <v>40</v>
      </c>
      <c r="E106" s="49">
        <v>129.87670769482315</v>
      </c>
    </row>
    <row r="107" spans="2:5" x14ac:dyDescent="0.3">
      <c r="B107" s="48">
        <v>41</v>
      </c>
      <c r="C107" s="49">
        <v>145.45696833812215</v>
      </c>
      <c r="D107" s="48">
        <f t="shared" si="0"/>
        <v>41</v>
      </c>
      <c r="E107" s="49">
        <v>205.43732891582468</v>
      </c>
    </row>
    <row r="108" spans="2:5" x14ac:dyDescent="0.3">
      <c r="B108" s="48">
        <v>42</v>
      </c>
      <c r="C108" s="49">
        <v>89.244620619436674</v>
      </c>
      <c r="D108" s="48">
        <f t="shared" si="0"/>
        <v>42</v>
      </c>
      <c r="E108" s="49">
        <v>-159.02822240344716</v>
      </c>
    </row>
    <row r="109" spans="2:5" x14ac:dyDescent="0.3">
      <c r="B109" s="48">
        <v>43</v>
      </c>
      <c r="C109" s="49">
        <v>146.55551277256487</v>
      </c>
      <c r="D109" s="48">
        <f t="shared" si="0"/>
        <v>43</v>
      </c>
      <c r="E109" s="49">
        <v>359.1161214004664</v>
      </c>
    </row>
    <row r="110" spans="2:5" x14ac:dyDescent="0.3">
      <c r="B110" s="48">
        <v>44</v>
      </c>
      <c r="C110" s="49">
        <v>115.155834232589</v>
      </c>
      <c r="D110" s="48">
        <f t="shared" si="0"/>
        <v>44</v>
      </c>
      <c r="E110" s="49">
        <v>-58.630652025442757</v>
      </c>
    </row>
    <row r="111" spans="2:5" x14ac:dyDescent="0.3">
      <c r="B111" s="48">
        <v>45</v>
      </c>
      <c r="C111" s="49">
        <v>150.93720739744523</v>
      </c>
      <c r="D111" s="48">
        <f t="shared" si="0"/>
        <v>45</v>
      </c>
      <c r="E111" s="49">
        <v>72.654831445877065</v>
      </c>
    </row>
    <row r="112" spans="2:5" x14ac:dyDescent="0.3">
      <c r="B112" s="48">
        <v>46</v>
      </c>
      <c r="C112" s="49">
        <v>119.06183719199628</v>
      </c>
      <c r="D112" s="48">
        <f t="shared" si="0"/>
        <v>46</v>
      </c>
      <c r="E112" s="49">
        <v>67.628309709563581</v>
      </c>
    </row>
    <row r="113" spans="2:5" x14ac:dyDescent="0.3">
      <c r="B113" s="48">
        <v>47</v>
      </c>
      <c r="C113" s="49">
        <v>147.26875023900317</v>
      </c>
      <c r="D113" s="48">
        <f t="shared" si="0"/>
        <v>47</v>
      </c>
      <c r="E113" s="49">
        <v>90.855360390225002</v>
      </c>
    </row>
    <row r="114" spans="2:5" x14ac:dyDescent="0.3">
      <c r="B114" s="48">
        <v>48</v>
      </c>
      <c r="C114" s="49">
        <v>161.46618822347497</v>
      </c>
      <c r="D114" s="48">
        <f t="shared" si="0"/>
        <v>48</v>
      </c>
      <c r="E114" s="49">
        <v>-172.07922833099323</v>
      </c>
    </row>
    <row r="115" spans="2:5" x14ac:dyDescent="0.3">
      <c r="B115" s="48">
        <v>49</v>
      </c>
      <c r="C115" s="49">
        <v>86.11058056305346</v>
      </c>
      <c r="D115" s="48">
        <f t="shared" si="0"/>
        <v>49</v>
      </c>
      <c r="E115" s="49">
        <v>279.11804563444787</v>
      </c>
    </row>
    <row r="116" spans="2:5" x14ac:dyDescent="0.3">
      <c r="B116" s="48">
        <v>50</v>
      </c>
      <c r="C116" s="49">
        <v>96.854250689868223</v>
      </c>
      <c r="D116" s="48">
        <f t="shared" si="0"/>
        <v>50</v>
      </c>
      <c r="E116" s="49">
        <v>270.66755066522973</v>
      </c>
    </row>
    <row r="117" spans="2:5" x14ac:dyDescent="0.3">
      <c r="B117" s="48">
        <v>51</v>
      </c>
      <c r="C117" s="49">
        <v>77.797302657525762</v>
      </c>
      <c r="D117" s="48">
        <f t="shared" si="0"/>
        <v>51</v>
      </c>
      <c r="E117" s="49">
        <v>-187.16217054783368</v>
      </c>
    </row>
    <row r="118" spans="2:5" x14ac:dyDescent="0.3">
      <c r="B118" s="48">
        <v>52</v>
      </c>
      <c r="C118" s="49">
        <v>55.965219878941674</v>
      </c>
      <c r="D118" s="48">
        <f t="shared" si="0"/>
        <v>52</v>
      </c>
      <c r="E118" s="49">
        <v>-113.45501237670624</v>
      </c>
    </row>
    <row r="119" spans="2:5" x14ac:dyDescent="0.3">
      <c r="B119" s="48">
        <v>53</v>
      </c>
      <c r="C119" s="49">
        <v>126.61897821823213</v>
      </c>
      <c r="D119" s="48">
        <f t="shared" si="0"/>
        <v>53</v>
      </c>
      <c r="E119" s="49">
        <v>84.512254005829021</v>
      </c>
    </row>
    <row r="120" spans="2:5" x14ac:dyDescent="0.3">
      <c r="B120" s="48">
        <v>54</v>
      </c>
      <c r="C120" s="49">
        <v>0.53962539765901751</v>
      </c>
      <c r="D120" s="48">
        <f t="shared" si="0"/>
        <v>54</v>
      </c>
      <c r="E120" s="49">
        <v>265.79466490863354</v>
      </c>
    </row>
    <row r="121" spans="2:5" x14ac:dyDescent="0.3">
      <c r="B121" s="48">
        <v>55</v>
      </c>
      <c r="C121" s="49">
        <v>72.161915902088339</v>
      </c>
      <c r="D121" s="48">
        <f t="shared" si="0"/>
        <v>55</v>
      </c>
      <c r="E121" s="49">
        <v>207.90788356005334</v>
      </c>
    </row>
    <row r="122" spans="2:5" x14ac:dyDescent="0.3">
      <c r="B122" s="48">
        <v>56</v>
      </c>
      <c r="C122" s="49">
        <v>106.42502787656784</v>
      </c>
      <c r="D122" s="48">
        <f t="shared" si="0"/>
        <v>56</v>
      </c>
      <c r="E122" s="49">
        <v>232.51334841323074</v>
      </c>
    </row>
    <row r="123" spans="2:5" x14ac:dyDescent="0.3">
      <c r="B123" s="48">
        <v>57</v>
      </c>
      <c r="C123" s="49">
        <v>140.29558251063034</v>
      </c>
      <c r="D123" s="48">
        <f t="shared" si="0"/>
        <v>57</v>
      </c>
      <c r="E123" s="49">
        <v>376.71907679247664</v>
      </c>
    </row>
    <row r="124" spans="2:5" x14ac:dyDescent="0.3">
      <c r="B124" s="48">
        <v>58</v>
      </c>
      <c r="C124" s="49">
        <v>105.5377073808658</v>
      </c>
      <c r="D124" s="48">
        <f t="shared" si="0"/>
        <v>58</v>
      </c>
      <c r="E124" s="49">
        <v>-4.5957823967569311</v>
      </c>
    </row>
    <row r="125" spans="2:5" x14ac:dyDescent="0.3">
      <c r="B125" s="48">
        <v>59</v>
      </c>
      <c r="C125" s="49">
        <v>122.72966368515013</v>
      </c>
      <c r="D125" s="48">
        <f t="shared" si="0"/>
        <v>59</v>
      </c>
      <c r="E125" s="49">
        <v>105.39008433492165</v>
      </c>
    </row>
    <row r="126" spans="2:5" x14ac:dyDescent="0.3">
      <c r="B126" s="48">
        <v>60</v>
      </c>
      <c r="C126" s="49">
        <v>101.37693726135603</v>
      </c>
      <c r="D126" s="48">
        <f t="shared" si="0"/>
        <v>60</v>
      </c>
      <c r="E126" s="49">
        <v>170.97229508617642</v>
      </c>
    </row>
    <row r="127" spans="2:5" x14ac:dyDescent="0.3">
      <c r="B127" s="48">
        <v>61</v>
      </c>
      <c r="C127" s="49">
        <v>160.12913965350083</v>
      </c>
      <c r="D127" s="48">
        <f t="shared" si="0"/>
        <v>61</v>
      </c>
      <c r="E127" s="49">
        <v>74.435700954151557</v>
      </c>
    </row>
    <row r="128" spans="2:5" x14ac:dyDescent="0.3">
      <c r="B128" s="48">
        <v>62</v>
      </c>
      <c r="C128" s="49">
        <v>54.997239929239853</v>
      </c>
      <c r="D128" s="48">
        <f t="shared" si="0"/>
        <v>62</v>
      </c>
      <c r="E128" s="49">
        <v>269.12953502833022</v>
      </c>
    </row>
    <row r="129" spans="2:5" x14ac:dyDescent="0.3">
      <c r="B129" s="48">
        <v>63</v>
      </c>
      <c r="C129" s="49">
        <v>150.39752491490162</v>
      </c>
      <c r="D129" s="48">
        <f t="shared" si="0"/>
        <v>63</v>
      </c>
      <c r="E129" s="49">
        <v>124.98232154241687</v>
      </c>
    </row>
    <row r="130" spans="2:5" x14ac:dyDescent="0.3">
      <c r="B130" s="48">
        <v>64</v>
      </c>
      <c r="C130" s="49">
        <v>223.42796170760317</v>
      </c>
      <c r="D130" s="48">
        <f t="shared" si="0"/>
        <v>64</v>
      </c>
      <c r="E130" s="49">
        <v>309.67284517196356</v>
      </c>
    </row>
    <row r="131" spans="2:5" x14ac:dyDescent="0.3">
      <c r="B131" s="48">
        <v>65</v>
      </c>
      <c r="C131" s="49">
        <v>61.244267063187962</v>
      </c>
      <c r="D131" s="48">
        <f t="shared" si="0"/>
        <v>65</v>
      </c>
      <c r="E131" s="49">
        <v>-119.04405948326749</v>
      </c>
    </row>
    <row r="132" spans="2:5" x14ac:dyDescent="0.3">
      <c r="B132" s="48">
        <v>66</v>
      </c>
      <c r="C132" s="49">
        <v>106.48767723797376</v>
      </c>
      <c r="D132" s="48">
        <f t="shared" si="0"/>
        <v>66</v>
      </c>
      <c r="E132" s="49">
        <v>313.55402954922266</v>
      </c>
    </row>
    <row r="133" spans="2:5" x14ac:dyDescent="0.3">
      <c r="B133" s="48">
        <v>67</v>
      </c>
      <c r="C133" s="49">
        <v>-25.014771789520491</v>
      </c>
      <c r="D133" s="48">
        <f t="shared" ref="D133:D196" si="1">B133</f>
        <v>67</v>
      </c>
      <c r="E133" s="49">
        <v>9.0223685003881453</v>
      </c>
    </row>
    <row r="134" spans="2:5" x14ac:dyDescent="0.3">
      <c r="B134" s="48">
        <v>68</v>
      </c>
      <c r="C134" s="49">
        <v>66.553865069434991</v>
      </c>
      <c r="D134" s="48">
        <f t="shared" si="1"/>
        <v>68</v>
      </c>
      <c r="E134" s="49">
        <v>137.91079707541041</v>
      </c>
    </row>
    <row r="135" spans="2:5" x14ac:dyDescent="0.3">
      <c r="B135" s="48">
        <v>69</v>
      </c>
      <c r="C135" s="49">
        <v>130.86988950148285</v>
      </c>
      <c r="D135" s="48">
        <f t="shared" si="1"/>
        <v>69</v>
      </c>
      <c r="E135" s="49">
        <v>48.177735881899807</v>
      </c>
    </row>
    <row r="136" spans="2:5" x14ac:dyDescent="0.3">
      <c r="B136" s="48">
        <v>70</v>
      </c>
      <c r="C136" s="49">
        <v>30.901678591659696</v>
      </c>
      <c r="D136" s="48">
        <f t="shared" si="1"/>
        <v>70</v>
      </c>
      <c r="E136" s="49">
        <v>232.40128155795287</v>
      </c>
    </row>
    <row r="137" spans="2:5" x14ac:dyDescent="0.3">
      <c r="B137" s="48">
        <v>71</v>
      </c>
      <c r="C137" s="49">
        <v>188.33765066086178</v>
      </c>
      <c r="D137" s="48">
        <f t="shared" si="1"/>
        <v>71</v>
      </c>
      <c r="E137" s="49">
        <v>252.06767431920065</v>
      </c>
    </row>
    <row r="138" spans="2:5" x14ac:dyDescent="0.3">
      <c r="B138" s="48">
        <v>72</v>
      </c>
      <c r="C138" s="49">
        <v>97.357083767220374</v>
      </c>
      <c r="D138" s="48">
        <f t="shared" si="1"/>
        <v>72</v>
      </c>
      <c r="E138" s="49">
        <v>246.86467782750356</v>
      </c>
    </row>
    <row r="139" spans="2:5" x14ac:dyDescent="0.3">
      <c r="B139" s="48">
        <v>73</v>
      </c>
      <c r="C139" s="49">
        <v>121.20644421174184</v>
      </c>
      <c r="D139" s="48">
        <f t="shared" si="1"/>
        <v>73</v>
      </c>
      <c r="E139" s="49">
        <v>223.7081722448078</v>
      </c>
    </row>
    <row r="140" spans="2:5" x14ac:dyDescent="0.3">
      <c r="B140" s="48">
        <v>74</v>
      </c>
      <c r="C140" s="49">
        <v>88.978966094501033</v>
      </c>
      <c r="D140" s="48">
        <f t="shared" si="1"/>
        <v>74</v>
      </c>
      <c r="E140" s="49">
        <v>111.02045375639428</v>
      </c>
    </row>
    <row r="141" spans="2:5" x14ac:dyDescent="0.3">
      <c r="B141" s="48">
        <v>75</v>
      </c>
      <c r="C141" s="49">
        <v>101.60589552064481</v>
      </c>
      <c r="D141" s="48">
        <f t="shared" si="1"/>
        <v>75</v>
      </c>
      <c r="E141" s="49">
        <v>182.47369818856214</v>
      </c>
    </row>
    <row r="142" spans="2:5" x14ac:dyDescent="0.3">
      <c r="B142" s="48">
        <v>76</v>
      </c>
      <c r="C142" s="49">
        <v>94.919363648844325</v>
      </c>
      <c r="D142" s="48">
        <f t="shared" si="1"/>
        <v>76</v>
      </c>
      <c r="E142" s="49">
        <v>-248.11668171696161</v>
      </c>
    </row>
    <row r="143" spans="2:5" x14ac:dyDescent="0.3">
      <c r="B143" s="48">
        <v>77</v>
      </c>
      <c r="C143" s="49">
        <v>112.09498695426316</v>
      </c>
      <c r="D143" s="48">
        <f t="shared" si="1"/>
        <v>77</v>
      </c>
      <c r="E143" s="49">
        <v>-79.923162658970554</v>
      </c>
    </row>
    <row r="144" spans="2:5" x14ac:dyDescent="0.3">
      <c r="B144" s="48">
        <v>78</v>
      </c>
      <c r="C144" s="49">
        <v>178.11483218070339</v>
      </c>
      <c r="D144" s="48">
        <f t="shared" si="1"/>
        <v>78</v>
      </c>
      <c r="E144" s="49">
        <v>-92.062493207582349</v>
      </c>
    </row>
    <row r="145" spans="2:5" x14ac:dyDescent="0.3">
      <c r="B145" s="48">
        <v>79</v>
      </c>
      <c r="C145" s="49">
        <v>92.742767180247512</v>
      </c>
      <c r="D145" s="48">
        <f t="shared" si="1"/>
        <v>79</v>
      </c>
      <c r="E145" s="49">
        <v>-64.505226376854381</v>
      </c>
    </row>
    <row r="146" spans="2:5" x14ac:dyDescent="0.3">
      <c r="B146" s="48">
        <v>80</v>
      </c>
      <c r="C146" s="49">
        <v>153.58714856548156</v>
      </c>
      <c r="D146" s="48">
        <f t="shared" si="1"/>
        <v>80</v>
      </c>
      <c r="E146" s="49">
        <v>-119.44497801531227</v>
      </c>
    </row>
    <row r="147" spans="2:5" x14ac:dyDescent="0.3">
      <c r="B147" s="48">
        <v>81</v>
      </c>
      <c r="C147" s="49">
        <v>122.40248626243074</v>
      </c>
      <c r="D147" s="48">
        <f t="shared" si="1"/>
        <v>81</v>
      </c>
      <c r="E147" s="49">
        <v>121.62799418367119</v>
      </c>
    </row>
    <row r="148" spans="2:5" x14ac:dyDescent="0.3">
      <c r="B148" s="48">
        <v>82</v>
      </c>
      <c r="C148" s="49">
        <v>140.0217512724725</v>
      </c>
      <c r="D148" s="48">
        <f t="shared" si="1"/>
        <v>82</v>
      </c>
      <c r="E148" s="49">
        <v>260.24404251167289</v>
      </c>
    </row>
    <row r="149" spans="2:5" x14ac:dyDescent="0.3">
      <c r="B149" s="48">
        <v>83</v>
      </c>
      <c r="C149" s="49">
        <v>126.60736675079072</v>
      </c>
      <c r="D149" s="48">
        <f t="shared" si="1"/>
        <v>83</v>
      </c>
      <c r="E149" s="49">
        <v>138.3323544501192</v>
      </c>
    </row>
    <row r="150" spans="2:5" x14ac:dyDescent="0.3">
      <c r="B150" s="48">
        <v>84</v>
      </c>
      <c r="C150" s="49">
        <v>205.94909223582562</v>
      </c>
      <c r="D150" s="48">
        <f t="shared" si="1"/>
        <v>84</v>
      </c>
      <c r="E150" s="49">
        <v>41.973534925947767</v>
      </c>
    </row>
    <row r="151" spans="2:5" x14ac:dyDescent="0.3">
      <c r="B151" s="48">
        <v>85</v>
      </c>
      <c r="C151" s="49">
        <v>176.50538265796371</v>
      </c>
      <c r="D151" s="48">
        <f t="shared" si="1"/>
        <v>85</v>
      </c>
      <c r="E151" s="49">
        <v>142.3555069822593</v>
      </c>
    </row>
    <row r="152" spans="2:5" x14ac:dyDescent="0.3">
      <c r="B152" s="48">
        <v>86</v>
      </c>
      <c r="C152" s="49">
        <v>78.074294099728121</v>
      </c>
      <c r="D152" s="48">
        <f t="shared" si="1"/>
        <v>86</v>
      </c>
      <c r="E152" s="49">
        <v>83.735770639543844</v>
      </c>
    </row>
    <row r="153" spans="2:5" x14ac:dyDescent="0.3">
      <c r="B153" s="48">
        <v>87</v>
      </c>
      <c r="C153" s="49">
        <v>147.09799767667695</v>
      </c>
      <c r="D153" s="48">
        <f t="shared" si="1"/>
        <v>87</v>
      </c>
      <c r="E153" s="49">
        <v>125.64451090626167</v>
      </c>
    </row>
    <row r="154" spans="2:5" x14ac:dyDescent="0.3">
      <c r="B154" s="48">
        <v>88</v>
      </c>
      <c r="C154" s="49">
        <v>103.21469269083676</v>
      </c>
      <c r="D154" s="48">
        <f t="shared" si="1"/>
        <v>88</v>
      </c>
      <c r="E154" s="49">
        <v>7.0117412736557769</v>
      </c>
    </row>
    <row r="155" spans="2:5" x14ac:dyDescent="0.3">
      <c r="B155" s="48">
        <v>89</v>
      </c>
      <c r="C155" s="49">
        <v>79.136089222299319</v>
      </c>
      <c r="D155" s="48">
        <f t="shared" si="1"/>
        <v>89</v>
      </c>
      <c r="E155" s="49">
        <v>403.85578119709629</v>
      </c>
    </row>
    <row r="156" spans="2:5" x14ac:dyDescent="0.3">
      <c r="B156" s="48">
        <v>90</v>
      </c>
      <c r="C156" s="49">
        <v>79.557313220000935</v>
      </c>
      <c r="D156" s="48">
        <f t="shared" si="1"/>
        <v>90</v>
      </c>
      <c r="E156" s="49">
        <v>117.7144017465685</v>
      </c>
    </row>
    <row r="157" spans="2:5" x14ac:dyDescent="0.3">
      <c r="B157" s="48">
        <v>91</v>
      </c>
      <c r="C157" s="49">
        <v>149.73211318970684</v>
      </c>
      <c r="D157" s="48">
        <f t="shared" si="1"/>
        <v>91</v>
      </c>
      <c r="E157" s="49">
        <v>165.76853963872273</v>
      </c>
    </row>
    <row r="158" spans="2:5" x14ac:dyDescent="0.3">
      <c r="B158" s="48">
        <v>92</v>
      </c>
      <c r="C158" s="49">
        <v>139.23110312285337</v>
      </c>
      <c r="D158" s="48">
        <f t="shared" si="1"/>
        <v>92</v>
      </c>
      <c r="E158" s="49">
        <v>77.119167080425683</v>
      </c>
    </row>
    <row r="159" spans="2:5" x14ac:dyDescent="0.3">
      <c r="B159" s="48">
        <v>93</v>
      </c>
      <c r="C159" s="49">
        <v>107.40773238083152</v>
      </c>
      <c r="D159" s="48">
        <f t="shared" si="1"/>
        <v>93</v>
      </c>
      <c r="E159" s="49">
        <v>152.56072834679333</v>
      </c>
    </row>
    <row r="160" spans="2:5" x14ac:dyDescent="0.3">
      <c r="B160" s="48">
        <v>94</v>
      </c>
      <c r="C160" s="49">
        <v>110.43736635488362</v>
      </c>
      <c r="D160" s="48">
        <f t="shared" si="1"/>
        <v>94</v>
      </c>
      <c r="E160" s="49">
        <v>69.229585722315463</v>
      </c>
    </row>
    <row r="161" spans="2:5" x14ac:dyDescent="0.3">
      <c r="B161" s="48">
        <v>95</v>
      </c>
      <c r="C161" s="49">
        <v>94.24943236306278</v>
      </c>
      <c r="D161" s="48">
        <f t="shared" si="1"/>
        <v>95</v>
      </c>
      <c r="E161" s="49">
        <v>64.01735875618968</v>
      </c>
    </row>
    <row r="162" spans="2:5" x14ac:dyDescent="0.3">
      <c r="B162" s="48">
        <v>96</v>
      </c>
      <c r="C162" s="49">
        <v>89.154592297060304</v>
      </c>
      <c r="D162" s="48">
        <f t="shared" si="1"/>
        <v>96</v>
      </c>
      <c r="E162" s="49">
        <v>51.69351294430529</v>
      </c>
    </row>
    <row r="163" spans="2:5" x14ac:dyDescent="0.3">
      <c r="B163" s="48">
        <v>97</v>
      </c>
      <c r="C163" s="49">
        <v>88.04425142378237</v>
      </c>
      <c r="D163" s="48">
        <f t="shared" si="1"/>
        <v>97</v>
      </c>
      <c r="E163" s="49">
        <v>287.32023763949127</v>
      </c>
    </row>
    <row r="164" spans="2:5" x14ac:dyDescent="0.3">
      <c r="B164" s="48">
        <v>98</v>
      </c>
      <c r="C164" s="49">
        <v>113.88938952342998</v>
      </c>
      <c r="D164" s="48">
        <f t="shared" si="1"/>
        <v>98</v>
      </c>
      <c r="E164" s="49">
        <v>-295.76873219091897</v>
      </c>
    </row>
    <row r="165" spans="2:5" x14ac:dyDescent="0.3">
      <c r="B165" s="48">
        <v>99</v>
      </c>
      <c r="C165" s="49">
        <v>111.56224169971559</v>
      </c>
      <c r="D165" s="48">
        <f t="shared" si="1"/>
        <v>99</v>
      </c>
      <c r="E165" s="49">
        <v>-44.732436930515775</v>
      </c>
    </row>
    <row r="166" spans="2:5" x14ac:dyDescent="0.3">
      <c r="B166" s="48">
        <v>100</v>
      </c>
      <c r="C166" s="49">
        <v>103.5552884136786</v>
      </c>
      <c r="D166" s="48">
        <f t="shared" si="1"/>
        <v>100</v>
      </c>
      <c r="E166" s="49">
        <v>142.35772365974753</v>
      </c>
    </row>
    <row r="167" spans="2:5" x14ac:dyDescent="0.3">
      <c r="B167" s="48">
        <v>101</v>
      </c>
      <c r="C167" s="49">
        <v>106.13366261458359</v>
      </c>
      <c r="D167" s="48">
        <f t="shared" si="1"/>
        <v>101</v>
      </c>
      <c r="E167" s="49">
        <v>296.81258493186158</v>
      </c>
    </row>
    <row r="168" spans="2:5" x14ac:dyDescent="0.3">
      <c r="B168" s="48">
        <v>102</v>
      </c>
      <c r="C168" s="49">
        <v>13.277229042644709</v>
      </c>
      <c r="D168" s="48">
        <f t="shared" si="1"/>
        <v>102</v>
      </c>
      <c r="E168" s="49">
        <v>217.7061560336812</v>
      </c>
    </row>
    <row r="169" spans="2:5" x14ac:dyDescent="0.3">
      <c r="B169" s="48">
        <v>103</v>
      </c>
      <c r="C169" s="49">
        <v>58.862728808935024</v>
      </c>
      <c r="D169" s="48">
        <f t="shared" si="1"/>
        <v>103</v>
      </c>
      <c r="E169" s="49">
        <v>198.67039466384227</v>
      </c>
    </row>
    <row r="170" spans="2:5" x14ac:dyDescent="0.3">
      <c r="B170" s="48">
        <v>104</v>
      </c>
      <c r="C170" s="49">
        <v>91.147298287732838</v>
      </c>
      <c r="D170" s="48">
        <f t="shared" si="1"/>
        <v>104</v>
      </c>
      <c r="E170" s="49">
        <v>147.97819064009269</v>
      </c>
    </row>
    <row r="171" spans="2:5" x14ac:dyDescent="0.3">
      <c r="B171" s="48">
        <v>105</v>
      </c>
      <c r="C171" s="49">
        <v>147.43935037631735</v>
      </c>
      <c r="D171" s="48">
        <f t="shared" si="1"/>
        <v>105</v>
      </c>
      <c r="E171" s="49">
        <v>180.40488488806773</v>
      </c>
    </row>
    <row r="172" spans="2:5" x14ac:dyDescent="0.3">
      <c r="B172" s="48">
        <v>106</v>
      </c>
      <c r="C172" s="49">
        <v>212.12950563402256</v>
      </c>
      <c r="D172" s="48">
        <f t="shared" si="1"/>
        <v>106</v>
      </c>
      <c r="E172" s="49">
        <v>270.32068544985452</v>
      </c>
    </row>
    <row r="173" spans="2:5" x14ac:dyDescent="0.3">
      <c r="B173" s="48">
        <v>107</v>
      </c>
      <c r="C173" s="49">
        <v>118.70316263558205</v>
      </c>
      <c r="D173" s="48">
        <f t="shared" si="1"/>
        <v>107</v>
      </c>
      <c r="E173" s="49">
        <v>296.97136009251921</v>
      </c>
    </row>
    <row r="174" spans="2:5" x14ac:dyDescent="0.3">
      <c r="B174" s="48">
        <v>108</v>
      </c>
      <c r="C174" s="49">
        <v>-36.848543300452761</v>
      </c>
      <c r="D174" s="48">
        <f t="shared" si="1"/>
        <v>108</v>
      </c>
      <c r="E174" s="49">
        <v>169.45907649060194</v>
      </c>
    </row>
    <row r="175" spans="2:5" x14ac:dyDescent="0.3">
      <c r="B175" s="48">
        <v>109</v>
      </c>
      <c r="C175" s="49">
        <v>172.41817210324731</v>
      </c>
      <c r="D175" s="48">
        <f t="shared" si="1"/>
        <v>109</v>
      </c>
      <c r="E175" s="49">
        <v>-9.2084139733950092</v>
      </c>
    </row>
    <row r="176" spans="2:5" x14ac:dyDescent="0.3">
      <c r="B176" s="48">
        <v>110</v>
      </c>
      <c r="C176" s="49">
        <v>54.995088105146088</v>
      </c>
      <c r="D176" s="48">
        <f t="shared" si="1"/>
        <v>110</v>
      </c>
      <c r="E176" s="49">
        <v>12.446276255783786</v>
      </c>
    </row>
    <row r="177" spans="2:5" x14ac:dyDescent="0.3">
      <c r="B177" s="48">
        <v>111</v>
      </c>
      <c r="C177" s="49">
        <v>142.68321470692871</v>
      </c>
      <c r="D177" s="48">
        <f t="shared" si="1"/>
        <v>111</v>
      </c>
      <c r="E177" s="49">
        <v>68.499836774800059</v>
      </c>
    </row>
    <row r="178" spans="2:5" x14ac:dyDescent="0.3">
      <c r="B178" s="48">
        <v>112</v>
      </c>
      <c r="C178" s="49">
        <v>92.01198173579489</v>
      </c>
      <c r="D178" s="48">
        <f t="shared" si="1"/>
        <v>112</v>
      </c>
      <c r="E178" s="49">
        <v>220.2750990053683</v>
      </c>
    </row>
    <row r="179" spans="2:5" x14ac:dyDescent="0.3">
      <c r="B179" s="48">
        <v>113</v>
      </c>
      <c r="C179" s="49">
        <v>-185.18284461094913</v>
      </c>
      <c r="D179" s="48">
        <f t="shared" si="1"/>
        <v>113</v>
      </c>
      <c r="E179" s="49">
        <v>15.220665483591969</v>
      </c>
    </row>
    <row r="180" spans="2:5" x14ac:dyDescent="0.3">
      <c r="B180" s="48">
        <v>114</v>
      </c>
      <c r="C180" s="49">
        <v>6.7663242639972569</v>
      </c>
      <c r="D180" s="48">
        <f t="shared" si="1"/>
        <v>114</v>
      </c>
      <c r="E180" s="49">
        <v>11.597631142444698</v>
      </c>
    </row>
    <row r="181" spans="2:5" x14ac:dyDescent="0.3">
      <c r="B181" s="48">
        <v>115</v>
      </c>
      <c r="C181" s="49">
        <v>127.10941309223593</v>
      </c>
      <c r="D181" s="48">
        <f t="shared" si="1"/>
        <v>115</v>
      </c>
      <c r="E181" s="49">
        <v>586.4056084611799</v>
      </c>
    </row>
    <row r="182" spans="2:5" x14ac:dyDescent="0.3">
      <c r="B182" s="48">
        <v>116</v>
      </c>
      <c r="C182" s="49">
        <v>99.502465239357065</v>
      </c>
      <c r="D182" s="48">
        <f t="shared" si="1"/>
        <v>116</v>
      </c>
      <c r="E182" s="49">
        <v>144.29015079978529</v>
      </c>
    </row>
    <row r="183" spans="2:5" x14ac:dyDescent="0.3">
      <c r="B183" s="48">
        <v>117</v>
      </c>
      <c r="C183" s="49">
        <v>101.83091469141179</v>
      </c>
      <c r="D183" s="48">
        <f t="shared" si="1"/>
        <v>117</v>
      </c>
      <c r="E183" s="49">
        <v>-88.175226612093297</v>
      </c>
    </row>
    <row r="184" spans="2:5" x14ac:dyDescent="0.3">
      <c r="B184" s="48">
        <v>118</v>
      </c>
      <c r="C184" s="49">
        <v>28.916249971987121</v>
      </c>
      <c r="D184" s="48">
        <f t="shared" si="1"/>
        <v>118</v>
      </c>
      <c r="E184" s="49">
        <v>45.021225871256242</v>
      </c>
    </row>
    <row r="185" spans="2:5" x14ac:dyDescent="0.3">
      <c r="B185" s="48">
        <v>119</v>
      </c>
      <c r="C185" s="49">
        <v>132.32273576623092</v>
      </c>
      <c r="D185" s="48">
        <f t="shared" si="1"/>
        <v>119</v>
      </c>
      <c r="E185" s="49">
        <v>179.43378290200087</v>
      </c>
    </row>
    <row r="186" spans="2:5" x14ac:dyDescent="0.3">
      <c r="B186" s="48">
        <v>120</v>
      </c>
      <c r="C186" s="49">
        <v>34.652350010075011</v>
      </c>
      <c r="D186" s="48">
        <f t="shared" si="1"/>
        <v>120</v>
      </c>
      <c r="E186" s="49">
        <v>-45.957450971119684</v>
      </c>
    </row>
    <row r="187" spans="2:5" x14ac:dyDescent="0.3">
      <c r="B187" s="48">
        <v>121</v>
      </c>
      <c r="C187" s="49">
        <v>58.06064230502993</v>
      </c>
      <c r="D187" s="48">
        <f t="shared" si="1"/>
        <v>121</v>
      </c>
      <c r="E187" s="49">
        <v>206.54393156507723</v>
      </c>
    </row>
    <row r="188" spans="2:5" x14ac:dyDescent="0.3">
      <c r="B188" s="48">
        <v>122</v>
      </c>
      <c r="C188" s="49">
        <v>116.14166250839102</v>
      </c>
      <c r="D188" s="48">
        <f t="shared" si="1"/>
        <v>122</v>
      </c>
      <c r="E188" s="49">
        <v>281.48692776014218</v>
      </c>
    </row>
    <row r="189" spans="2:5" x14ac:dyDescent="0.3">
      <c r="B189" s="48">
        <v>123</v>
      </c>
      <c r="C189" s="49">
        <v>126.8997029283375</v>
      </c>
      <c r="D189" s="48">
        <f t="shared" si="1"/>
        <v>123</v>
      </c>
      <c r="E189" s="49">
        <v>123.85037601521267</v>
      </c>
    </row>
    <row r="190" spans="2:5" x14ac:dyDescent="0.3">
      <c r="B190" s="48">
        <v>124</v>
      </c>
      <c r="C190" s="49">
        <v>156.87994341719801</v>
      </c>
      <c r="D190" s="48">
        <f t="shared" si="1"/>
        <v>124</v>
      </c>
      <c r="E190" s="49">
        <v>238.24113312768637</v>
      </c>
    </row>
    <row r="191" spans="2:5" x14ac:dyDescent="0.3">
      <c r="B191" s="48">
        <v>125</v>
      </c>
      <c r="C191" s="49">
        <v>118.31705427480151</v>
      </c>
      <c r="D191" s="48">
        <f t="shared" si="1"/>
        <v>125</v>
      </c>
      <c r="E191" s="49">
        <v>253.76437634390194</v>
      </c>
    </row>
    <row r="192" spans="2:5" x14ac:dyDescent="0.3">
      <c r="B192" s="48">
        <v>126</v>
      </c>
      <c r="C192" s="49">
        <v>131.96018372246391</v>
      </c>
      <c r="D192" s="48">
        <f t="shared" si="1"/>
        <v>126</v>
      </c>
      <c r="E192" s="49">
        <v>176.41374565843788</v>
      </c>
    </row>
    <row r="193" spans="2:5" x14ac:dyDescent="0.3">
      <c r="B193" s="48">
        <v>127</v>
      </c>
      <c r="C193" s="49">
        <v>-3.1941915790041229</v>
      </c>
      <c r="D193" s="48">
        <f t="shared" si="1"/>
        <v>127</v>
      </c>
      <c r="E193" s="49">
        <v>386.50071634640767</v>
      </c>
    </row>
    <row r="194" spans="2:5" x14ac:dyDescent="0.3">
      <c r="B194" s="48">
        <v>128</v>
      </c>
      <c r="C194" s="49">
        <v>88.155871114627786</v>
      </c>
      <c r="D194" s="48">
        <f t="shared" si="1"/>
        <v>128</v>
      </c>
      <c r="E194" s="49">
        <v>-117.31330729834899</v>
      </c>
    </row>
    <row r="195" spans="2:5" x14ac:dyDescent="0.3">
      <c r="B195" s="48">
        <v>129</v>
      </c>
      <c r="C195" s="49">
        <v>89.078685347939725</v>
      </c>
      <c r="D195" s="48">
        <f t="shared" si="1"/>
        <v>129</v>
      </c>
      <c r="E195" s="49">
        <v>173.37468555261589</v>
      </c>
    </row>
    <row r="196" spans="2:5" x14ac:dyDescent="0.3">
      <c r="B196" s="48">
        <v>130</v>
      </c>
      <c r="C196" s="49">
        <v>111.69835874447502</v>
      </c>
      <c r="D196" s="48">
        <f t="shared" si="1"/>
        <v>130</v>
      </c>
      <c r="E196" s="49">
        <v>-129.21582220165732</v>
      </c>
    </row>
    <row r="197" spans="2:5" x14ac:dyDescent="0.3">
      <c r="B197" s="48">
        <v>131</v>
      </c>
      <c r="C197" s="49">
        <v>-61.980710893414333</v>
      </c>
      <c r="D197" s="48">
        <f t="shared" ref="D197:D260" si="2">B197</f>
        <v>131</v>
      </c>
      <c r="E197" s="49">
        <v>354.43560070981096</v>
      </c>
    </row>
    <row r="198" spans="2:5" x14ac:dyDescent="0.3">
      <c r="B198" s="48">
        <v>132</v>
      </c>
      <c r="C198" s="49">
        <v>7.6546207663244035</v>
      </c>
      <c r="D198" s="48">
        <f t="shared" si="2"/>
        <v>132</v>
      </c>
      <c r="E198" s="49">
        <v>330.21303242412756</v>
      </c>
    </row>
    <row r="199" spans="2:5" x14ac:dyDescent="0.3">
      <c r="B199" s="48">
        <v>133</v>
      </c>
      <c r="C199" s="49">
        <v>148.30244071624185</v>
      </c>
      <c r="D199" s="48">
        <f t="shared" si="2"/>
        <v>133</v>
      </c>
      <c r="E199" s="49">
        <v>398.23502943377082</v>
      </c>
    </row>
    <row r="200" spans="2:5" x14ac:dyDescent="0.3">
      <c r="B200" s="48">
        <v>134</v>
      </c>
      <c r="C200" s="49">
        <v>103.83132310843079</v>
      </c>
      <c r="D200" s="48">
        <f t="shared" si="2"/>
        <v>134</v>
      </c>
      <c r="E200" s="49">
        <v>92.503662835486935</v>
      </c>
    </row>
    <row r="201" spans="2:5" x14ac:dyDescent="0.3">
      <c r="B201" s="48">
        <v>135</v>
      </c>
      <c r="C201" s="49">
        <v>59.26324151656263</v>
      </c>
      <c r="D201" s="48">
        <f t="shared" si="2"/>
        <v>135</v>
      </c>
      <c r="E201" s="49">
        <v>82.401118052539871</v>
      </c>
    </row>
    <row r="202" spans="2:5" x14ac:dyDescent="0.3">
      <c r="B202" s="48">
        <v>136</v>
      </c>
      <c r="C202" s="49">
        <v>71.372732096730843</v>
      </c>
      <c r="D202" s="48">
        <f t="shared" si="2"/>
        <v>136</v>
      </c>
      <c r="E202" s="49">
        <v>219.61034269797727</v>
      </c>
    </row>
    <row r="203" spans="2:5" x14ac:dyDescent="0.3">
      <c r="B203" s="48">
        <v>137</v>
      </c>
      <c r="C203" s="49">
        <v>213.75066517436508</v>
      </c>
      <c r="D203" s="48">
        <f t="shared" si="2"/>
        <v>137</v>
      </c>
      <c r="E203" s="49">
        <v>314.77996420123463</v>
      </c>
    </row>
    <row r="204" spans="2:5" x14ac:dyDescent="0.3">
      <c r="B204" s="48">
        <v>138</v>
      </c>
      <c r="C204" s="49">
        <v>295.68703614238933</v>
      </c>
      <c r="D204" s="48">
        <f t="shared" si="2"/>
        <v>138</v>
      </c>
      <c r="E204" s="49">
        <v>63.005215644784684</v>
      </c>
    </row>
    <row r="205" spans="2:5" x14ac:dyDescent="0.3">
      <c r="B205" s="48">
        <v>139</v>
      </c>
      <c r="C205" s="49">
        <v>12.419879721807629</v>
      </c>
      <c r="D205" s="48">
        <f t="shared" si="2"/>
        <v>139</v>
      </c>
      <c r="E205" s="49">
        <v>-91.28017564718732</v>
      </c>
    </row>
    <row r="206" spans="2:5" x14ac:dyDescent="0.3">
      <c r="B206" s="48">
        <v>140</v>
      </c>
      <c r="C206" s="49">
        <v>121.75839480956503</v>
      </c>
      <c r="D206" s="48">
        <f t="shared" si="2"/>
        <v>140</v>
      </c>
      <c r="E206" s="49">
        <v>43.710120755323381</v>
      </c>
    </row>
    <row r="207" spans="2:5" x14ac:dyDescent="0.3">
      <c r="B207" s="48">
        <v>141</v>
      </c>
      <c r="C207" s="49">
        <v>127.88726570256995</v>
      </c>
      <c r="D207" s="48">
        <f t="shared" si="2"/>
        <v>141</v>
      </c>
      <c r="E207" s="49">
        <v>7.553260286208979</v>
      </c>
    </row>
    <row r="208" spans="2:5" x14ac:dyDescent="0.3">
      <c r="B208" s="48">
        <v>142</v>
      </c>
      <c r="C208" s="49">
        <v>67.493058871512403</v>
      </c>
      <c r="D208" s="48">
        <f t="shared" si="2"/>
        <v>142</v>
      </c>
      <c r="E208" s="49">
        <v>273.92853791523817</v>
      </c>
    </row>
    <row r="209" spans="2:5" x14ac:dyDescent="0.3">
      <c r="B209" s="48">
        <v>143</v>
      </c>
      <c r="C209" s="49">
        <v>86.954811081093482</v>
      </c>
      <c r="D209" s="48">
        <f t="shared" si="2"/>
        <v>143</v>
      </c>
      <c r="E209" s="49">
        <v>43.494832075036911</v>
      </c>
    </row>
    <row r="210" spans="2:5" x14ac:dyDescent="0.3">
      <c r="B210" s="48">
        <v>144</v>
      </c>
      <c r="C210" s="49">
        <v>115.15682208712494</v>
      </c>
      <c r="D210" s="48">
        <f t="shared" si="2"/>
        <v>144</v>
      </c>
      <c r="E210" s="49">
        <v>292.18750668643156</v>
      </c>
    </row>
    <row r="211" spans="2:5" x14ac:dyDescent="0.3">
      <c r="B211" s="48">
        <v>145</v>
      </c>
      <c r="C211" s="49">
        <v>-42.664057005279645</v>
      </c>
      <c r="D211" s="48">
        <f t="shared" si="2"/>
        <v>145</v>
      </c>
      <c r="E211" s="49">
        <v>147.97684839475994</v>
      </c>
    </row>
    <row r="212" spans="2:5" x14ac:dyDescent="0.3">
      <c r="B212" s="48">
        <v>146</v>
      </c>
      <c r="C212" s="49">
        <v>80.29076287382739</v>
      </c>
      <c r="D212" s="48">
        <f t="shared" si="2"/>
        <v>146</v>
      </c>
      <c r="E212" s="49">
        <v>221.53193824195924</v>
      </c>
    </row>
    <row r="213" spans="2:5" x14ac:dyDescent="0.3">
      <c r="B213" s="48">
        <v>147</v>
      </c>
      <c r="C213" s="49">
        <v>108.98497069411899</v>
      </c>
      <c r="D213" s="48">
        <f t="shared" si="2"/>
        <v>147</v>
      </c>
      <c r="E213" s="49">
        <v>140.06430757222893</v>
      </c>
    </row>
    <row r="214" spans="2:5" x14ac:dyDescent="0.3">
      <c r="B214" s="48">
        <v>148</v>
      </c>
      <c r="C214" s="49">
        <v>105.52583938232121</v>
      </c>
      <c r="D214" s="48">
        <f t="shared" si="2"/>
        <v>148</v>
      </c>
      <c r="E214" s="49">
        <v>56.698621133453514</v>
      </c>
    </row>
    <row r="215" spans="2:5" x14ac:dyDescent="0.3">
      <c r="B215" s="48">
        <v>149</v>
      </c>
      <c r="C215" s="49">
        <v>62.359847604965466</v>
      </c>
      <c r="D215" s="48">
        <f t="shared" si="2"/>
        <v>149</v>
      </c>
      <c r="E215" s="49">
        <v>5.6053472968148528</v>
      </c>
    </row>
    <row r="216" spans="2:5" x14ac:dyDescent="0.3">
      <c r="B216" s="48">
        <v>150</v>
      </c>
      <c r="C216" s="49">
        <v>164.09529335044036</v>
      </c>
      <c r="D216" s="48">
        <f t="shared" si="2"/>
        <v>150</v>
      </c>
      <c r="E216" s="49">
        <v>35.879000951950431</v>
      </c>
    </row>
    <row r="217" spans="2:5" x14ac:dyDescent="0.3">
      <c r="B217" s="48">
        <v>151</v>
      </c>
      <c r="C217" s="49">
        <v>69.737519091153345</v>
      </c>
      <c r="D217" s="48">
        <f t="shared" si="2"/>
        <v>151</v>
      </c>
      <c r="E217" s="49">
        <v>353.28703478896068</v>
      </c>
    </row>
    <row r="218" spans="2:5" x14ac:dyDescent="0.3">
      <c r="B218" s="48">
        <v>152</v>
      </c>
      <c r="C218" s="49">
        <v>108.4276777751259</v>
      </c>
      <c r="D218" s="48">
        <f t="shared" si="2"/>
        <v>152</v>
      </c>
      <c r="E218" s="49">
        <v>319.26137174484529</v>
      </c>
    </row>
    <row r="219" spans="2:5" x14ac:dyDescent="0.3">
      <c r="B219" s="48">
        <v>153</v>
      </c>
      <c r="C219" s="49">
        <v>26.239551377063929</v>
      </c>
      <c r="D219" s="48">
        <f t="shared" si="2"/>
        <v>153</v>
      </c>
      <c r="E219" s="49">
        <v>203.86074833059482</v>
      </c>
    </row>
    <row r="220" spans="2:5" x14ac:dyDescent="0.3">
      <c r="B220" s="48">
        <v>154</v>
      </c>
      <c r="C220" s="49">
        <v>137.2772145677099</v>
      </c>
      <c r="D220" s="48">
        <f t="shared" si="2"/>
        <v>154</v>
      </c>
      <c r="E220" s="49">
        <v>73.114364221143177</v>
      </c>
    </row>
    <row r="221" spans="2:5" x14ac:dyDescent="0.3">
      <c r="B221" s="48">
        <v>155</v>
      </c>
      <c r="C221" s="49">
        <v>163.64501641744656</v>
      </c>
      <c r="D221" s="48">
        <f t="shared" si="2"/>
        <v>155</v>
      </c>
      <c r="E221" s="49">
        <v>149.8576818202074</v>
      </c>
    </row>
    <row r="222" spans="2:5" x14ac:dyDescent="0.3">
      <c r="B222" s="48">
        <v>156</v>
      </c>
      <c r="C222" s="49">
        <v>156.22805133247698</v>
      </c>
      <c r="D222" s="48">
        <f t="shared" si="2"/>
        <v>156</v>
      </c>
      <c r="E222" s="49">
        <v>355.36304755725621</v>
      </c>
    </row>
    <row r="223" spans="2:5" x14ac:dyDescent="0.3">
      <c r="B223" s="48">
        <v>157</v>
      </c>
      <c r="C223" s="49">
        <v>81.671315540016153</v>
      </c>
      <c r="D223" s="48">
        <f t="shared" si="2"/>
        <v>157</v>
      </c>
      <c r="E223" s="49">
        <v>-3.706502953900138</v>
      </c>
    </row>
    <row r="224" spans="2:5" x14ac:dyDescent="0.3">
      <c r="B224" s="48">
        <v>158</v>
      </c>
      <c r="C224" s="49">
        <v>103.6413381170709</v>
      </c>
      <c r="D224" s="48">
        <f t="shared" si="2"/>
        <v>158</v>
      </c>
      <c r="E224" s="49">
        <v>114.56455418670976</v>
      </c>
    </row>
    <row r="225" spans="2:5" x14ac:dyDescent="0.3">
      <c r="B225" s="48">
        <v>159</v>
      </c>
      <c r="C225" s="49">
        <v>90.877624651743858</v>
      </c>
      <c r="D225" s="48">
        <f t="shared" si="2"/>
        <v>159</v>
      </c>
      <c r="E225" s="49">
        <v>289.82456213679495</v>
      </c>
    </row>
    <row r="226" spans="2:5" x14ac:dyDescent="0.3">
      <c r="B226" s="48">
        <v>160</v>
      </c>
      <c r="C226" s="49">
        <v>72.526875581444642</v>
      </c>
      <c r="D226" s="48">
        <f t="shared" si="2"/>
        <v>160</v>
      </c>
      <c r="E226" s="49">
        <v>85.373985431227453</v>
      </c>
    </row>
    <row r="227" spans="2:5" x14ac:dyDescent="0.3">
      <c r="B227" s="48">
        <v>161</v>
      </c>
      <c r="C227" s="49">
        <v>71.965222162371958</v>
      </c>
      <c r="D227" s="48">
        <f t="shared" si="2"/>
        <v>161</v>
      </c>
      <c r="E227" s="49">
        <v>-149.77432735256781</v>
      </c>
    </row>
    <row r="228" spans="2:5" x14ac:dyDescent="0.3">
      <c r="B228" s="48">
        <v>162</v>
      </c>
      <c r="C228" s="49">
        <v>126.08697572276955</v>
      </c>
      <c r="D228" s="48">
        <f t="shared" si="2"/>
        <v>162</v>
      </c>
      <c r="E228" s="49">
        <v>314.04001140612854</v>
      </c>
    </row>
    <row r="229" spans="2:5" x14ac:dyDescent="0.3">
      <c r="B229" s="48">
        <v>163</v>
      </c>
      <c r="C229" s="49">
        <v>48.367826860039017</v>
      </c>
      <c r="D229" s="48">
        <f t="shared" si="2"/>
        <v>163</v>
      </c>
      <c r="E229" s="49">
        <v>110.21463163215751</v>
      </c>
    </row>
    <row r="230" spans="2:5" x14ac:dyDescent="0.3">
      <c r="B230" s="48">
        <v>164</v>
      </c>
      <c r="C230" s="49">
        <v>134.62044572778476</v>
      </c>
      <c r="D230" s="48">
        <f t="shared" si="2"/>
        <v>164</v>
      </c>
      <c r="E230" s="49">
        <v>78.871425425561</v>
      </c>
    </row>
    <row r="231" spans="2:5" x14ac:dyDescent="0.3">
      <c r="B231" s="48">
        <v>165</v>
      </c>
      <c r="C231" s="49">
        <v>136.91814798942625</v>
      </c>
      <c r="D231" s="48">
        <f t="shared" si="2"/>
        <v>165</v>
      </c>
      <c r="E231" s="49">
        <v>130.76145770675146</v>
      </c>
    </row>
    <row r="232" spans="2:5" x14ac:dyDescent="0.3">
      <c r="B232" s="48">
        <v>166</v>
      </c>
      <c r="C232" s="49">
        <v>124.70683979660339</v>
      </c>
      <c r="D232" s="48">
        <f t="shared" si="2"/>
        <v>166</v>
      </c>
      <c r="E232" s="49">
        <v>102.42932997369476</v>
      </c>
    </row>
    <row r="233" spans="2:5" x14ac:dyDescent="0.3">
      <c r="B233" s="48">
        <v>167</v>
      </c>
      <c r="C233" s="49">
        <v>70.876779301913572</v>
      </c>
      <c r="D233" s="48">
        <f t="shared" si="2"/>
        <v>167</v>
      </c>
      <c r="E233" s="49">
        <v>152.9670051767271</v>
      </c>
    </row>
    <row r="234" spans="2:5" x14ac:dyDescent="0.3">
      <c r="B234" s="48">
        <v>168</v>
      </c>
      <c r="C234" s="49">
        <v>71.620330763527136</v>
      </c>
      <c r="D234" s="48">
        <f t="shared" si="2"/>
        <v>168</v>
      </c>
      <c r="E234" s="49">
        <v>572.7791174711258</v>
      </c>
    </row>
    <row r="235" spans="2:5" x14ac:dyDescent="0.3">
      <c r="B235" s="48">
        <v>169</v>
      </c>
      <c r="C235" s="49">
        <v>127.02564720902701</v>
      </c>
      <c r="D235" s="48">
        <f t="shared" si="2"/>
        <v>169</v>
      </c>
      <c r="E235" s="49">
        <v>30.055441388962532</v>
      </c>
    </row>
    <row r="236" spans="2:5" x14ac:dyDescent="0.3">
      <c r="B236" s="48">
        <v>170</v>
      </c>
      <c r="C236" s="49">
        <v>-5.8681339370431322</v>
      </c>
      <c r="D236" s="48">
        <f t="shared" si="2"/>
        <v>170</v>
      </c>
      <c r="E236" s="49">
        <v>54.617108935648652</v>
      </c>
    </row>
    <row r="237" spans="2:5" x14ac:dyDescent="0.3">
      <c r="B237" s="48">
        <v>171</v>
      </c>
      <c r="C237" s="49">
        <v>90.244086167317818</v>
      </c>
      <c r="D237" s="48">
        <f t="shared" si="2"/>
        <v>171</v>
      </c>
      <c r="E237" s="49">
        <v>121.20978850147685</v>
      </c>
    </row>
    <row r="238" spans="2:5" x14ac:dyDescent="0.3">
      <c r="B238" s="48">
        <v>172</v>
      </c>
      <c r="C238" s="49">
        <v>-94.487071626292561</v>
      </c>
      <c r="D238" s="48">
        <f t="shared" si="2"/>
        <v>172</v>
      </c>
      <c r="E238" s="49">
        <v>226.95504831054708</v>
      </c>
    </row>
    <row r="239" spans="2:5" x14ac:dyDescent="0.3">
      <c r="B239" s="48">
        <v>173</v>
      </c>
      <c r="C239" s="49">
        <v>128.42697774366295</v>
      </c>
      <c r="D239" s="48">
        <f t="shared" si="2"/>
        <v>173</v>
      </c>
      <c r="E239" s="49">
        <v>284.88567191729635</v>
      </c>
    </row>
    <row r="240" spans="2:5" x14ac:dyDescent="0.3">
      <c r="B240" s="48">
        <v>174</v>
      </c>
      <c r="C240" s="49">
        <v>51.007697047320661</v>
      </c>
      <c r="D240" s="48">
        <f t="shared" si="2"/>
        <v>174</v>
      </c>
      <c r="E240" s="49">
        <v>280.79109896963024</v>
      </c>
    </row>
    <row r="241" spans="2:5" x14ac:dyDescent="0.3">
      <c r="B241" s="48">
        <v>175</v>
      </c>
      <c r="C241" s="49">
        <v>102.44191942657017</v>
      </c>
      <c r="D241" s="48">
        <f t="shared" si="2"/>
        <v>175</v>
      </c>
      <c r="E241" s="49">
        <v>-138.42496754368514</v>
      </c>
    </row>
    <row r="242" spans="2:5" x14ac:dyDescent="0.3">
      <c r="B242" s="48">
        <v>176</v>
      </c>
      <c r="C242" s="49">
        <v>132.43403061502588</v>
      </c>
      <c r="D242" s="48">
        <f t="shared" si="2"/>
        <v>176</v>
      </c>
      <c r="E242" s="49">
        <v>58.729078406711245</v>
      </c>
    </row>
    <row r="243" spans="2:5" x14ac:dyDescent="0.3">
      <c r="B243" s="48">
        <v>177</v>
      </c>
      <c r="C243" s="49">
        <v>137.33754662831308</v>
      </c>
      <c r="D243" s="48">
        <f t="shared" si="2"/>
        <v>177</v>
      </c>
      <c r="E243" s="49">
        <v>21.402808780055814</v>
      </c>
    </row>
    <row r="244" spans="2:5" x14ac:dyDescent="0.3">
      <c r="B244" s="48">
        <v>178</v>
      </c>
      <c r="C244" s="49">
        <v>127.4430894657806</v>
      </c>
      <c r="D244" s="48">
        <f t="shared" si="2"/>
        <v>178</v>
      </c>
      <c r="E244" s="49">
        <v>213.71279538198888</v>
      </c>
    </row>
    <row r="245" spans="2:5" x14ac:dyDescent="0.3">
      <c r="B245" s="48">
        <v>179</v>
      </c>
      <c r="C245" s="49">
        <v>78.690921914098539</v>
      </c>
      <c r="D245" s="48">
        <f t="shared" si="2"/>
        <v>179</v>
      </c>
      <c r="E245" s="49">
        <v>89.124129036882181</v>
      </c>
    </row>
    <row r="246" spans="2:5" x14ac:dyDescent="0.3">
      <c r="B246" s="48">
        <v>180</v>
      </c>
      <c r="C246" s="49">
        <v>176.45581378889165</v>
      </c>
      <c r="D246" s="48">
        <f t="shared" si="2"/>
        <v>180</v>
      </c>
      <c r="E246" s="49">
        <v>339.51118591336808</v>
      </c>
    </row>
    <row r="247" spans="2:5" x14ac:dyDescent="0.3">
      <c r="B247" s="48">
        <v>181</v>
      </c>
      <c r="C247" s="49">
        <v>-77.958904413469824</v>
      </c>
      <c r="D247" s="48">
        <f t="shared" si="2"/>
        <v>181</v>
      </c>
      <c r="E247" s="49">
        <v>212.9621651564818</v>
      </c>
    </row>
    <row r="248" spans="2:5" x14ac:dyDescent="0.3">
      <c r="B248" s="48">
        <v>182</v>
      </c>
      <c r="C248" s="49">
        <v>27.794409383821055</v>
      </c>
      <c r="D248" s="48">
        <f t="shared" si="2"/>
        <v>182</v>
      </c>
      <c r="E248" s="49">
        <v>130.08382100405743</v>
      </c>
    </row>
    <row r="249" spans="2:5" x14ac:dyDescent="0.3">
      <c r="B249" s="48">
        <v>183</v>
      </c>
      <c r="C249" s="49">
        <v>121.54761220515664</v>
      </c>
      <c r="D249" s="48">
        <f t="shared" si="2"/>
        <v>183</v>
      </c>
      <c r="E249" s="49">
        <v>-65.566254812655671</v>
      </c>
    </row>
    <row r="250" spans="2:5" x14ac:dyDescent="0.3">
      <c r="B250" s="48">
        <v>184</v>
      </c>
      <c r="C250" s="49">
        <v>97.030861377297526</v>
      </c>
      <c r="D250" s="48">
        <f t="shared" si="2"/>
        <v>184</v>
      </c>
      <c r="E250" s="49">
        <v>6.8161479620524705</v>
      </c>
    </row>
    <row r="251" spans="2:5" x14ac:dyDescent="0.3">
      <c r="B251" s="48">
        <v>185</v>
      </c>
      <c r="C251" s="49">
        <v>39.907722570320075</v>
      </c>
      <c r="D251" s="48">
        <f t="shared" si="2"/>
        <v>185</v>
      </c>
      <c r="E251" s="49">
        <v>81.493431556920626</v>
      </c>
    </row>
    <row r="252" spans="2:5" x14ac:dyDescent="0.3">
      <c r="B252" s="48">
        <v>186</v>
      </c>
      <c r="C252" s="49">
        <v>124.28278902837437</v>
      </c>
      <c r="D252" s="48">
        <f t="shared" si="2"/>
        <v>186</v>
      </c>
      <c r="E252" s="49">
        <v>367.00913748564028</v>
      </c>
    </row>
    <row r="253" spans="2:5" x14ac:dyDescent="0.3">
      <c r="B253" s="48">
        <v>187</v>
      </c>
      <c r="C253" s="49">
        <v>156.44247217152798</v>
      </c>
      <c r="D253" s="48">
        <f t="shared" si="2"/>
        <v>187</v>
      </c>
      <c r="E253" s="49">
        <v>-63.803171294795888</v>
      </c>
    </row>
    <row r="254" spans="2:5" x14ac:dyDescent="0.3">
      <c r="B254" s="48">
        <v>188</v>
      </c>
      <c r="C254" s="49">
        <v>127.7923957087518</v>
      </c>
      <c r="D254" s="48">
        <f t="shared" si="2"/>
        <v>188</v>
      </c>
      <c r="E254" s="49">
        <v>205.24693346481664</v>
      </c>
    </row>
    <row r="255" spans="2:5" x14ac:dyDescent="0.3">
      <c r="B255" s="48">
        <v>189</v>
      </c>
      <c r="C255" s="49">
        <v>70.45672933503559</v>
      </c>
      <c r="D255" s="48">
        <f t="shared" si="2"/>
        <v>189</v>
      </c>
      <c r="E255" s="49">
        <v>158.1917534082572</v>
      </c>
    </row>
    <row r="256" spans="2:5" x14ac:dyDescent="0.3">
      <c r="B256" s="48">
        <v>190</v>
      </c>
      <c r="C256" s="49">
        <v>222.04220990684354</v>
      </c>
      <c r="D256" s="48">
        <f t="shared" si="2"/>
        <v>190</v>
      </c>
      <c r="E256" s="49">
        <v>-46.685779192782185</v>
      </c>
    </row>
    <row r="257" spans="2:5" x14ac:dyDescent="0.3">
      <c r="B257" s="48">
        <v>191</v>
      </c>
      <c r="C257" s="49">
        <v>151.25190866576935</v>
      </c>
      <c r="D257" s="48">
        <f t="shared" si="2"/>
        <v>191</v>
      </c>
      <c r="E257" s="49">
        <v>184.21849795813887</v>
      </c>
    </row>
    <row r="258" spans="2:5" x14ac:dyDescent="0.3">
      <c r="B258" s="48">
        <v>192</v>
      </c>
      <c r="C258" s="49">
        <v>122.07911173412444</v>
      </c>
      <c r="D258" s="48">
        <f t="shared" si="2"/>
        <v>192</v>
      </c>
      <c r="E258" s="49">
        <v>502.46501497925709</v>
      </c>
    </row>
    <row r="259" spans="2:5" x14ac:dyDescent="0.3">
      <c r="B259" s="48">
        <v>193</v>
      </c>
      <c r="C259" s="49">
        <v>12.836420301424374</v>
      </c>
      <c r="D259" s="48">
        <f t="shared" si="2"/>
        <v>193</v>
      </c>
      <c r="E259" s="49">
        <v>319.30723213130761</v>
      </c>
    </row>
    <row r="260" spans="2:5" x14ac:dyDescent="0.3">
      <c r="B260" s="48">
        <v>194</v>
      </c>
      <c r="C260" s="49">
        <v>135.91236490756154</v>
      </c>
      <c r="D260" s="48">
        <f t="shared" si="2"/>
        <v>194</v>
      </c>
      <c r="E260" s="49">
        <v>323.3296085606861</v>
      </c>
    </row>
    <row r="261" spans="2:5" x14ac:dyDescent="0.3">
      <c r="B261" s="48">
        <v>195</v>
      </c>
      <c r="C261" s="49">
        <v>79.77909165170442</v>
      </c>
      <c r="D261" s="48">
        <f t="shared" ref="D261:D324" si="3">B261</f>
        <v>195</v>
      </c>
      <c r="E261" s="49">
        <v>155.49879863949948</v>
      </c>
    </row>
    <row r="262" spans="2:5" x14ac:dyDescent="0.3">
      <c r="B262" s="48">
        <v>196</v>
      </c>
      <c r="C262" s="49">
        <v>125.20766866025073</v>
      </c>
      <c r="D262" s="48">
        <f t="shared" si="3"/>
        <v>196</v>
      </c>
      <c r="E262" s="49">
        <v>339.05257339921229</v>
      </c>
    </row>
    <row r="263" spans="2:5" x14ac:dyDescent="0.3">
      <c r="B263" s="48">
        <v>197</v>
      </c>
      <c r="C263" s="49">
        <v>74.179539822172529</v>
      </c>
      <c r="D263" s="48">
        <f t="shared" si="3"/>
        <v>197</v>
      </c>
      <c r="E263" s="49">
        <v>258.36541300338615</v>
      </c>
    </row>
    <row r="264" spans="2:5" x14ac:dyDescent="0.3">
      <c r="B264" s="48">
        <v>198</v>
      </c>
      <c r="C264" s="49">
        <v>88.175031874378931</v>
      </c>
      <c r="D264" s="48">
        <f t="shared" si="3"/>
        <v>198</v>
      </c>
      <c r="E264" s="49">
        <v>3.6403776666343681</v>
      </c>
    </row>
    <row r="265" spans="2:5" x14ac:dyDescent="0.3">
      <c r="B265" s="48">
        <v>199</v>
      </c>
      <c r="C265" s="49">
        <v>118.88320807568319</v>
      </c>
      <c r="D265" s="48">
        <f t="shared" si="3"/>
        <v>199</v>
      </c>
      <c r="E265" s="49">
        <v>-27.474865896782585</v>
      </c>
    </row>
    <row r="266" spans="2:5" x14ac:dyDescent="0.3">
      <c r="B266" s="48">
        <v>200</v>
      </c>
      <c r="C266" s="49">
        <v>159.21504423004666</v>
      </c>
      <c r="D266" s="48">
        <f t="shared" si="3"/>
        <v>200</v>
      </c>
      <c r="E266" s="49">
        <v>1.7783614676985455</v>
      </c>
    </row>
    <row r="267" spans="2:5" x14ac:dyDescent="0.3">
      <c r="B267" s="48">
        <v>201</v>
      </c>
      <c r="C267" s="49">
        <v>122.40652183976468</v>
      </c>
      <c r="D267" s="48">
        <f t="shared" si="3"/>
        <v>201</v>
      </c>
      <c r="E267" s="49">
        <v>-1.5684366538450063</v>
      </c>
    </row>
    <row r="268" spans="2:5" x14ac:dyDescent="0.3">
      <c r="B268" s="48">
        <v>202</v>
      </c>
      <c r="C268" s="49">
        <v>115.89511960374716</v>
      </c>
      <c r="D268" s="48">
        <f t="shared" si="3"/>
        <v>202</v>
      </c>
      <c r="E268" s="49">
        <v>87.572107392765503</v>
      </c>
    </row>
    <row r="269" spans="2:5" x14ac:dyDescent="0.3">
      <c r="B269" s="48">
        <v>203</v>
      </c>
      <c r="C269" s="49">
        <v>99.258543404127806</v>
      </c>
      <c r="D269" s="48">
        <f t="shared" si="3"/>
        <v>203</v>
      </c>
      <c r="E269" s="49">
        <v>152.60609254995839</v>
      </c>
    </row>
    <row r="270" spans="2:5" x14ac:dyDescent="0.3">
      <c r="B270" s="48">
        <v>204</v>
      </c>
      <c r="C270" s="49">
        <v>117.52035761107743</v>
      </c>
      <c r="D270" s="48">
        <f t="shared" si="3"/>
        <v>204</v>
      </c>
      <c r="E270" s="49">
        <v>29.341990035390218</v>
      </c>
    </row>
    <row r="271" spans="2:5" x14ac:dyDescent="0.3">
      <c r="B271" s="48">
        <v>205</v>
      </c>
      <c r="C271" s="49">
        <v>153.10844893965117</v>
      </c>
      <c r="D271" s="48">
        <f t="shared" si="3"/>
        <v>205</v>
      </c>
      <c r="E271" s="49">
        <v>413.99489967241925</v>
      </c>
    </row>
    <row r="272" spans="2:5" x14ac:dyDescent="0.3">
      <c r="B272" s="48">
        <v>206</v>
      </c>
      <c r="C272" s="49">
        <v>157.75967319329072</v>
      </c>
      <c r="D272" s="48">
        <f t="shared" si="3"/>
        <v>206</v>
      </c>
      <c r="E272" s="49">
        <v>189.9173633236646</v>
      </c>
    </row>
    <row r="273" spans="2:5" x14ac:dyDescent="0.3">
      <c r="B273" s="48">
        <v>207</v>
      </c>
      <c r="C273" s="49">
        <v>149.45309911532388</v>
      </c>
      <c r="D273" s="48">
        <f t="shared" si="3"/>
        <v>207</v>
      </c>
      <c r="E273" s="49">
        <v>308.06298287384652</v>
      </c>
    </row>
    <row r="274" spans="2:5" x14ac:dyDescent="0.3">
      <c r="B274" s="48">
        <v>208</v>
      </c>
      <c r="C274" s="49">
        <v>38.623213090555041</v>
      </c>
      <c r="D274" s="48">
        <f t="shared" si="3"/>
        <v>208</v>
      </c>
      <c r="E274" s="49">
        <v>283.9342735401882</v>
      </c>
    </row>
    <row r="275" spans="2:5" x14ac:dyDescent="0.3">
      <c r="B275" s="48">
        <v>209</v>
      </c>
      <c r="C275" s="49">
        <v>168.13351383242565</v>
      </c>
      <c r="D275" s="48">
        <f t="shared" si="3"/>
        <v>209</v>
      </c>
      <c r="E275" s="49">
        <v>182.83197170540626</v>
      </c>
    </row>
    <row r="276" spans="2:5" x14ac:dyDescent="0.3">
      <c r="B276" s="48">
        <v>210</v>
      </c>
      <c r="C276" s="49">
        <v>144.26254527427852</v>
      </c>
      <c r="D276" s="48">
        <f t="shared" si="3"/>
        <v>210</v>
      </c>
      <c r="E276" s="49">
        <v>188.67929986988528</v>
      </c>
    </row>
    <row r="277" spans="2:5" x14ac:dyDescent="0.3">
      <c r="B277" s="48">
        <v>211</v>
      </c>
      <c r="C277" s="49">
        <v>144.45861541073887</v>
      </c>
      <c r="D277" s="48">
        <f t="shared" si="3"/>
        <v>211</v>
      </c>
      <c r="E277" s="49">
        <v>-190.54537996702237</v>
      </c>
    </row>
    <row r="278" spans="2:5" x14ac:dyDescent="0.3">
      <c r="B278" s="48">
        <v>212</v>
      </c>
      <c r="C278" s="49">
        <v>142.8945754476054</v>
      </c>
      <c r="D278" s="48">
        <f t="shared" si="3"/>
        <v>212</v>
      </c>
      <c r="E278" s="49">
        <v>-19.008618993756439</v>
      </c>
    </row>
    <row r="279" spans="2:5" x14ac:dyDescent="0.3">
      <c r="B279" s="48">
        <v>213</v>
      </c>
      <c r="C279" s="49">
        <v>142.09626919793806</v>
      </c>
      <c r="D279" s="48">
        <f t="shared" si="3"/>
        <v>213</v>
      </c>
      <c r="E279" s="49">
        <v>39.303620340119267</v>
      </c>
    </row>
    <row r="280" spans="2:5" x14ac:dyDescent="0.3">
      <c r="B280" s="48">
        <v>214</v>
      </c>
      <c r="C280" s="49">
        <v>147.76693995961523</v>
      </c>
      <c r="D280" s="48">
        <f t="shared" si="3"/>
        <v>214</v>
      </c>
      <c r="E280" s="49">
        <v>97.131397257701011</v>
      </c>
    </row>
    <row r="281" spans="2:5" x14ac:dyDescent="0.3">
      <c r="B281" s="48">
        <v>215</v>
      </c>
      <c r="C281" s="49">
        <v>37.608457343102081</v>
      </c>
      <c r="D281" s="48">
        <f t="shared" si="3"/>
        <v>215</v>
      </c>
      <c r="E281" s="49">
        <v>-191.52860881605903</v>
      </c>
    </row>
    <row r="282" spans="2:5" x14ac:dyDescent="0.3">
      <c r="B282" s="48">
        <v>216</v>
      </c>
      <c r="C282" s="49">
        <v>94.847324982833669</v>
      </c>
      <c r="D282" s="48">
        <f t="shared" si="3"/>
        <v>216</v>
      </c>
      <c r="E282" s="49">
        <v>63.062602420411487</v>
      </c>
    </row>
    <row r="283" spans="2:5" x14ac:dyDescent="0.3">
      <c r="B283" s="48">
        <v>217</v>
      </c>
      <c r="C283" s="49">
        <v>160.01275964994915</v>
      </c>
      <c r="D283" s="48">
        <f t="shared" si="3"/>
        <v>217</v>
      </c>
      <c r="E283" s="49">
        <v>192.7536303401001</v>
      </c>
    </row>
    <row r="284" spans="2:5" x14ac:dyDescent="0.3">
      <c r="B284" s="48">
        <v>218</v>
      </c>
      <c r="C284" s="49">
        <v>139.23312262676561</v>
      </c>
      <c r="D284" s="48">
        <f t="shared" si="3"/>
        <v>218</v>
      </c>
      <c r="E284" s="49">
        <v>217.23119995603261</v>
      </c>
    </row>
    <row r="285" spans="2:5" x14ac:dyDescent="0.3">
      <c r="B285" s="48">
        <v>219</v>
      </c>
      <c r="C285" s="49">
        <v>71.807851016146259</v>
      </c>
      <c r="D285" s="48">
        <f t="shared" si="3"/>
        <v>219</v>
      </c>
      <c r="E285" s="49">
        <v>216.9617427719698</v>
      </c>
    </row>
    <row r="286" spans="2:5" x14ac:dyDescent="0.3">
      <c r="B286" s="48">
        <v>220</v>
      </c>
      <c r="C286" s="49">
        <v>154.23087005963959</v>
      </c>
      <c r="D286" s="48">
        <f t="shared" si="3"/>
        <v>220</v>
      </c>
      <c r="E286" s="49">
        <v>276.53951778629681</v>
      </c>
    </row>
    <row r="287" spans="2:5" x14ac:dyDescent="0.3">
      <c r="B287" s="48">
        <v>221</v>
      </c>
      <c r="C287" s="49">
        <v>124.15753473923535</v>
      </c>
      <c r="D287" s="48">
        <f t="shared" si="3"/>
        <v>221</v>
      </c>
      <c r="E287" s="49">
        <v>249.23307888767621</v>
      </c>
    </row>
    <row r="288" spans="2:5" x14ac:dyDescent="0.3">
      <c r="B288" s="48">
        <v>222</v>
      </c>
      <c r="C288" s="49">
        <v>149.06684827996395</v>
      </c>
      <c r="D288" s="48">
        <f t="shared" si="3"/>
        <v>222</v>
      </c>
      <c r="E288" s="49">
        <v>230.31011506961607</v>
      </c>
    </row>
    <row r="289" spans="2:5" x14ac:dyDescent="0.3">
      <c r="B289" s="48">
        <v>223</v>
      </c>
      <c r="C289" s="49">
        <v>86.277316264641513</v>
      </c>
      <c r="D289" s="48">
        <f t="shared" si="3"/>
        <v>223</v>
      </c>
      <c r="E289" s="49">
        <v>-195.48540703836559</v>
      </c>
    </row>
    <row r="290" spans="2:5" x14ac:dyDescent="0.3">
      <c r="B290" s="48">
        <v>224</v>
      </c>
      <c r="C290" s="49">
        <v>86.286792058976573</v>
      </c>
      <c r="D290" s="48">
        <f t="shared" si="3"/>
        <v>224</v>
      </c>
      <c r="E290" s="49">
        <v>153.09621152060731</v>
      </c>
    </row>
    <row r="291" spans="2:5" x14ac:dyDescent="0.3">
      <c r="B291" s="48">
        <v>225</v>
      </c>
      <c r="C291" s="49">
        <v>151.36805050143295</v>
      </c>
      <c r="D291" s="48">
        <f t="shared" si="3"/>
        <v>225</v>
      </c>
      <c r="E291" s="49">
        <v>-131.93886903956565</v>
      </c>
    </row>
    <row r="292" spans="2:5" x14ac:dyDescent="0.3">
      <c r="B292" s="48">
        <v>226</v>
      </c>
      <c r="C292" s="49">
        <v>130.65106115296433</v>
      </c>
      <c r="D292" s="48">
        <f t="shared" si="3"/>
        <v>226</v>
      </c>
      <c r="E292" s="49">
        <v>50.996390673963887</v>
      </c>
    </row>
    <row r="293" spans="2:5" x14ac:dyDescent="0.3">
      <c r="B293" s="48">
        <v>227</v>
      </c>
      <c r="C293" s="49">
        <v>149.83913474498519</v>
      </c>
      <c r="D293" s="48">
        <f t="shared" si="3"/>
        <v>227</v>
      </c>
      <c r="E293" s="49">
        <v>248.83949646783518</v>
      </c>
    </row>
    <row r="294" spans="2:5" x14ac:dyDescent="0.3">
      <c r="B294" s="48">
        <v>228</v>
      </c>
      <c r="C294" s="49">
        <v>139.32996426448355</v>
      </c>
      <c r="D294" s="48">
        <f t="shared" si="3"/>
        <v>228</v>
      </c>
      <c r="E294" s="49">
        <v>62.011380693789349</v>
      </c>
    </row>
    <row r="295" spans="2:5" x14ac:dyDescent="0.3">
      <c r="B295" s="48">
        <v>229</v>
      </c>
      <c r="C295" s="49">
        <v>128.15826786143671</v>
      </c>
      <c r="D295" s="48">
        <f t="shared" si="3"/>
        <v>229</v>
      </c>
      <c r="E295" s="49">
        <v>232.77685798052053</v>
      </c>
    </row>
    <row r="296" spans="2:5" x14ac:dyDescent="0.3">
      <c r="B296" s="48">
        <v>230</v>
      </c>
      <c r="C296" s="49">
        <v>161.57218712986509</v>
      </c>
      <c r="D296" s="48">
        <f t="shared" si="3"/>
        <v>230</v>
      </c>
      <c r="E296" s="49">
        <v>-79.25567452024886</v>
      </c>
    </row>
    <row r="297" spans="2:5" x14ac:dyDescent="0.3">
      <c r="B297" s="48">
        <v>231</v>
      </c>
      <c r="C297" s="49">
        <v>-0.13869622010101687</v>
      </c>
      <c r="D297" s="48">
        <f t="shared" si="3"/>
        <v>231</v>
      </c>
      <c r="E297" s="49">
        <v>-54.36604952736127</v>
      </c>
    </row>
    <row r="298" spans="2:5" x14ac:dyDescent="0.3">
      <c r="B298" s="48">
        <v>232</v>
      </c>
      <c r="C298" s="49">
        <v>112.17333832319329</v>
      </c>
      <c r="D298" s="48">
        <f t="shared" si="3"/>
        <v>232</v>
      </c>
      <c r="E298" s="49">
        <v>143.32618306393118</v>
      </c>
    </row>
    <row r="299" spans="2:5" x14ac:dyDescent="0.3">
      <c r="B299" s="48">
        <v>233</v>
      </c>
      <c r="C299" s="49">
        <v>105.65688010036027</v>
      </c>
      <c r="D299" s="48">
        <f t="shared" si="3"/>
        <v>233</v>
      </c>
      <c r="E299" s="49">
        <v>72.774365144561443</v>
      </c>
    </row>
    <row r="300" spans="2:5" x14ac:dyDescent="0.3">
      <c r="B300" s="48">
        <v>234</v>
      </c>
      <c r="C300" s="49">
        <v>129.38822258656728</v>
      </c>
      <c r="D300" s="48">
        <f t="shared" si="3"/>
        <v>234</v>
      </c>
      <c r="E300" s="49">
        <v>81.066477914651998</v>
      </c>
    </row>
    <row r="301" spans="2:5" x14ac:dyDescent="0.3">
      <c r="B301" s="48">
        <v>235</v>
      </c>
      <c r="C301" s="49">
        <v>142.99395905969072</v>
      </c>
      <c r="D301" s="48">
        <f t="shared" si="3"/>
        <v>235</v>
      </c>
      <c r="E301" s="49">
        <v>-6.9545208773763489</v>
      </c>
    </row>
    <row r="302" spans="2:5" x14ac:dyDescent="0.3">
      <c r="B302" s="48">
        <v>236</v>
      </c>
      <c r="C302" s="49">
        <v>131.03176313128384</v>
      </c>
      <c r="D302" s="48">
        <f t="shared" si="3"/>
        <v>236</v>
      </c>
      <c r="E302" s="49">
        <v>235.62890384164854</v>
      </c>
    </row>
    <row r="303" spans="2:5" x14ac:dyDescent="0.3">
      <c r="B303" s="48">
        <v>237</v>
      </c>
      <c r="C303" s="49">
        <v>113.49358284003681</v>
      </c>
      <c r="D303" s="48">
        <f t="shared" si="3"/>
        <v>237</v>
      </c>
      <c r="E303" s="49">
        <v>207.01198351115349</v>
      </c>
    </row>
    <row r="304" spans="2:5" x14ac:dyDescent="0.3">
      <c r="B304" s="48">
        <v>238</v>
      </c>
      <c r="C304" s="49">
        <v>41.140982131265268</v>
      </c>
      <c r="D304" s="48">
        <f t="shared" si="3"/>
        <v>238</v>
      </c>
      <c r="E304" s="49">
        <v>61.940521351235418</v>
      </c>
    </row>
    <row r="305" spans="2:5" x14ac:dyDescent="0.3">
      <c r="B305" s="48">
        <v>239</v>
      </c>
      <c r="C305" s="49">
        <v>149.25344699111949</v>
      </c>
      <c r="D305" s="48">
        <f t="shared" si="3"/>
        <v>239</v>
      </c>
      <c r="E305" s="49">
        <v>20.697089036462941</v>
      </c>
    </row>
    <row r="306" spans="2:5" x14ac:dyDescent="0.3">
      <c r="B306" s="48">
        <v>240</v>
      </c>
      <c r="C306" s="49">
        <v>131.54580703941502</v>
      </c>
      <c r="D306" s="48">
        <f t="shared" si="3"/>
        <v>240</v>
      </c>
      <c r="E306" s="49">
        <v>90.021800826038685</v>
      </c>
    </row>
    <row r="307" spans="2:5" x14ac:dyDescent="0.3">
      <c r="B307" s="48">
        <v>241</v>
      </c>
      <c r="C307" s="49">
        <v>108.41425230946345</v>
      </c>
      <c r="D307" s="48">
        <f t="shared" si="3"/>
        <v>241</v>
      </c>
      <c r="E307" s="49">
        <v>279.12924573041676</v>
      </c>
    </row>
    <row r="308" spans="2:5" x14ac:dyDescent="0.3">
      <c r="B308" s="48">
        <v>242</v>
      </c>
      <c r="C308" s="49">
        <v>152.86013196253148</v>
      </c>
      <c r="D308" s="48">
        <f t="shared" si="3"/>
        <v>242</v>
      </c>
      <c r="E308" s="49">
        <v>188.67716260335354</v>
      </c>
    </row>
    <row r="309" spans="2:5" x14ac:dyDescent="0.3">
      <c r="B309" s="48">
        <v>243</v>
      </c>
      <c r="C309" s="49">
        <v>131.63891211169704</v>
      </c>
      <c r="D309" s="48">
        <f t="shared" si="3"/>
        <v>243</v>
      </c>
      <c r="E309" s="49">
        <v>235.66969915448925</v>
      </c>
    </row>
    <row r="310" spans="2:5" x14ac:dyDescent="0.3">
      <c r="B310" s="48">
        <v>244</v>
      </c>
      <c r="C310" s="49">
        <v>127.23522966643375</v>
      </c>
      <c r="D310" s="48">
        <f t="shared" si="3"/>
        <v>244</v>
      </c>
      <c r="E310" s="49">
        <v>82.875022851007088</v>
      </c>
    </row>
    <row r="311" spans="2:5" x14ac:dyDescent="0.3">
      <c r="B311" s="48">
        <v>245</v>
      </c>
      <c r="C311" s="49">
        <v>52.979226594512454</v>
      </c>
      <c r="D311" s="48">
        <f t="shared" si="3"/>
        <v>245</v>
      </c>
      <c r="E311" s="49">
        <v>154.65611184904176</v>
      </c>
    </row>
    <row r="312" spans="2:5" x14ac:dyDescent="0.3">
      <c r="B312" s="48">
        <v>246</v>
      </c>
      <c r="C312" s="49">
        <v>101.3848612345553</v>
      </c>
      <c r="D312" s="48">
        <f t="shared" si="3"/>
        <v>246</v>
      </c>
      <c r="E312" s="49">
        <v>66.968488507828312</v>
      </c>
    </row>
    <row r="313" spans="2:5" x14ac:dyDescent="0.3">
      <c r="B313" s="48">
        <v>247</v>
      </c>
      <c r="C313" s="49">
        <v>148.28682123457142</v>
      </c>
      <c r="D313" s="48">
        <f t="shared" si="3"/>
        <v>247</v>
      </c>
      <c r="E313" s="49">
        <v>-115.12547065288065</v>
      </c>
    </row>
    <row r="314" spans="2:5" x14ac:dyDescent="0.3">
      <c r="B314" s="48">
        <v>248</v>
      </c>
      <c r="C314" s="49">
        <v>135.30970532040143</v>
      </c>
      <c r="D314" s="48">
        <f t="shared" si="3"/>
        <v>248</v>
      </c>
      <c r="E314" s="49">
        <v>242.94972714915488</v>
      </c>
    </row>
    <row r="315" spans="2:5" x14ac:dyDescent="0.3">
      <c r="B315" s="48">
        <v>249</v>
      </c>
      <c r="C315" s="49">
        <v>27.026429313966883</v>
      </c>
      <c r="D315" s="48">
        <f t="shared" si="3"/>
        <v>249</v>
      </c>
      <c r="E315" s="49">
        <v>57.342794304879114</v>
      </c>
    </row>
    <row r="316" spans="2:5" x14ac:dyDescent="0.3">
      <c r="B316" s="48">
        <v>250</v>
      </c>
      <c r="C316" s="49">
        <v>-7.9591128838823026</v>
      </c>
      <c r="D316" s="48">
        <f t="shared" si="3"/>
        <v>250</v>
      </c>
      <c r="E316" s="49">
        <v>295.28582312029232</v>
      </c>
    </row>
    <row r="317" spans="2:5" x14ac:dyDescent="0.3">
      <c r="B317" s="48">
        <v>251</v>
      </c>
      <c r="C317" s="49">
        <v>108.38433141613984</v>
      </c>
      <c r="D317" s="48">
        <f t="shared" si="3"/>
        <v>251</v>
      </c>
      <c r="E317" s="49">
        <v>-13.822990695818049</v>
      </c>
    </row>
    <row r="318" spans="2:5" x14ac:dyDescent="0.3">
      <c r="B318" s="48">
        <v>252</v>
      </c>
      <c r="C318" s="49">
        <v>64.623562334075302</v>
      </c>
      <c r="D318" s="48">
        <f t="shared" si="3"/>
        <v>252</v>
      </c>
      <c r="E318" s="49">
        <v>-45.299103592438719</v>
      </c>
    </row>
    <row r="319" spans="2:5" x14ac:dyDescent="0.3">
      <c r="B319" s="48">
        <v>253</v>
      </c>
      <c r="C319" s="49">
        <v>140.16638753291571</v>
      </c>
      <c r="D319" s="48">
        <f t="shared" si="3"/>
        <v>253</v>
      </c>
      <c r="E319" s="49">
        <v>207.15453882789512</v>
      </c>
    </row>
    <row r="320" spans="2:5" x14ac:dyDescent="0.3">
      <c r="B320" s="48">
        <v>254</v>
      </c>
      <c r="C320" s="49">
        <v>87.518601061736376</v>
      </c>
      <c r="D320" s="48">
        <f t="shared" si="3"/>
        <v>254</v>
      </c>
      <c r="E320" s="49">
        <v>58.485133571195377</v>
      </c>
    </row>
    <row r="321" spans="2:5" x14ac:dyDescent="0.3">
      <c r="B321" s="48">
        <v>255</v>
      </c>
      <c r="C321" s="49">
        <v>101.8325817273482</v>
      </c>
      <c r="D321" s="48">
        <f t="shared" si="3"/>
        <v>255</v>
      </c>
      <c r="E321" s="49">
        <v>121.96559428691046</v>
      </c>
    </row>
    <row r="322" spans="2:5" x14ac:dyDescent="0.3">
      <c r="B322" s="48">
        <v>256</v>
      </c>
      <c r="C322" s="49">
        <v>142.00820955361027</v>
      </c>
      <c r="D322" s="48">
        <f t="shared" si="3"/>
        <v>256</v>
      </c>
      <c r="E322" s="49">
        <v>218.81807189321944</v>
      </c>
    </row>
    <row r="323" spans="2:5" x14ac:dyDescent="0.3">
      <c r="B323" s="48">
        <v>257</v>
      </c>
      <c r="C323" s="49">
        <v>138.0077772982178</v>
      </c>
      <c r="D323" s="48">
        <f t="shared" si="3"/>
        <v>257</v>
      </c>
      <c r="E323" s="49">
        <v>94.919251057737341</v>
      </c>
    </row>
    <row r="324" spans="2:5" x14ac:dyDescent="0.3">
      <c r="B324" s="48">
        <v>258</v>
      </c>
      <c r="C324" s="49">
        <v>130.54995146993673</v>
      </c>
      <c r="D324" s="48">
        <f t="shared" si="3"/>
        <v>258</v>
      </c>
      <c r="E324" s="49">
        <v>-47.590667640652278</v>
      </c>
    </row>
    <row r="325" spans="2:5" x14ac:dyDescent="0.3">
      <c r="B325" s="48">
        <v>259</v>
      </c>
      <c r="C325" s="49">
        <v>85.396964647988156</v>
      </c>
      <c r="D325" s="48">
        <f t="shared" ref="D325:D388" si="4">B325</f>
        <v>259</v>
      </c>
      <c r="E325" s="49">
        <v>168.59098749181211</v>
      </c>
    </row>
    <row r="326" spans="2:5" x14ac:dyDescent="0.3">
      <c r="B326" s="48">
        <v>260</v>
      </c>
      <c r="C326" s="49">
        <v>121.58800134336329</v>
      </c>
      <c r="D326" s="48">
        <f t="shared" si="4"/>
        <v>260</v>
      </c>
      <c r="E326" s="49">
        <v>-120.60603998011523</v>
      </c>
    </row>
    <row r="327" spans="2:5" x14ac:dyDescent="0.3">
      <c r="B327" s="48">
        <v>261</v>
      </c>
      <c r="C327" s="49">
        <v>112.25044796120594</v>
      </c>
      <c r="D327" s="48">
        <f t="shared" si="4"/>
        <v>261</v>
      </c>
      <c r="E327" s="49">
        <v>47.227165186883646</v>
      </c>
    </row>
    <row r="328" spans="2:5" x14ac:dyDescent="0.3">
      <c r="B328" s="48">
        <v>262</v>
      </c>
      <c r="C328" s="49">
        <v>111.27163395290253</v>
      </c>
      <c r="D328" s="48">
        <f t="shared" si="4"/>
        <v>262</v>
      </c>
      <c r="E328" s="49">
        <v>223.3290491711341</v>
      </c>
    </row>
    <row r="329" spans="2:5" x14ac:dyDescent="0.3">
      <c r="B329" s="48">
        <v>263</v>
      </c>
      <c r="C329" s="49">
        <v>164.43766640375225</v>
      </c>
      <c r="D329" s="48">
        <f t="shared" si="4"/>
        <v>263</v>
      </c>
      <c r="E329" s="49">
        <v>-20.015010045486846</v>
      </c>
    </row>
    <row r="330" spans="2:5" x14ac:dyDescent="0.3">
      <c r="B330" s="48">
        <v>264</v>
      </c>
      <c r="C330" s="49">
        <v>55.834819580499662</v>
      </c>
      <c r="D330" s="48">
        <f t="shared" si="4"/>
        <v>264</v>
      </c>
      <c r="E330" s="49">
        <v>103.05895429633475</v>
      </c>
    </row>
    <row r="331" spans="2:5" x14ac:dyDescent="0.3">
      <c r="B331" s="48">
        <v>265</v>
      </c>
      <c r="C331" s="49">
        <v>107.67247115431425</v>
      </c>
      <c r="D331" s="48">
        <f t="shared" si="4"/>
        <v>265</v>
      </c>
      <c r="E331" s="49">
        <v>317.11862730266114</v>
      </c>
    </row>
    <row r="332" spans="2:5" x14ac:dyDescent="0.3">
      <c r="B332" s="48">
        <v>266</v>
      </c>
      <c r="C332" s="49">
        <v>108.23408902541323</v>
      </c>
      <c r="D332" s="48">
        <f t="shared" si="4"/>
        <v>266</v>
      </c>
      <c r="E332" s="49">
        <v>470.02567364285994</v>
      </c>
    </row>
    <row r="333" spans="2:5" x14ac:dyDescent="0.3">
      <c r="B333" s="48">
        <v>267</v>
      </c>
      <c r="C333" s="49">
        <v>144.58534023571661</v>
      </c>
      <c r="D333" s="48">
        <f t="shared" si="4"/>
        <v>267</v>
      </c>
      <c r="E333" s="49">
        <v>75.125923914212819</v>
      </c>
    </row>
    <row r="334" spans="2:5" x14ac:dyDescent="0.3">
      <c r="B334" s="48">
        <v>268</v>
      </c>
      <c r="C334" s="49">
        <v>120.59296159219846</v>
      </c>
      <c r="D334" s="48">
        <f t="shared" si="4"/>
        <v>268</v>
      </c>
      <c r="E334" s="49">
        <v>21.360123389490376</v>
      </c>
    </row>
    <row r="335" spans="2:5" x14ac:dyDescent="0.3">
      <c r="B335" s="48">
        <v>269</v>
      </c>
      <c r="C335" s="49">
        <v>-72.247827502094722</v>
      </c>
      <c r="D335" s="48">
        <f t="shared" si="4"/>
        <v>269</v>
      </c>
      <c r="E335" s="49">
        <v>282.69221597042838</v>
      </c>
    </row>
    <row r="336" spans="2:5" x14ac:dyDescent="0.3">
      <c r="B336" s="48">
        <v>270</v>
      </c>
      <c r="C336" s="49">
        <v>128.05189208625453</v>
      </c>
      <c r="D336" s="48">
        <f t="shared" si="4"/>
        <v>270</v>
      </c>
      <c r="E336" s="49">
        <v>178.65179432170609</v>
      </c>
    </row>
    <row r="337" spans="2:5" x14ac:dyDescent="0.3">
      <c r="B337" s="48">
        <v>271</v>
      </c>
      <c r="C337" s="49">
        <v>122.04858521096028</v>
      </c>
      <c r="D337" s="48">
        <f t="shared" si="4"/>
        <v>271</v>
      </c>
      <c r="E337" s="49">
        <v>224.10458587783228</v>
      </c>
    </row>
    <row r="338" spans="2:5" x14ac:dyDescent="0.3">
      <c r="B338" s="48">
        <v>272</v>
      </c>
      <c r="C338" s="49">
        <v>135.21284396348892</v>
      </c>
      <c r="D338" s="48">
        <f t="shared" si="4"/>
        <v>272</v>
      </c>
      <c r="E338" s="49">
        <v>49.007619550207508</v>
      </c>
    </row>
    <row r="339" spans="2:5" x14ac:dyDescent="0.3">
      <c r="B339" s="48">
        <v>273</v>
      </c>
      <c r="C339" s="49">
        <v>126.36327482609993</v>
      </c>
      <c r="D339" s="48">
        <f t="shared" si="4"/>
        <v>273</v>
      </c>
      <c r="E339" s="49">
        <v>156.57167724083098</v>
      </c>
    </row>
    <row r="340" spans="2:5" x14ac:dyDescent="0.3">
      <c r="B340" s="48">
        <v>274</v>
      </c>
      <c r="C340" s="49">
        <v>126.08511685712583</v>
      </c>
      <c r="D340" s="48">
        <f t="shared" si="4"/>
        <v>274</v>
      </c>
      <c r="E340" s="49">
        <v>-140.00657059172428</v>
      </c>
    </row>
    <row r="341" spans="2:5" x14ac:dyDescent="0.3">
      <c r="B341" s="48">
        <v>275</v>
      </c>
      <c r="C341" s="49">
        <v>160.43229285810668</v>
      </c>
      <c r="D341" s="48">
        <f t="shared" si="4"/>
        <v>275</v>
      </c>
      <c r="E341" s="49">
        <v>100.16533322234312</v>
      </c>
    </row>
    <row r="342" spans="2:5" x14ac:dyDescent="0.3">
      <c r="B342" s="48">
        <v>276</v>
      </c>
      <c r="C342" s="49">
        <v>140.96529855227385</v>
      </c>
      <c r="D342" s="48">
        <f t="shared" si="4"/>
        <v>276</v>
      </c>
      <c r="E342" s="49">
        <v>-67.452348923147454</v>
      </c>
    </row>
    <row r="343" spans="2:5" x14ac:dyDescent="0.3">
      <c r="B343" s="48">
        <v>277</v>
      </c>
      <c r="C343" s="49">
        <v>63.877901165109812</v>
      </c>
      <c r="D343" s="48">
        <f t="shared" si="4"/>
        <v>277</v>
      </c>
      <c r="E343" s="49">
        <v>-100.93838404997935</v>
      </c>
    </row>
    <row r="344" spans="2:5" x14ac:dyDescent="0.3">
      <c r="B344" s="48">
        <v>278</v>
      </c>
      <c r="C344" s="49">
        <v>149.26967967752873</v>
      </c>
      <c r="D344" s="48">
        <f t="shared" si="4"/>
        <v>278</v>
      </c>
      <c r="E344" s="49">
        <v>-115.16372283930635</v>
      </c>
    </row>
    <row r="345" spans="2:5" x14ac:dyDescent="0.3">
      <c r="B345" s="48">
        <v>279</v>
      </c>
      <c r="C345" s="49">
        <v>142.91457389129033</v>
      </c>
      <c r="D345" s="48">
        <f t="shared" si="4"/>
        <v>279</v>
      </c>
      <c r="E345" s="49">
        <v>56.49775143103485</v>
      </c>
    </row>
    <row r="346" spans="2:5" x14ac:dyDescent="0.3">
      <c r="B346" s="48">
        <v>280</v>
      </c>
      <c r="C346" s="49">
        <v>149.13531285663458</v>
      </c>
      <c r="D346" s="48">
        <f t="shared" si="4"/>
        <v>280</v>
      </c>
      <c r="E346" s="49">
        <v>90.223527420817987</v>
      </c>
    </row>
    <row r="347" spans="2:5" x14ac:dyDescent="0.3">
      <c r="B347" s="48">
        <v>281</v>
      </c>
      <c r="C347" s="49">
        <v>148.10807031845542</v>
      </c>
      <c r="D347" s="48">
        <f t="shared" si="4"/>
        <v>281</v>
      </c>
      <c r="E347" s="49">
        <v>87.9798055026681</v>
      </c>
    </row>
    <row r="348" spans="2:5" x14ac:dyDescent="0.3">
      <c r="B348" s="48">
        <v>282</v>
      </c>
      <c r="C348" s="49">
        <v>139.21509276177764</v>
      </c>
      <c r="D348" s="48">
        <f t="shared" si="4"/>
        <v>282</v>
      </c>
      <c r="E348" s="49">
        <v>62.696004595093214</v>
      </c>
    </row>
    <row r="349" spans="2:5" x14ac:dyDescent="0.3">
      <c r="B349" s="48">
        <v>283</v>
      </c>
      <c r="C349" s="49">
        <v>103.2266597676185</v>
      </c>
      <c r="D349" s="48">
        <f t="shared" si="4"/>
        <v>283</v>
      </c>
      <c r="E349" s="49">
        <v>188.81172063948986</v>
      </c>
    </row>
    <row r="350" spans="2:5" x14ac:dyDescent="0.3">
      <c r="B350" s="48">
        <v>284</v>
      </c>
      <c r="C350" s="49">
        <v>162.53054047589202</v>
      </c>
      <c r="D350" s="48">
        <f t="shared" si="4"/>
        <v>284</v>
      </c>
      <c r="E350" s="49">
        <v>135.29935026533659</v>
      </c>
    </row>
    <row r="351" spans="2:5" x14ac:dyDescent="0.3">
      <c r="B351" s="48">
        <v>285</v>
      </c>
      <c r="C351" s="49">
        <v>144.78614252148986</v>
      </c>
      <c r="D351" s="48">
        <f t="shared" si="4"/>
        <v>285</v>
      </c>
      <c r="E351" s="49">
        <v>115.99679026591443</v>
      </c>
    </row>
    <row r="352" spans="2:5" x14ac:dyDescent="0.3">
      <c r="B352" s="48">
        <v>286</v>
      </c>
      <c r="C352" s="49">
        <v>129.68077106681366</v>
      </c>
      <c r="D352" s="48">
        <f t="shared" si="4"/>
        <v>286</v>
      </c>
      <c r="E352" s="49">
        <v>13.913473478337391</v>
      </c>
    </row>
    <row r="353" spans="2:5" x14ac:dyDescent="0.3">
      <c r="B353" s="48">
        <v>287</v>
      </c>
      <c r="C353" s="49">
        <v>112.80365654638221</v>
      </c>
      <c r="D353" s="48">
        <f t="shared" si="4"/>
        <v>287</v>
      </c>
      <c r="E353" s="49">
        <v>68.621762243415276</v>
      </c>
    </row>
    <row r="354" spans="2:5" x14ac:dyDescent="0.3">
      <c r="B354" s="48">
        <v>288</v>
      </c>
      <c r="C354" s="49">
        <v>161.97342249254771</v>
      </c>
      <c r="D354" s="48">
        <f t="shared" si="4"/>
        <v>288</v>
      </c>
      <c r="E354" s="49">
        <v>397.01366276751429</v>
      </c>
    </row>
    <row r="355" spans="2:5" x14ac:dyDescent="0.3">
      <c r="B355" s="48">
        <v>289</v>
      </c>
      <c r="C355" s="49">
        <v>159.35645709919314</v>
      </c>
      <c r="D355" s="48">
        <f t="shared" si="4"/>
        <v>289</v>
      </c>
      <c r="E355" s="49">
        <v>160.85215569773374</v>
      </c>
    </row>
    <row r="356" spans="2:5" x14ac:dyDescent="0.3">
      <c r="B356" s="48">
        <v>290</v>
      </c>
      <c r="C356" s="49">
        <v>155.9859002445391</v>
      </c>
      <c r="D356" s="48">
        <f t="shared" si="4"/>
        <v>290</v>
      </c>
      <c r="E356" s="49">
        <v>414.41093120681933</v>
      </c>
    </row>
    <row r="357" spans="2:5" x14ac:dyDescent="0.3">
      <c r="B357" s="48">
        <v>291</v>
      </c>
      <c r="C357" s="49">
        <v>101.10833290618758</v>
      </c>
      <c r="D357" s="48">
        <f t="shared" si="4"/>
        <v>291</v>
      </c>
      <c r="E357" s="49">
        <v>158.82704565541087</v>
      </c>
    </row>
    <row r="358" spans="2:5" x14ac:dyDescent="0.3">
      <c r="B358" s="48">
        <v>292</v>
      </c>
      <c r="C358" s="49">
        <v>144.50034013156372</v>
      </c>
      <c r="D358" s="48">
        <f t="shared" si="4"/>
        <v>292</v>
      </c>
      <c r="E358" s="49">
        <v>247.95283574541546</v>
      </c>
    </row>
    <row r="359" spans="2:5" x14ac:dyDescent="0.3">
      <c r="B359" s="48">
        <v>293</v>
      </c>
      <c r="C359" s="49">
        <v>53.235053239714226</v>
      </c>
      <c r="D359" s="48">
        <f t="shared" si="4"/>
        <v>293</v>
      </c>
      <c r="E359" s="49">
        <v>329.05182590925949</v>
      </c>
    </row>
    <row r="360" spans="2:5" x14ac:dyDescent="0.3">
      <c r="B360" s="48">
        <v>294</v>
      </c>
      <c r="C360" s="49">
        <v>141.3475901267571</v>
      </c>
      <c r="D360" s="48">
        <f t="shared" si="4"/>
        <v>294</v>
      </c>
      <c r="E360" s="49">
        <v>-56.105820388471919</v>
      </c>
    </row>
    <row r="361" spans="2:5" x14ac:dyDescent="0.3">
      <c r="B361" s="48">
        <v>295</v>
      </c>
      <c r="C361" s="49">
        <v>178.73375956760373</v>
      </c>
      <c r="D361" s="48">
        <f t="shared" si="4"/>
        <v>295</v>
      </c>
      <c r="E361" s="49">
        <v>232.99516957674496</v>
      </c>
    </row>
    <row r="362" spans="2:5" x14ac:dyDescent="0.3">
      <c r="B362" s="48">
        <v>296</v>
      </c>
      <c r="C362" s="49">
        <v>180.21622197843371</v>
      </c>
      <c r="D362" s="48">
        <f t="shared" si="4"/>
        <v>296</v>
      </c>
      <c r="E362" s="49">
        <v>315.26188710445854</v>
      </c>
    </row>
    <row r="363" spans="2:5" x14ac:dyDescent="0.3">
      <c r="B363" s="48">
        <v>297</v>
      </c>
      <c r="C363" s="49">
        <v>43.822549232617241</v>
      </c>
      <c r="D363" s="48">
        <f t="shared" si="4"/>
        <v>297</v>
      </c>
      <c r="E363" s="49">
        <v>43.82293786643335</v>
      </c>
    </row>
    <row r="364" spans="2:5" x14ac:dyDescent="0.3">
      <c r="B364" s="48">
        <v>298</v>
      </c>
      <c r="C364" s="49">
        <v>124.86635891337673</v>
      </c>
      <c r="D364" s="48">
        <f t="shared" si="4"/>
        <v>298</v>
      </c>
      <c r="E364" s="49">
        <v>234.16597607289691</v>
      </c>
    </row>
    <row r="365" spans="2:5" x14ac:dyDescent="0.3">
      <c r="B365" s="48">
        <v>299</v>
      </c>
      <c r="C365" s="49">
        <v>232.28599096621525</v>
      </c>
      <c r="D365" s="48">
        <f t="shared" si="4"/>
        <v>299</v>
      </c>
      <c r="E365" s="49">
        <v>69.970907493778952</v>
      </c>
    </row>
    <row r="366" spans="2:5" x14ac:dyDescent="0.3">
      <c r="B366" s="48">
        <v>300</v>
      </c>
      <c r="C366" s="49">
        <v>82.107722344128206</v>
      </c>
      <c r="D366" s="48">
        <f t="shared" si="4"/>
        <v>300</v>
      </c>
      <c r="E366" s="49">
        <v>100.67368471193059</v>
      </c>
    </row>
    <row r="367" spans="2:5" x14ac:dyDescent="0.3">
      <c r="B367" s="48">
        <v>301</v>
      </c>
      <c r="C367" s="49">
        <v>132.76868478645204</v>
      </c>
      <c r="D367" s="48">
        <f t="shared" si="4"/>
        <v>301</v>
      </c>
      <c r="E367" s="49">
        <v>205.22578699687818</v>
      </c>
    </row>
    <row r="368" spans="2:5" x14ac:dyDescent="0.3">
      <c r="B368" s="48">
        <v>302</v>
      </c>
      <c r="C368" s="49">
        <v>98.401947245234382</v>
      </c>
      <c r="D368" s="48">
        <f t="shared" si="4"/>
        <v>302</v>
      </c>
      <c r="E368" s="49">
        <v>187.59312949442369</v>
      </c>
    </row>
    <row r="369" spans="2:5" x14ac:dyDescent="0.3">
      <c r="B369" s="48">
        <v>303</v>
      </c>
      <c r="C369" s="49">
        <v>171.18537182472946</v>
      </c>
      <c r="D369" s="48">
        <f t="shared" si="4"/>
        <v>303</v>
      </c>
      <c r="E369" s="49">
        <v>112.91464415781687</v>
      </c>
    </row>
    <row r="370" spans="2:5" x14ac:dyDescent="0.3">
      <c r="B370" s="48">
        <v>304</v>
      </c>
      <c r="C370" s="49">
        <v>134.00881720297073</v>
      </c>
      <c r="D370" s="48">
        <f t="shared" si="4"/>
        <v>304</v>
      </c>
      <c r="E370" s="49">
        <v>104.10201600658442</v>
      </c>
    </row>
    <row r="371" spans="2:5" x14ac:dyDescent="0.3">
      <c r="B371" s="48">
        <v>305</v>
      </c>
      <c r="C371" s="49">
        <v>139.14391995717602</v>
      </c>
      <c r="D371" s="48">
        <f t="shared" si="4"/>
        <v>305</v>
      </c>
      <c r="E371" s="49">
        <v>100.9467511776846</v>
      </c>
    </row>
    <row r="372" spans="2:5" x14ac:dyDescent="0.3">
      <c r="B372" s="48">
        <v>306</v>
      </c>
      <c r="C372" s="49">
        <v>114.86108074048055</v>
      </c>
      <c r="D372" s="48">
        <f t="shared" si="4"/>
        <v>306</v>
      </c>
      <c r="E372" s="49">
        <v>353.30696908253418</v>
      </c>
    </row>
    <row r="373" spans="2:5" x14ac:dyDescent="0.3">
      <c r="B373" s="48">
        <v>307</v>
      </c>
      <c r="C373" s="49">
        <v>82.88767256577043</v>
      </c>
      <c r="D373" s="48">
        <f t="shared" si="4"/>
        <v>307</v>
      </c>
      <c r="E373" s="49">
        <v>209.40266641457114</v>
      </c>
    </row>
    <row r="374" spans="2:5" x14ac:dyDescent="0.3">
      <c r="B374" s="48">
        <v>308</v>
      </c>
      <c r="C374" s="49">
        <v>101.55237148824412</v>
      </c>
      <c r="D374" s="48">
        <f t="shared" si="4"/>
        <v>308</v>
      </c>
      <c r="E374" s="49">
        <v>165.82349041149777</v>
      </c>
    </row>
    <row r="375" spans="2:5" x14ac:dyDescent="0.3">
      <c r="B375" s="48">
        <v>309</v>
      </c>
      <c r="C375" s="49">
        <v>158.76274524549422</v>
      </c>
      <c r="D375" s="48">
        <f t="shared" si="4"/>
        <v>309</v>
      </c>
      <c r="E375" s="49">
        <v>31.542773765722284</v>
      </c>
    </row>
    <row r="376" spans="2:5" x14ac:dyDescent="0.3">
      <c r="B376" s="48">
        <v>310</v>
      </c>
      <c r="C376" s="49">
        <v>144.11869063092692</v>
      </c>
      <c r="D376" s="48">
        <f t="shared" si="4"/>
        <v>310</v>
      </c>
      <c r="E376" s="49">
        <v>-126.30248663598351</v>
      </c>
    </row>
    <row r="377" spans="2:5" x14ac:dyDescent="0.3">
      <c r="B377" s="48">
        <v>311</v>
      </c>
      <c r="C377" s="49">
        <v>62.963029392163357</v>
      </c>
      <c r="D377" s="48">
        <f t="shared" si="4"/>
        <v>311</v>
      </c>
      <c r="E377" s="49">
        <v>261.02057739929671</v>
      </c>
    </row>
    <row r="378" spans="2:5" x14ac:dyDescent="0.3">
      <c r="B378" s="48">
        <v>312</v>
      </c>
      <c r="C378" s="49">
        <v>107.21370537024204</v>
      </c>
      <c r="D378" s="48">
        <f t="shared" si="4"/>
        <v>312</v>
      </c>
      <c r="E378" s="49">
        <v>120.92949664467713</v>
      </c>
    </row>
    <row r="379" spans="2:5" x14ac:dyDescent="0.3">
      <c r="B379" s="48">
        <v>313</v>
      </c>
      <c r="C379" s="49">
        <v>-39.429000463085686</v>
      </c>
      <c r="D379" s="48">
        <f t="shared" si="4"/>
        <v>313</v>
      </c>
      <c r="E379" s="49">
        <v>298.51564864803993</v>
      </c>
    </row>
    <row r="380" spans="2:5" x14ac:dyDescent="0.3">
      <c r="B380" s="48">
        <v>314</v>
      </c>
      <c r="C380" s="49">
        <v>141.21006420246999</v>
      </c>
      <c r="D380" s="48">
        <f t="shared" si="4"/>
        <v>314</v>
      </c>
      <c r="E380" s="49">
        <v>-16.020119882521122</v>
      </c>
    </row>
    <row r="381" spans="2:5" x14ac:dyDescent="0.3">
      <c r="B381" s="48">
        <v>315</v>
      </c>
      <c r="C381" s="49">
        <v>29.589534644867108</v>
      </c>
      <c r="D381" s="48">
        <f t="shared" si="4"/>
        <v>315</v>
      </c>
      <c r="E381" s="49">
        <v>-50.66602824971617</v>
      </c>
    </row>
    <row r="382" spans="2:5" x14ac:dyDescent="0.3">
      <c r="B382" s="48">
        <v>316</v>
      </c>
      <c r="C382" s="49">
        <v>138.38875916548454</v>
      </c>
      <c r="D382" s="48">
        <f t="shared" si="4"/>
        <v>316</v>
      </c>
      <c r="E382" s="49">
        <v>211.63069665365555</v>
      </c>
    </row>
    <row r="383" spans="2:5" x14ac:dyDescent="0.3">
      <c r="B383" s="48">
        <v>317</v>
      </c>
      <c r="C383" s="49">
        <v>97.308653940378278</v>
      </c>
      <c r="D383" s="48">
        <f t="shared" si="4"/>
        <v>317</v>
      </c>
      <c r="E383" s="49">
        <v>365.39462899006259</v>
      </c>
    </row>
    <row r="384" spans="2:5" x14ac:dyDescent="0.3">
      <c r="B384" s="48">
        <v>318</v>
      </c>
      <c r="C384" s="49">
        <v>179.94877374356219</v>
      </c>
      <c r="D384" s="48">
        <f t="shared" si="4"/>
        <v>318</v>
      </c>
      <c r="E384" s="49">
        <v>345.32872586483347</v>
      </c>
    </row>
    <row r="385" spans="2:5" x14ac:dyDescent="0.3">
      <c r="B385" s="48">
        <v>319</v>
      </c>
      <c r="C385" s="49">
        <v>125.26778321206405</v>
      </c>
      <c r="D385" s="48">
        <f t="shared" si="4"/>
        <v>319</v>
      </c>
      <c r="E385" s="49">
        <v>209.27219328055395</v>
      </c>
    </row>
    <row r="386" spans="2:5" x14ac:dyDescent="0.3">
      <c r="B386" s="48">
        <v>320</v>
      </c>
      <c r="C386" s="49">
        <v>140.63504919771322</v>
      </c>
      <c r="D386" s="48">
        <f t="shared" si="4"/>
        <v>320</v>
      </c>
      <c r="E386" s="49">
        <v>209.25497162166585</v>
      </c>
    </row>
    <row r="387" spans="2:5" x14ac:dyDescent="0.3">
      <c r="B387" s="48">
        <v>321</v>
      </c>
      <c r="C387" s="49">
        <v>140.66412307505828</v>
      </c>
      <c r="D387" s="48">
        <f t="shared" si="4"/>
        <v>321</v>
      </c>
      <c r="E387" s="49">
        <v>-15.697739437124316</v>
      </c>
    </row>
    <row r="388" spans="2:5" x14ac:dyDescent="0.3">
      <c r="B388" s="48">
        <v>322</v>
      </c>
      <c r="C388" s="49">
        <v>142.67317688250566</v>
      </c>
      <c r="D388" s="48">
        <f t="shared" si="4"/>
        <v>322</v>
      </c>
      <c r="E388" s="49">
        <v>-12.458704073030873</v>
      </c>
    </row>
    <row r="389" spans="2:5" x14ac:dyDescent="0.3">
      <c r="B389" s="48">
        <v>323</v>
      </c>
      <c r="C389" s="49">
        <v>101.77547170130923</v>
      </c>
      <c r="D389" s="48">
        <f t="shared" ref="D389:D452" si="5">B389</f>
        <v>323</v>
      </c>
      <c r="E389" s="49">
        <v>-85.461780091858756</v>
      </c>
    </row>
    <row r="390" spans="2:5" x14ac:dyDescent="0.3">
      <c r="B390" s="48">
        <v>324</v>
      </c>
      <c r="C390" s="49">
        <v>130.38779377274983</v>
      </c>
      <c r="D390" s="48">
        <f t="shared" si="5"/>
        <v>324</v>
      </c>
      <c r="E390" s="49">
        <v>99.322631330153527</v>
      </c>
    </row>
    <row r="391" spans="2:5" x14ac:dyDescent="0.3">
      <c r="B391" s="48">
        <v>325</v>
      </c>
      <c r="C391" s="49">
        <v>75.790317493360675</v>
      </c>
      <c r="D391" s="48">
        <f t="shared" si="5"/>
        <v>325</v>
      </c>
      <c r="E391" s="49">
        <v>24.477565234390482</v>
      </c>
    </row>
    <row r="392" spans="2:5" x14ac:dyDescent="0.3">
      <c r="B392" s="48">
        <v>326</v>
      </c>
      <c r="C392" s="49">
        <v>135.97450902007185</v>
      </c>
      <c r="D392" s="48">
        <f t="shared" si="5"/>
        <v>326</v>
      </c>
      <c r="E392" s="49">
        <v>416.8767735911224</v>
      </c>
    </row>
    <row r="393" spans="2:5" x14ac:dyDescent="0.3">
      <c r="B393" s="48">
        <v>327</v>
      </c>
      <c r="C393" s="49">
        <v>83.981225121172514</v>
      </c>
      <c r="D393" s="48">
        <f t="shared" si="5"/>
        <v>327</v>
      </c>
      <c r="E393" s="49">
        <v>6.3892060000164808</v>
      </c>
    </row>
    <row r="394" spans="2:5" x14ac:dyDescent="0.3">
      <c r="B394" s="48">
        <v>328</v>
      </c>
      <c r="C394" s="49">
        <v>136.36559237423376</v>
      </c>
      <c r="D394" s="48">
        <f t="shared" si="5"/>
        <v>328</v>
      </c>
      <c r="E394" s="49">
        <v>144.72118282560197</v>
      </c>
    </row>
    <row r="395" spans="2:5" x14ac:dyDescent="0.3">
      <c r="B395" s="48">
        <v>329</v>
      </c>
      <c r="C395" s="49">
        <v>133.30680994922966</v>
      </c>
      <c r="D395" s="48">
        <f t="shared" si="5"/>
        <v>329</v>
      </c>
      <c r="E395" s="49">
        <v>-254.8798394936577</v>
      </c>
    </row>
    <row r="396" spans="2:5" x14ac:dyDescent="0.3">
      <c r="B396" s="48">
        <v>330</v>
      </c>
      <c r="C396" s="49">
        <v>2.7819330208913708</v>
      </c>
      <c r="D396" s="48">
        <f t="shared" si="5"/>
        <v>330</v>
      </c>
      <c r="E396" s="49">
        <v>166.22937979325945</v>
      </c>
    </row>
    <row r="397" spans="2:5" x14ac:dyDescent="0.3">
      <c r="B397" s="48">
        <v>331</v>
      </c>
      <c r="C397" s="49">
        <v>87.235018619852355</v>
      </c>
      <c r="D397" s="48">
        <f t="shared" si="5"/>
        <v>331</v>
      </c>
      <c r="E397" s="49">
        <v>38.366068896827251</v>
      </c>
    </row>
    <row r="398" spans="2:5" x14ac:dyDescent="0.3">
      <c r="B398" s="48">
        <v>332</v>
      </c>
      <c r="C398" s="49">
        <v>144.12059191623354</v>
      </c>
      <c r="D398" s="48">
        <f t="shared" si="5"/>
        <v>332</v>
      </c>
      <c r="E398" s="49">
        <v>229.22141681647872</v>
      </c>
    </row>
    <row r="399" spans="2:5" x14ac:dyDescent="0.3">
      <c r="B399" s="48">
        <v>333</v>
      </c>
      <c r="C399" s="49">
        <v>141.74301540131958</v>
      </c>
      <c r="D399" s="48">
        <f t="shared" si="5"/>
        <v>333</v>
      </c>
      <c r="E399" s="49">
        <v>14.323232999250109</v>
      </c>
    </row>
    <row r="400" spans="2:5" x14ac:dyDescent="0.3">
      <c r="B400" s="48">
        <v>334</v>
      </c>
      <c r="C400" s="49">
        <v>155.85540708934349</v>
      </c>
      <c r="D400" s="48">
        <f t="shared" si="5"/>
        <v>334</v>
      </c>
      <c r="E400" s="49">
        <v>308.75201949538149</v>
      </c>
    </row>
    <row r="401" spans="2:5" x14ac:dyDescent="0.3">
      <c r="B401" s="48">
        <v>335</v>
      </c>
      <c r="C401" s="49">
        <v>88.521599652754773</v>
      </c>
      <c r="D401" s="48">
        <f t="shared" si="5"/>
        <v>335</v>
      </c>
      <c r="E401" s="49">
        <v>-136.14981716516351</v>
      </c>
    </row>
    <row r="402" spans="2:5" x14ac:dyDescent="0.3">
      <c r="B402" s="48">
        <v>336</v>
      </c>
      <c r="C402" s="49">
        <v>123.38462802469705</v>
      </c>
      <c r="D402" s="48">
        <f t="shared" si="5"/>
        <v>336</v>
      </c>
      <c r="E402" s="49">
        <v>-92.656699619188998</v>
      </c>
    </row>
    <row r="403" spans="2:5" x14ac:dyDescent="0.3">
      <c r="B403" s="48">
        <v>337</v>
      </c>
      <c r="C403" s="49">
        <v>106.70063189443117</v>
      </c>
      <c r="D403" s="48">
        <f t="shared" si="5"/>
        <v>337</v>
      </c>
      <c r="E403" s="49">
        <v>147.72740717413717</v>
      </c>
    </row>
    <row r="404" spans="2:5" x14ac:dyDescent="0.3">
      <c r="B404" s="48">
        <v>338</v>
      </c>
      <c r="C404" s="49">
        <v>118.10286385247389</v>
      </c>
      <c r="D404" s="48">
        <f t="shared" si="5"/>
        <v>338</v>
      </c>
      <c r="E404" s="49">
        <v>86.360495299275328</v>
      </c>
    </row>
    <row r="405" spans="2:5" x14ac:dyDescent="0.3">
      <c r="B405" s="48">
        <v>339</v>
      </c>
      <c r="C405" s="49">
        <v>191.19205769426154</v>
      </c>
      <c r="D405" s="48">
        <f t="shared" si="5"/>
        <v>339</v>
      </c>
      <c r="E405" s="49">
        <v>-31.021312033975761</v>
      </c>
    </row>
    <row r="406" spans="2:5" x14ac:dyDescent="0.3">
      <c r="B406" s="48">
        <v>340</v>
      </c>
      <c r="C406" s="49">
        <v>-1.4641687079111445</v>
      </c>
      <c r="D406" s="48">
        <f t="shared" si="5"/>
        <v>340</v>
      </c>
      <c r="E406" s="49">
        <v>331.75757984419891</v>
      </c>
    </row>
    <row r="407" spans="2:5" x14ac:dyDescent="0.3">
      <c r="B407" s="48">
        <v>341</v>
      </c>
      <c r="C407" s="49">
        <v>151.64676250918782</v>
      </c>
      <c r="D407" s="48">
        <f t="shared" si="5"/>
        <v>341</v>
      </c>
      <c r="E407" s="49">
        <v>140.88704448188457</v>
      </c>
    </row>
    <row r="408" spans="2:5" x14ac:dyDescent="0.3">
      <c r="B408" s="48">
        <v>342</v>
      </c>
      <c r="C408" s="49">
        <v>74.641943653257755</v>
      </c>
      <c r="D408" s="48">
        <f t="shared" si="5"/>
        <v>342</v>
      </c>
      <c r="E408" s="49">
        <v>194.80914209519108</v>
      </c>
    </row>
    <row r="409" spans="2:5" x14ac:dyDescent="0.3">
      <c r="B409" s="48">
        <v>343</v>
      </c>
      <c r="C409" s="49">
        <v>126.951708124752</v>
      </c>
      <c r="D409" s="48">
        <f t="shared" si="5"/>
        <v>343</v>
      </c>
      <c r="E409" s="49">
        <v>244.60324543269945</v>
      </c>
    </row>
    <row r="410" spans="2:5" x14ac:dyDescent="0.3">
      <c r="B410" s="48">
        <v>344</v>
      </c>
      <c r="C410" s="49">
        <v>119.97624057956197</v>
      </c>
      <c r="D410" s="48">
        <f t="shared" si="5"/>
        <v>344</v>
      </c>
      <c r="E410" s="49">
        <v>-185.415967184186</v>
      </c>
    </row>
    <row r="411" spans="2:5" x14ac:dyDescent="0.3">
      <c r="B411" s="48">
        <v>345</v>
      </c>
      <c r="C411" s="49">
        <v>152.80405388364107</v>
      </c>
      <c r="D411" s="48">
        <f t="shared" si="5"/>
        <v>345</v>
      </c>
      <c r="E411" s="49">
        <v>114.36549871393159</v>
      </c>
    </row>
    <row r="412" spans="2:5" x14ac:dyDescent="0.3">
      <c r="B412" s="48">
        <v>346</v>
      </c>
      <c r="C412" s="49">
        <v>108.01999489333596</v>
      </c>
      <c r="D412" s="48">
        <f t="shared" si="5"/>
        <v>346</v>
      </c>
      <c r="E412" s="49">
        <v>139.30910526072614</v>
      </c>
    </row>
    <row r="413" spans="2:5" x14ac:dyDescent="0.3">
      <c r="B413" s="48">
        <v>347</v>
      </c>
      <c r="C413" s="49">
        <v>154.70019490448976</v>
      </c>
      <c r="D413" s="48">
        <f t="shared" si="5"/>
        <v>347</v>
      </c>
      <c r="E413" s="49">
        <v>-246.80235757549599</v>
      </c>
    </row>
    <row r="414" spans="2:5" x14ac:dyDescent="0.3">
      <c r="B414" s="48">
        <v>348</v>
      </c>
      <c r="C414" s="49">
        <v>90.409583936299271</v>
      </c>
      <c r="D414" s="48">
        <f t="shared" si="5"/>
        <v>348</v>
      </c>
      <c r="E414" s="49">
        <v>163.76673246574831</v>
      </c>
    </row>
    <row r="415" spans="2:5" x14ac:dyDescent="0.3">
      <c r="B415" s="48">
        <v>349</v>
      </c>
      <c r="C415" s="49">
        <v>154.37111248359298</v>
      </c>
      <c r="D415" s="48">
        <f t="shared" si="5"/>
        <v>349</v>
      </c>
      <c r="E415" s="49">
        <v>336.65941223736917</v>
      </c>
    </row>
    <row r="416" spans="2:5" x14ac:dyDescent="0.3">
      <c r="B416" s="48">
        <v>350</v>
      </c>
      <c r="C416" s="49">
        <v>125.49441286823772</v>
      </c>
      <c r="D416" s="48">
        <f t="shared" si="5"/>
        <v>350</v>
      </c>
      <c r="E416" s="49">
        <v>201.25488983290887</v>
      </c>
    </row>
    <row r="417" spans="2:5" x14ac:dyDescent="0.3">
      <c r="B417" s="48">
        <v>351</v>
      </c>
      <c r="C417" s="49">
        <v>164.53536129984676</v>
      </c>
      <c r="D417" s="48">
        <f t="shared" si="5"/>
        <v>351</v>
      </c>
      <c r="E417" s="49">
        <v>532.72606163101398</v>
      </c>
    </row>
    <row r="418" spans="2:5" x14ac:dyDescent="0.3">
      <c r="B418" s="48">
        <v>352</v>
      </c>
      <c r="C418" s="49">
        <v>86.233146812975903</v>
      </c>
      <c r="D418" s="48">
        <f t="shared" si="5"/>
        <v>352</v>
      </c>
      <c r="E418" s="49">
        <v>145.60669313807756</v>
      </c>
    </row>
    <row r="419" spans="2:5" x14ac:dyDescent="0.3">
      <c r="B419" s="48">
        <v>353</v>
      </c>
      <c r="C419" s="49">
        <v>162.26828694265453</v>
      </c>
      <c r="D419" s="48">
        <f t="shared" si="5"/>
        <v>353</v>
      </c>
      <c r="E419" s="49">
        <v>-211.02678097535173</v>
      </c>
    </row>
    <row r="420" spans="2:5" x14ac:dyDescent="0.3">
      <c r="B420" s="48">
        <v>354</v>
      </c>
      <c r="C420" s="49">
        <v>110.0123840755908</v>
      </c>
      <c r="D420" s="48">
        <f t="shared" si="5"/>
        <v>354</v>
      </c>
      <c r="E420" s="49">
        <v>319.40336193365169</v>
      </c>
    </row>
    <row r="421" spans="2:5" x14ac:dyDescent="0.3">
      <c r="B421" s="48">
        <v>355</v>
      </c>
      <c r="C421" s="49">
        <v>84.482689791192371</v>
      </c>
      <c r="D421" s="48">
        <f t="shared" si="5"/>
        <v>355</v>
      </c>
      <c r="E421" s="49">
        <v>276.4542110414119</v>
      </c>
    </row>
    <row r="422" spans="2:5" x14ac:dyDescent="0.3">
      <c r="B422" s="48">
        <v>356</v>
      </c>
      <c r="C422" s="49">
        <v>153.41640265412752</v>
      </c>
      <c r="D422" s="48">
        <f t="shared" si="5"/>
        <v>356</v>
      </c>
      <c r="E422" s="49">
        <v>185.81006805652044</v>
      </c>
    </row>
    <row r="423" spans="2:5" x14ac:dyDescent="0.3">
      <c r="B423" s="48">
        <v>357</v>
      </c>
      <c r="C423" s="49">
        <v>55.373203781423925</v>
      </c>
      <c r="D423" s="48">
        <f t="shared" si="5"/>
        <v>357</v>
      </c>
      <c r="E423" s="49">
        <v>258.00148366987895</v>
      </c>
    </row>
    <row r="424" spans="2:5" x14ac:dyDescent="0.3">
      <c r="B424" s="48">
        <v>358</v>
      </c>
      <c r="C424" s="49">
        <v>141.19433045958669</v>
      </c>
      <c r="D424" s="48">
        <f t="shared" si="5"/>
        <v>358</v>
      </c>
      <c r="E424" s="49">
        <v>-94.624166381561949</v>
      </c>
    </row>
    <row r="425" spans="2:5" x14ac:dyDescent="0.3">
      <c r="B425" s="48">
        <v>359</v>
      </c>
      <c r="C425" s="49">
        <v>119.55547604853788</v>
      </c>
      <c r="D425" s="48">
        <f t="shared" si="5"/>
        <v>359</v>
      </c>
      <c r="E425" s="49">
        <v>102.05394178073034</v>
      </c>
    </row>
    <row r="426" spans="2:5" x14ac:dyDescent="0.3">
      <c r="B426" s="48">
        <v>360</v>
      </c>
      <c r="C426" s="49">
        <v>171.87917104293078</v>
      </c>
      <c r="D426" s="48">
        <f t="shared" si="5"/>
        <v>360</v>
      </c>
      <c r="E426" s="49">
        <v>108.61731450718696</v>
      </c>
    </row>
    <row r="427" spans="2:5" x14ac:dyDescent="0.3">
      <c r="B427" s="48">
        <v>361</v>
      </c>
      <c r="C427" s="49">
        <v>155.51215362232145</v>
      </c>
      <c r="D427" s="48">
        <f t="shared" si="5"/>
        <v>361</v>
      </c>
      <c r="E427" s="49">
        <v>84.367635692974233</v>
      </c>
    </row>
    <row r="428" spans="2:5" x14ac:dyDescent="0.3">
      <c r="B428" s="48">
        <v>362</v>
      </c>
      <c r="C428" s="49">
        <v>121.25577161517533</v>
      </c>
      <c r="D428" s="48">
        <f t="shared" si="5"/>
        <v>362</v>
      </c>
      <c r="E428" s="49">
        <v>251.28469203326881</v>
      </c>
    </row>
    <row r="429" spans="2:5" x14ac:dyDescent="0.3">
      <c r="B429" s="48">
        <v>363</v>
      </c>
      <c r="C429" s="49">
        <v>159.90706868372578</v>
      </c>
      <c r="D429" s="48">
        <f t="shared" si="5"/>
        <v>363</v>
      </c>
      <c r="E429" s="49">
        <v>271.28143139498854</v>
      </c>
    </row>
    <row r="430" spans="2:5" x14ac:dyDescent="0.3">
      <c r="B430" s="48">
        <v>364</v>
      </c>
      <c r="C430" s="49">
        <v>150.49551091071817</v>
      </c>
      <c r="D430" s="48">
        <f t="shared" si="5"/>
        <v>364</v>
      </c>
      <c r="E430" s="49">
        <v>493.25779896434261</v>
      </c>
    </row>
    <row r="431" spans="2:5" x14ac:dyDescent="0.3">
      <c r="B431" s="48">
        <v>365</v>
      </c>
      <c r="C431" s="49">
        <v>191.08862788763548</v>
      </c>
      <c r="D431" s="48">
        <f t="shared" si="5"/>
        <v>365</v>
      </c>
      <c r="E431" s="49">
        <v>295.10395369709943</v>
      </c>
    </row>
    <row r="432" spans="2:5" x14ac:dyDescent="0.3">
      <c r="B432" s="48">
        <v>366</v>
      </c>
      <c r="C432" s="49">
        <v>204.42508934986228</v>
      </c>
      <c r="D432" s="48">
        <f t="shared" si="5"/>
        <v>366</v>
      </c>
      <c r="E432" s="49">
        <v>212.3340110521107</v>
      </c>
    </row>
    <row r="433" spans="2:5" x14ac:dyDescent="0.3">
      <c r="B433" s="48">
        <v>367</v>
      </c>
      <c r="C433" s="49">
        <v>81.328380952532086</v>
      </c>
      <c r="D433" s="48">
        <f t="shared" si="5"/>
        <v>367</v>
      </c>
      <c r="E433" s="49">
        <v>71.497132644991325</v>
      </c>
    </row>
    <row r="434" spans="2:5" x14ac:dyDescent="0.3">
      <c r="B434" s="48">
        <v>368</v>
      </c>
      <c r="C434" s="49">
        <v>97.494260023987835</v>
      </c>
      <c r="D434" s="48">
        <f t="shared" si="5"/>
        <v>368</v>
      </c>
      <c r="E434" s="49">
        <v>503.78373309507663</v>
      </c>
    </row>
    <row r="435" spans="2:5" x14ac:dyDescent="0.3">
      <c r="B435" s="48">
        <v>369</v>
      </c>
      <c r="C435" s="49">
        <v>202.12459026789335</v>
      </c>
      <c r="D435" s="48">
        <f t="shared" si="5"/>
        <v>369</v>
      </c>
      <c r="E435" s="49">
        <v>343.1823630059356</v>
      </c>
    </row>
    <row r="436" spans="2:5" x14ac:dyDescent="0.3">
      <c r="B436" s="48">
        <v>370</v>
      </c>
      <c r="C436" s="49">
        <v>109.95217107693377</v>
      </c>
      <c r="D436" s="48">
        <f t="shared" si="5"/>
        <v>370</v>
      </c>
      <c r="E436" s="49">
        <v>176.64523168500054</v>
      </c>
    </row>
    <row r="437" spans="2:5" x14ac:dyDescent="0.3">
      <c r="B437" s="48">
        <v>371</v>
      </c>
      <c r="C437" s="49">
        <v>146.99555533979407</v>
      </c>
      <c r="D437" s="48">
        <f t="shared" si="5"/>
        <v>371</v>
      </c>
      <c r="E437" s="49">
        <v>-51.771189070051172</v>
      </c>
    </row>
    <row r="438" spans="2:5" x14ac:dyDescent="0.3">
      <c r="B438" s="48">
        <v>372</v>
      </c>
      <c r="C438" s="49">
        <v>103.24435228108855</v>
      </c>
      <c r="D438" s="48">
        <f t="shared" si="5"/>
        <v>372</v>
      </c>
      <c r="E438" s="49">
        <v>-17.1107036806997</v>
      </c>
    </row>
    <row r="439" spans="2:5" x14ac:dyDescent="0.3">
      <c r="B439" s="48">
        <v>373</v>
      </c>
      <c r="C439" s="49">
        <v>8.4192048347687134</v>
      </c>
      <c r="D439" s="48">
        <f t="shared" si="5"/>
        <v>373</v>
      </c>
      <c r="E439" s="49">
        <v>268.44427278088767</v>
      </c>
    </row>
    <row r="440" spans="2:5" x14ac:dyDescent="0.3">
      <c r="B440" s="48">
        <v>374</v>
      </c>
      <c r="C440" s="49">
        <v>147.39292094954325</v>
      </c>
      <c r="D440" s="48">
        <f t="shared" si="5"/>
        <v>374</v>
      </c>
      <c r="E440" s="49">
        <v>177.50064126646015</v>
      </c>
    </row>
    <row r="441" spans="2:5" x14ac:dyDescent="0.3">
      <c r="B441" s="48">
        <v>375</v>
      </c>
      <c r="C441" s="49">
        <v>-173.99636264742057</v>
      </c>
      <c r="D441" s="48">
        <f t="shared" si="5"/>
        <v>375</v>
      </c>
      <c r="E441" s="49">
        <v>584.71949797176683</v>
      </c>
    </row>
    <row r="442" spans="2:5" x14ac:dyDescent="0.3">
      <c r="B442" s="48">
        <v>376</v>
      </c>
      <c r="C442" s="49">
        <v>35.171166891043619</v>
      </c>
      <c r="D442" s="48">
        <f t="shared" si="5"/>
        <v>376</v>
      </c>
      <c r="E442" s="49">
        <v>-337.04139101309511</v>
      </c>
    </row>
    <row r="443" spans="2:5" x14ac:dyDescent="0.3">
      <c r="B443" s="48">
        <v>377</v>
      </c>
      <c r="C443" s="49">
        <v>86.813724781691363</v>
      </c>
      <c r="D443" s="48">
        <f t="shared" si="5"/>
        <v>377</v>
      </c>
      <c r="E443" s="49">
        <v>151.08182959867457</v>
      </c>
    </row>
    <row r="444" spans="2:5" x14ac:dyDescent="0.3">
      <c r="B444" s="48">
        <v>378</v>
      </c>
      <c r="C444" s="49">
        <v>11.033700440099109</v>
      </c>
      <c r="D444" s="48">
        <f t="shared" si="5"/>
        <v>378</v>
      </c>
      <c r="E444" s="49">
        <v>129.12251499375023</v>
      </c>
    </row>
    <row r="445" spans="2:5" x14ac:dyDescent="0.3">
      <c r="B445" s="48">
        <v>379</v>
      </c>
      <c r="C445" s="49">
        <v>19.605392150822404</v>
      </c>
      <c r="D445" s="48">
        <f t="shared" si="5"/>
        <v>379</v>
      </c>
      <c r="E445" s="49">
        <v>-52.732705509237064</v>
      </c>
    </row>
    <row r="446" spans="2:5" x14ac:dyDescent="0.3">
      <c r="B446" s="48">
        <v>380</v>
      </c>
      <c r="C446" s="49">
        <v>161.35646604741444</v>
      </c>
      <c r="D446" s="48">
        <f t="shared" si="5"/>
        <v>380</v>
      </c>
      <c r="E446" s="49">
        <v>-164.47863301838547</v>
      </c>
    </row>
    <row r="447" spans="2:5" x14ac:dyDescent="0.3">
      <c r="B447" s="48">
        <v>381</v>
      </c>
      <c r="C447" s="49">
        <v>42.577453295697708</v>
      </c>
      <c r="D447" s="48">
        <f t="shared" si="5"/>
        <v>381</v>
      </c>
      <c r="E447" s="49">
        <v>63.669235355781709</v>
      </c>
    </row>
    <row r="448" spans="2:5" x14ac:dyDescent="0.3">
      <c r="B448" s="48">
        <v>382</v>
      </c>
      <c r="C448" s="49">
        <v>139.36946767526121</v>
      </c>
      <c r="D448" s="48">
        <f t="shared" si="5"/>
        <v>382</v>
      </c>
      <c r="E448" s="49">
        <v>111.82380136051896</v>
      </c>
    </row>
    <row r="449" spans="2:5" x14ac:dyDescent="0.3">
      <c r="B449" s="48">
        <v>383</v>
      </c>
      <c r="C449" s="49">
        <v>61.174318725686113</v>
      </c>
      <c r="D449" s="48">
        <f t="shared" si="5"/>
        <v>383</v>
      </c>
      <c r="E449" s="49">
        <v>-109.43995782661884</v>
      </c>
    </row>
    <row r="450" spans="2:5" x14ac:dyDescent="0.3">
      <c r="B450" s="48">
        <v>384</v>
      </c>
      <c r="C450" s="49">
        <v>118.2234480962497</v>
      </c>
      <c r="D450" s="48">
        <f t="shared" si="5"/>
        <v>384</v>
      </c>
      <c r="E450" s="49">
        <v>40.458234385076665</v>
      </c>
    </row>
    <row r="451" spans="2:5" x14ac:dyDescent="0.3">
      <c r="B451" s="48">
        <v>385</v>
      </c>
      <c r="C451" s="49">
        <v>27.281255261011758</v>
      </c>
      <c r="D451" s="48">
        <f t="shared" si="5"/>
        <v>385</v>
      </c>
      <c r="E451" s="49">
        <v>150.03856644433739</v>
      </c>
    </row>
    <row r="452" spans="2:5" x14ac:dyDescent="0.3">
      <c r="B452" s="48">
        <v>386</v>
      </c>
      <c r="C452" s="49">
        <v>116.35305758838986</v>
      </c>
      <c r="D452" s="48">
        <f t="shared" si="5"/>
        <v>386</v>
      </c>
      <c r="E452" s="49">
        <v>97.062358502621947</v>
      </c>
    </row>
    <row r="453" spans="2:5" x14ac:dyDescent="0.3">
      <c r="B453" s="48">
        <v>387</v>
      </c>
      <c r="C453" s="49">
        <v>-67.319312034454839</v>
      </c>
      <c r="D453" s="48">
        <f t="shared" ref="D453:D516" si="6">B453</f>
        <v>387</v>
      </c>
      <c r="E453" s="49">
        <v>153.73618499512583</v>
      </c>
    </row>
    <row r="454" spans="2:5" x14ac:dyDescent="0.3">
      <c r="B454" s="48">
        <v>388</v>
      </c>
      <c r="C454" s="49">
        <v>114.92359406618246</v>
      </c>
      <c r="D454" s="48">
        <f t="shared" si="6"/>
        <v>388</v>
      </c>
      <c r="E454" s="49">
        <v>101.71014464421019</v>
      </c>
    </row>
    <row r="455" spans="2:5" x14ac:dyDescent="0.3">
      <c r="B455" s="48">
        <v>389</v>
      </c>
      <c r="C455" s="49">
        <v>124.16360482559932</v>
      </c>
      <c r="D455" s="48">
        <f t="shared" si="6"/>
        <v>389</v>
      </c>
      <c r="E455" s="49">
        <v>213.41805794406386</v>
      </c>
    </row>
    <row r="456" spans="2:5" x14ac:dyDescent="0.3">
      <c r="B456" s="48">
        <v>390</v>
      </c>
      <c r="C456" s="49">
        <v>112.94824197060618</v>
      </c>
      <c r="D456" s="48">
        <f t="shared" si="6"/>
        <v>390</v>
      </c>
      <c r="E456" s="49">
        <v>-37.894793953863044</v>
      </c>
    </row>
    <row r="457" spans="2:5" x14ac:dyDescent="0.3">
      <c r="B457" s="48">
        <v>391</v>
      </c>
      <c r="C457" s="49">
        <v>148.49188208933879</v>
      </c>
      <c r="D457" s="48">
        <f t="shared" si="6"/>
        <v>391</v>
      </c>
      <c r="E457" s="49">
        <v>303.98281635635357</v>
      </c>
    </row>
    <row r="458" spans="2:5" x14ac:dyDescent="0.3">
      <c r="B458" s="48">
        <v>392</v>
      </c>
      <c r="C458" s="49">
        <v>123.94154756705159</v>
      </c>
      <c r="D458" s="48">
        <f t="shared" si="6"/>
        <v>392</v>
      </c>
      <c r="E458" s="49">
        <v>29.042005836385886</v>
      </c>
    </row>
    <row r="459" spans="2:5" x14ac:dyDescent="0.3">
      <c r="B459" s="48">
        <v>393</v>
      </c>
      <c r="C459" s="49">
        <v>190.36572011886366</v>
      </c>
      <c r="D459" s="48">
        <f t="shared" si="6"/>
        <v>393</v>
      </c>
      <c r="E459" s="49">
        <v>176.7713480001093</v>
      </c>
    </row>
    <row r="460" spans="2:5" x14ac:dyDescent="0.3">
      <c r="B460" s="48">
        <v>394</v>
      </c>
      <c r="C460" s="49">
        <v>85.064397347319243</v>
      </c>
      <c r="D460" s="48">
        <f t="shared" si="6"/>
        <v>394</v>
      </c>
      <c r="E460" s="49">
        <v>225.51611931965022</v>
      </c>
    </row>
    <row r="461" spans="2:5" x14ac:dyDescent="0.3">
      <c r="B461" s="48">
        <v>395</v>
      </c>
      <c r="C461" s="49">
        <v>85.960857321820114</v>
      </c>
      <c r="D461" s="48">
        <f t="shared" si="6"/>
        <v>395</v>
      </c>
      <c r="E461" s="49">
        <v>283.3049751938247</v>
      </c>
    </row>
    <row r="462" spans="2:5" x14ac:dyDescent="0.3">
      <c r="B462" s="48">
        <v>396</v>
      </c>
      <c r="C462" s="49">
        <v>94.594683971789721</v>
      </c>
      <c r="D462" s="48">
        <f t="shared" si="6"/>
        <v>396</v>
      </c>
      <c r="E462" s="49">
        <v>164.36767711751472</v>
      </c>
    </row>
    <row r="463" spans="2:5" x14ac:dyDescent="0.3">
      <c r="B463" s="48">
        <v>397</v>
      </c>
      <c r="C463" s="49">
        <v>66.792026838225837</v>
      </c>
      <c r="D463" s="48">
        <f t="shared" si="6"/>
        <v>397</v>
      </c>
      <c r="E463" s="49">
        <v>175.56843728183367</v>
      </c>
    </row>
    <row r="464" spans="2:5" x14ac:dyDescent="0.3">
      <c r="B464" s="48">
        <v>398</v>
      </c>
      <c r="C464" s="49">
        <v>97.150113961602699</v>
      </c>
      <c r="D464" s="48">
        <f t="shared" si="6"/>
        <v>398</v>
      </c>
      <c r="E464" s="49">
        <v>48.358026090321673</v>
      </c>
    </row>
    <row r="465" spans="2:5" x14ac:dyDescent="0.3">
      <c r="B465" s="48">
        <v>399</v>
      </c>
      <c r="C465" s="49">
        <v>142.32534435939027</v>
      </c>
      <c r="D465" s="48">
        <f t="shared" si="6"/>
        <v>399</v>
      </c>
      <c r="E465" s="49">
        <v>-162.52236303244817</v>
      </c>
    </row>
    <row r="466" spans="2:5" x14ac:dyDescent="0.3">
      <c r="B466" s="48">
        <v>400</v>
      </c>
      <c r="C466" s="49">
        <v>64.787825074653526</v>
      </c>
      <c r="D466" s="48">
        <f t="shared" si="6"/>
        <v>400</v>
      </c>
      <c r="E466" s="49">
        <v>-31.47464472082326</v>
      </c>
    </row>
    <row r="467" spans="2:5" x14ac:dyDescent="0.3">
      <c r="B467" s="48">
        <v>401</v>
      </c>
      <c r="C467" s="49">
        <v>118.7218500002363</v>
      </c>
      <c r="D467" s="48">
        <f t="shared" si="6"/>
        <v>401</v>
      </c>
      <c r="E467" s="49">
        <v>19.72764462204843</v>
      </c>
    </row>
    <row r="468" spans="2:5" x14ac:dyDescent="0.3">
      <c r="B468" s="48">
        <v>402</v>
      </c>
      <c r="C468" s="49">
        <v>186.35359629468289</v>
      </c>
      <c r="D468" s="48">
        <f t="shared" si="6"/>
        <v>402</v>
      </c>
      <c r="E468" s="49">
        <v>112.60062700944013</v>
      </c>
    </row>
    <row r="469" spans="2:5" x14ac:dyDescent="0.3">
      <c r="B469" s="48">
        <v>403</v>
      </c>
      <c r="C469" s="49">
        <v>82.253269679522916</v>
      </c>
      <c r="D469" s="48">
        <f t="shared" si="6"/>
        <v>403</v>
      </c>
      <c r="E469" s="49">
        <v>406.30541026549059</v>
      </c>
    </row>
    <row r="470" spans="2:5" x14ac:dyDescent="0.3">
      <c r="B470" s="48">
        <v>404</v>
      </c>
      <c r="C470" s="49">
        <v>150.92699041752115</v>
      </c>
      <c r="D470" s="48">
        <f t="shared" si="6"/>
        <v>404</v>
      </c>
      <c r="E470" s="49">
        <v>196.2148835725817</v>
      </c>
    </row>
    <row r="471" spans="2:5" x14ac:dyDescent="0.3">
      <c r="B471" s="48">
        <v>405</v>
      </c>
      <c r="C471" s="49">
        <v>162.59315174578487</v>
      </c>
      <c r="D471" s="48">
        <f t="shared" si="6"/>
        <v>405</v>
      </c>
      <c r="E471" s="49">
        <v>173.98695921612367</v>
      </c>
    </row>
    <row r="472" spans="2:5" x14ac:dyDescent="0.3">
      <c r="B472" s="48">
        <v>406</v>
      </c>
      <c r="C472" s="49">
        <v>11.329260666112988</v>
      </c>
      <c r="D472" s="48">
        <f t="shared" si="6"/>
        <v>406</v>
      </c>
      <c r="E472" s="49">
        <v>146.28672815099836</v>
      </c>
    </row>
    <row r="473" spans="2:5" x14ac:dyDescent="0.3">
      <c r="B473" s="48">
        <v>407</v>
      </c>
      <c r="C473" s="49">
        <v>76.268287365641683</v>
      </c>
      <c r="D473" s="48">
        <f t="shared" si="6"/>
        <v>407</v>
      </c>
      <c r="E473" s="49">
        <v>417.88239722439522</v>
      </c>
    </row>
    <row r="474" spans="2:5" x14ac:dyDescent="0.3">
      <c r="B474" s="48">
        <v>408</v>
      </c>
      <c r="C474" s="49">
        <v>143.03817985589268</v>
      </c>
      <c r="D474" s="48">
        <f t="shared" si="6"/>
        <v>408</v>
      </c>
      <c r="E474" s="49">
        <v>284.85476976589842</v>
      </c>
    </row>
    <row r="475" spans="2:5" x14ac:dyDescent="0.3">
      <c r="B475" s="48">
        <v>409</v>
      </c>
      <c r="C475" s="49">
        <v>107.3067586210218</v>
      </c>
      <c r="D475" s="48">
        <f t="shared" si="6"/>
        <v>409</v>
      </c>
      <c r="E475" s="49">
        <v>498.73193982260881</v>
      </c>
    </row>
    <row r="476" spans="2:5" x14ac:dyDescent="0.3">
      <c r="B476" s="48">
        <v>410</v>
      </c>
      <c r="C476" s="49">
        <v>151.34733036883981</v>
      </c>
      <c r="D476" s="48">
        <f t="shared" si="6"/>
        <v>410</v>
      </c>
      <c r="E476" s="49">
        <v>320.8905460441427</v>
      </c>
    </row>
    <row r="477" spans="2:5" x14ac:dyDescent="0.3">
      <c r="B477" s="48">
        <v>411</v>
      </c>
      <c r="C477" s="49">
        <v>146.97957074277824</v>
      </c>
      <c r="D477" s="48">
        <f t="shared" si="6"/>
        <v>411</v>
      </c>
      <c r="E477" s="49">
        <v>123.99511060288675</v>
      </c>
    </row>
    <row r="478" spans="2:5" x14ac:dyDescent="0.3">
      <c r="B478" s="48">
        <v>412</v>
      </c>
      <c r="C478" s="49">
        <v>126.0363799664545</v>
      </c>
      <c r="D478" s="48">
        <f t="shared" si="6"/>
        <v>412</v>
      </c>
      <c r="E478" s="49">
        <v>185.3863298905695</v>
      </c>
    </row>
    <row r="479" spans="2:5" x14ac:dyDescent="0.3">
      <c r="B479" s="48">
        <v>413</v>
      </c>
      <c r="C479" s="49">
        <v>-56.539124840133454</v>
      </c>
      <c r="D479" s="48">
        <f t="shared" si="6"/>
        <v>413</v>
      </c>
      <c r="E479" s="49">
        <v>224.72346113708562</v>
      </c>
    </row>
    <row r="480" spans="2:5" x14ac:dyDescent="0.3">
      <c r="B480" s="48">
        <v>414</v>
      </c>
      <c r="C480" s="49">
        <v>96.627160783833659</v>
      </c>
      <c r="D480" s="48">
        <f t="shared" si="6"/>
        <v>414</v>
      </c>
      <c r="E480" s="49">
        <v>109.0611739773237</v>
      </c>
    </row>
    <row r="481" spans="2:5" x14ac:dyDescent="0.3">
      <c r="B481" s="48">
        <v>415</v>
      </c>
      <c r="C481" s="49">
        <v>118.18790186322909</v>
      </c>
      <c r="D481" s="48">
        <f t="shared" si="6"/>
        <v>415</v>
      </c>
      <c r="E481" s="49">
        <v>306.6159247703248</v>
      </c>
    </row>
    <row r="482" spans="2:5" x14ac:dyDescent="0.3">
      <c r="B482" s="48">
        <v>416</v>
      </c>
      <c r="C482" s="49">
        <v>160.54779071795858</v>
      </c>
      <c r="D482" s="48">
        <f t="shared" si="6"/>
        <v>416</v>
      </c>
      <c r="E482" s="49">
        <v>260.44061551334721</v>
      </c>
    </row>
    <row r="483" spans="2:5" x14ac:dyDescent="0.3">
      <c r="B483" s="48">
        <v>417</v>
      </c>
      <c r="C483" s="49">
        <v>144.20629142882973</v>
      </c>
      <c r="D483" s="48">
        <f t="shared" si="6"/>
        <v>417</v>
      </c>
      <c r="E483" s="49">
        <v>-59.626007358454068</v>
      </c>
    </row>
    <row r="484" spans="2:5" x14ac:dyDescent="0.3">
      <c r="B484" s="48">
        <v>418</v>
      </c>
      <c r="C484" s="49">
        <v>186.14444051996105</v>
      </c>
      <c r="D484" s="48">
        <f t="shared" si="6"/>
        <v>418</v>
      </c>
      <c r="E484" s="49">
        <v>190.69698580835484</v>
      </c>
    </row>
    <row r="485" spans="2:5" x14ac:dyDescent="0.3">
      <c r="B485" s="48">
        <v>419</v>
      </c>
      <c r="C485" s="49">
        <v>76.78920262303437</v>
      </c>
      <c r="D485" s="48">
        <f t="shared" si="6"/>
        <v>419</v>
      </c>
      <c r="E485" s="49">
        <v>247.80769885023383</v>
      </c>
    </row>
    <row r="486" spans="2:5" x14ac:dyDescent="0.3">
      <c r="B486" s="48">
        <v>420</v>
      </c>
      <c r="C486" s="49">
        <v>117.12915387950423</v>
      </c>
      <c r="D486" s="48">
        <f t="shared" si="6"/>
        <v>420</v>
      </c>
      <c r="E486" s="49">
        <v>410.65069125485871</v>
      </c>
    </row>
    <row r="487" spans="2:5" x14ac:dyDescent="0.3">
      <c r="B487" s="48">
        <v>421</v>
      </c>
      <c r="C487" s="49">
        <v>128.44401543315436</v>
      </c>
      <c r="D487" s="48">
        <f t="shared" si="6"/>
        <v>421</v>
      </c>
      <c r="E487" s="49">
        <v>229.49663825426401</v>
      </c>
    </row>
    <row r="488" spans="2:5" x14ac:dyDescent="0.3">
      <c r="B488" s="48">
        <v>422</v>
      </c>
      <c r="C488" s="49">
        <v>133.57829197574185</v>
      </c>
      <c r="D488" s="48">
        <f t="shared" si="6"/>
        <v>422</v>
      </c>
      <c r="E488" s="49">
        <v>230.81191853632586</v>
      </c>
    </row>
    <row r="489" spans="2:5" x14ac:dyDescent="0.3">
      <c r="B489" s="48">
        <v>423</v>
      </c>
      <c r="C489" s="49">
        <v>129.14377175251309</v>
      </c>
      <c r="D489" s="48">
        <f t="shared" si="6"/>
        <v>423</v>
      </c>
      <c r="E489" s="49">
        <v>217.86972475615471</v>
      </c>
    </row>
    <row r="490" spans="2:5" x14ac:dyDescent="0.3">
      <c r="B490" s="48">
        <v>424</v>
      </c>
      <c r="C490" s="49">
        <v>164.09906327893944</v>
      </c>
      <c r="D490" s="48">
        <f t="shared" si="6"/>
        <v>424</v>
      </c>
      <c r="E490" s="49">
        <v>187.62568567039244</v>
      </c>
    </row>
    <row r="491" spans="2:5" x14ac:dyDescent="0.3">
      <c r="B491" s="48">
        <v>425</v>
      </c>
      <c r="C491" s="49">
        <v>132.3988866082295</v>
      </c>
      <c r="D491" s="48">
        <f t="shared" si="6"/>
        <v>425</v>
      </c>
      <c r="E491" s="49">
        <v>-100.27811768797336</v>
      </c>
    </row>
    <row r="492" spans="2:5" x14ac:dyDescent="0.3">
      <c r="B492" s="48">
        <v>426</v>
      </c>
      <c r="C492" s="49">
        <v>79.67503330504168</v>
      </c>
      <c r="D492" s="48">
        <f t="shared" si="6"/>
        <v>426</v>
      </c>
      <c r="E492" s="49">
        <v>-119.14880798943871</v>
      </c>
    </row>
    <row r="493" spans="2:5" x14ac:dyDescent="0.3">
      <c r="B493" s="48">
        <v>427</v>
      </c>
      <c r="C493" s="49">
        <v>85.920860896728428</v>
      </c>
      <c r="D493" s="48">
        <f t="shared" si="6"/>
        <v>427</v>
      </c>
      <c r="E493" s="49">
        <v>-23.158924395653351</v>
      </c>
    </row>
    <row r="494" spans="2:5" x14ac:dyDescent="0.3">
      <c r="B494" s="48">
        <v>428</v>
      </c>
      <c r="C494" s="49">
        <v>139.36941203705061</v>
      </c>
      <c r="D494" s="48">
        <f t="shared" si="6"/>
        <v>428</v>
      </c>
      <c r="E494" s="49">
        <v>169.752653065522</v>
      </c>
    </row>
    <row r="495" spans="2:5" x14ac:dyDescent="0.3">
      <c r="B495" s="48">
        <v>429</v>
      </c>
      <c r="C495" s="49">
        <v>140.86205930481407</v>
      </c>
      <c r="D495" s="48">
        <f t="shared" si="6"/>
        <v>429</v>
      </c>
      <c r="E495" s="49">
        <v>111.19792149262923</v>
      </c>
    </row>
    <row r="496" spans="2:5" x14ac:dyDescent="0.3">
      <c r="B496" s="48">
        <v>430</v>
      </c>
      <c r="C496" s="49">
        <v>112.06231619099484</v>
      </c>
      <c r="D496" s="48">
        <f t="shared" si="6"/>
        <v>430</v>
      </c>
      <c r="E496" s="49">
        <v>80.755839613305568</v>
      </c>
    </row>
    <row r="497" spans="2:5" x14ac:dyDescent="0.3">
      <c r="B497" s="48">
        <v>431</v>
      </c>
      <c r="C497" s="49">
        <v>38.816078421420222</v>
      </c>
      <c r="D497" s="48">
        <f t="shared" si="6"/>
        <v>431</v>
      </c>
      <c r="E497" s="49">
        <v>153.38210916137245</v>
      </c>
    </row>
    <row r="498" spans="2:5" x14ac:dyDescent="0.3">
      <c r="B498" s="48">
        <v>432</v>
      </c>
      <c r="C498" s="49">
        <v>120.4648356227236</v>
      </c>
      <c r="D498" s="48">
        <f t="shared" si="6"/>
        <v>432</v>
      </c>
      <c r="E498" s="49">
        <v>101.27396427318806</v>
      </c>
    </row>
    <row r="499" spans="2:5" x14ac:dyDescent="0.3">
      <c r="B499" s="48">
        <v>433</v>
      </c>
      <c r="C499" s="49">
        <v>121.80374969447885</v>
      </c>
      <c r="D499" s="48">
        <f t="shared" si="6"/>
        <v>433</v>
      </c>
      <c r="E499" s="49">
        <v>67.598637065757629</v>
      </c>
    </row>
    <row r="500" spans="2:5" x14ac:dyDescent="0.3">
      <c r="B500" s="48">
        <v>434</v>
      </c>
      <c r="C500" s="49">
        <v>107.11623408478536</v>
      </c>
      <c r="D500" s="48">
        <f t="shared" si="6"/>
        <v>434</v>
      </c>
      <c r="E500" s="49">
        <v>186.59637500624569</v>
      </c>
    </row>
    <row r="501" spans="2:5" x14ac:dyDescent="0.3">
      <c r="B501" s="48">
        <v>435</v>
      </c>
      <c r="C501" s="49">
        <v>134.47459451690293</v>
      </c>
      <c r="D501" s="48">
        <f t="shared" si="6"/>
        <v>435</v>
      </c>
      <c r="E501" s="49">
        <v>163.39390358785155</v>
      </c>
    </row>
    <row r="502" spans="2:5" x14ac:dyDescent="0.3">
      <c r="B502" s="48">
        <v>436</v>
      </c>
      <c r="C502" s="49">
        <v>103.08679669946578</v>
      </c>
      <c r="D502" s="48">
        <f t="shared" si="6"/>
        <v>436</v>
      </c>
      <c r="E502" s="49">
        <v>185.00277120649505</v>
      </c>
    </row>
    <row r="503" spans="2:5" x14ac:dyDescent="0.3">
      <c r="B503" s="48">
        <v>437</v>
      </c>
      <c r="C503" s="49">
        <v>195.34005068369581</v>
      </c>
      <c r="D503" s="48">
        <f t="shared" si="6"/>
        <v>437</v>
      </c>
      <c r="E503" s="49">
        <v>261.08017945233632</v>
      </c>
    </row>
    <row r="504" spans="2:5" x14ac:dyDescent="0.3">
      <c r="B504" s="48">
        <v>438</v>
      </c>
      <c r="C504" s="49">
        <v>176.41330572581063</v>
      </c>
      <c r="D504" s="48">
        <f t="shared" si="6"/>
        <v>438</v>
      </c>
      <c r="E504" s="49">
        <v>343.85596785053514</v>
      </c>
    </row>
    <row r="505" spans="2:5" x14ac:dyDescent="0.3">
      <c r="B505" s="48">
        <v>439</v>
      </c>
      <c r="C505" s="49">
        <v>114.82430154224255</v>
      </c>
      <c r="D505" s="48">
        <f t="shared" si="6"/>
        <v>439</v>
      </c>
      <c r="E505" s="49">
        <v>186.35687881182562</v>
      </c>
    </row>
    <row r="506" spans="2:5" x14ac:dyDescent="0.3">
      <c r="B506" s="48">
        <v>440</v>
      </c>
      <c r="C506" s="49">
        <v>83.892438633842545</v>
      </c>
      <c r="D506" s="48">
        <f t="shared" si="6"/>
        <v>440</v>
      </c>
      <c r="E506" s="49">
        <v>415.93822360087063</v>
      </c>
    </row>
    <row r="507" spans="2:5" x14ac:dyDescent="0.3">
      <c r="B507" s="48">
        <v>441</v>
      </c>
      <c r="C507" s="49">
        <v>197.98391381761087</v>
      </c>
      <c r="D507" s="48">
        <f t="shared" si="6"/>
        <v>441</v>
      </c>
      <c r="E507" s="49">
        <v>75.008856109353204</v>
      </c>
    </row>
    <row r="508" spans="2:5" x14ac:dyDescent="0.3">
      <c r="B508" s="48">
        <v>442</v>
      </c>
      <c r="C508" s="49">
        <v>143.37147025014428</v>
      </c>
      <c r="D508" s="48">
        <f t="shared" si="6"/>
        <v>442</v>
      </c>
      <c r="E508" s="49">
        <v>290.82558010043817</v>
      </c>
    </row>
    <row r="509" spans="2:5" x14ac:dyDescent="0.3">
      <c r="B509" s="48">
        <v>443</v>
      </c>
      <c r="C509" s="49">
        <v>97.66019737509933</v>
      </c>
      <c r="D509" s="48">
        <f t="shared" si="6"/>
        <v>443</v>
      </c>
      <c r="E509" s="49">
        <v>40.879056385484461</v>
      </c>
    </row>
    <row r="510" spans="2:5" x14ac:dyDescent="0.3">
      <c r="B510" s="48">
        <v>444</v>
      </c>
      <c r="C510" s="49">
        <v>-20.312127037132583</v>
      </c>
      <c r="D510" s="48">
        <f t="shared" si="6"/>
        <v>444</v>
      </c>
      <c r="E510" s="49">
        <v>193.09941518395732</v>
      </c>
    </row>
    <row r="511" spans="2:5" x14ac:dyDescent="0.3">
      <c r="B511" s="48">
        <v>445</v>
      </c>
      <c r="C511" s="49">
        <v>212.08273054993214</v>
      </c>
      <c r="D511" s="48">
        <f t="shared" si="6"/>
        <v>445</v>
      </c>
      <c r="E511" s="49">
        <v>-42.710849609374854</v>
      </c>
    </row>
    <row r="512" spans="2:5" x14ac:dyDescent="0.3">
      <c r="B512" s="48">
        <v>446</v>
      </c>
      <c r="C512" s="49">
        <v>138.56842575761686</v>
      </c>
      <c r="D512" s="48">
        <f t="shared" si="6"/>
        <v>446</v>
      </c>
      <c r="E512" s="49">
        <v>350.49029730667439</v>
      </c>
    </row>
    <row r="513" spans="2:5" x14ac:dyDescent="0.3">
      <c r="B513" s="48">
        <v>447</v>
      </c>
      <c r="C513" s="49">
        <v>135.3344262395189</v>
      </c>
      <c r="D513" s="48">
        <f t="shared" si="6"/>
        <v>447</v>
      </c>
      <c r="E513" s="49">
        <v>174.47931723015043</v>
      </c>
    </row>
    <row r="514" spans="2:5" x14ac:dyDescent="0.3">
      <c r="B514" s="48">
        <v>448</v>
      </c>
      <c r="C514" s="49">
        <v>106.24354746301842</v>
      </c>
      <c r="D514" s="48">
        <f t="shared" si="6"/>
        <v>448</v>
      </c>
      <c r="E514" s="49">
        <v>75.50318454549695</v>
      </c>
    </row>
    <row r="515" spans="2:5" x14ac:dyDescent="0.3">
      <c r="B515" s="48">
        <v>449</v>
      </c>
      <c r="C515" s="49">
        <v>169.15417184655752</v>
      </c>
      <c r="D515" s="48">
        <f t="shared" si="6"/>
        <v>449</v>
      </c>
      <c r="E515" s="49">
        <v>-54.73933629221392</v>
      </c>
    </row>
    <row r="516" spans="2:5" x14ac:dyDescent="0.3">
      <c r="B516" s="48">
        <v>450</v>
      </c>
      <c r="C516" s="49">
        <v>119.28941380597067</v>
      </c>
      <c r="D516" s="48">
        <f t="shared" si="6"/>
        <v>450</v>
      </c>
      <c r="E516" s="49">
        <v>134.63452325046742</v>
      </c>
    </row>
    <row r="517" spans="2:5" x14ac:dyDescent="0.3">
      <c r="B517" s="48">
        <v>451</v>
      </c>
      <c r="C517" s="49">
        <v>124.86408985128067</v>
      </c>
      <c r="D517" s="48">
        <f t="shared" ref="D517:D566" si="7">B517</f>
        <v>451</v>
      </c>
      <c r="E517" s="49">
        <v>32.71960783604878</v>
      </c>
    </row>
    <row r="518" spans="2:5" x14ac:dyDescent="0.3">
      <c r="B518" s="48">
        <v>452</v>
      </c>
      <c r="C518" s="49">
        <v>154.20504957222849</v>
      </c>
      <c r="D518" s="48">
        <f t="shared" si="7"/>
        <v>452</v>
      </c>
      <c r="E518" s="49">
        <v>-42.412126419313054</v>
      </c>
    </row>
    <row r="519" spans="2:5" x14ac:dyDescent="0.3">
      <c r="B519" s="48">
        <v>453</v>
      </c>
      <c r="C519" s="49">
        <v>-2.213692793874515</v>
      </c>
      <c r="D519" s="48">
        <f t="shared" si="7"/>
        <v>453</v>
      </c>
      <c r="E519" s="49">
        <v>129.08052754043098</v>
      </c>
    </row>
    <row r="520" spans="2:5" x14ac:dyDescent="0.3">
      <c r="B520" s="48">
        <v>454</v>
      </c>
      <c r="C520" s="49">
        <v>141.96181548822</v>
      </c>
      <c r="D520" s="48">
        <f t="shared" si="7"/>
        <v>454</v>
      </c>
      <c r="E520" s="49">
        <v>323.7947782851204</v>
      </c>
    </row>
    <row r="521" spans="2:5" x14ac:dyDescent="0.3">
      <c r="B521" s="48">
        <v>455</v>
      </c>
      <c r="C521" s="49">
        <v>150.3805426498981</v>
      </c>
      <c r="D521" s="48">
        <f t="shared" si="7"/>
        <v>455</v>
      </c>
      <c r="E521" s="49">
        <v>269.19800168409404</v>
      </c>
    </row>
    <row r="522" spans="2:5" x14ac:dyDescent="0.3">
      <c r="B522" s="48">
        <v>456</v>
      </c>
      <c r="C522" s="49">
        <v>59.310115613709343</v>
      </c>
      <c r="D522" s="48">
        <f t="shared" si="7"/>
        <v>456</v>
      </c>
      <c r="E522" s="49">
        <v>266.73862896042181</v>
      </c>
    </row>
    <row r="523" spans="2:5" x14ac:dyDescent="0.3">
      <c r="B523" s="48">
        <v>457</v>
      </c>
      <c r="C523" s="49">
        <v>99.487076601923647</v>
      </c>
      <c r="D523" s="48">
        <f t="shared" si="7"/>
        <v>457</v>
      </c>
      <c r="E523" s="49">
        <v>337.94046459280202</v>
      </c>
    </row>
    <row r="524" spans="2:5" x14ac:dyDescent="0.3">
      <c r="B524" s="48">
        <v>458</v>
      </c>
      <c r="C524" s="49">
        <v>118.24355520718537</v>
      </c>
      <c r="D524" s="48">
        <f t="shared" si="7"/>
        <v>458</v>
      </c>
      <c r="E524" s="49">
        <v>234.8552168591591</v>
      </c>
    </row>
    <row r="525" spans="2:5" x14ac:dyDescent="0.3">
      <c r="B525" s="48">
        <v>459</v>
      </c>
      <c r="C525" s="49">
        <v>103.72050676260983</v>
      </c>
      <c r="D525" s="48">
        <f t="shared" si="7"/>
        <v>459</v>
      </c>
      <c r="E525" s="49">
        <v>-90.394930187521126</v>
      </c>
    </row>
    <row r="526" spans="2:5" x14ac:dyDescent="0.3">
      <c r="B526" s="48">
        <v>460</v>
      </c>
      <c r="C526" s="49">
        <v>131.99604122154167</v>
      </c>
      <c r="D526" s="48">
        <f t="shared" si="7"/>
        <v>460</v>
      </c>
      <c r="E526" s="49">
        <v>118.23698996649686</v>
      </c>
    </row>
    <row r="527" spans="2:5" x14ac:dyDescent="0.3">
      <c r="B527" s="48">
        <v>461</v>
      </c>
      <c r="C527" s="49">
        <v>61.277479193643629</v>
      </c>
      <c r="D527" s="48">
        <f t="shared" si="7"/>
        <v>461</v>
      </c>
      <c r="E527" s="49">
        <v>240.66177068883741</v>
      </c>
    </row>
    <row r="528" spans="2:5" x14ac:dyDescent="0.3">
      <c r="B528" s="48">
        <v>462</v>
      </c>
      <c r="C528" s="49">
        <v>142.5711782351971</v>
      </c>
      <c r="D528" s="48">
        <f t="shared" si="7"/>
        <v>462</v>
      </c>
      <c r="E528" s="49">
        <v>29.743633337068481</v>
      </c>
    </row>
    <row r="529" spans="2:5" x14ac:dyDescent="0.3">
      <c r="B529" s="48">
        <v>463</v>
      </c>
      <c r="C529" s="49">
        <v>65.738618230538833</v>
      </c>
      <c r="D529" s="48">
        <f t="shared" si="7"/>
        <v>463</v>
      </c>
      <c r="E529" s="49">
        <v>303.68641258724335</v>
      </c>
    </row>
    <row r="530" spans="2:5" x14ac:dyDescent="0.3">
      <c r="B530" s="48">
        <v>464</v>
      </c>
      <c r="C530" s="49">
        <v>126.34251573130003</v>
      </c>
      <c r="D530" s="48">
        <f t="shared" si="7"/>
        <v>464</v>
      </c>
      <c r="E530" s="49">
        <v>-126.6474615550417</v>
      </c>
    </row>
    <row r="531" spans="2:5" x14ac:dyDescent="0.3">
      <c r="B531" s="48">
        <v>465</v>
      </c>
      <c r="C531" s="49">
        <v>105.17910333447196</v>
      </c>
      <c r="D531" s="48">
        <f t="shared" si="7"/>
        <v>465</v>
      </c>
      <c r="E531" s="49">
        <v>-183.32365850220361</v>
      </c>
    </row>
    <row r="532" spans="2:5" x14ac:dyDescent="0.3">
      <c r="B532" s="48">
        <v>466</v>
      </c>
      <c r="C532" s="49">
        <v>116.35661361785719</v>
      </c>
      <c r="D532" s="48">
        <f t="shared" si="7"/>
        <v>466</v>
      </c>
      <c r="E532" s="49">
        <v>240.10301453483982</v>
      </c>
    </row>
    <row r="533" spans="2:5" x14ac:dyDescent="0.3">
      <c r="B533" s="48">
        <v>467</v>
      </c>
      <c r="C533" s="49">
        <v>27.909688264557094</v>
      </c>
      <c r="D533" s="48">
        <f t="shared" si="7"/>
        <v>467</v>
      </c>
      <c r="E533" s="49">
        <v>362.13881699847616</v>
      </c>
    </row>
    <row r="534" spans="2:5" x14ac:dyDescent="0.3">
      <c r="B534" s="48">
        <v>468</v>
      </c>
      <c r="C534" s="49">
        <v>131.88635539805765</v>
      </c>
      <c r="D534" s="48">
        <f t="shared" si="7"/>
        <v>468</v>
      </c>
      <c r="E534" s="49">
        <v>129.54900596144802</v>
      </c>
    </row>
    <row r="535" spans="2:5" x14ac:dyDescent="0.3">
      <c r="B535" s="48">
        <v>469</v>
      </c>
      <c r="C535" s="49">
        <v>158.24349810736712</v>
      </c>
      <c r="D535" s="48">
        <f t="shared" si="7"/>
        <v>469</v>
      </c>
      <c r="E535" s="49">
        <v>156.46290484314264</v>
      </c>
    </row>
    <row r="536" spans="2:5" x14ac:dyDescent="0.3">
      <c r="B536" s="48">
        <v>470</v>
      </c>
      <c r="C536" s="49">
        <v>141.50063710811585</v>
      </c>
      <c r="D536" s="48">
        <f t="shared" si="7"/>
        <v>470</v>
      </c>
      <c r="E536" s="49">
        <v>29.510738190267556</v>
      </c>
    </row>
    <row r="537" spans="2:5" x14ac:dyDescent="0.3">
      <c r="B537" s="48">
        <v>471</v>
      </c>
      <c r="C537" s="49">
        <v>112.02492679428924</v>
      </c>
      <c r="D537" s="48">
        <f t="shared" si="7"/>
        <v>471</v>
      </c>
      <c r="E537" s="49">
        <v>-259.32609648829407</v>
      </c>
    </row>
    <row r="538" spans="2:5" x14ac:dyDescent="0.3">
      <c r="B538" s="48">
        <v>472</v>
      </c>
      <c r="C538" s="49">
        <v>5.9951069261480647</v>
      </c>
      <c r="D538" s="48">
        <f t="shared" si="7"/>
        <v>472</v>
      </c>
      <c r="E538" s="49">
        <v>39.203469349640031</v>
      </c>
    </row>
    <row r="539" spans="2:5" x14ac:dyDescent="0.3">
      <c r="B539" s="48">
        <v>473</v>
      </c>
      <c r="C539" s="49">
        <v>102.28300917964395</v>
      </c>
      <c r="D539" s="48">
        <f t="shared" si="7"/>
        <v>473</v>
      </c>
      <c r="E539" s="49">
        <v>95.292474871647855</v>
      </c>
    </row>
    <row r="540" spans="2:5" x14ac:dyDescent="0.3">
      <c r="B540" s="48">
        <v>474</v>
      </c>
      <c r="C540" s="49">
        <v>101.52731104462322</v>
      </c>
      <c r="D540" s="48">
        <f t="shared" si="7"/>
        <v>474</v>
      </c>
      <c r="E540" s="49">
        <v>239.9290532096324</v>
      </c>
    </row>
    <row r="541" spans="2:5" x14ac:dyDescent="0.3">
      <c r="B541" s="48">
        <v>475</v>
      </c>
      <c r="C541" s="49">
        <v>-114.0630507104308</v>
      </c>
      <c r="D541" s="48">
        <f t="shared" si="7"/>
        <v>475</v>
      </c>
      <c r="E541" s="49">
        <v>-43.061755918930835</v>
      </c>
    </row>
    <row r="542" spans="2:5" x14ac:dyDescent="0.3">
      <c r="B542" s="48">
        <v>476</v>
      </c>
      <c r="C542" s="49">
        <v>70.296226842359005</v>
      </c>
      <c r="D542" s="48">
        <f t="shared" si="7"/>
        <v>476</v>
      </c>
      <c r="E542" s="49">
        <v>200.56215831151792</v>
      </c>
    </row>
    <row r="543" spans="2:5" x14ac:dyDescent="0.3">
      <c r="B543" s="48">
        <v>477</v>
      </c>
      <c r="C543" s="49">
        <v>136.59582683380029</v>
      </c>
      <c r="D543" s="48">
        <f t="shared" si="7"/>
        <v>477</v>
      </c>
      <c r="E543" s="49">
        <v>47.339838814657178</v>
      </c>
    </row>
    <row r="544" spans="2:5" x14ac:dyDescent="0.3">
      <c r="B544" s="48">
        <v>478</v>
      </c>
      <c r="C544" s="49">
        <v>132.71030024579767</v>
      </c>
      <c r="D544" s="48">
        <f t="shared" si="7"/>
        <v>478</v>
      </c>
      <c r="E544" s="49">
        <v>17.3061941340818</v>
      </c>
    </row>
    <row r="545" spans="2:5" x14ac:dyDescent="0.3">
      <c r="B545" s="48">
        <v>479</v>
      </c>
      <c r="C545" s="49">
        <v>168.4152737450483</v>
      </c>
      <c r="D545" s="48">
        <f t="shared" si="7"/>
        <v>479</v>
      </c>
      <c r="E545" s="49">
        <v>119.36857440833953</v>
      </c>
    </row>
    <row r="546" spans="2:5" x14ac:dyDescent="0.3">
      <c r="B546" s="48">
        <v>480</v>
      </c>
      <c r="C546" s="49">
        <v>122.96313956814947</v>
      </c>
      <c r="D546" s="48">
        <f t="shared" si="7"/>
        <v>480</v>
      </c>
      <c r="E546" s="49">
        <v>152.758808282286</v>
      </c>
    </row>
    <row r="547" spans="2:5" x14ac:dyDescent="0.3">
      <c r="B547" s="48">
        <v>481</v>
      </c>
      <c r="C547" s="49">
        <v>48.373232245569639</v>
      </c>
      <c r="D547" s="48">
        <f t="shared" si="7"/>
        <v>481</v>
      </c>
      <c r="E547" s="49">
        <v>168.51294624681856</v>
      </c>
    </row>
    <row r="548" spans="2:5" x14ac:dyDescent="0.3">
      <c r="B548" s="48">
        <v>482</v>
      </c>
      <c r="C548" s="49">
        <v>62.881695378610083</v>
      </c>
      <c r="D548" s="48">
        <f t="shared" si="7"/>
        <v>482</v>
      </c>
      <c r="E548" s="49">
        <v>296.21018719311667</v>
      </c>
    </row>
    <row r="549" spans="2:5" x14ac:dyDescent="0.3">
      <c r="B549" s="48">
        <v>483</v>
      </c>
      <c r="C549" s="49">
        <v>87.393980705170421</v>
      </c>
      <c r="D549" s="48">
        <f t="shared" si="7"/>
        <v>483</v>
      </c>
      <c r="E549" s="49">
        <v>506.38810351230723</v>
      </c>
    </row>
    <row r="550" spans="2:5" x14ac:dyDescent="0.3">
      <c r="B550" s="48">
        <v>484</v>
      </c>
      <c r="C550" s="49">
        <v>130.53510731037494</v>
      </c>
      <c r="D550" s="48">
        <f t="shared" si="7"/>
        <v>484</v>
      </c>
      <c r="E550" s="49">
        <v>158.09174100071613</v>
      </c>
    </row>
    <row r="551" spans="2:5" x14ac:dyDescent="0.3">
      <c r="B551" s="48">
        <v>485</v>
      </c>
      <c r="C551" s="49">
        <v>57.882385116115437</v>
      </c>
      <c r="D551" s="48">
        <f t="shared" si="7"/>
        <v>485</v>
      </c>
      <c r="E551" s="49">
        <v>10.897292647173131</v>
      </c>
    </row>
    <row r="552" spans="2:5" x14ac:dyDescent="0.3">
      <c r="B552" s="48">
        <v>486</v>
      </c>
      <c r="C552" s="49">
        <v>135.19945510713606</v>
      </c>
      <c r="D552" s="48">
        <f t="shared" si="7"/>
        <v>486</v>
      </c>
      <c r="E552" s="49">
        <v>206.56808997547517</v>
      </c>
    </row>
    <row r="553" spans="2:5" x14ac:dyDescent="0.3">
      <c r="B553" s="48">
        <v>487</v>
      </c>
      <c r="C553" s="49">
        <v>137.92750714535879</v>
      </c>
      <c r="D553" s="48">
        <f t="shared" si="7"/>
        <v>487</v>
      </c>
      <c r="E553" s="49">
        <v>-14.265866866058232</v>
      </c>
    </row>
    <row r="554" spans="2:5" x14ac:dyDescent="0.3">
      <c r="B554" s="48">
        <v>488</v>
      </c>
      <c r="C554" s="49">
        <v>161.2937332447886</v>
      </c>
      <c r="D554" s="48">
        <f t="shared" si="7"/>
        <v>488</v>
      </c>
      <c r="E554" s="49">
        <v>364.33468041629828</v>
      </c>
    </row>
    <row r="555" spans="2:5" x14ac:dyDescent="0.3">
      <c r="B555" s="48">
        <v>489</v>
      </c>
      <c r="C555" s="49">
        <v>94.481866655060031</v>
      </c>
      <c r="D555" s="48">
        <f t="shared" si="7"/>
        <v>489</v>
      </c>
      <c r="E555" s="49">
        <v>30.430369019623651</v>
      </c>
    </row>
    <row r="556" spans="2:5" x14ac:dyDescent="0.3">
      <c r="B556" s="48">
        <v>490</v>
      </c>
      <c r="C556" s="49">
        <v>305.05103194507558</v>
      </c>
      <c r="D556" s="48">
        <f t="shared" si="7"/>
        <v>490</v>
      </c>
      <c r="E556" s="49">
        <v>246.17282670422838</v>
      </c>
    </row>
    <row r="557" spans="2:5" x14ac:dyDescent="0.3">
      <c r="B557" s="48">
        <v>491</v>
      </c>
      <c r="C557" s="49">
        <v>81.873703071450763</v>
      </c>
      <c r="D557" s="48">
        <f t="shared" si="7"/>
        <v>491</v>
      </c>
      <c r="E557" s="49">
        <v>82.97163237939823</v>
      </c>
    </row>
    <row r="558" spans="2:5" x14ac:dyDescent="0.3">
      <c r="B558" s="48">
        <v>492</v>
      </c>
      <c r="C558" s="49">
        <v>57.156386160926957</v>
      </c>
      <c r="D558" s="48">
        <f t="shared" si="7"/>
        <v>492</v>
      </c>
      <c r="E558" s="49">
        <v>246.31037731727983</v>
      </c>
    </row>
    <row r="559" spans="2:5" x14ac:dyDescent="0.3">
      <c r="B559" s="48">
        <v>493</v>
      </c>
      <c r="C559" s="49">
        <v>124.94405368954509</v>
      </c>
      <c r="D559" s="48">
        <f t="shared" si="7"/>
        <v>493</v>
      </c>
      <c r="E559" s="49">
        <v>-122.65864946656465</v>
      </c>
    </row>
    <row r="560" spans="2:5" x14ac:dyDescent="0.3">
      <c r="B560" s="48">
        <v>494</v>
      </c>
      <c r="C560" s="49">
        <v>119.07057960977386</v>
      </c>
      <c r="D560" s="48">
        <f t="shared" si="7"/>
        <v>494</v>
      </c>
      <c r="E560" s="49">
        <v>-57.710550018951736</v>
      </c>
    </row>
    <row r="561" spans="2:5" x14ac:dyDescent="0.3">
      <c r="B561" s="48">
        <v>495</v>
      </c>
      <c r="C561" s="49">
        <v>173.59514191904964</v>
      </c>
      <c r="D561" s="48">
        <f t="shared" si="7"/>
        <v>495</v>
      </c>
      <c r="E561" s="49">
        <v>150.09399251749448</v>
      </c>
    </row>
    <row r="562" spans="2:5" x14ac:dyDescent="0.3">
      <c r="B562" s="48">
        <v>496</v>
      </c>
      <c r="C562" s="49">
        <v>119.33829325164261</v>
      </c>
      <c r="D562" s="48">
        <f t="shared" si="7"/>
        <v>496</v>
      </c>
      <c r="E562" s="49">
        <v>198.9982593459045</v>
      </c>
    </row>
    <row r="563" spans="2:5" x14ac:dyDescent="0.3">
      <c r="B563" s="48">
        <v>497</v>
      </c>
      <c r="C563" s="49">
        <v>153.53706849941898</v>
      </c>
      <c r="D563" s="48">
        <f t="shared" si="7"/>
        <v>497</v>
      </c>
      <c r="E563" s="49">
        <v>31.872723834081519</v>
      </c>
    </row>
    <row r="564" spans="2:5" x14ac:dyDescent="0.3">
      <c r="B564" s="48">
        <v>498</v>
      </c>
      <c r="C564" s="49">
        <v>154.61998141988582</v>
      </c>
      <c r="D564" s="48">
        <f t="shared" si="7"/>
        <v>498</v>
      </c>
      <c r="E564" s="49">
        <v>393.68457418291115</v>
      </c>
    </row>
    <row r="565" spans="2:5" x14ac:dyDescent="0.3">
      <c r="B565" s="48">
        <v>499</v>
      </c>
      <c r="C565" s="49">
        <v>146.92036518301296</v>
      </c>
      <c r="D565" s="48">
        <f t="shared" si="7"/>
        <v>499</v>
      </c>
      <c r="E565" s="49">
        <v>287.10275840894582</v>
      </c>
    </row>
    <row r="566" spans="2:5" x14ac:dyDescent="0.3">
      <c r="B566" s="48">
        <v>500</v>
      </c>
      <c r="C566" s="49">
        <v>31.198527319729227</v>
      </c>
      <c r="D566" s="48">
        <f t="shared" si="7"/>
        <v>500</v>
      </c>
      <c r="E566" s="49">
        <v>209.21201701765872</v>
      </c>
    </row>
  </sheetData>
  <mergeCells count="126">
    <mergeCell ref="B1:E1"/>
    <mergeCell ref="D31:E31"/>
    <mergeCell ref="D32:E32"/>
    <mergeCell ref="D33:E33"/>
    <mergeCell ref="B18:E18"/>
    <mergeCell ref="D29:E29"/>
    <mergeCell ref="D30:E30"/>
    <mergeCell ref="D7:E7"/>
    <mergeCell ref="D6:E6"/>
    <mergeCell ref="D5:E5"/>
    <mergeCell ref="D4:E4"/>
    <mergeCell ref="D3:E3"/>
    <mergeCell ref="D8:E8"/>
    <mergeCell ref="D9:E9"/>
    <mergeCell ref="D10:E10"/>
    <mergeCell ref="D11:E11"/>
    <mergeCell ref="D12:E12"/>
    <mergeCell ref="D13:E13"/>
    <mergeCell ref="D14:E14"/>
    <mergeCell ref="D15:E15"/>
    <mergeCell ref="D16:E16"/>
    <mergeCell ref="D17:E17"/>
    <mergeCell ref="B15:C15"/>
    <mergeCell ref="B16:C16"/>
    <mergeCell ref="B17:C17"/>
    <mergeCell ref="B28:C28"/>
    <mergeCell ref="B27:C27"/>
    <mergeCell ref="B26:C26"/>
    <mergeCell ref="B33:C33"/>
    <mergeCell ref="B32:C32"/>
    <mergeCell ref="B31:C31"/>
    <mergeCell ref="B24:C24"/>
    <mergeCell ref="D23:E23"/>
    <mergeCell ref="D25:E25"/>
    <mergeCell ref="D26:E26"/>
    <mergeCell ref="D27:E27"/>
    <mergeCell ref="D28:E28"/>
    <mergeCell ref="B19:C19"/>
    <mergeCell ref="D19:E19"/>
    <mergeCell ref="D20:E20"/>
    <mergeCell ref="D21:E21"/>
    <mergeCell ref="D22:E22"/>
    <mergeCell ref="B25:C25"/>
    <mergeCell ref="B23:C23"/>
    <mergeCell ref="B22:C22"/>
    <mergeCell ref="B21:C21"/>
    <mergeCell ref="B20:C20"/>
    <mergeCell ref="D24:E24"/>
    <mergeCell ref="B45:C45"/>
    <mergeCell ref="B46:C46"/>
    <mergeCell ref="B39:C39"/>
    <mergeCell ref="B40:C40"/>
    <mergeCell ref="B41:C41"/>
    <mergeCell ref="B42:C42"/>
    <mergeCell ref="B43:C43"/>
    <mergeCell ref="B30:C30"/>
    <mergeCell ref="B29:C29"/>
    <mergeCell ref="A34:E34"/>
    <mergeCell ref="B44:C44"/>
    <mergeCell ref="A35:E35"/>
    <mergeCell ref="B58:C58"/>
    <mergeCell ref="B57:C57"/>
    <mergeCell ref="B56:C56"/>
    <mergeCell ref="B55:C55"/>
    <mergeCell ref="B54:C54"/>
    <mergeCell ref="B53:C53"/>
    <mergeCell ref="B52:C52"/>
    <mergeCell ref="B51:C51"/>
    <mergeCell ref="D36:E36"/>
    <mergeCell ref="D37:E37"/>
    <mergeCell ref="D38:E38"/>
    <mergeCell ref="B36:C36"/>
    <mergeCell ref="B37:C37"/>
    <mergeCell ref="B38:C38"/>
    <mergeCell ref="D57:E57"/>
    <mergeCell ref="D58:E58"/>
    <mergeCell ref="D45:E45"/>
    <mergeCell ref="D46:E46"/>
    <mergeCell ref="D39:E39"/>
    <mergeCell ref="D40:E40"/>
    <mergeCell ref="D41:E41"/>
    <mergeCell ref="D42:E42"/>
    <mergeCell ref="D43:E43"/>
    <mergeCell ref="D44:E44"/>
    <mergeCell ref="D52:E52"/>
    <mergeCell ref="D53:E53"/>
    <mergeCell ref="D54:E54"/>
    <mergeCell ref="D55:E55"/>
    <mergeCell ref="D56:E56"/>
    <mergeCell ref="B48:C48"/>
    <mergeCell ref="B50:C50"/>
    <mergeCell ref="D48:E48"/>
    <mergeCell ref="D50:E50"/>
    <mergeCell ref="D51:E51"/>
    <mergeCell ref="D49:E49"/>
    <mergeCell ref="B49:C49"/>
    <mergeCell ref="D66:E66"/>
    <mergeCell ref="B61:C61"/>
    <mergeCell ref="B60:C60"/>
    <mergeCell ref="B59:C59"/>
    <mergeCell ref="B65:C65"/>
    <mergeCell ref="B62:C62"/>
    <mergeCell ref="D64:E64"/>
    <mergeCell ref="D63:E63"/>
    <mergeCell ref="D62:E62"/>
    <mergeCell ref="D61:E61"/>
    <mergeCell ref="D65:E65"/>
    <mergeCell ref="B66:C66"/>
    <mergeCell ref="B64:C64"/>
    <mergeCell ref="B63:C63"/>
    <mergeCell ref="D60:E60"/>
    <mergeCell ref="D59:E59"/>
    <mergeCell ref="B3:C3"/>
    <mergeCell ref="B2:C2"/>
    <mergeCell ref="D2:E2"/>
    <mergeCell ref="B4:C4"/>
    <mergeCell ref="B10:C10"/>
    <mergeCell ref="B11:C11"/>
    <mergeCell ref="B12:C12"/>
    <mergeCell ref="B13:C13"/>
    <mergeCell ref="B14:C14"/>
    <mergeCell ref="B5:C5"/>
    <mergeCell ref="B6:C6"/>
    <mergeCell ref="B7:C7"/>
    <mergeCell ref="B8:C8"/>
    <mergeCell ref="B9:C9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8619A7-1257-474E-B4EF-A20B407C8AA0}">
  <dimension ref="A1:AD93"/>
  <sheetViews>
    <sheetView workbookViewId="0">
      <selection activeCell="P25" sqref="P25"/>
    </sheetView>
  </sheetViews>
  <sheetFormatPr defaultRowHeight="14.4" x14ac:dyDescent="0.3"/>
  <cols>
    <col min="1" max="1" width="47.109375" customWidth="1"/>
    <col min="2" max="2" width="33.6640625" customWidth="1"/>
    <col min="3" max="3" width="15.5546875" customWidth="1"/>
    <col min="4" max="4" width="13.88671875" customWidth="1"/>
    <col min="5" max="5" width="11.109375" customWidth="1"/>
    <col min="6" max="8" width="12.88671875" customWidth="1"/>
    <col min="9" max="9" width="13.6640625" bestFit="1" customWidth="1"/>
    <col min="10" max="10" width="17.5546875" customWidth="1"/>
    <col min="11" max="11" width="12.5546875" bestFit="1" customWidth="1"/>
    <col min="12" max="12" width="12.5546875" customWidth="1"/>
    <col min="13" max="13" width="12.44140625" customWidth="1"/>
    <col min="14" max="14" width="13.6640625" bestFit="1" customWidth="1"/>
    <col min="15" max="15" width="16" customWidth="1"/>
    <col min="16" max="16" width="16" style="79" customWidth="1"/>
    <col min="17" max="17" width="16" customWidth="1"/>
    <col min="18" max="18" width="16" style="79" customWidth="1"/>
    <col min="19" max="20" width="16.5546875" customWidth="1"/>
    <col min="21" max="21" width="12.5546875" bestFit="1" customWidth="1"/>
    <col min="25" max="25" width="10.109375" bestFit="1" customWidth="1"/>
    <col min="26" max="26" width="10.5546875" bestFit="1" customWidth="1"/>
    <col min="27" max="27" width="19" style="83" customWidth="1"/>
    <col min="28" max="28" width="17.33203125" customWidth="1"/>
    <col min="29" max="29" width="12.44140625" style="93" customWidth="1"/>
    <col min="30" max="30" width="11.21875" customWidth="1"/>
  </cols>
  <sheetData>
    <row r="1" spans="1:30" ht="15.6" x14ac:dyDescent="0.3">
      <c r="A1" s="35"/>
      <c r="B1" s="35"/>
      <c r="C1" s="109"/>
      <c r="D1" s="109"/>
      <c r="E1" s="109"/>
      <c r="F1" s="109"/>
      <c r="G1" s="109"/>
      <c r="H1" s="109"/>
      <c r="I1" s="109"/>
      <c r="J1" s="109"/>
      <c r="K1" s="109"/>
      <c r="L1" s="109"/>
      <c r="M1" s="109"/>
      <c r="N1" s="107" t="s">
        <v>124</v>
      </c>
      <c r="O1" s="107"/>
      <c r="P1" s="107"/>
      <c r="Q1" s="107"/>
      <c r="R1" s="107"/>
      <c r="S1" s="107"/>
      <c r="T1" s="107"/>
      <c r="U1" s="107" t="s">
        <v>126</v>
      </c>
      <c r="V1" s="107"/>
      <c r="W1" s="107"/>
      <c r="X1" s="107"/>
      <c r="Y1" s="107"/>
      <c r="Z1" s="107" t="s">
        <v>125</v>
      </c>
      <c r="AA1" s="107"/>
      <c r="AB1" s="107"/>
      <c r="AC1" s="94"/>
      <c r="AD1" s="35"/>
    </row>
    <row r="2" spans="1:30" ht="15.6" x14ac:dyDescent="0.3">
      <c r="A2" s="11" t="s">
        <v>20</v>
      </c>
      <c r="B2" s="1" t="s">
        <v>22</v>
      </c>
      <c r="C2" s="97" t="s">
        <v>107</v>
      </c>
      <c r="D2" s="97" t="s">
        <v>117</v>
      </c>
      <c r="E2" s="97" t="s">
        <v>31</v>
      </c>
      <c r="F2" s="97" t="s">
        <v>118</v>
      </c>
      <c r="G2" s="97" t="s">
        <v>135</v>
      </c>
      <c r="H2" s="97" t="s">
        <v>37</v>
      </c>
      <c r="I2" s="97" t="s">
        <v>38</v>
      </c>
      <c r="J2" s="96" t="s">
        <v>119</v>
      </c>
      <c r="K2" s="8" t="s">
        <v>39</v>
      </c>
      <c r="L2" s="8" t="s">
        <v>35</v>
      </c>
      <c r="M2" s="97" t="s">
        <v>46</v>
      </c>
      <c r="N2" s="97" t="s">
        <v>120</v>
      </c>
      <c r="O2" s="97" t="s">
        <v>121</v>
      </c>
      <c r="P2" s="97" t="s">
        <v>122</v>
      </c>
      <c r="Q2" s="97" t="s">
        <v>83</v>
      </c>
      <c r="R2" s="97" t="s">
        <v>95</v>
      </c>
      <c r="S2" s="1" t="s">
        <v>123</v>
      </c>
      <c r="T2" s="1" t="s">
        <v>127</v>
      </c>
      <c r="U2" s="97" t="s">
        <v>47</v>
      </c>
      <c r="V2" s="97" t="s">
        <v>128</v>
      </c>
      <c r="W2" s="97" t="s">
        <v>91</v>
      </c>
      <c r="X2" s="97" t="s">
        <v>129</v>
      </c>
      <c r="Y2" s="97" t="s">
        <v>130</v>
      </c>
      <c r="Z2" s="97" t="s">
        <v>131</v>
      </c>
      <c r="AA2" s="97" t="s">
        <v>97</v>
      </c>
      <c r="AB2" s="97" t="s">
        <v>132</v>
      </c>
      <c r="AC2" s="97" t="s">
        <v>133</v>
      </c>
      <c r="AD2" s="97" t="s">
        <v>134</v>
      </c>
    </row>
    <row r="3" spans="1:30" ht="15.6" x14ac:dyDescent="0.3">
      <c r="A3" s="11" t="s">
        <v>80</v>
      </c>
      <c r="B3" s="93" t="s">
        <v>101</v>
      </c>
      <c r="C3" s="69">
        <f>D3/SUM(D3:D4)</f>
        <v>0.58348931022115735</v>
      </c>
      <c r="D3" s="30">
        <f>L3/F3</f>
        <v>16373.983893418712</v>
      </c>
      <c r="E3" s="3">
        <f>[1]All!$H$6</f>
        <v>0.504</v>
      </c>
      <c r="F3" s="70">
        <f>[1]All!$G$6</f>
        <v>10.5</v>
      </c>
      <c r="G3" s="63">
        <f>M3/D3</f>
        <v>15.407976155827606</v>
      </c>
      <c r="H3" s="70">
        <f>[1]All!$J$3</f>
        <v>6</v>
      </c>
      <c r="I3" s="69">
        <f>[1]All!$I$3</f>
        <v>0.39</v>
      </c>
      <c r="J3" s="37">
        <f>D3*F3*0</f>
        <v>0</v>
      </c>
      <c r="K3" s="16">
        <v>1</v>
      </c>
      <c r="L3" s="17">
        <f>([2]prod_herd_data!$H$8+[2]prod_herd_data!$I$8)*(1-[2]prod_herd_data!$H$3)*(C26)</f>
        <v>171926.83088089648</v>
      </c>
      <c r="M3" s="42">
        <f>SUM([2]prod_herd_data!$H$10:$I$10)*C26</f>
        <v>252289.9534057008</v>
      </c>
      <c r="N3" s="43">
        <f>Dairy_Income_Baseline!B28</f>
        <v>31.294314476200199</v>
      </c>
      <c r="O3" s="43">
        <f ca="1">Dairy_Income_Baseline!B64</f>
        <v>54.963265412292053</v>
      </c>
      <c r="P3" s="43">
        <f>(G3-F3)*(Dairy_Income_Baseline!B24)</f>
        <v>0.10704900249777245</v>
      </c>
      <c r="Q3" s="58">
        <f>P3*Dairy_Income_Baseline!L36</f>
        <v>26.797576795267378</v>
      </c>
      <c r="R3" s="58">
        <f>IF(P3&gt;0, P3*Dairy_Income_Roadmap!L19/12, 0)</f>
        <v>0.2497810058281357</v>
      </c>
      <c r="S3" s="44">
        <f>G3*I3*N3</f>
        <v>188.05099999228273</v>
      </c>
      <c r="T3" s="44">
        <f ca="1">F3*O3*I3</f>
        <v>225.07457186333599</v>
      </c>
      <c r="U3" s="68">
        <f>N3*(M3*K3)/(D3)</f>
        <v>482.18205126226337</v>
      </c>
      <c r="V3" s="68">
        <f>[1]All!$E$6*[3]Sheet1!$B$9</f>
        <v>3293.6978046582585</v>
      </c>
      <c r="W3" s="68">
        <f>[1]All!$F$6</f>
        <v>113.99999999999999</v>
      </c>
      <c r="X3" s="46">
        <f>U3+V3</f>
        <v>3775.879855920522</v>
      </c>
      <c r="Y3" s="46">
        <f>V3+S3-Q3-R3</f>
        <v>3454.7014468494458</v>
      </c>
      <c r="Z3" s="32">
        <f>SQRT(C3*(1-C3)/N23)</f>
        <v>2.9201630276455295E-2</v>
      </c>
      <c r="AA3" s="28">
        <f>S3*D3</f>
        <v>3079144.0450149197</v>
      </c>
      <c r="AB3" s="46">
        <f>Y3*D3</f>
        <v>56567225.847283147</v>
      </c>
      <c r="AC3" s="92"/>
      <c r="AD3" s="18"/>
    </row>
    <row r="4" spans="1:30" ht="15.6" x14ac:dyDescent="0.3">
      <c r="A4" s="12"/>
      <c r="B4" s="93" t="s">
        <v>102</v>
      </c>
      <c r="C4" s="69">
        <f>1-C3</f>
        <v>0.41651068977884265</v>
      </c>
      <c r="D4" s="30">
        <f>L4/F4</f>
        <v>11688.199263308798</v>
      </c>
      <c r="E4" s="3">
        <f>[1]All!$H$7</f>
        <v>0.40899999999999997</v>
      </c>
      <c r="F4" s="70">
        <f>[1]All!$G$7</f>
        <v>2.8148149999999998</v>
      </c>
      <c r="G4" s="63">
        <f>M4/D4</f>
        <v>4.035866776247552</v>
      </c>
      <c r="H4" s="70">
        <f>[1]All!$J$4</f>
        <v>5.7</v>
      </c>
      <c r="I4" s="69">
        <f>[1]All!$I$4</f>
        <v>0.50487289999999996</v>
      </c>
      <c r="J4" s="37">
        <f>D4*F4*0</f>
        <v>0</v>
      </c>
      <c r="K4" s="16">
        <v>1</v>
      </c>
      <c r="L4" s="17">
        <f>([2]prod_herd_data!$H$8+[2]prod_herd_data!$I$8)*([2]prod_herd_data!$H$3)*(1-C24)</f>
        <v>32900.118609350553</v>
      </c>
      <c r="M4" s="42">
        <f>SUM([2]prod_herd_data!$H$9:$I$9)*(1-C25)</f>
        <v>47172.015080949088</v>
      </c>
      <c r="N4" s="43">
        <f>Dairy_Income_Baseline!D28</f>
        <v>359.47281896729658</v>
      </c>
      <c r="O4" s="43">
        <f ca="1">Dairy_Income_Baseline!D64</f>
        <v>156.27722926428413</v>
      </c>
      <c r="P4" s="43">
        <f>(G4-F4)*(Dairy_Income_Baseline!B24)</f>
        <v>2.6632642558833367E-2</v>
      </c>
      <c r="Q4" s="58">
        <f>P4*Dairy_Income_Baseline!L38</f>
        <v>6.9431299150878587</v>
      </c>
      <c r="R4" s="58">
        <f>IF(P4&gt;0, P4*Dairy_Income_Roadmap!L19/12, 0)</f>
        <v>6.2142832637277857E-2</v>
      </c>
      <c r="S4" s="44">
        <f>G4*I4*N4</f>
        <v>732.46173085411829</v>
      </c>
      <c r="T4" s="44">
        <f ca="1">F4*O4*I4</f>
        <v>222.08929178296714</v>
      </c>
      <c r="U4" s="68">
        <f>N4*(M4*K4)/(D4)</f>
        <v>1450.7844070341632</v>
      </c>
      <c r="V4" s="68">
        <f>[1]All!$E$7*[3]Sheet1!$B$9</f>
        <v>5433.941918715409</v>
      </c>
      <c r="W4" s="68">
        <f>[1]All!$F$7</f>
        <v>120.75400327827512</v>
      </c>
      <c r="X4" s="82">
        <f>U4+V4</f>
        <v>6884.7263257495724</v>
      </c>
      <c r="Y4" s="46">
        <f>V4+S4-Q4-R4</f>
        <v>6159.3983768218022</v>
      </c>
      <c r="Z4" s="32">
        <f>SQRT(C4*(1-C4)/N23)</f>
        <v>2.9201630276455295E-2</v>
      </c>
      <c r="AA4" s="28">
        <f>S4*D4</f>
        <v>8561158.6629709918</v>
      </c>
      <c r="AB4" s="46">
        <f>Y4*D4</f>
        <v>71992275.570393994</v>
      </c>
      <c r="AC4" s="92"/>
      <c r="AD4" s="95">
        <f ca="1">MC_Baseline!H20</f>
        <v>11.47195235697059</v>
      </c>
    </row>
    <row r="5" spans="1:30" ht="15.6" x14ac:dyDescent="0.3">
      <c r="A5" s="12"/>
      <c r="C5" s="33"/>
      <c r="D5" s="30"/>
      <c r="E5" s="3"/>
      <c r="F5" s="30"/>
      <c r="G5" s="3"/>
      <c r="H5" s="30"/>
      <c r="I5" s="33"/>
      <c r="J5" s="37"/>
      <c r="K5" s="16"/>
      <c r="L5" s="10"/>
      <c r="M5" s="45"/>
      <c r="N5" s="43"/>
      <c r="O5" s="43"/>
      <c r="P5" s="43"/>
      <c r="Q5" s="58"/>
      <c r="R5" s="58"/>
      <c r="S5" s="44"/>
      <c r="T5" s="44"/>
      <c r="U5" s="46"/>
      <c r="V5" s="46"/>
      <c r="W5" s="46"/>
      <c r="X5" s="46"/>
      <c r="Y5" s="46"/>
      <c r="Z5" s="32"/>
      <c r="AA5" s="28"/>
      <c r="AB5" s="46"/>
      <c r="AC5" s="92"/>
      <c r="AD5" s="95"/>
    </row>
    <row r="6" spans="1:30" ht="15.6" x14ac:dyDescent="0.3">
      <c r="A6" s="11" t="s">
        <v>103</v>
      </c>
      <c r="B6" t="s">
        <v>100</v>
      </c>
      <c r="C6" s="62">
        <f>D6/SUM(D6:D8)</f>
        <v>0.10211062928870253</v>
      </c>
      <c r="D6" s="63">
        <f>D3*C31</f>
        <v>2865.4471813482746</v>
      </c>
      <c r="E6" s="64">
        <f>E4</f>
        <v>0.40899999999999997</v>
      </c>
      <c r="F6" s="63">
        <f>J6*(1/D6)</f>
        <v>2.611427351365573</v>
      </c>
      <c r="G6" s="65"/>
      <c r="H6" s="63">
        <f>H3</f>
        <v>6</v>
      </c>
      <c r="I6" s="65">
        <f>I3</f>
        <v>0.39</v>
      </c>
      <c r="J6" s="66">
        <f>M6*K6</f>
        <v>7482.9071432662713</v>
      </c>
      <c r="K6" s="67">
        <f>C27</f>
        <v>0.15</v>
      </c>
      <c r="L6" s="9"/>
      <c r="M6" s="45">
        <f>([2]prod_herd_data!H25*[2]prod_herd_data!H31+[2]prod_herd_data!I25*[2]prod_herd_data!I31)*(1-C25)</f>
        <v>49886.047621775142</v>
      </c>
      <c r="N6" s="43">
        <f>Dairy_Income_Roadmap!C27</f>
        <v>880.62230423788765</v>
      </c>
      <c r="O6" s="43">
        <f ca="1">Dairy_Income_Roadmap!C57</f>
        <v>310.02535102731719</v>
      </c>
      <c r="P6" s="43">
        <f>(F6*(Dairy_Income_Roadmap!C22 + Dairy_Income_Baseline!B24)  -   F3*Dairy_Income_Baseline!B24)</f>
        <v>-0.23895058330725516</v>
      </c>
      <c r="Q6" s="58">
        <f>(P6*(Dairy_Income_Roadmap!C19))</f>
        <v>-76.395036865530145</v>
      </c>
      <c r="R6" s="58">
        <f>IF(P6&gt;0, P6*Dairy_Income_Roadmap!L19/12, 0)</f>
        <v>0</v>
      </c>
      <c r="S6" s="44">
        <f>F6*I6*N6</f>
        <v>896.87565688866391</v>
      </c>
      <c r="T6" s="44">
        <f ca="1">F6*O6*I6</f>
        <v>315.74738570288508</v>
      </c>
      <c r="U6" s="46">
        <f>U3</f>
        <v>482.18205126226337</v>
      </c>
      <c r="V6" s="46">
        <f>V3-Q6-R6</f>
        <v>3370.0928415237886</v>
      </c>
      <c r="W6" s="46">
        <f>W3</f>
        <v>113.99999999999999</v>
      </c>
      <c r="X6" s="46">
        <f>U6+V6</f>
        <v>3852.2748927860521</v>
      </c>
      <c r="Y6" s="46">
        <f>S6+V6</f>
        <v>4266.9684984124524</v>
      </c>
      <c r="Z6" s="32">
        <f>Z3</f>
        <v>2.9201630276455295E-2</v>
      </c>
      <c r="AA6" s="28">
        <f>S6*D6</f>
        <v>2569949.8230515043</v>
      </c>
      <c r="AB6" s="47">
        <f>Y6*D6</f>
        <v>12226772.856677841</v>
      </c>
      <c r="AC6" s="47"/>
      <c r="AD6" s="95"/>
    </row>
    <row r="7" spans="1:30" ht="15.6" x14ac:dyDescent="0.3">
      <c r="A7" s="11"/>
      <c r="B7" t="s">
        <v>101</v>
      </c>
      <c r="C7" s="62">
        <f>D7/SUM(D6:D8)</f>
        <v>0.48137868093245478</v>
      </c>
      <c r="D7" s="63">
        <f>D3-D6</f>
        <v>13508.536712070438</v>
      </c>
      <c r="E7" s="64">
        <f>E3</f>
        <v>0.504</v>
      </c>
      <c r="F7" s="63">
        <f>J7*(1/D7)</f>
        <v>7.1254395866372429</v>
      </c>
      <c r="G7" s="65"/>
      <c r="H7" s="63">
        <f>H3</f>
        <v>6</v>
      </c>
      <c r="I7" s="65">
        <f>I3</f>
        <v>0.39</v>
      </c>
      <c r="J7" s="66">
        <f>M7*K7</f>
        <v>96254.262245729202</v>
      </c>
      <c r="K7" s="67">
        <v>1</v>
      </c>
      <c r="L7" s="9"/>
      <c r="M7" s="45">
        <f>([2]prod_herd_data!H26*[2]prod_herd_data!H31+[2]prod_herd_data!I26*[2]prod_herd_data!I31)*C26</f>
        <v>96254.262245729202</v>
      </c>
      <c r="N7" s="43">
        <f>Dairy_Income_Roadmap!E27</f>
        <v>181.77307777823148</v>
      </c>
      <c r="O7" s="43">
        <f ca="1">Dairy_Income_Roadmap!E57</f>
        <v>31.306494671805648</v>
      </c>
      <c r="P7" s="43">
        <f>(F7*(Dairy_Income_Roadmap!E22 + Dairy_Income_Baseline!B24)  -   F3*Dairy_Income_Baseline!B24)</f>
        <v>-2.3155619572971893</v>
      </c>
      <c r="Q7" s="58">
        <f>(P7*(Dairy_Income_Roadmap!E19))</f>
        <v>-740.30972698934124</v>
      </c>
      <c r="R7" s="58">
        <f>IF(P7&gt;0, P7*Dairy_Income_Roadmap!L19/12, 0)</f>
        <v>0</v>
      </c>
      <c r="S7" s="44">
        <f>F7*I7*N7</f>
        <v>505.13310283250144</v>
      </c>
      <c r="T7" s="44">
        <f ca="1">F7*O7*I7</f>
        <v>86.998289216799435</v>
      </c>
      <c r="U7" s="46">
        <f t="shared" ref="U7:W8" si="0">U3</f>
        <v>482.18205126226337</v>
      </c>
      <c r="V7" s="46">
        <f>V3-Q7-R7</f>
        <v>4034.0075316475995</v>
      </c>
      <c r="W7" s="46">
        <f t="shared" si="0"/>
        <v>113.99999999999999</v>
      </c>
      <c r="X7" s="46">
        <f>U7+V7</f>
        <v>4516.189582909863</v>
      </c>
      <c r="Y7" s="77">
        <f t="shared" ref="Y7:Y20" si="1">S7+V7</f>
        <v>4539.1406344801007</v>
      </c>
      <c r="Z7" s="32">
        <f>Z3</f>
        <v>2.9201630276455295E-2</v>
      </c>
      <c r="AA7" s="28">
        <f>S7*D7</f>
        <v>6823609.0640948974</v>
      </c>
      <c r="AB7" s="46">
        <f>Y7*D7</f>
        <v>61317147.902125143</v>
      </c>
      <c r="AC7" s="92"/>
      <c r="AD7" s="95"/>
    </row>
    <row r="8" spans="1:30" ht="15.6" x14ac:dyDescent="0.3">
      <c r="A8" s="12"/>
      <c r="B8" t="s">
        <v>102</v>
      </c>
      <c r="C8" s="62">
        <f>D8/SUM(D6:D8)</f>
        <v>0.41651068977884276</v>
      </c>
      <c r="D8" s="63">
        <f>D4</f>
        <v>11688.199263308798</v>
      </c>
      <c r="E8" s="64">
        <f>E4</f>
        <v>0.40899999999999997</v>
      </c>
      <c r="F8" s="63">
        <f>J8*(1/D8)</f>
        <v>3.6278591358054086</v>
      </c>
      <c r="G8" s="65"/>
      <c r="H8" s="63">
        <f>H4</f>
        <v>5.7</v>
      </c>
      <c r="I8" s="65">
        <f>I4</f>
        <v>0.50487289999999996</v>
      </c>
      <c r="J8" s="66">
        <f>M8*K8</f>
        <v>42403.140478508867</v>
      </c>
      <c r="K8" s="67">
        <f>K4*(1-C27)</f>
        <v>0.85</v>
      </c>
      <c r="L8" s="9"/>
      <c r="M8" s="45">
        <f>([2]prod_herd_data!H25*[2]prod_herd_data!H31+[2]prod_herd_data!I25*[2]prod_herd_data!I31)*(1-C25)</f>
        <v>49886.047621775142</v>
      </c>
      <c r="N8" s="43">
        <f>Dairy_Income_Roadmap!G27</f>
        <v>985.97574143461293</v>
      </c>
      <c r="O8" s="43">
        <f ca="1">Dairy_Income_Roadmap!G57</f>
        <v>280.9729734793338</v>
      </c>
      <c r="P8" s="43">
        <f>(F8*(Dairy_Income_Roadmap!G22 + Dairy_Income_Baseline!D24)  -   F5*Dairy_Income_Baseline!D24)</f>
        <v>1.3739105653004313</v>
      </c>
      <c r="Q8" s="58">
        <f>(P8*(Dairy_Income_Roadmap!G19))</f>
        <v>457.45001359276665</v>
      </c>
      <c r="R8" s="58">
        <f>IF(P8&gt;0, P8*Dairy_Income_Roadmap!L19/12, 0)</f>
        <v>3.2057913190343399</v>
      </c>
      <c r="S8" s="44">
        <f>F8*I8*N8</f>
        <v>1805.9208218312976</v>
      </c>
      <c r="T8" s="44">
        <f ca="1">F8*O8*I8</f>
        <v>514.63227932959467</v>
      </c>
      <c r="U8" s="46">
        <f t="shared" si="0"/>
        <v>1450.7844070341632</v>
      </c>
      <c r="V8" s="46">
        <f>V4-Q8-R8</f>
        <v>4973.2861138036078</v>
      </c>
      <c r="W8" s="46">
        <f>W4</f>
        <v>120.75400327827512</v>
      </c>
      <c r="X8" s="46">
        <f>U8+V8</f>
        <v>6424.0705208377713</v>
      </c>
      <c r="Y8" s="77">
        <f t="shared" si="1"/>
        <v>6779.2069356349057</v>
      </c>
      <c r="Z8" s="32">
        <f>Z4</f>
        <v>2.9201630276455295E-2</v>
      </c>
      <c r="AA8" s="28">
        <f>S8*D8</f>
        <v>21107962.419322591</v>
      </c>
      <c r="AB8" s="46">
        <f>Y8*D8</f>
        <v>79236721.510905802</v>
      </c>
      <c r="AC8" s="92">
        <f>-1+SUM(AB6:AB8)/SUM(AB3:AB4)</f>
        <v>0.18840412871032819</v>
      </c>
      <c r="AD8" s="95">
        <f ca="1">MC_High_ambition!I20</f>
        <v>14.226775915731553</v>
      </c>
    </row>
    <row r="9" spans="1:30" ht="15.6" x14ac:dyDescent="0.3">
      <c r="A9" s="12"/>
      <c r="C9" s="62"/>
      <c r="D9" s="63"/>
      <c r="E9" s="64"/>
      <c r="F9" s="63"/>
      <c r="G9" s="65"/>
      <c r="H9" s="63"/>
      <c r="I9" s="65"/>
      <c r="J9" s="66"/>
      <c r="K9" s="67"/>
      <c r="L9" s="9"/>
      <c r="M9" s="45"/>
      <c r="N9" s="43"/>
      <c r="O9" s="43"/>
      <c r="P9" s="43"/>
      <c r="Q9" s="58"/>
      <c r="R9" s="58"/>
      <c r="S9" s="44"/>
      <c r="T9" s="44"/>
      <c r="U9" s="46"/>
      <c r="V9" s="46"/>
      <c r="W9" s="46"/>
      <c r="X9" s="46"/>
      <c r="Y9" s="77"/>
      <c r="Z9" s="32"/>
      <c r="AA9" s="28"/>
      <c r="AB9" s="46"/>
      <c r="AC9" s="92"/>
      <c r="AD9" s="95"/>
    </row>
    <row r="10" spans="1:30" ht="15.6" x14ac:dyDescent="0.3">
      <c r="A10" s="11" t="s">
        <v>104</v>
      </c>
      <c r="B10" s="75" t="str">
        <f>B6</f>
        <v>New-improved</v>
      </c>
      <c r="C10" s="62">
        <f>D10/SUM(D10:D12)</f>
        <v>5.5431484471009929E-2</v>
      </c>
      <c r="D10" s="63">
        <f>D3*C32</f>
        <v>1555.5284698747773</v>
      </c>
      <c r="E10" s="64">
        <f>E6</f>
        <v>0.40899999999999997</v>
      </c>
      <c r="F10" s="63">
        <f>J10*(1/D10)</f>
        <v>2.2370357687961948</v>
      </c>
      <c r="G10" s="65"/>
      <c r="H10" s="63">
        <f>H6</f>
        <v>6</v>
      </c>
      <c r="I10" s="65">
        <f>I6</f>
        <v>0.39</v>
      </c>
      <c r="J10" s="66">
        <f>M10*K10</f>
        <v>3479.7728264906909</v>
      </c>
      <c r="K10" s="67">
        <f>C28</f>
        <v>8.7499999999999994E-2</v>
      </c>
      <c r="L10" s="9"/>
      <c r="M10" s="45">
        <f>([2]prod_herd_data!H34*[2]prod_herd_data!H40+[2]prod_herd_data!I34*[2]prod_herd_data!I40)*(1-C25)</f>
        <v>39768.832302750758</v>
      </c>
      <c r="N10" s="43">
        <f>Dairy_Income_Roadmap!C27</f>
        <v>880.62230423788765</v>
      </c>
      <c r="O10" s="43">
        <f ca="1">Dairy_Income_Roadmap!C57</f>
        <v>310.02535102731719</v>
      </c>
      <c r="P10" s="43">
        <f>(F10*(Dairy_Income_Roadmap!C22+Dairy_Income_Baseline!B24)-F3*Dairy_Income_Baseline!B24)</f>
        <v>-0.23752657171588415</v>
      </c>
      <c r="Q10" s="58">
        <f>(P10*(Dairy_Income_Roadmap!C19))</f>
        <v>-75.93976525031151</v>
      </c>
      <c r="R10" s="58">
        <f>IF(P10&gt;0, P10*Dairy_Income_Roadmap!L19/12, 0)</f>
        <v>0</v>
      </c>
      <c r="S10" s="44">
        <f>F10*I10*N10</f>
        <v>768.293601418153</v>
      </c>
      <c r="T10" s="44">
        <f ca="1">F10*O10*I10</f>
        <v>270.47974179786479</v>
      </c>
      <c r="U10" s="46">
        <f t="shared" ref="U10:W12" si="2">U6</f>
        <v>482.18205126226337</v>
      </c>
      <c r="V10" s="46">
        <f>V3-Q10-R10</f>
        <v>3369.6375699085702</v>
      </c>
      <c r="W10" s="46">
        <f>W6</f>
        <v>113.99999999999999</v>
      </c>
      <c r="X10" s="46">
        <f>U10+V10</f>
        <v>3851.8196211708337</v>
      </c>
      <c r="Y10" s="77">
        <f t="shared" si="1"/>
        <v>4137.9311713267234</v>
      </c>
      <c r="Z10" s="32">
        <f>Z6</f>
        <v>2.9201630276455295E-2</v>
      </c>
      <c r="AA10" s="28">
        <f>S10*D10</f>
        <v>1195102.5702285615</v>
      </c>
      <c r="AB10" s="46">
        <f>Y10*D10</f>
        <v>6436669.7433810029</v>
      </c>
      <c r="AC10" s="92"/>
      <c r="AD10" s="95"/>
    </row>
    <row r="11" spans="1:30" ht="15.6" x14ac:dyDescent="0.3">
      <c r="A11" s="13"/>
      <c r="B11" s="80" t="str">
        <f t="shared" ref="B11:B20" si="3">B7</f>
        <v>Local-only</v>
      </c>
      <c r="C11" s="62">
        <f>D11/SUM(D10:D12)</f>
        <v>0.52805782575014737</v>
      </c>
      <c r="D11" s="63">
        <f>D3*(1-C32)</f>
        <v>14818.455423543935</v>
      </c>
      <c r="E11" s="64">
        <f>E7</f>
        <v>0.504</v>
      </c>
      <c r="F11" s="63">
        <f>J11*(1/D11)</f>
        <v>8.291179052885111</v>
      </c>
      <c r="G11" s="65"/>
      <c r="H11" s="63">
        <f t="shared" ref="H11:H20" si="4">H7</f>
        <v>6</v>
      </c>
      <c r="I11" s="65">
        <f>I6</f>
        <v>0.39</v>
      </c>
      <c r="J11" s="66">
        <f>M11*K11</f>
        <v>122862.46720379924</v>
      </c>
      <c r="K11" s="67">
        <v>1</v>
      </c>
      <c r="L11" s="9"/>
      <c r="M11" s="45">
        <f>([2]prod_herd_data!H35*[2]prod_herd_data!H40+[2]prod_herd_data!I35*[2]prod_herd_data!I40)*C26</f>
        <v>122862.46720379924</v>
      </c>
      <c r="N11" s="43">
        <f>Dairy_Income_Roadmap!E27</f>
        <v>181.77307777823148</v>
      </c>
      <c r="O11" s="43">
        <f ca="1">Dairy_Income_Roadmap!E57</f>
        <v>31.306494671805648</v>
      </c>
      <c r="P11" s="43">
        <f>(F11*(Dairy_Income_Roadmap!E22 + Dairy_Income_Baseline!B24)  -   F3*Dairy_Income_Baseline!B24)</f>
        <v>-2.6569256997454649</v>
      </c>
      <c r="Q11" s="58">
        <f>(P11*(Dairy_Income_Roadmap!E19))</f>
        <v>-849.44733748581064</v>
      </c>
      <c r="R11" s="58">
        <f>IF(P11&gt;0, P11*Dairy_Income_Roadmap!L19/12, 0)</f>
        <v>0</v>
      </c>
      <c r="S11" s="44">
        <f>F11*I11*N11</f>
        <v>587.77412259279834</v>
      </c>
      <c r="T11" s="44">
        <f ca="1">F11*O11*I11</f>
        <v>101.23142360843239</v>
      </c>
      <c r="U11" s="46">
        <f t="shared" si="2"/>
        <v>482.18205126226337</v>
      </c>
      <c r="V11" s="46">
        <f>V3-Q11-R11</f>
        <v>4143.1451421440688</v>
      </c>
      <c r="W11" s="46">
        <f t="shared" si="2"/>
        <v>113.99999999999999</v>
      </c>
      <c r="X11" s="46">
        <f>U11+V11</f>
        <v>4625.3271934063323</v>
      </c>
      <c r="Y11" s="77">
        <f t="shared" si="1"/>
        <v>4730.9192647368673</v>
      </c>
      <c r="Z11" s="32">
        <f>Z3</f>
        <v>2.9201630276455295E-2</v>
      </c>
      <c r="AA11" s="28">
        <f>S11*D11</f>
        <v>8709904.63475403</v>
      </c>
      <c r="AB11" s="46">
        <f>Y11*D11</f>
        <v>70104916.236888513</v>
      </c>
      <c r="AC11" s="92"/>
      <c r="AD11" s="95"/>
    </row>
    <row r="12" spans="1:30" ht="15.6" x14ac:dyDescent="0.3">
      <c r="A12" s="11"/>
      <c r="B12" s="80" t="str">
        <f t="shared" si="3"/>
        <v>Extant-improved</v>
      </c>
      <c r="C12" s="62">
        <f>D12/SUM(D10:D12)</f>
        <v>0.4165106897788427</v>
      </c>
      <c r="D12" s="63">
        <f>D8</f>
        <v>11688.199263308798</v>
      </c>
      <c r="E12" s="64">
        <f>E8</f>
        <v>0.40899999999999997</v>
      </c>
      <c r="F12" s="63">
        <f>J12*(1/D12)</f>
        <v>3.104760507478467</v>
      </c>
      <c r="G12" s="65"/>
      <c r="H12" s="63">
        <f t="shared" si="4"/>
        <v>5.7</v>
      </c>
      <c r="I12" s="65">
        <f>I8</f>
        <v>0.50487289999999996</v>
      </c>
      <c r="J12" s="66">
        <f>M12*K12</f>
        <v>36289.059476260067</v>
      </c>
      <c r="K12" s="67">
        <f>K4*(1-C28)</f>
        <v>0.91249999999999998</v>
      </c>
      <c r="L12" s="9"/>
      <c r="M12" s="45">
        <f>M10</f>
        <v>39768.832302750758</v>
      </c>
      <c r="N12" s="43">
        <f>Dairy_Income_Roadmap!G27</f>
        <v>985.97574143461293</v>
      </c>
      <c r="O12" s="43">
        <f ca="1">Dairy_Income_Roadmap!G57</f>
        <v>280.9729734793338</v>
      </c>
      <c r="P12" s="43">
        <f>(F12*(Dairy_Income_Roadmap!G22 + Dairy_Income_Baseline!D24)  -   F4*Dairy_Income_Baseline!D24)</f>
        <v>0.90633901641562942</v>
      </c>
      <c r="Q12" s="58">
        <f>(P12*(Dairy_Income_Roadmap!G19))</f>
        <v>301.76985740576447</v>
      </c>
      <c r="R12" s="58">
        <f>IF(P12&gt;0, P12*Dairy_Income_Roadmap!L19/12, 0)</f>
        <v>2.1147910383031352</v>
      </c>
      <c r="S12" s="44">
        <f>F12*I12*N12</f>
        <v>1545.5262835088249</v>
      </c>
      <c r="T12" s="44">
        <f ca="1">F12*O12*I12</f>
        <v>440.42778865542368</v>
      </c>
      <c r="U12" s="46">
        <f t="shared" si="2"/>
        <v>1450.7844070341632</v>
      </c>
      <c r="V12" s="46">
        <f>V4-Q12-R12</f>
        <v>5130.0572702713407</v>
      </c>
      <c r="W12" s="46">
        <f t="shared" si="2"/>
        <v>120.75400327827512</v>
      </c>
      <c r="X12" s="46">
        <f>U12+V12</f>
        <v>6580.8416773055042</v>
      </c>
      <c r="Y12" s="77">
        <f t="shared" si="1"/>
        <v>6675.5835537801659</v>
      </c>
      <c r="Z12" s="32">
        <f>Z8</f>
        <v>2.9201630276455295E-2</v>
      </c>
      <c r="AA12" s="28">
        <f>S12*D12</f>
        <v>18064419.16833223</v>
      </c>
      <c r="AB12" s="46">
        <f>Y12*D12</f>
        <v>78025550.775449663</v>
      </c>
      <c r="AC12" s="92">
        <f>-1+SUM(AB10:AB12)/SUM(AB3:AB4)</f>
        <v>0.20230037493336117</v>
      </c>
      <c r="AD12" s="95">
        <f ca="1">MC_Middle_road!I20</f>
        <v>18.256554169762317</v>
      </c>
    </row>
    <row r="13" spans="1:30" ht="15.6" x14ac:dyDescent="0.3">
      <c r="A13" s="11"/>
      <c r="B13" s="80"/>
      <c r="C13" s="62"/>
      <c r="D13" s="63"/>
      <c r="E13" s="64"/>
      <c r="F13" s="63"/>
      <c r="G13" s="65"/>
      <c r="H13" s="63">
        <f t="shared" si="4"/>
        <v>0</v>
      </c>
      <c r="I13" s="65"/>
      <c r="J13" s="66"/>
      <c r="K13" s="67"/>
      <c r="L13" s="9"/>
      <c r="M13" s="45"/>
      <c r="N13" s="43"/>
      <c r="O13" s="43"/>
      <c r="P13" s="43"/>
      <c r="Q13" s="58"/>
      <c r="R13" s="58"/>
      <c r="S13" s="44"/>
      <c r="T13" s="44"/>
      <c r="U13" s="46"/>
      <c r="V13" s="46"/>
      <c r="W13" s="46"/>
      <c r="X13" s="46"/>
      <c r="Y13" s="77"/>
      <c r="Z13" s="32"/>
      <c r="AA13" s="28"/>
      <c r="AB13" s="46"/>
      <c r="AC13" s="92"/>
      <c r="AD13" s="95"/>
    </row>
    <row r="14" spans="1:30" ht="15.6" x14ac:dyDescent="0.3">
      <c r="A14" s="11" t="s">
        <v>105</v>
      </c>
      <c r="B14" s="80" t="str">
        <f t="shared" si="3"/>
        <v>New-improved</v>
      </c>
      <c r="C14" s="62">
        <f>D14/SUM(D14:D16)</f>
        <v>8.7523396533173582E-3</v>
      </c>
      <c r="D14" s="63">
        <f>D3*C33</f>
        <v>245.60975840128066</v>
      </c>
      <c r="E14" s="64">
        <f>E10</f>
        <v>0.40899999999999997</v>
      </c>
      <c r="F14" s="63">
        <f>J14*(1/D14)</f>
        <v>2.632170094884748</v>
      </c>
      <c r="G14" s="65"/>
      <c r="H14" s="63">
        <f t="shared" si="4"/>
        <v>6</v>
      </c>
      <c r="I14" s="65">
        <f>I11</f>
        <v>0.39</v>
      </c>
      <c r="J14" s="66">
        <f>M14*K14</f>
        <v>646.48666107571898</v>
      </c>
      <c r="K14" s="67">
        <f>C29</f>
        <v>2.5000000000000001E-2</v>
      </c>
      <c r="L14" s="9"/>
      <c r="M14" s="45">
        <f>([2]prod_herd_data!H43*[2]prod_herd_data!H49+[2]prod_herd_data!I43*[2]prod_herd_data!I49)*(1-C25)</f>
        <v>25859.466443028756</v>
      </c>
      <c r="N14" s="43">
        <f>Dairy_Income_Roadmap!C27</f>
        <v>880.62230423788765</v>
      </c>
      <c r="O14" s="43">
        <f ca="1">Dairy_Income_Roadmap!C57</f>
        <v>310.02535102731719</v>
      </c>
      <c r="P14" s="43">
        <f>(F14*(Dairy_Income_Roadmap!C22+ Dairy_Income_Baseline!B24)  -   F3*Dairy_Income_Baseline!B24)</f>
        <v>-0.23902947906395308</v>
      </c>
      <c r="Q14" s="58">
        <f>(P14*(Dairy_Income_Roadmap!C19))</f>
        <v>-76.420260676068921</v>
      </c>
      <c r="R14" s="58">
        <f>IF(P14&gt;0, P14*Dairy_Income_Roadmap!L19/12, 0)</f>
        <v>0</v>
      </c>
      <c r="S14" s="44">
        <f>F14*I14*N14</f>
        <v>903.99960070035183</v>
      </c>
      <c r="T14" s="44">
        <f ca="1">F14*O14*I14</f>
        <v>318.25538847579782</v>
      </c>
      <c r="U14" s="46">
        <f t="shared" ref="U14:U16" si="5">U10</f>
        <v>482.18205126226337</v>
      </c>
      <c r="V14" s="46">
        <f>V3-Q14-R14</f>
        <v>3370.1180653343276</v>
      </c>
      <c r="W14" s="46">
        <f t="shared" ref="W14:W20" si="6">W10</f>
        <v>113.99999999999999</v>
      </c>
      <c r="X14" s="46">
        <f>U14+V14</f>
        <v>3852.3001165965911</v>
      </c>
      <c r="Y14" s="77">
        <f t="shared" si="1"/>
        <v>4274.1176660346791</v>
      </c>
      <c r="Z14" s="32">
        <f>Z10</f>
        <v>2.9201630276455295E-2</v>
      </c>
      <c r="AA14" s="28">
        <f>S14*D14</f>
        <v>222031.12352286759</v>
      </c>
      <c r="AB14" s="46">
        <f>Y14*D14</f>
        <v>1049765.007333423</v>
      </c>
      <c r="AC14" s="92"/>
      <c r="AD14" s="95"/>
    </row>
    <row r="15" spans="1:30" ht="15.6" x14ac:dyDescent="0.3">
      <c r="A15" s="11"/>
      <c r="B15" s="80" t="str">
        <f t="shared" si="3"/>
        <v>Local-only</v>
      </c>
      <c r="C15" s="62">
        <f>D15/SUM(D14:D16)</f>
        <v>0.5747369705678399</v>
      </c>
      <c r="D15" s="63">
        <f>D3*(1-C33)</f>
        <v>16128.374135017431</v>
      </c>
      <c r="E15" s="64">
        <f>E11</f>
        <v>0.504</v>
      </c>
      <c r="F15" s="63">
        <f>J15*(1/D15)</f>
        <v>9.7220939456870941</v>
      </c>
      <c r="G15" s="65"/>
      <c r="H15" s="63">
        <f t="shared" si="4"/>
        <v>6</v>
      </c>
      <c r="I15" s="65">
        <f>I3</f>
        <v>0.39</v>
      </c>
      <c r="J15" s="66">
        <f>M15*K15</f>
        <v>156801.56853182928</v>
      </c>
      <c r="K15" s="67">
        <v>1</v>
      </c>
      <c r="L15" s="9"/>
      <c r="M15" s="45">
        <f>([2]prod_herd_data!H44*[2]prod_herd_data!H49+[2]prod_herd_data!I44*[2]prod_herd_data!I49)*C26</f>
        <v>156801.56853182928</v>
      </c>
      <c r="N15" s="43">
        <f>Dairy_Income_Roadmap!E27</f>
        <v>181.77307777823148</v>
      </c>
      <c r="O15" s="43">
        <f ca="1">Dairy_Income_Roadmap!E57</f>
        <v>31.306494671805648</v>
      </c>
      <c r="P15" s="43">
        <f>(F15*(Dairy_Income_Roadmap!E22 + Dairy_Income_Baseline!B24)  -   F3*Dairy_Income_Baseline!B24)</f>
        <v>-3.0759408202543872</v>
      </c>
      <c r="Q15" s="58">
        <f>(P15*(Dairy_Income_Roadmap!E19))</f>
        <v>-983.41091746725249</v>
      </c>
      <c r="R15" s="58">
        <f>IF(P15&gt;0, P15*Dairy_Income_Roadmap!L19/12, 0)</f>
        <v>0</v>
      </c>
      <c r="S15" s="44">
        <f>F15*I15*N15</f>
        <v>689.21382619309486</v>
      </c>
      <c r="T15" s="44">
        <f ca="1">F15*O15*I15</f>
        <v>118.70222610068431</v>
      </c>
      <c r="U15" s="46">
        <f t="shared" si="5"/>
        <v>482.18205126226337</v>
      </c>
      <c r="V15" s="46">
        <f>V3-Q15-R15</f>
        <v>4277.1087221255111</v>
      </c>
      <c r="W15" s="46">
        <f t="shared" si="6"/>
        <v>113.99999999999999</v>
      </c>
      <c r="X15" s="46">
        <f>U15+V15</f>
        <v>4759.2907733877746</v>
      </c>
      <c r="Y15" s="77">
        <f t="shared" si="1"/>
        <v>4966.3225483186061</v>
      </c>
      <c r="Z15" s="32">
        <f>Z11</f>
        <v>2.9201630276455295E-2</v>
      </c>
      <c r="AA15" s="28">
        <f>S15*D15</f>
        <v>11115898.447869111</v>
      </c>
      <c r="AB15" s="46">
        <f>Y15*D15</f>
        <v>80098708.134455666</v>
      </c>
      <c r="AC15" s="92"/>
      <c r="AD15" s="95"/>
    </row>
    <row r="16" spans="1:30" ht="15.6" x14ac:dyDescent="0.3">
      <c r="A16" s="12"/>
      <c r="B16" s="80" t="str">
        <f t="shared" si="3"/>
        <v>Extant-improved</v>
      </c>
      <c r="C16" s="62">
        <f>D16/SUM(D14:D16)</f>
        <v>0.41651068977884276</v>
      </c>
      <c r="D16" s="63">
        <f>D12</f>
        <v>11688.199263308798</v>
      </c>
      <c r="E16" s="64">
        <f>E12</f>
        <v>0.40899999999999997</v>
      </c>
      <c r="F16" s="63">
        <f>J16*(1/D16)</f>
        <v>2.157131241003118</v>
      </c>
      <c r="G16" s="65"/>
      <c r="H16" s="63">
        <f t="shared" si="4"/>
        <v>5.7</v>
      </c>
      <c r="I16" s="65">
        <f>I12</f>
        <v>0.50487289999999996</v>
      </c>
      <c r="J16" s="66">
        <f>M16*K16</f>
        <v>25212.979781953036</v>
      </c>
      <c r="K16" s="67">
        <f>K4*(1-C29)</f>
        <v>0.97499999999999998</v>
      </c>
      <c r="L16" s="9"/>
      <c r="M16" s="45">
        <f>M14</f>
        <v>25859.466443028756</v>
      </c>
      <c r="N16" s="43">
        <f>Dairy_Income_Roadmap!G27</f>
        <v>985.97574143461293</v>
      </c>
      <c r="O16" s="43">
        <f ca="1">Dairy_Income_Roadmap!G57</f>
        <v>280.9729734793338</v>
      </c>
      <c r="P16" s="43">
        <f>(F16*(Dairy_Income_Roadmap!G22 + Dairy_Income_Baseline!D24)  -   F4*Dairy_Income_Baseline!D24)</f>
        <v>0.54746128371961167</v>
      </c>
      <c r="Q16" s="58">
        <f>(P16*(Dairy_Income_Roadmap!G19))</f>
        <v>182.27982082974029</v>
      </c>
      <c r="R16" s="58">
        <f>IF(P16&gt;0, P16*Dairy_Income_Roadmap!L19/12, 0)</f>
        <v>1.2774096620124273</v>
      </c>
      <c r="S16" s="44">
        <f>F16*I16*N16</f>
        <v>1073.8036064031101</v>
      </c>
      <c r="T16" s="44">
        <f ca="1">F16*O16*I16</f>
        <v>306.00123263166773</v>
      </c>
      <c r="U16" s="46">
        <f t="shared" si="5"/>
        <v>1450.7844070341632</v>
      </c>
      <c r="V16" s="46">
        <f>V4-Q16-R16</f>
        <v>5250.3846882236567</v>
      </c>
      <c r="W16" s="46">
        <f t="shared" si="6"/>
        <v>120.75400327827512</v>
      </c>
      <c r="X16" s="46">
        <f>U16+V16</f>
        <v>6701.1690952578201</v>
      </c>
      <c r="Y16" s="77">
        <f t="shared" si="1"/>
        <v>6324.1882946267669</v>
      </c>
      <c r="Z16" s="32">
        <f>Z12</f>
        <v>2.9201630276455295E-2</v>
      </c>
      <c r="AA16" s="28">
        <f>S16*D16</f>
        <v>12550830.521299161</v>
      </c>
      <c r="AB16" s="46">
        <f>Y16*D16</f>
        <v>73918372.966282696</v>
      </c>
      <c r="AC16" s="92">
        <f>-1+SUM(AB14:AB16)/SUM(AB3:AB4)</f>
        <v>0.20618736381276803</v>
      </c>
      <c r="AD16" s="95">
        <f ca="1">MC_Status_quo!I20</f>
        <v>20.973215457749561</v>
      </c>
    </row>
    <row r="17" spans="1:30" ht="15.6" x14ac:dyDescent="0.3">
      <c r="A17" s="12"/>
      <c r="B17" s="80"/>
      <c r="C17" s="62"/>
      <c r="D17" s="63"/>
      <c r="E17" s="64"/>
      <c r="F17" s="63"/>
      <c r="G17" s="65"/>
      <c r="H17" s="63">
        <f t="shared" si="4"/>
        <v>0</v>
      </c>
      <c r="I17" s="65"/>
      <c r="J17" s="66"/>
      <c r="K17" s="67"/>
      <c r="L17" s="9"/>
      <c r="M17" s="45"/>
      <c r="N17" s="43"/>
      <c r="O17" s="43"/>
      <c r="P17" s="43"/>
      <c r="Q17" s="58"/>
      <c r="R17" s="58"/>
      <c r="S17" s="44"/>
      <c r="T17" s="44"/>
      <c r="U17" s="46"/>
      <c r="V17" s="46"/>
      <c r="W17" s="46"/>
      <c r="X17" s="46"/>
      <c r="Y17" s="77"/>
      <c r="Z17" s="32"/>
      <c r="AA17" s="28"/>
      <c r="AB17" s="46"/>
      <c r="AC17" s="92"/>
      <c r="AD17" s="95"/>
    </row>
    <row r="18" spans="1:30" ht="15.6" x14ac:dyDescent="0.3">
      <c r="A18" s="11" t="s">
        <v>106</v>
      </c>
      <c r="B18" s="80" t="str">
        <f t="shared" si="3"/>
        <v>New-improved</v>
      </c>
      <c r="C18" s="62">
        <f>D18/SUM(D18:D20)</f>
        <v>0.10211062928870253</v>
      </c>
      <c r="D18" s="63">
        <f>D3*C34</f>
        <v>2865.4471813482746</v>
      </c>
      <c r="E18" s="64">
        <f>E14</f>
        <v>0.40899999999999997</v>
      </c>
      <c r="F18" s="63">
        <f>J18*(1/D18)</f>
        <v>3.1883706034114558</v>
      </c>
      <c r="G18" s="65"/>
      <c r="H18" s="63">
        <f t="shared" si="4"/>
        <v>6</v>
      </c>
      <c r="I18" s="65">
        <f>I14</f>
        <v>0.39</v>
      </c>
      <c r="J18" s="66">
        <f>M18*K18</f>
        <v>9136.1075586390525</v>
      </c>
      <c r="K18" s="67">
        <f>C30</f>
        <v>0.15</v>
      </c>
      <c r="L18" s="9"/>
      <c r="M18" s="45">
        <f>([2]prod_herd_data!H58*[2]prod_herd_data!H52+[2]prod_herd_data!I58*[2]prod_herd_data!I52)*(1-C25)</f>
        <v>60907.383724260355</v>
      </c>
      <c r="N18" s="43">
        <f>Dairy_Income_Roadmap!C27</f>
        <v>880.62230423788765</v>
      </c>
      <c r="O18" s="43">
        <f ca="1">Dairy_Income_Roadmap!C57</f>
        <v>310.02535102731719</v>
      </c>
      <c r="P18" s="43">
        <f>(F18*(Dairy_Income_Roadmap!C22 + Dairy_Income_Baseline!B24)  -   F3*Dairy_Income_Baseline!B24)</f>
        <v>-0.24114500731870947</v>
      </c>
      <c r="Q18" s="58">
        <f>(P18*(Dairy_Income_Roadmap!C19))</f>
        <v>-77.096617505900852</v>
      </c>
      <c r="R18" s="58">
        <f>IF(P18&gt;0, P18*Dairy_Income_Roadmap!L19/12, 0)</f>
        <v>0</v>
      </c>
      <c r="S18" s="44">
        <f>F18*I18*N18</f>
        <v>1095.0226043408109</v>
      </c>
      <c r="T18" s="44">
        <f ca="1">F18*O18*I18</f>
        <v>385.50552905584817</v>
      </c>
      <c r="U18" s="46">
        <f t="shared" ref="U18:U20" si="7">U14</f>
        <v>482.18205126226337</v>
      </c>
      <c r="V18" s="46">
        <f>V3-Q18-R18</f>
        <v>3370.7944221641592</v>
      </c>
      <c r="W18" s="46">
        <f t="shared" si="6"/>
        <v>113.99999999999999</v>
      </c>
      <c r="X18" s="46">
        <f>U18+V18</f>
        <v>3852.9764734264227</v>
      </c>
      <c r="Y18" s="77">
        <f t="shared" si="1"/>
        <v>4465.8170265049703</v>
      </c>
      <c r="Z18" s="32">
        <f>Z14</f>
        <v>2.9201630276455295E-2</v>
      </c>
      <c r="AA18" s="28">
        <f>S18*D18</f>
        <v>3137729.4351210236</v>
      </c>
      <c r="AB18" s="46">
        <f>Y18*D18</f>
        <v>12796562.8110158</v>
      </c>
      <c r="AC18" s="92"/>
      <c r="AD18" s="95"/>
    </row>
    <row r="19" spans="1:30" ht="15.6" x14ac:dyDescent="0.3">
      <c r="A19" s="11"/>
      <c r="B19" s="80" t="str">
        <f t="shared" si="3"/>
        <v>Local-only</v>
      </c>
      <c r="C19" s="62">
        <f>D19/SUM(D18:D20)</f>
        <v>0.48137868093245473</v>
      </c>
      <c r="D19" s="63">
        <f>D3*(1-C34)</f>
        <v>13508.536712070436</v>
      </c>
      <c r="E19" s="64">
        <f>E15</f>
        <v>0.504</v>
      </c>
      <c r="F19" s="63">
        <f>J19*(1/D19)</f>
        <v>8.6996646115919845</v>
      </c>
      <c r="G19" s="65"/>
      <c r="H19" s="63">
        <f t="shared" si="4"/>
        <v>6</v>
      </c>
      <c r="I19" s="65">
        <f>I15</f>
        <v>0.39</v>
      </c>
      <c r="J19" s="66">
        <f>M19*K19</f>
        <v>117519.73878839031</v>
      </c>
      <c r="K19" s="67">
        <v>1</v>
      </c>
      <c r="L19" s="9"/>
      <c r="M19" s="45">
        <f>([2]prod_herd_data!H58*[2]prod_herd_data!H53+[2]prod_herd_data!I58*[2]prod_herd_data!I53)*C26</f>
        <v>117519.73878839031</v>
      </c>
      <c r="N19" s="43">
        <f>Dairy_Income_Roadmap!E27</f>
        <v>181.77307777823148</v>
      </c>
      <c r="O19" s="43">
        <f ca="1">Dairy_Income_Roadmap!E57</f>
        <v>31.306494671805648</v>
      </c>
      <c r="P19" s="43">
        <f>(F19*(Dairy_Income_Roadmap!E22 + Dairy_Income_Baseline!B24)  -   F3*Dairy_Income_Baseline!B24)</f>
        <v>-2.7765426150971182</v>
      </c>
      <c r="Q19" s="58">
        <f>(P19*(Dairy_Income_Roadmap!E19))</f>
        <v>-887.69013451753096</v>
      </c>
      <c r="R19" s="58">
        <f>IF(P19&gt;0, P19*Dairy_Income_Roadmap!L19/12, 0)</f>
        <v>0</v>
      </c>
      <c r="S19" s="44">
        <f>F19*I19*N19</f>
        <v>616.73227671410075</v>
      </c>
      <c r="T19" s="44">
        <f ca="1">F19*O19*I19</f>
        <v>106.21884148562724</v>
      </c>
      <c r="U19" s="46">
        <f t="shared" si="7"/>
        <v>482.18205126226337</v>
      </c>
      <c r="V19" s="46">
        <f>V3-Q19-R19</f>
        <v>4181.3879391757891</v>
      </c>
      <c r="W19" s="46">
        <f t="shared" si="6"/>
        <v>113.99999999999999</v>
      </c>
      <c r="X19" s="46">
        <f>U19+V19</f>
        <v>4663.5699904380526</v>
      </c>
      <c r="Y19" s="77">
        <f t="shared" si="1"/>
        <v>4798.1202158898896</v>
      </c>
      <c r="Z19" s="32">
        <f>Z15</f>
        <v>2.9201630276455295E-2</v>
      </c>
      <c r="AA19" s="28">
        <f>S19*D19</f>
        <v>8331150.601511213</v>
      </c>
      <c r="AB19" s="46">
        <f>Y19*D19</f>
        <v>64815583.085275896</v>
      </c>
      <c r="AC19" s="92"/>
      <c r="AD19" s="95"/>
    </row>
    <row r="20" spans="1:30" ht="15.6" x14ac:dyDescent="0.3">
      <c r="A20" s="13"/>
      <c r="B20" s="80" t="str">
        <f t="shared" si="3"/>
        <v>Extant-improved</v>
      </c>
      <c r="C20" s="62">
        <f>D20/SUM(D18:D20)</f>
        <v>0.41651068977884276</v>
      </c>
      <c r="D20" s="63">
        <f>D16</f>
        <v>11688.199263308798</v>
      </c>
      <c r="E20" s="64">
        <f>E16</f>
        <v>0.40899999999999997</v>
      </c>
      <c r="F20" s="63">
        <f>J20*(1/D20)</f>
        <v>4.429362898367069</v>
      </c>
      <c r="G20" s="65"/>
      <c r="H20" s="63">
        <f t="shared" si="4"/>
        <v>5.7</v>
      </c>
      <c r="I20" s="65">
        <f>I16</f>
        <v>0.50487289999999996</v>
      </c>
      <c r="J20" s="66">
        <f>M20*K20</f>
        <v>51771.276165621297</v>
      </c>
      <c r="K20" s="67">
        <f>K4*(1-C30)</f>
        <v>0.85</v>
      </c>
      <c r="L20" s="9"/>
      <c r="M20" s="45">
        <f>M18</f>
        <v>60907.383724260355</v>
      </c>
      <c r="N20" s="43">
        <f>Dairy_Income_Roadmap!G27</f>
        <v>985.97574143461293</v>
      </c>
      <c r="O20" s="43">
        <f ca="1">Dairy_Income_Roadmap!G57</f>
        <v>280.9729734793338</v>
      </c>
      <c r="P20" s="43">
        <f>(F20*(Dairy_Income_Roadmap!G22+ Dairy_Income_Baseline!D24)  -   F4*Dairy_Income_Baseline!D24)</f>
        <v>1.407980660023723</v>
      </c>
      <c r="Q20" s="58">
        <f>(P20*(Dairy_Income_Roadmap!G19))</f>
        <v>468.79381259097039</v>
      </c>
      <c r="R20" s="58">
        <f>IF(P20&gt;0, P20*Dairy_Income_Roadmap!L19/12, 0)</f>
        <v>3.2852882067220204</v>
      </c>
      <c r="S20" s="44">
        <f>F20*I20*N20</f>
        <v>2204.9033289800732</v>
      </c>
      <c r="T20" s="44">
        <f ca="1">F20*O20*I20</f>
        <v>628.33010848380741</v>
      </c>
      <c r="U20" s="46">
        <f t="shared" si="7"/>
        <v>1450.7844070341632</v>
      </c>
      <c r="V20" s="46">
        <f>V4-Q20-R20</f>
        <v>4961.8628179177167</v>
      </c>
      <c r="W20" s="46">
        <f t="shared" si="6"/>
        <v>120.75400327827512</v>
      </c>
      <c r="X20" s="46">
        <f>U20+V20</f>
        <v>6412.6472249518802</v>
      </c>
      <c r="Y20" s="77">
        <f t="shared" si="1"/>
        <v>7166.7661468977894</v>
      </c>
      <c r="Z20" s="32">
        <f>Z16</f>
        <v>2.9201630276455295E-2</v>
      </c>
      <c r="AA20" s="28">
        <f>S20*D20</f>
        <v>25771349.465452008</v>
      </c>
      <c r="AB20" s="46">
        <f>Y20*D20</f>
        <v>83766590.798477173</v>
      </c>
      <c r="AC20" s="92">
        <f>-1+SUM(AB18:AB20)/SUM(AB3:AB4)</f>
        <v>0.25528440072636305</v>
      </c>
      <c r="AD20" s="95">
        <f ca="1">MC_High_ambition_plus!I20</f>
        <v>18.161647862915764</v>
      </c>
    </row>
    <row r="21" spans="1:30" s="99" customFormat="1" ht="15.6" x14ac:dyDescent="0.3">
      <c r="A21" s="13"/>
      <c r="C21" s="62"/>
      <c r="D21" s="63"/>
      <c r="E21" s="64"/>
      <c r="F21" s="63"/>
      <c r="G21" s="65"/>
      <c r="H21" s="63"/>
      <c r="I21" s="65"/>
      <c r="J21" s="66"/>
      <c r="K21" s="67"/>
      <c r="L21" s="9"/>
      <c r="M21" s="45"/>
      <c r="N21" s="43"/>
      <c r="O21" s="43"/>
      <c r="P21" s="43"/>
      <c r="Q21" s="58"/>
      <c r="R21" s="58"/>
      <c r="S21" s="44"/>
      <c r="T21" s="44"/>
      <c r="U21" s="98"/>
      <c r="V21" s="98"/>
      <c r="W21" s="98"/>
      <c r="X21" s="98"/>
      <c r="Y21" s="98"/>
      <c r="Z21" s="32"/>
      <c r="AA21" s="28"/>
      <c r="AB21" s="98"/>
      <c r="AC21" s="98"/>
      <c r="AD21" s="95"/>
    </row>
    <row r="22" spans="1:30" x14ac:dyDescent="0.3">
      <c r="M22" s="72" t="s">
        <v>85</v>
      </c>
      <c r="N22" s="73">
        <f>([2]prod_herd_data!H8+[2]prod_herd_data!I8)</f>
        <v>975438.72790015268</v>
      </c>
    </row>
    <row r="23" spans="1:30" ht="15.6" x14ac:dyDescent="0.3">
      <c r="A23" s="90" t="s">
        <v>89</v>
      </c>
      <c r="B23" s="61"/>
      <c r="C23" s="60"/>
      <c r="D23" s="60"/>
      <c r="M23" s="59" t="s">
        <v>23</v>
      </c>
      <c r="N23" s="59">
        <f>[1]All!$B$12</f>
        <v>285</v>
      </c>
    </row>
    <row r="24" spans="1:30" x14ac:dyDescent="0.3">
      <c r="A24" s="61" t="s">
        <v>136</v>
      </c>
      <c r="B24" s="61"/>
      <c r="C24" s="100">
        <f>532194/(250800+532194)</f>
        <v>0.67969103211518866</v>
      </c>
      <c r="D24" s="60"/>
    </row>
    <row r="25" spans="1:30" x14ac:dyDescent="0.3">
      <c r="A25" s="61" t="s">
        <v>137</v>
      </c>
      <c r="B25" s="60"/>
      <c r="C25" s="100">
        <f>9226165/(9226165+3518000)</f>
        <v>0.723952098862499</v>
      </c>
      <c r="D25" s="60"/>
      <c r="M25" s="1" t="s">
        <v>84</v>
      </c>
    </row>
    <row r="26" spans="1:30" x14ac:dyDescent="0.3">
      <c r="A26" s="61" t="s">
        <v>36</v>
      </c>
      <c r="B26" s="60"/>
      <c r="C26" s="100">
        <f>1-0.803</f>
        <v>0.19699999999999995</v>
      </c>
      <c r="D26" s="60"/>
      <c r="E26" s="21"/>
      <c r="M26" s="59" t="s">
        <v>21</v>
      </c>
    </row>
    <row r="27" spans="1:30" x14ac:dyDescent="0.3">
      <c r="A27" s="61" t="s">
        <v>138</v>
      </c>
      <c r="B27" s="60" t="str">
        <f>A6</f>
        <v>High ambition</v>
      </c>
      <c r="C27" s="60">
        <f>0.15</f>
        <v>0.15</v>
      </c>
      <c r="D27" s="60"/>
      <c r="E27" s="21"/>
      <c r="M27" s="60" t="s">
        <v>25</v>
      </c>
      <c r="P27" s="1"/>
    </row>
    <row r="28" spans="1:30" x14ac:dyDescent="0.3">
      <c r="A28" s="61"/>
      <c r="B28" s="60" t="str">
        <f>A10</f>
        <v>Middle road</v>
      </c>
      <c r="C28" s="71">
        <f>0.5*(C27-C29)+C29</f>
        <v>8.7499999999999994E-2</v>
      </c>
      <c r="D28" s="60"/>
      <c r="E28" s="21"/>
      <c r="M28" s="74" t="s">
        <v>14</v>
      </c>
      <c r="P28" s="59"/>
      <c r="Q28" s="14"/>
      <c r="R28" s="14"/>
      <c r="S28" s="7"/>
      <c r="T28" s="7"/>
    </row>
    <row r="29" spans="1:30" x14ac:dyDescent="0.3">
      <c r="A29" s="61"/>
      <c r="B29" s="60" t="str">
        <f>A14</f>
        <v>Status quo</v>
      </c>
      <c r="C29" s="71">
        <f>0.025</f>
        <v>2.5000000000000001E-2</v>
      </c>
      <c r="D29" s="60"/>
      <c r="E29" s="23"/>
      <c r="M29" s="14"/>
      <c r="P29" s="60"/>
      <c r="Q29" s="19"/>
      <c r="R29" s="19"/>
    </row>
    <row r="30" spans="1:30" x14ac:dyDescent="0.3">
      <c r="A30" s="61"/>
      <c r="B30" s="60" t="str">
        <f>A18</f>
        <v>High ambition ++</v>
      </c>
      <c r="C30" s="71">
        <f>C27</f>
        <v>0.15</v>
      </c>
      <c r="D30" s="60"/>
      <c r="E30" s="23"/>
      <c r="F30" s="35"/>
      <c r="M30" s="14"/>
      <c r="P30" s="74"/>
      <c r="Q30" s="19"/>
      <c r="R30" s="19"/>
    </row>
    <row r="31" spans="1:30" x14ac:dyDescent="0.3">
      <c r="A31" s="61" t="s">
        <v>139</v>
      </c>
      <c r="B31" s="60" t="str">
        <f>B27</f>
        <v>High ambition</v>
      </c>
      <c r="C31" s="71">
        <f>0.175</f>
        <v>0.17499999999999999</v>
      </c>
      <c r="D31" s="81"/>
      <c r="E31" s="24"/>
      <c r="F31" s="51"/>
      <c r="M31" s="19"/>
      <c r="O31" s="15"/>
      <c r="P31" s="15"/>
      <c r="Q31" s="15"/>
      <c r="R31" s="15"/>
    </row>
    <row r="32" spans="1:30" x14ac:dyDescent="0.3">
      <c r="A32" s="60"/>
      <c r="B32" s="60" t="str">
        <f t="shared" ref="B32:B34" si="8">B28</f>
        <v>Middle road</v>
      </c>
      <c r="C32" s="71">
        <f>C33+(C31-C33)*0.5</f>
        <v>9.4999999999999987E-2</v>
      </c>
      <c r="D32" s="81"/>
      <c r="E32" s="24"/>
      <c r="F32" s="35"/>
      <c r="M32" s="15"/>
      <c r="O32" s="20"/>
      <c r="P32" s="20"/>
      <c r="Q32" s="20"/>
      <c r="R32" s="20"/>
    </row>
    <row r="33" spans="1:18" x14ac:dyDescent="0.3">
      <c r="A33" s="60"/>
      <c r="B33" s="60" t="str">
        <f t="shared" si="8"/>
        <v>Status quo</v>
      </c>
      <c r="C33" s="71">
        <f>0.015</f>
        <v>1.4999999999999999E-2</v>
      </c>
      <c r="D33" s="81"/>
      <c r="E33" s="24"/>
      <c r="F33" s="35"/>
      <c r="M33" s="15"/>
      <c r="O33" s="20"/>
      <c r="P33" s="20"/>
      <c r="Q33" s="20"/>
      <c r="R33" s="20"/>
    </row>
    <row r="34" spans="1:18" x14ac:dyDescent="0.3">
      <c r="A34" s="60"/>
      <c r="B34" s="60" t="str">
        <f t="shared" si="8"/>
        <v>High ambition ++</v>
      </c>
      <c r="C34" s="71">
        <f>C31</f>
        <v>0.17499999999999999</v>
      </c>
      <c r="D34" s="81"/>
      <c r="E34" s="24"/>
      <c r="F34" s="35"/>
      <c r="M34" s="20"/>
      <c r="O34" s="21"/>
      <c r="P34" s="21"/>
      <c r="Q34" s="21"/>
      <c r="R34" s="21"/>
    </row>
    <row r="35" spans="1:18" x14ac:dyDescent="0.3">
      <c r="A35" s="61" t="s">
        <v>140</v>
      </c>
      <c r="B35" s="60" t="str">
        <f>B31</f>
        <v>High ambition</v>
      </c>
      <c r="C35" s="71">
        <f>(C6+C8)/SUM(C6,C7,C8)</f>
        <v>0.51862131906754527</v>
      </c>
      <c r="M35" s="21"/>
      <c r="O35" s="22"/>
      <c r="P35" s="22"/>
      <c r="Q35" s="22"/>
      <c r="R35" s="22"/>
    </row>
    <row r="36" spans="1:18" x14ac:dyDescent="0.3">
      <c r="B36" s="60" t="str">
        <f t="shared" ref="B36:B38" si="9">B32</f>
        <v>Middle road</v>
      </c>
      <c r="C36" s="71">
        <f>(C10+C12)/SUM(C10,C11,C12)</f>
        <v>0.47194217424985263</v>
      </c>
      <c r="M36" s="22"/>
      <c r="N36" s="59">
        <f>[1]All!$B$12</f>
        <v>285</v>
      </c>
      <c r="P36" s="59"/>
      <c r="Q36" s="14"/>
      <c r="R36" s="14"/>
    </row>
    <row r="37" spans="1:18" x14ac:dyDescent="0.3">
      <c r="B37" s="60" t="str">
        <f t="shared" si="9"/>
        <v>Status quo</v>
      </c>
      <c r="C37" s="71">
        <f>(C14+C16)/SUM(C14,C15,C16)</f>
        <v>0.4252630294321601</v>
      </c>
    </row>
    <row r="38" spans="1:18" ht="15.6" x14ac:dyDescent="0.3">
      <c r="B38" s="60" t="str">
        <f t="shared" si="9"/>
        <v>High ambition ++</v>
      </c>
      <c r="C38" s="71">
        <f>(C18+C20)/SUM(C18,C19,C20)</f>
        <v>0.51862131906754527</v>
      </c>
      <c r="E38" s="32"/>
      <c r="F38" s="32"/>
      <c r="G38" s="32"/>
      <c r="H38" s="32"/>
      <c r="I38" s="32"/>
      <c r="N38" s="34"/>
    </row>
    <row r="39" spans="1:18" ht="15.6" x14ac:dyDescent="0.3">
      <c r="E39" s="32"/>
      <c r="F39" s="32"/>
      <c r="G39" s="32"/>
      <c r="H39" s="32"/>
      <c r="I39" s="32"/>
      <c r="N39" s="34"/>
    </row>
    <row r="40" spans="1:18" x14ac:dyDescent="0.3">
      <c r="E40" s="32"/>
      <c r="F40" s="32"/>
      <c r="G40" s="32"/>
      <c r="H40" s="32"/>
      <c r="I40" s="32"/>
    </row>
    <row r="42" spans="1:18" x14ac:dyDescent="0.3">
      <c r="E42" s="28"/>
      <c r="F42" s="28"/>
      <c r="G42" s="28"/>
      <c r="H42" s="28"/>
      <c r="I42" s="28"/>
    </row>
    <row r="43" spans="1:18" x14ac:dyDescent="0.3">
      <c r="E43" s="28"/>
      <c r="F43" s="28"/>
      <c r="G43" s="28"/>
      <c r="H43" s="28"/>
      <c r="I43" s="28"/>
    </row>
    <row r="44" spans="1:18" x14ac:dyDescent="0.3">
      <c r="E44" s="28"/>
      <c r="F44" s="28"/>
      <c r="G44" s="28"/>
      <c r="H44" s="28"/>
      <c r="I44" s="28"/>
    </row>
    <row r="46" spans="1:18" x14ac:dyDescent="0.3">
      <c r="H46" s="32"/>
    </row>
    <row r="50" spans="4:8" x14ac:dyDescent="0.3">
      <c r="H50" s="32"/>
    </row>
    <row r="53" spans="4:8" x14ac:dyDescent="0.3">
      <c r="D53" s="31"/>
      <c r="E53" s="31"/>
      <c r="F53" s="31"/>
      <c r="G53" s="31"/>
      <c r="H53" s="31"/>
    </row>
    <row r="54" spans="4:8" x14ac:dyDescent="0.3">
      <c r="D54" s="31"/>
      <c r="E54" s="31"/>
      <c r="F54" s="31"/>
      <c r="G54" s="31"/>
      <c r="H54" s="31"/>
    </row>
    <row r="55" spans="4:8" x14ac:dyDescent="0.3">
      <c r="D55" s="31"/>
      <c r="E55" s="31"/>
      <c r="F55" s="31"/>
      <c r="G55" s="31"/>
      <c r="H55" s="31"/>
    </row>
    <row r="57" spans="4:8" x14ac:dyDescent="0.3">
      <c r="F57" s="31"/>
      <c r="G57" s="31"/>
    </row>
    <row r="58" spans="4:8" x14ac:dyDescent="0.3">
      <c r="D58" s="30"/>
      <c r="E58" s="30"/>
      <c r="F58" s="30"/>
      <c r="G58" s="30"/>
      <c r="H58" s="30"/>
    </row>
    <row r="59" spans="4:8" x14ac:dyDescent="0.3">
      <c r="D59" s="30"/>
      <c r="E59" s="30"/>
      <c r="F59" s="30"/>
      <c r="G59" s="30"/>
      <c r="H59" s="30"/>
    </row>
    <row r="60" spans="4:8" x14ac:dyDescent="0.3">
      <c r="D60" s="30"/>
      <c r="E60" s="30"/>
      <c r="F60" s="30"/>
      <c r="G60" s="30"/>
      <c r="H60" s="30"/>
    </row>
    <row r="61" spans="4:8" x14ac:dyDescent="0.3">
      <c r="F61" s="31"/>
      <c r="G61" s="31"/>
    </row>
    <row r="65" spans="4:10" x14ac:dyDescent="0.3">
      <c r="F65" s="31"/>
      <c r="G65" s="31"/>
      <c r="H65" s="28"/>
      <c r="I65" s="28"/>
      <c r="J65" s="28"/>
    </row>
    <row r="66" spans="4:10" x14ac:dyDescent="0.3">
      <c r="H66" s="28"/>
      <c r="I66" s="28"/>
      <c r="J66" s="28"/>
    </row>
    <row r="67" spans="4:10" x14ac:dyDescent="0.3">
      <c r="H67" s="28"/>
      <c r="I67" s="28"/>
      <c r="J67" s="28"/>
    </row>
    <row r="73" spans="4:10" x14ac:dyDescent="0.3">
      <c r="D73" s="5"/>
      <c r="E73" s="5"/>
      <c r="F73" s="5"/>
      <c r="G73" s="5"/>
      <c r="H73" s="5"/>
    </row>
    <row r="74" spans="4:10" x14ac:dyDescent="0.3">
      <c r="D74" s="5"/>
      <c r="E74" s="5"/>
      <c r="F74" s="5"/>
      <c r="G74" s="5"/>
      <c r="H74" s="5"/>
    </row>
    <row r="75" spans="4:10" x14ac:dyDescent="0.3">
      <c r="D75" s="5"/>
      <c r="E75" s="5"/>
      <c r="F75" s="5"/>
      <c r="G75" s="5"/>
      <c r="H75" s="5"/>
    </row>
    <row r="76" spans="4:10" x14ac:dyDescent="0.3">
      <c r="F76" s="5"/>
      <c r="G76" s="5"/>
    </row>
    <row r="80" spans="4:10" x14ac:dyDescent="0.3">
      <c r="F80" s="5"/>
      <c r="G80" s="5"/>
    </row>
    <row r="82" spans="3:9" x14ac:dyDescent="0.3">
      <c r="C82" s="10"/>
      <c r="D82" s="10"/>
      <c r="E82" s="2"/>
      <c r="F82" s="2"/>
      <c r="G82" s="2"/>
      <c r="H82" s="29"/>
      <c r="I82" s="2"/>
    </row>
    <row r="83" spans="3:9" x14ac:dyDescent="0.3">
      <c r="C83" s="10"/>
      <c r="D83" s="10"/>
      <c r="E83" s="2"/>
      <c r="F83" s="2"/>
      <c r="G83" s="2"/>
      <c r="H83" s="26"/>
      <c r="I83" s="2"/>
    </row>
    <row r="84" spans="3:9" x14ac:dyDescent="0.3">
      <c r="C84" s="10"/>
      <c r="D84" s="10"/>
      <c r="E84" s="2"/>
      <c r="F84" s="2"/>
      <c r="G84" s="2"/>
      <c r="H84" s="2"/>
      <c r="I84" s="2"/>
    </row>
    <row r="85" spans="3:9" x14ac:dyDescent="0.3">
      <c r="H85" s="2"/>
    </row>
    <row r="86" spans="3:9" x14ac:dyDescent="0.3">
      <c r="E86" s="30"/>
      <c r="F86" s="30"/>
      <c r="G86" s="30"/>
      <c r="H86" s="30"/>
      <c r="I86" s="30"/>
    </row>
    <row r="87" spans="3:9" x14ac:dyDescent="0.3">
      <c r="E87" s="30"/>
      <c r="F87" s="30"/>
      <c r="G87" s="30"/>
      <c r="H87" s="30"/>
      <c r="I87" s="30"/>
    </row>
    <row r="88" spans="3:9" x14ac:dyDescent="0.3">
      <c r="C88" s="28"/>
      <c r="D88" s="28"/>
      <c r="E88" s="30"/>
      <c r="F88" s="30"/>
      <c r="G88" s="30"/>
      <c r="H88" s="30"/>
      <c r="I88" s="30"/>
    </row>
    <row r="89" spans="3:9" x14ac:dyDescent="0.3">
      <c r="C89" s="28"/>
      <c r="D89" s="28"/>
    </row>
    <row r="90" spans="3:9" x14ac:dyDescent="0.3">
      <c r="C90" s="28"/>
      <c r="D90" s="28"/>
      <c r="E90" s="28"/>
    </row>
    <row r="93" spans="3:9" x14ac:dyDescent="0.3">
      <c r="H93" s="2"/>
    </row>
  </sheetData>
  <mergeCells count="4">
    <mergeCell ref="N1:T1"/>
    <mergeCell ref="U1:Y1"/>
    <mergeCell ref="Z1:AB1"/>
    <mergeCell ref="C1:M1"/>
  </mergeCells>
  <pageMargins left="0.7" right="0.7" top="0.75" bottom="0.75" header="0.3" footer="0.3"/>
  <pageSetup orientation="portrait" horizontalDpi="4294967293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7ACCA4-72F4-4E5D-B293-2B6683BA1D93}">
  <dimension ref="A1:H129"/>
  <sheetViews>
    <sheetView workbookViewId="0">
      <selection activeCell="E10" sqref="E10"/>
    </sheetView>
  </sheetViews>
  <sheetFormatPr defaultRowHeight="14.4" x14ac:dyDescent="0.3"/>
  <cols>
    <col min="1" max="1" width="41.88671875" customWidth="1"/>
    <col min="2" max="2" width="13.109375" customWidth="1"/>
    <col min="3" max="3" width="16.33203125" customWidth="1"/>
    <col min="5" max="5" width="13.88671875" customWidth="1"/>
    <col min="6" max="7" width="8.88671875" style="35"/>
  </cols>
  <sheetData>
    <row r="1" spans="1:7" x14ac:dyDescent="0.3">
      <c r="B1" s="87" t="s">
        <v>101</v>
      </c>
      <c r="C1" s="87" t="s">
        <v>102</v>
      </c>
      <c r="D1" s="1"/>
      <c r="E1" s="1" t="str">
        <f>MC_High_ambition!F1</f>
        <v>All dairy households</v>
      </c>
      <c r="F1" s="1"/>
      <c r="G1" s="1"/>
    </row>
    <row r="3" spans="1:7" x14ac:dyDescent="0.3">
      <c r="A3" s="93" t="s">
        <v>109</v>
      </c>
      <c r="B3" s="28">
        <f>Mappings!N3</f>
        <v>31.294314476200199</v>
      </c>
      <c r="C3" s="28">
        <f>Mappings!N4</f>
        <v>359.47281896729658</v>
      </c>
    </row>
    <row r="4" spans="1:7" x14ac:dyDescent="0.3">
      <c r="A4" s="93" t="s">
        <v>110</v>
      </c>
      <c r="B4" s="28">
        <f ca="1">_xlfn.NORM.INV(RAND(),Mappings!N3,Mappings!O3)</f>
        <v>-25.164428223970589</v>
      </c>
      <c r="C4" s="28">
        <f ca="1">_xlfn.NORM.INV(RAND(),Mappings!N4,Mappings!O4)</f>
        <v>230.70875842958611</v>
      </c>
    </row>
    <row r="5" spans="1:7" x14ac:dyDescent="0.3">
      <c r="A5" s="93" t="s">
        <v>111</v>
      </c>
      <c r="B5" s="28">
        <f>Mappings!F3*Mappings!I3</f>
        <v>4.0949999999999998</v>
      </c>
      <c r="C5" s="28">
        <f>Mappings!F4*Mappings!I4</f>
        <v>1.4211238120134999</v>
      </c>
    </row>
    <row r="6" spans="1:7" x14ac:dyDescent="0.3">
      <c r="A6" s="93" t="s">
        <v>42</v>
      </c>
      <c r="B6" s="28">
        <f>B5</f>
        <v>4.0949999999999998</v>
      </c>
      <c r="C6" s="28">
        <f>C5</f>
        <v>1.4211238120134999</v>
      </c>
    </row>
    <row r="7" spans="1:7" x14ac:dyDescent="0.3">
      <c r="A7" s="93" t="s">
        <v>112</v>
      </c>
      <c r="B7" s="28">
        <f>Mappings!V3</f>
        <v>3293.6978046582585</v>
      </c>
      <c r="C7" s="28">
        <f>Mappings!V4</f>
        <v>5433.941918715409</v>
      </c>
    </row>
    <row r="8" spans="1:7" x14ac:dyDescent="0.3">
      <c r="A8" s="93" t="s">
        <v>113</v>
      </c>
      <c r="B8" s="28">
        <f ca="1">_xlfn.NORM.INV(RAND(),B7,B7*25/100)*0+B7</f>
        <v>3293.6978046582585</v>
      </c>
      <c r="C8" s="28">
        <f ca="1">_xlfn.NORM.INV(RAND(),C7,C7*25/100)*0+C7</f>
        <v>5433.941918715409</v>
      </c>
    </row>
    <row r="9" spans="1:7" s="83" customFormat="1" x14ac:dyDescent="0.3">
      <c r="A9" s="93" t="s">
        <v>96</v>
      </c>
      <c r="B9" s="28">
        <f>Mappings!Q6</f>
        <v>-76.395036865530145</v>
      </c>
      <c r="C9" s="28">
        <f>Mappings!Q7</f>
        <v>-740.30972698934124</v>
      </c>
    </row>
    <row r="10" spans="1:7" s="83" customFormat="1" x14ac:dyDescent="0.3">
      <c r="A10" s="93" t="s">
        <v>114</v>
      </c>
      <c r="B10" s="28">
        <f ca="1">IF(B9&gt;0,_xlfn.NORM.INV(RAND(),B9,B9*Dairy_Income_Roadmap!L38),_xlfn.NORM.INV(RAND(),ABS(B9),ABS(B9)*Dairy_Income_Roadmap!L38))</f>
        <v>247.78734416987362</v>
      </c>
      <c r="C10" s="28">
        <f ca="1">IF(C9&gt;0,_xlfn.NORM.INV(RAND(),C9,C9*Dairy_Income_Roadmap!L38),_xlfn.NORM.INV(RAND(),ABS(C9),ABS(C9)*Dairy_Income_Roadmap!L38))</f>
        <v>-799.22028795818005</v>
      </c>
    </row>
    <row r="11" spans="1:7" x14ac:dyDescent="0.3">
      <c r="A11" s="93" t="s">
        <v>43</v>
      </c>
      <c r="B11" s="28">
        <f>Mappings!D3</f>
        <v>16373.983893418712</v>
      </c>
      <c r="C11" s="28">
        <f>Mappings!D4</f>
        <v>11688.199263308798</v>
      </c>
    </row>
    <row r="12" spans="1:7" x14ac:dyDescent="0.3">
      <c r="A12" s="93" t="s">
        <v>115</v>
      </c>
      <c r="B12" s="28">
        <f>Mappings!Z3*B11</f>
        <v>478.14702380824724</v>
      </c>
      <c r="C12" s="28">
        <f>Mappings!Z4*C11</f>
        <v>341.31447348468066</v>
      </c>
    </row>
    <row r="13" spans="1:7" x14ac:dyDescent="0.3">
      <c r="A13" s="93"/>
      <c r="B13" s="28"/>
      <c r="C13" s="28"/>
    </row>
    <row r="14" spans="1:7" x14ac:dyDescent="0.3">
      <c r="A14" s="93" t="s">
        <v>40</v>
      </c>
      <c r="B14" s="28">
        <f ca="1">B4*B6</f>
        <v>-103.04833357715955</v>
      </c>
      <c r="C14" s="28">
        <f ca="1">C4*C6</f>
        <v>327.86571024435511</v>
      </c>
    </row>
    <row r="15" spans="1:7" x14ac:dyDescent="0.3">
      <c r="A15" s="93" t="s">
        <v>41</v>
      </c>
      <c r="B15" s="28">
        <f ca="1">IF(B9&gt;0,B8-B10,    B8 +B10)</f>
        <v>3541.485148828132</v>
      </c>
      <c r="C15" s="28">
        <f ca="1">C8-IF(C9&gt;0,C10,(-1)*C10)</f>
        <v>4634.7216307572289</v>
      </c>
    </row>
    <row r="16" spans="1:7" x14ac:dyDescent="0.3">
      <c r="A16" s="93" t="s">
        <v>43</v>
      </c>
      <c r="B16" s="28">
        <f ca="1">_xlfn.NORM.INV(RAND(),B11,B12)</f>
        <v>15744.813652681658</v>
      </c>
      <c r="C16" s="28">
        <f ca="1">_xlfn.NORM.INV(RAND(),C11,C12)</f>
        <v>11523.098385705189</v>
      </c>
    </row>
    <row r="17" spans="1:8" x14ac:dyDescent="0.3">
      <c r="A17" s="93"/>
      <c r="B17" s="28"/>
      <c r="C17" s="28"/>
    </row>
    <row r="18" spans="1:8" x14ac:dyDescent="0.3">
      <c r="A18" s="93" t="s">
        <v>44</v>
      </c>
      <c r="B18" s="28">
        <f ca="1">(B14+B15)*B16</f>
        <v>54137546.912646748</v>
      </c>
      <c r="C18" s="28">
        <f ca="1">(C14+C15)*C16</f>
        <v>57184382.178016357</v>
      </c>
      <c r="E18">
        <f ca="1">B18+C18</f>
        <v>111321929.09066311</v>
      </c>
    </row>
    <row r="19" spans="1:8" x14ac:dyDescent="0.3">
      <c r="A19" s="93" t="s">
        <v>116</v>
      </c>
      <c r="B19" s="28" t="s">
        <v>49</v>
      </c>
      <c r="C19" s="28" t="s">
        <v>49</v>
      </c>
      <c r="E19">
        <f ca="1">STDEVA(E22:E129)</f>
        <v>15397660.715905948</v>
      </c>
      <c r="G19" s="1" t="s">
        <v>52</v>
      </c>
    </row>
    <row r="20" spans="1:8" x14ac:dyDescent="0.3">
      <c r="A20" s="93" t="s">
        <v>45</v>
      </c>
      <c r="B20" s="28" t="s">
        <v>49</v>
      </c>
      <c r="C20" s="28" t="s">
        <v>49</v>
      </c>
      <c r="E20">
        <f ca="1">AVERAGE(E22:E129)</f>
        <v>134220054.58861601</v>
      </c>
      <c r="H20" s="39">
        <f ca="1">100*E19/E20</f>
        <v>11.47195235697059</v>
      </c>
    </row>
    <row r="22" spans="1:8" x14ac:dyDescent="0.3">
      <c r="D22">
        <v>1</v>
      </c>
      <c r="E22">
        <f ca="1">E18</f>
        <v>111321929.09066311</v>
      </c>
    </row>
    <row r="23" spans="1:8" x14ac:dyDescent="0.3">
      <c r="D23">
        <v>2</v>
      </c>
      <c r="E23">
        <f t="dataTable" ref="E23:E129" dt2D="0" dtr="0" r1="E21" ca="1"/>
        <v>132224810.54227576</v>
      </c>
    </row>
    <row r="24" spans="1:8" x14ac:dyDescent="0.3">
      <c r="D24">
        <v>3</v>
      </c>
      <c r="E24">
        <v>136282367.2741183</v>
      </c>
    </row>
    <row r="25" spans="1:8" x14ac:dyDescent="0.3">
      <c r="D25">
        <v>4</v>
      </c>
      <c r="E25">
        <v>139508801.47049057</v>
      </c>
    </row>
    <row r="26" spans="1:8" x14ac:dyDescent="0.3">
      <c r="D26">
        <v>5</v>
      </c>
      <c r="E26">
        <v>125357907.1027528</v>
      </c>
    </row>
    <row r="27" spans="1:8" x14ac:dyDescent="0.3">
      <c r="D27">
        <v>6</v>
      </c>
      <c r="E27">
        <v>120138775.06599467</v>
      </c>
    </row>
    <row r="28" spans="1:8" x14ac:dyDescent="0.3">
      <c r="D28">
        <v>7</v>
      </c>
      <c r="E28">
        <v>162182099.52552068</v>
      </c>
    </row>
    <row r="29" spans="1:8" x14ac:dyDescent="0.3">
      <c r="D29">
        <v>8</v>
      </c>
      <c r="E29">
        <v>141260245.00093287</v>
      </c>
    </row>
    <row r="30" spans="1:8" x14ac:dyDescent="0.3">
      <c r="D30">
        <v>9</v>
      </c>
      <c r="E30">
        <v>137746625.62601498</v>
      </c>
    </row>
    <row r="31" spans="1:8" x14ac:dyDescent="0.3">
      <c r="D31">
        <v>10</v>
      </c>
      <c r="E31">
        <v>107807008.56632799</v>
      </c>
    </row>
    <row r="32" spans="1:8" x14ac:dyDescent="0.3">
      <c r="D32">
        <v>11</v>
      </c>
      <c r="E32">
        <v>148118424.77166468</v>
      </c>
    </row>
    <row r="33" spans="4:5" x14ac:dyDescent="0.3">
      <c r="D33">
        <v>12</v>
      </c>
      <c r="E33">
        <v>134429305.13121459</v>
      </c>
    </row>
    <row r="34" spans="4:5" x14ac:dyDescent="0.3">
      <c r="D34">
        <v>13</v>
      </c>
      <c r="E34">
        <v>144203706.05680543</v>
      </c>
    </row>
    <row r="35" spans="4:5" x14ac:dyDescent="0.3">
      <c r="D35">
        <v>14</v>
      </c>
      <c r="E35">
        <v>127711521.85326578</v>
      </c>
    </row>
    <row r="36" spans="4:5" x14ac:dyDescent="0.3">
      <c r="D36">
        <v>15</v>
      </c>
      <c r="E36">
        <v>129108839.37994485</v>
      </c>
    </row>
    <row r="37" spans="4:5" x14ac:dyDescent="0.3">
      <c r="D37">
        <v>16</v>
      </c>
      <c r="E37">
        <v>143660144.83748755</v>
      </c>
    </row>
    <row r="38" spans="4:5" x14ac:dyDescent="0.3">
      <c r="D38">
        <v>17</v>
      </c>
      <c r="E38">
        <v>135904056.05287901</v>
      </c>
    </row>
    <row r="39" spans="4:5" x14ac:dyDescent="0.3">
      <c r="D39">
        <v>18</v>
      </c>
      <c r="E39">
        <v>160790783.34681863</v>
      </c>
    </row>
    <row r="40" spans="4:5" x14ac:dyDescent="0.3">
      <c r="D40">
        <v>19</v>
      </c>
      <c r="E40">
        <v>137902338.50288281</v>
      </c>
    </row>
    <row r="41" spans="4:5" x14ac:dyDescent="0.3">
      <c r="D41">
        <v>20</v>
      </c>
      <c r="E41">
        <v>150045979.04790646</v>
      </c>
    </row>
    <row r="42" spans="4:5" x14ac:dyDescent="0.3">
      <c r="D42">
        <v>21</v>
      </c>
      <c r="E42">
        <v>117824718.31264511</v>
      </c>
    </row>
    <row r="43" spans="4:5" x14ac:dyDescent="0.3">
      <c r="D43">
        <v>22</v>
      </c>
      <c r="E43">
        <v>127994635.48339653</v>
      </c>
    </row>
    <row r="44" spans="4:5" x14ac:dyDescent="0.3">
      <c r="D44">
        <v>23</v>
      </c>
      <c r="E44">
        <v>119330051.13663912</v>
      </c>
    </row>
    <row r="45" spans="4:5" x14ac:dyDescent="0.3">
      <c r="D45">
        <v>24</v>
      </c>
      <c r="E45">
        <v>138064443.70681554</v>
      </c>
    </row>
    <row r="46" spans="4:5" x14ac:dyDescent="0.3">
      <c r="D46">
        <v>25</v>
      </c>
      <c r="E46">
        <v>113694827.89747174</v>
      </c>
    </row>
    <row r="47" spans="4:5" x14ac:dyDescent="0.3">
      <c r="D47">
        <v>26</v>
      </c>
      <c r="E47">
        <v>129126820.89243466</v>
      </c>
    </row>
    <row r="48" spans="4:5" x14ac:dyDescent="0.3">
      <c r="D48">
        <v>27</v>
      </c>
      <c r="E48">
        <v>124258960.87383592</v>
      </c>
    </row>
    <row r="49" spans="4:5" x14ac:dyDescent="0.3">
      <c r="D49">
        <v>28</v>
      </c>
      <c r="E49">
        <v>167401746.57219222</v>
      </c>
    </row>
    <row r="50" spans="4:5" x14ac:dyDescent="0.3">
      <c r="D50">
        <v>29</v>
      </c>
      <c r="E50">
        <v>135168363.05647933</v>
      </c>
    </row>
    <row r="51" spans="4:5" x14ac:dyDescent="0.3">
      <c r="D51">
        <v>30</v>
      </c>
      <c r="E51">
        <v>151266438.02450606</v>
      </c>
    </row>
    <row r="52" spans="4:5" x14ac:dyDescent="0.3">
      <c r="D52">
        <v>31</v>
      </c>
      <c r="E52">
        <v>129067631.20933238</v>
      </c>
    </row>
    <row r="53" spans="4:5" x14ac:dyDescent="0.3">
      <c r="D53">
        <v>32</v>
      </c>
      <c r="E53">
        <v>119008699.49374694</v>
      </c>
    </row>
    <row r="54" spans="4:5" x14ac:dyDescent="0.3">
      <c r="D54">
        <v>33</v>
      </c>
      <c r="E54">
        <v>145773153.11400628</v>
      </c>
    </row>
    <row r="55" spans="4:5" x14ac:dyDescent="0.3">
      <c r="D55">
        <v>34</v>
      </c>
      <c r="E55">
        <v>135321374.74348852</v>
      </c>
    </row>
    <row r="56" spans="4:5" x14ac:dyDescent="0.3">
      <c r="D56">
        <v>35</v>
      </c>
      <c r="E56">
        <v>119092196.97626698</v>
      </c>
    </row>
    <row r="57" spans="4:5" x14ac:dyDescent="0.3">
      <c r="D57">
        <v>36</v>
      </c>
      <c r="E57">
        <v>140839197.39708361</v>
      </c>
    </row>
    <row r="58" spans="4:5" x14ac:dyDescent="0.3">
      <c r="D58">
        <v>37</v>
      </c>
      <c r="E58">
        <v>106540468.00499684</v>
      </c>
    </row>
    <row r="59" spans="4:5" x14ac:dyDescent="0.3">
      <c r="D59">
        <v>38</v>
      </c>
      <c r="E59">
        <v>152073556.91039768</v>
      </c>
    </row>
    <row r="60" spans="4:5" x14ac:dyDescent="0.3">
      <c r="D60">
        <v>39</v>
      </c>
      <c r="E60">
        <v>111497437.91488352</v>
      </c>
    </row>
    <row r="61" spans="4:5" x14ac:dyDescent="0.3">
      <c r="D61">
        <v>40</v>
      </c>
      <c r="E61">
        <v>132939587.16795826</v>
      </c>
    </row>
    <row r="62" spans="4:5" x14ac:dyDescent="0.3">
      <c r="D62">
        <v>41</v>
      </c>
      <c r="E62">
        <v>156128759.06529173</v>
      </c>
    </row>
    <row r="63" spans="4:5" x14ac:dyDescent="0.3">
      <c r="D63">
        <v>42</v>
      </c>
      <c r="E63">
        <v>133772713.21946961</v>
      </c>
    </row>
    <row r="64" spans="4:5" x14ac:dyDescent="0.3">
      <c r="D64">
        <v>43</v>
      </c>
      <c r="E64">
        <v>139674716.86420125</v>
      </c>
    </row>
    <row r="65" spans="4:5" x14ac:dyDescent="0.3">
      <c r="D65">
        <v>44</v>
      </c>
      <c r="E65">
        <v>136849470.7125867</v>
      </c>
    </row>
    <row r="66" spans="4:5" x14ac:dyDescent="0.3">
      <c r="D66">
        <v>45</v>
      </c>
      <c r="E66">
        <v>131772562.40739051</v>
      </c>
    </row>
    <row r="67" spans="4:5" x14ac:dyDescent="0.3">
      <c r="D67">
        <v>46</v>
      </c>
      <c r="E67">
        <v>100324201.5279091</v>
      </c>
    </row>
    <row r="68" spans="4:5" x14ac:dyDescent="0.3">
      <c r="D68">
        <v>47</v>
      </c>
      <c r="E68">
        <v>125813750.30270779</v>
      </c>
    </row>
    <row r="69" spans="4:5" x14ac:dyDescent="0.3">
      <c r="D69">
        <v>48</v>
      </c>
      <c r="E69">
        <v>136580846.81667945</v>
      </c>
    </row>
    <row r="70" spans="4:5" x14ac:dyDescent="0.3">
      <c r="D70">
        <v>49</v>
      </c>
      <c r="E70">
        <v>96270019.346030012</v>
      </c>
    </row>
    <row r="71" spans="4:5" x14ac:dyDescent="0.3">
      <c r="D71">
        <v>50</v>
      </c>
      <c r="E71">
        <v>140912668.84261408</v>
      </c>
    </row>
    <row r="72" spans="4:5" x14ac:dyDescent="0.3">
      <c r="D72">
        <v>51</v>
      </c>
      <c r="E72">
        <v>139004152.99993455</v>
      </c>
    </row>
    <row r="73" spans="4:5" x14ac:dyDescent="0.3">
      <c r="D73">
        <v>52</v>
      </c>
      <c r="E73">
        <v>159227648.53158826</v>
      </c>
    </row>
    <row r="74" spans="4:5" x14ac:dyDescent="0.3">
      <c r="D74">
        <v>53</v>
      </c>
      <c r="E74">
        <v>148652342.24911851</v>
      </c>
    </row>
    <row r="75" spans="4:5" x14ac:dyDescent="0.3">
      <c r="D75">
        <v>54</v>
      </c>
      <c r="E75">
        <v>160778187.53000796</v>
      </c>
    </row>
    <row r="76" spans="4:5" x14ac:dyDescent="0.3">
      <c r="D76">
        <v>55</v>
      </c>
      <c r="E76">
        <v>131398214.84752297</v>
      </c>
    </row>
    <row r="77" spans="4:5" x14ac:dyDescent="0.3">
      <c r="D77">
        <v>56</v>
      </c>
      <c r="E77">
        <v>122605404.90758017</v>
      </c>
    </row>
    <row r="78" spans="4:5" x14ac:dyDescent="0.3">
      <c r="D78">
        <v>57</v>
      </c>
      <c r="E78">
        <v>146351786.70017117</v>
      </c>
    </row>
    <row r="79" spans="4:5" x14ac:dyDescent="0.3">
      <c r="D79">
        <v>58</v>
      </c>
      <c r="E79">
        <v>132098857.37365675</v>
      </c>
    </row>
    <row r="80" spans="4:5" x14ac:dyDescent="0.3">
      <c r="D80">
        <v>59</v>
      </c>
      <c r="E80">
        <v>106858161.72699681</v>
      </c>
    </row>
    <row r="81" spans="4:5" x14ac:dyDescent="0.3">
      <c r="D81">
        <v>60</v>
      </c>
      <c r="E81">
        <v>122501057.6747489</v>
      </c>
    </row>
    <row r="82" spans="4:5" x14ac:dyDescent="0.3">
      <c r="D82">
        <v>61</v>
      </c>
      <c r="E82">
        <v>131947293.98910797</v>
      </c>
    </row>
    <row r="83" spans="4:5" x14ac:dyDescent="0.3">
      <c r="D83">
        <v>62</v>
      </c>
      <c r="E83">
        <v>130253064.44081368</v>
      </c>
    </row>
    <row r="84" spans="4:5" x14ac:dyDescent="0.3">
      <c r="D84">
        <v>63</v>
      </c>
      <c r="E84">
        <v>138812776.90443894</v>
      </c>
    </row>
    <row r="85" spans="4:5" x14ac:dyDescent="0.3">
      <c r="D85">
        <v>64</v>
      </c>
      <c r="E85">
        <v>133122563.43508351</v>
      </c>
    </row>
    <row r="86" spans="4:5" x14ac:dyDescent="0.3">
      <c r="D86">
        <v>65</v>
      </c>
      <c r="E86">
        <v>117811829.67473087</v>
      </c>
    </row>
    <row r="87" spans="4:5" x14ac:dyDescent="0.3">
      <c r="D87">
        <v>66</v>
      </c>
      <c r="E87">
        <v>124025551.71299446</v>
      </c>
    </row>
    <row r="88" spans="4:5" x14ac:dyDescent="0.3">
      <c r="D88">
        <v>67</v>
      </c>
      <c r="E88">
        <v>139548560.71269143</v>
      </c>
    </row>
    <row r="89" spans="4:5" x14ac:dyDescent="0.3">
      <c r="D89">
        <v>68</v>
      </c>
      <c r="E89">
        <v>147041933.68467098</v>
      </c>
    </row>
    <row r="90" spans="4:5" x14ac:dyDescent="0.3">
      <c r="D90">
        <v>69</v>
      </c>
      <c r="E90">
        <v>127968573.63335375</v>
      </c>
    </row>
    <row r="91" spans="4:5" x14ac:dyDescent="0.3">
      <c r="D91">
        <v>70</v>
      </c>
      <c r="E91">
        <v>149933391.01981533</v>
      </c>
    </row>
    <row r="92" spans="4:5" x14ac:dyDescent="0.3">
      <c r="D92">
        <v>71</v>
      </c>
      <c r="E92">
        <v>106660687.34989911</v>
      </c>
    </row>
    <row r="93" spans="4:5" x14ac:dyDescent="0.3">
      <c r="D93">
        <v>72</v>
      </c>
      <c r="E93">
        <v>124964499.87602907</v>
      </c>
    </row>
    <row r="94" spans="4:5" x14ac:dyDescent="0.3">
      <c r="D94">
        <v>73</v>
      </c>
      <c r="E94">
        <v>158199171.92713827</v>
      </c>
    </row>
    <row r="95" spans="4:5" x14ac:dyDescent="0.3">
      <c r="D95">
        <v>74</v>
      </c>
      <c r="E95">
        <v>152244898.33690101</v>
      </c>
    </row>
    <row r="96" spans="4:5" x14ac:dyDescent="0.3">
      <c r="D96">
        <v>75</v>
      </c>
      <c r="E96">
        <v>127131126.13404921</v>
      </c>
    </row>
    <row r="97" spans="4:5" x14ac:dyDescent="0.3">
      <c r="D97">
        <v>76</v>
      </c>
      <c r="E97">
        <v>128434715.42088456</v>
      </c>
    </row>
    <row r="98" spans="4:5" x14ac:dyDescent="0.3">
      <c r="D98">
        <v>77</v>
      </c>
      <c r="E98">
        <v>116090190.18425977</v>
      </c>
    </row>
    <row r="99" spans="4:5" x14ac:dyDescent="0.3">
      <c r="D99">
        <v>78</v>
      </c>
      <c r="E99">
        <v>125781858.29906856</v>
      </c>
    </row>
    <row r="100" spans="4:5" x14ac:dyDescent="0.3">
      <c r="D100">
        <v>79</v>
      </c>
      <c r="E100">
        <v>112309063.95390245</v>
      </c>
    </row>
    <row r="101" spans="4:5" x14ac:dyDescent="0.3">
      <c r="D101">
        <v>80</v>
      </c>
      <c r="E101">
        <v>143043398.0823493</v>
      </c>
    </row>
    <row r="102" spans="4:5" x14ac:dyDescent="0.3">
      <c r="D102">
        <v>81</v>
      </c>
      <c r="E102">
        <v>140153732.52710408</v>
      </c>
    </row>
    <row r="103" spans="4:5" x14ac:dyDescent="0.3">
      <c r="D103">
        <v>82</v>
      </c>
      <c r="E103">
        <v>126976573.55514762</v>
      </c>
    </row>
    <row r="104" spans="4:5" x14ac:dyDescent="0.3">
      <c r="D104">
        <v>83</v>
      </c>
      <c r="E104">
        <v>141887577.34891421</v>
      </c>
    </row>
    <row r="105" spans="4:5" x14ac:dyDescent="0.3">
      <c r="D105">
        <v>84</v>
      </c>
      <c r="E105">
        <v>122691080.1351178</v>
      </c>
    </row>
    <row r="106" spans="4:5" x14ac:dyDescent="0.3">
      <c r="D106">
        <v>85</v>
      </c>
      <c r="E106">
        <v>160354171.10820636</v>
      </c>
    </row>
    <row r="107" spans="4:5" x14ac:dyDescent="0.3">
      <c r="D107">
        <v>86</v>
      </c>
      <c r="E107">
        <v>113184876.41669893</v>
      </c>
    </row>
    <row r="108" spans="4:5" x14ac:dyDescent="0.3">
      <c r="D108">
        <v>87</v>
      </c>
      <c r="E108">
        <v>146413256.68665934</v>
      </c>
    </row>
    <row r="109" spans="4:5" x14ac:dyDescent="0.3">
      <c r="D109">
        <v>88</v>
      </c>
      <c r="E109">
        <v>141014344.23181605</v>
      </c>
    </row>
    <row r="110" spans="4:5" x14ac:dyDescent="0.3">
      <c r="D110">
        <v>89</v>
      </c>
      <c r="E110">
        <v>131869507.52970165</v>
      </c>
    </row>
    <row r="111" spans="4:5" x14ac:dyDescent="0.3">
      <c r="D111">
        <v>90</v>
      </c>
      <c r="E111">
        <v>168156714.55155504</v>
      </c>
    </row>
    <row r="112" spans="4:5" x14ac:dyDescent="0.3">
      <c r="D112">
        <v>91</v>
      </c>
      <c r="E112">
        <v>111762670.68950546</v>
      </c>
    </row>
    <row r="113" spans="4:5" x14ac:dyDescent="0.3">
      <c r="D113">
        <v>92</v>
      </c>
      <c r="E113">
        <v>123786309.80601303</v>
      </c>
    </row>
    <row r="114" spans="4:5" x14ac:dyDescent="0.3">
      <c r="D114">
        <v>93</v>
      </c>
      <c r="E114">
        <v>140561557.8644985</v>
      </c>
    </row>
    <row r="115" spans="4:5" x14ac:dyDescent="0.3">
      <c r="D115">
        <v>94</v>
      </c>
      <c r="E115">
        <v>138605316.9910301</v>
      </c>
    </row>
    <row r="116" spans="4:5" x14ac:dyDescent="0.3">
      <c r="D116">
        <v>95</v>
      </c>
      <c r="E116">
        <v>124240453.83499131</v>
      </c>
    </row>
    <row r="117" spans="4:5" x14ac:dyDescent="0.3">
      <c r="D117">
        <v>96</v>
      </c>
      <c r="E117">
        <v>152283416.04410723</v>
      </c>
    </row>
    <row r="118" spans="4:5" x14ac:dyDescent="0.3">
      <c r="D118">
        <v>97</v>
      </c>
      <c r="E118">
        <v>162299388.00607333</v>
      </c>
    </row>
    <row r="119" spans="4:5" x14ac:dyDescent="0.3">
      <c r="D119">
        <v>98</v>
      </c>
      <c r="E119">
        <v>149193610.36709082</v>
      </c>
    </row>
    <row r="120" spans="4:5" x14ac:dyDescent="0.3">
      <c r="D120">
        <v>99</v>
      </c>
      <c r="E120">
        <v>133032825.99074574</v>
      </c>
    </row>
    <row r="121" spans="4:5" x14ac:dyDescent="0.3">
      <c r="D121">
        <v>100</v>
      </c>
      <c r="E121">
        <v>144981099.18881178</v>
      </c>
    </row>
    <row r="122" spans="4:5" x14ac:dyDescent="0.3">
      <c r="D122">
        <v>101</v>
      </c>
      <c r="E122">
        <v>108835128.42107691</v>
      </c>
    </row>
    <row r="123" spans="4:5" x14ac:dyDescent="0.3">
      <c r="D123">
        <v>102</v>
      </c>
      <c r="E123">
        <v>133043814.76806423</v>
      </c>
    </row>
    <row r="124" spans="4:5" x14ac:dyDescent="0.3">
      <c r="D124">
        <v>103</v>
      </c>
      <c r="E124">
        <v>121382694.48045295</v>
      </c>
    </row>
    <row r="125" spans="4:5" x14ac:dyDescent="0.3">
      <c r="D125">
        <v>104</v>
      </c>
      <c r="E125">
        <v>133816349.46079892</v>
      </c>
    </row>
    <row r="126" spans="4:5" x14ac:dyDescent="0.3">
      <c r="D126">
        <v>105</v>
      </c>
      <c r="E126">
        <v>149724513.57312506</v>
      </c>
    </row>
    <row r="127" spans="4:5" x14ac:dyDescent="0.3">
      <c r="D127">
        <v>106</v>
      </c>
      <c r="E127">
        <v>164163372.4755137</v>
      </c>
    </row>
    <row r="128" spans="4:5" x14ac:dyDescent="0.3">
      <c r="D128">
        <v>107</v>
      </c>
      <c r="E128">
        <v>122675430.55575244</v>
      </c>
    </row>
    <row r="129" spans="4:5" x14ac:dyDescent="0.3">
      <c r="D129">
        <v>108</v>
      </c>
      <c r="E129">
        <v>143785459.40903085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213C04-6B00-486D-B781-A66C466308A8}">
  <dimension ref="A1:I129"/>
  <sheetViews>
    <sheetView workbookViewId="0">
      <selection activeCell="F7" sqref="F7"/>
    </sheetView>
  </sheetViews>
  <sheetFormatPr defaultRowHeight="14.4" x14ac:dyDescent="0.3"/>
  <cols>
    <col min="1" max="1" width="48.21875" customWidth="1"/>
    <col min="2" max="2" width="20.33203125" customWidth="1"/>
    <col min="3" max="3" width="18.21875" customWidth="1"/>
    <col min="4" max="4" width="17.44140625" customWidth="1"/>
    <col min="6" max="6" width="16.109375" bestFit="1" customWidth="1"/>
    <col min="7" max="7" width="16.109375" style="35" customWidth="1"/>
    <col min="8" max="8" width="27.5546875" style="35" customWidth="1"/>
  </cols>
  <sheetData>
    <row r="1" spans="1:8" ht="18" customHeight="1" x14ac:dyDescent="0.3">
      <c r="B1" s="27" t="str">
        <f>Mappings!B6</f>
        <v>New-improved</v>
      </c>
      <c r="C1" s="38" t="str">
        <f>Mappings!B7</f>
        <v>Local-only</v>
      </c>
      <c r="D1" s="38" t="str">
        <f>Mappings!B8</f>
        <v>Extant-improved</v>
      </c>
      <c r="F1" s="1" t="s">
        <v>108</v>
      </c>
      <c r="G1" s="1"/>
      <c r="H1" s="1"/>
    </row>
    <row r="3" spans="1:8" x14ac:dyDescent="0.3">
      <c r="A3" t="str">
        <f>MC_Baseline!A3</f>
        <v>Income per cow (USD/yr)</v>
      </c>
      <c r="B3" s="28">
        <f>Mappings!N6</f>
        <v>880.62230423788765</v>
      </c>
      <c r="C3" s="28">
        <f>Mappings!N7</f>
        <v>181.77307777823148</v>
      </c>
      <c r="D3" s="28">
        <f>Mappings!N8</f>
        <v>985.97574143461293</v>
      </c>
    </row>
    <row r="4" spans="1:8" x14ac:dyDescent="0.3">
      <c r="A4" s="93" t="str">
        <f>MC_Baseline!A4</f>
        <v>Random value income per cow (USD/yr)</v>
      </c>
      <c r="B4" s="28">
        <f ca="1">_xlfn.NORM.INV(RAND(),Mappings!N6,Mappings!O6)</f>
        <v>623.15346995361961</v>
      </c>
      <c r="C4" s="28">
        <f ca="1">_xlfn.NORM.INV(RAND(),Mappings!N7,Mappings!O7)</f>
        <v>165.61716641397589</v>
      </c>
      <c r="D4" s="28">
        <f ca="1">_xlfn.NORM.INV(RAND(),Mappings!N8,Mappings!O8)</f>
        <v>940.07633945714838</v>
      </c>
    </row>
    <row r="5" spans="1:8" x14ac:dyDescent="0.3">
      <c r="A5" s="93" t="str">
        <f>MC_Baseline!A5</f>
        <v>Cows per household (head)</v>
      </c>
      <c r="B5" s="28">
        <f>Mappings!F6*Mappings!I6</f>
        <v>1.0184566670325734</v>
      </c>
      <c r="C5" s="28">
        <f>Mappings!F7*Mappings!I7</f>
        <v>2.7789214387885246</v>
      </c>
      <c r="D5" s="28">
        <f>Mappings!F8*Mappings!I7</f>
        <v>1.4148650629641095</v>
      </c>
    </row>
    <row r="6" spans="1:8" x14ac:dyDescent="0.3">
      <c r="A6" s="93" t="str">
        <f>MC_Baseline!A6</f>
        <v>Random value cows per household (head)</v>
      </c>
      <c r="B6" s="28">
        <f ca="1">_xlfn.NORM.INV(RAND(),B5,B5*Mappings!E4)</f>
        <v>0.86695305731288963</v>
      </c>
      <c r="C6" s="28">
        <f ca="1">_xlfn.NORM.INV(RAND(),C5,C5*Mappings!E3)</f>
        <v>1.6402478169413324</v>
      </c>
      <c r="D6" s="28">
        <f ca="1">_xlfn.NORM.INV(RAND(),D5,D5*Mappings!E4)</f>
        <v>0.83959406389281666</v>
      </c>
    </row>
    <row r="7" spans="1:8" x14ac:dyDescent="0.3">
      <c r="A7" s="93" t="str">
        <f>MC_Baseline!A7</f>
        <v>Non-dairy income (USD/yr)</v>
      </c>
      <c r="B7" s="28">
        <f>Mappings!V6</f>
        <v>3370.0928415237886</v>
      </c>
      <c r="C7" s="28">
        <f>Mappings!V7</f>
        <v>4034.0075316475995</v>
      </c>
      <c r="D7" s="28">
        <f>Mappings!V8</f>
        <v>4973.2861138036078</v>
      </c>
    </row>
    <row r="8" spans="1:8" x14ac:dyDescent="0.3">
      <c r="A8" s="93" t="str">
        <f>MC_Baseline!A8</f>
        <v>Random value non dairy income (USD/yr)</v>
      </c>
      <c r="B8" s="28">
        <f ca="1">_xlfn.NORM.INV(RAND(), B7, B7 * 25/100)*0+B7</f>
        <v>3370.0928415237886</v>
      </c>
      <c r="C8" s="28">
        <f ca="1">_xlfn.NORM.INV(RAND(), C7, C7* 25/100)*0+C7</f>
        <v>4034.0075316475995</v>
      </c>
      <c r="D8" s="28">
        <f ca="1">_xlfn.NORM.INV(RAND(), D7, D7* 25/100)*0+D7</f>
        <v>4973.2861138036078</v>
      </c>
    </row>
    <row r="9" spans="1:8" s="83" customFormat="1" x14ac:dyDescent="0.3">
      <c r="A9" s="93" t="str">
        <f>MC_Baseline!A9</f>
        <v>Reduction in non-dairy income through crop area change</v>
      </c>
      <c r="B9" s="28">
        <f>Mappings!Q6</f>
        <v>-76.395036865530145</v>
      </c>
      <c r="C9" s="28">
        <f>Mappings!Q7</f>
        <v>-740.30972698934124</v>
      </c>
      <c r="D9" s="28">
        <f>Mappings!Q8</f>
        <v>457.45001359276665</v>
      </c>
    </row>
    <row r="10" spans="1:8" s="83" customFormat="1" x14ac:dyDescent="0.3">
      <c r="A10" s="93" t="str">
        <f>MC_Baseline!A10</f>
        <v>Random value reduction/increase in non-dairy income (USD/yr)</v>
      </c>
      <c r="B10" s="28">
        <f ca="1">IF(B9&gt;0,_xlfn.NORM.INV(RAND(),B9,B9*Dairy_Income_Roadmap!L36),_xlfn.NORM.INV(RAND(),ABS(B9),ABS(B9)*Dairy_Income_Roadmap!L36))</f>
        <v>37.503976933812027</v>
      </c>
      <c r="C10" s="28">
        <f ca="1">IF(C9&gt;0,_xlfn.NORM.INV(RAND(),C9,C9*Dairy_Income_Roadmap!L36),_xlfn.NORM.INV(RAND(),ABS(C9),ABS(C9)*Dairy_Income_Roadmap!L36))</f>
        <v>413.78719699949755</v>
      </c>
      <c r="D10" s="28">
        <f ca="1">IF(D9&gt;0,_xlfn.NORM.INV(RAND(),D9,D9*Dairy_Income_Roadmap!L38),_xlfn.NORM.INV(RAND(),ABS(D9),ABS(D9)*Dairy_Income_Roadmap!L38))</f>
        <v>-989.34036351219265</v>
      </c>
    </row>
    <row r="11" spans="1:8" x14ac:dyDescent="0.3">
      <c r="A11" s="93" t="str">
        <f>MC_Baseline!A11</f>
        <v>Quantity households</v>
      </c>
      <c r="B11" s="28">
        <f>Mappings!D6</f>
        <v>2865.4471813482746</v>
      </c>
      <c r="C11" s="28">
        <f>Mappings!D7</f>
        <v>13508.536712070438</v>
      </c>
      <c r="D11" s="28">
        <f>Mappings!D8</f>
        <v>11688.199263308798</v>
      </c>
    </row>
    <row r="12" spans="1:8" x14ac:dyDescent="0.3">
      <c r="A12" s="93" t="str">
        <f>MC_Baseline!A12</f>
        <v>SE quantity households</v>
      </c>
      <c r="B12" s="28">
        <f>Mappings!Z6*Mappings!D6</f>
        <v>83.675729166443261</v>
      </c>
      <c r="C12" s="28">
        <f>Mappings!Z7*C11</f>
        <v>394.47129464180398</v>
      </c>
      <c r="D12" s="28">
        <f>Mappings!Z8*D11</f>
        <v>341.31447348468066</v>
      </c>
    </row>
    <row r="13" spans="1:8" x14ac:dyDescent="0.3">
      <c r="A13" s="93">
        <f>MC_Baseline!A13</f>
        <v>0</v>
      </c>
      <c r="B13" s="28"/>
      <c r="C13" s="28"/>
      <c r="D13" s="28"/>
    </row>
    <row r="14" spans="1:8" x14ac:dyDescent="0.3">
      <c r="A14" s="93" t="str">
        <f>MC_Baseline!A14</f>
        <v>Dairy Income (USD/household/year)</v>
      </c>
      <c r="B14" s="28">
        <f ca="1">B4*B6</f>
        <v>540.24480595142643</v>
      </c>
      <c r="C14" s="28">
        <f ca="1">C4*C6</f>
        <v>271.65319565853332</v>
      </c>
      <c r="D14" s="28">
        <f ca="1">D4*D6</f>
        <v>789.28251421431025</v>
      </c>
    </row>
    <row r="15" spans="1:8" x14ac:dyDescent="0.3">
      <c r="A15" s="93" t="str">
        <f>MC_Baseline!A15</f>
        <v>Non dairy income (USD/household/year)</v>
      </c>
      <c r="B15" s="28">
        <f ca="1">B8-IF(B9&gt;0,B10,(-1)*B10)</f>
        <v>3407.5968184576004</v>
      </c>
      <c r="C15" s="28">
        <f ca="1">C8-IF(C9&gt;0,C10,(-1)*C10)</f>
        <v>4447.7947286470971</v>
      </c>
      <c r="D15" s="28">
        <f ca="1">D8-IF(D9&gt;0,D10,(-1)*D10)</f>
        <v>5962.6264773158</v>
      </c>
    </row>
    <row r="16" spans="1:8" x14ac:dyDescent="0.3">
      <c r="A16" s="93" t="str">
        <f>MC_Baseline!A16</f>
        <v>Quantity households</v>
      </c>
      <c r="B16" s="28">
        <f ca="1">_xlfn.NORM.INV(RAND(),B11,B12)</f>
        <v>2758.7719451133753</v>
      </c>
      <c r="C16" s="28">
        <f ca="1">_xlfn.NORM.INV(RAND(),C11,C12)</f>
        <v>14003.543488867825</v>
      </c>
      <c r="D16" s="28">
        <f ca="1">_xlfn.NORM.INV(RAND(),D11,D12)</f>
        <v>11080.527823315244</v>
      </c>
    </row>
    <row r="17" spans="1:9" x14ac:dyDescent="0.3">
      <c r="A17" s="93"/>
      <c r="B17" s="28"/>
      <c r="C17" s="28"/>
      <c r="D17" s="28"/>
    </row>
    <row r="18" spans="1:9" x14ac:dyDescent="0.3">
      <c r="A18" s="93" t="str">
        <f>MC_Baseline!A18</f>
        <v>Estimated population income (USD/yr)</v>
      </c>
      <c r="B18" s="36">
        <f ca="1">(B14+B15)*B16</f>
        <v>10891194.717170438</v>
      </c>
      <c r="C18" s="36">
        <f ca="1">(C14+C15)*C16</f>
        <v>66088994.25146088</v>
      </c>
      <c r="D18" s="36">
        <f ca="1">(D14+D15)*D16</f>
        <v>74814715.441141754</v>
      </c>
      <c r="F18" s="28">
        <f ca="1">B18+C18+D18</f>
        <v>151794904.40977305</v>
      </c>
    </row>
    <row r="19" spans="1:9" x14ac:dyDescent="0.3">
      <c r="A19" s="93" t="str">
        <f>MC_Baseline!A19</f>
        <v>SE population income (USD/yr)</v>
      </c>
      <c r="B19" t="s">
        <v>49</v>
      </c>
      <c r="C19" t="s">
        <v>49</v>
      </c>
      <c r="D19" t="s">
        <v>49</v>
      </c>
      <c r="F19" s="28">
        <f ca="1">STDEV(F22:F129)</f>
        <v>21755260.857388031</v>
      </c>
      <c r="H19" s="1" t="s">
        <v>52</v>
      </c>
    </row>
    <row r="20" spans="1:9" x14ac:dyDescent="0.3">
      <c r="A20" s="93" t="str">
        <f>MC_Baseline!A20</f>
        <v>Mean population income (USD/yr)</v>
      </c>
      <c r="B20" s="3" t="s">
        <v>49</v>
      </c>
      <c r="C20" s="3" t="s">
        <v>49</v>
      </c>
      <c r="D20" s="3" t="s">
        <v>49</v>
      </c>
      <c r="E20" s="3"/>
      <c r="F20" s="28">
        <f ca="1">AVERAGE(F22:F129)</f>
        <v>152917716.46822453</v>
      </c>
      <c r="G20" s="3"/>
      <c r="H20" s="3"/>
      <c r="I20" s="40">
        <f ca="1">100*F19/F20</f>
        <v>14.226775915731553</v>
      </c>
    </row>
    <row r="21" spans="1:9" x14ac:dyDescent="0.3">
      <c r="F21" s="28"/>
      <c r="G21" s="3"/>
      <c r="H21" s="3"/>
    </row>
    <row r="22" spans="1:9" x14ac:dyDescent="0.3">
      <c r="B22" s="3"/>
      <c r="E22">
        <v>1</v>
      </c>
      <c r="F22" s="28">
        <f ca="1">F18</f>
        <v>151794904.40977305</v>
      </c>
      <c r="G22" s="3"/>
      <c r="H22" s="3"/>
    </row>
    <row r="23" spans="1:9" x14ac:dyDescent="0.3">
      <c r="E23">
        <v>2</v>
      </c>
      <c r="F23" s="28">
        <f t="dataTable" ref="F23:F129" dt2D="0" dtr="0" r1="F21" ca="1"/>
        <v>180537747.86779767</v>
      </c>
      <c r="G23" s="3"/>
      <c r="H23" s="3"/>
    </row>
    <row r="24" spans="1:9" x14ac:dyDescent="0.3">
      <c r="E24">
        <v>3</v>
      </c>
      <c r="F24" s="28">
        <v>130118386.97165915</v>
      </c>
      <c r="G24" s="3"/>
      <c r="H24" s="3"/>
    </row>
    <row r="25" spans="1:9" x14ac:dyDescent="0.3">
      <c r="E25">
        <v>4</v>
      </c>
      <c r="F25" s="28">
        <v>158375231.40104127</v>
      </c>
      <c r="G25" s="3"/>
      <c r="H25" s="3"/>
    </row>
    <row r="26" spans="1:9" x14ac:dyDescent="0.3">
      <c r="E26">
        <v>5</v>
      </c>
      <c r="F26" s="28">
        <v>137139192.43504924</v>
      </c>
      <c r="G26" s="3"/>
      <c r="H26" s="3"/>
    </row>
    <row r="27" spans="1:9" x14ac:dyDescent="0.3">
      <c r="E27">
        <v>6</v>
      </c>
      <c r="F27" s="28">
        <v>154871264.88769203</v>
      </c>
      <c r="G27" s="3"/>
      <c r="H27" s="3"/>
    </row>
    <row r="28" spans="1:9" x14ac:dyDescent="0.3">
      <c r="E28">
        <v>7</v>
      </c>
      <c r="F28" s="28">
        <v>144625554.79277876</v>
      </c>
      <c r="G28" s="3"/>
      <c r="H28" s="3"/>
    </row>
    <row r="29" spans="1:9" x14ac:dyDescent="0.3">
      <c r="E29">
        <v>8</v>
      </c>
      <c r="F29" s="28">
        <v>138004673.40985399</v>
      </c>
      <c r="G29" s="3"/>
      <c r="H29" s="3"/>
    </row>
    <row r="30" spans="1:9" x14ac:dyDescent="0.3">
      <c r="E30">
        <v>9</v>
      </c>
      <c r="F30" s="28">
        <v>172093971.16622731</v>
      </c>
      <c r="G30" s="3"/>
      <c r="H30" s="3"/>
    </row>
    <row r="31" spans="1:9" x14ac:dyDescent="0.3">
      <c r="E31">
        <v>10</v>
      </c>
      <c r="F31" s="28">
        <v>153546877.70842808</v>
      </c>
      <c r="G31" s="3"/>
      <c r="H31" s="3"/>
    </row>
    <row r="32" spans="1:9" x14ac:dyDescent="0.3">
      <c r="E32">
        <v>11</v>
      </c>
      <c r="F32" s="28">
        <v>140205075.79224354</v>
      </c>
      <c r="G32" s="3"/>
      <c r="H32" s="3"/>
    </row>
    <row r="33" spans="5:8" x14ac:dyDescent="0.3">
      <c r="E33">
        <v>12</v>
      </c>
      <c r="F33" s="28">
        <v>108964592.9514634</v>
      </c>
      <c r="G33" s="3"/>
      <c r="H33" s="3"/>
    </row>
    <row r="34" spans="5:8" x14ac:dyDescent="0.3">
      <c r="E34">
        <v>13</v>
      </c>
      <c r="F34" s="28">
        <v>159264065.30012086</v>
      </c>
      <c r="G34" s="3"/>
      <c r="H34" s="3"/>
    </row>
    <row r="35" spans="5:8" x14ac:dyDescent="0.3">
      <c r="E35">
        <v>14</v>
      </c>
      <c r="F35" s="28">
        <v>166498435.21530798</v>
      </c>
      <c r="G35" s="3"/>
      <c r="H35" s="3"/>
    </row>
    <row r="36" spans="5:8" x14ac:dyDescent="0.3">
      <c r="E36">
        <v>15</v>
      </c>
      <c r="F36" s="28">
        <v>154400399.29344094</v>
      </c>
      <c r="G36" s="3"/>
      <c r="H36" s="3"/>
    </row>
    <row r="37" spans="5:8" x14ac:dyDescent="0.3">
      <c r="E37">
        <v>16</v>
      </c>
      <c r="F37" s="28">
        <v>130937029.48498756</v>
      </c>
      <c r="G37" s="3"/>
      <c r="H37" s="3"/>
    </row>
    <row r="38" spans="5:8" x14ac:dyDescent="0.3">
      <c r="E38">
        <v>17</v>
      </c>
      <c r="F38" s="28">
        <v>127931868.5460341</v>
      </c>
      <c r="G38" s="3"/>
      <c r="H38" s="3"/>
    </row>
    <row r="39" spans="5:8" x14ac:dyDescent="0.3">
      <c r="E39">
        <v>18</v>
      </c>
      <c r="F39" s="28">
        <v>182701084.62507132</v>
      </c>
      <c r="G39" s="3"/>
      <c r="H39" s="3"/>
    </row>
    <row r="40" spans="5:8" x14ac:dyDescent="0.3">
      <c r="E40">
        <v>19</v>
      </c>
      <c r="F40" s="28">
        <v>147580550.679322</v>
      </c>
      <c r="G40" s="3"/>
      <c r="H40" s="3"/>
    </row>
    <row r="41" spans="5:8" x14ac:dyDescent="0.3">
      <c r="E41">
        <v>20</v>
      </c>
      <c r="F41" s="28">
        <v>162180259.52562609</v>
      </c>
      <c r="G41" s="3"/>
      <c r="H41" s="3"/>
    </row>
    <row r="42" spans="5:8" x14ac:dyDescent="0.3">
      <c r="E42">
        <v>21</v>
      </c>
      <c r="F42" s="28">
        <v>118584104.35880724</v>
      </c>
      <c r="G42" s="3"/>
      <c r="H42" s="3"/>
    </row>
    <row r="43" spans="5:8" x14ac:dyDescent="0.3">
      <c r="E43">
        <v>22</v>
      </c>
      <c r="F43" s="28">
        <v>199785459.17316282</v>
      </c>
      <c r="G43" s="3"/>
      <c r="H43" s="3"/>
    </row>
    <row r="44" spans="5:8" x14ac:dyDescent="0.3">
      <c r="E44">
        <v>23</v>
      </c>
      <c r="F44" s="28">
        <v>163674394.41677168</v>
      </c>
      <c r="G44" s="3"/>
      <c r="H44" s="3"/>
    </row>
    <row r="45" spans="5:8" x14ac:dyDescent="0.3">
      <c r="E45">
        <v>24</v>
      </c>
      <c r="F45" s="28">
        <v>171267666.50425082</v>
      </c>
      <c r="G45" s="3"/>
      <c r="H45" s="3"/>
    </row>
    <row r="46" spans="5:8" x14ac:dyDescent="0.3">
      <c r="E46">
        <v>25</v>
      </c>
      <c r="F46" s="28">
        <v>160312172.50768858</v>
      </c>
      <c r="G46" s="3"/>
      <c r="H46" s="3"/>
    </row>
    <row r="47" spans="5:8" x14ac:dyDescent="0.3">
      <c r="E47">
        <v>26</v>
      </c>
      <c r="F47" s="28">
        <v>163151501.30496776</v>
      </c>
      <c r="G47" s="3"/>
      <c r="H47" s="3"/>
    </row>
    <row r="48" spans="5:8" x14ac:dyDescent="0.3">
      <c r="E48">
        <v>27</v>
      </c>
      <c r="F48" s="28">
        <v>114200505.06093094</v>
      </c>
      <c r="G48" s="3"/>
      <c r="H48" s="3"/>
    </row>
    <row r="49" spans="5:8" x14ac:dyDescent="0.3">
      <c r="E49">
        <v>28</v>
      </c>
      <c r="F49" s="28">
        <v>183113249.09424597</v>
      </c>
      <c r="G49" s="3"/>
      <c r="H49" s="3"/>
    </row>
    <row r="50" spans="5:8" x14ac:dyDescent="0.3">
      <c r="E50">
        <v>29</v>
      </c>
      <c r="F50" s="28">
        <v>148192837.57062224</v>
      </c>
      <c r="G50" s="3"/>
      <c r="H50" s="3"/>
    </row>
    <row r="51" spans="5:8" x14ac:dyDescent="0.3">
      <c r="E51">
        <v>30</v>
      </c>
      <c r="F51" s="28">
        <v>184077070.43732154</v>
      </c>
      <c r="G51" s="3"/>
      <c r="H51" s="3"/>
    </row>
    <row r="52" spans="5:8" x14ac:dyDescent="0.3">
      <c r="E52">
        <v>31</v>
      </c>
      <c r="F52" s="28">
        <v>146640189.55274943</v>
      </c>
      <c r="G52" s="3"/>
      <c r="H52" s="3"/>
    </row>
    <row r="53" spans="5:8" x14ac:dyDescent="0.3">
      <c r="E53">
        <v>32</v>
      </c>
      <c r="F53" s="28">
        <v>122808711.5408818</v>
      </c>
      <c r="G53" s="3"/>
      <c r="H53" s="3"/>
    </row>
    <row r="54" spans="5:8" x14ac:dyDescent="0.3">
      <c r="E54">
        <v>33</v>
      </c>
      <c r="F54" s="28">
        <v>161378574.07956147</v>
      </c>
      <c r="G54" s="3"/>
      <c r="H54" s="3"/>
    </row>
    <row r="55" spans="5:8" x14ac:dyDescent="0.3">
      <c r="E55">
        <v>34</v>
      </c>
      <c r="F55" s="28">
        <v>165152706.05171424</v>
      </c>
      <c r="G55" s="3"/>
      <c r="H55" s="3"/>
    </row>
    <row r="56" spans="5:8" x14ac:dyDescent="0.3">
      <c r="E56">
        <v>35</v>
      </c>
      <c r="F56" s="28">
        <v>168023536.86099812</v>
      </c>
      <c r="G56" s="3"/>
      <c r="H56" s="3"/>
    </row>
    <row r="57" spans="5:8" x14ac:dyDescent="0.3">
      <c r="E57">
        <v>36</v>
      </c>
      <c r="F57" s="28">
        <v>159710373.97492462</v>
      </c>
      <c r="G57" s="3"/>
      <c r="H57" s="3"/>
    </row>
    <row r="58" spans="5:8" x14ac:dyDescent="0.3">
      <c r="E58">
        <v>37</v>
      </c>
      <c r="F58" s="28">
        <v>166702638.39351049</v>
      </c>
      <c r="G58" s="3"/>
      <c r="H58" s="3"/>
    </row>
    <row r="59" spans="5:8" x14ac:dyDescent="0.3">
      <c r="E59">
        <v>38</v>
      </c>
      <c r="F59" s="28">
        <v>173151154.89477172</v>
      </c>
      <c r="G59" s="3"/>
      <c r="H59" s="3"/>
    </row>
    <row r="60" spans="5:8" x14ac:dyDescent="0.3">
      <c r="E60">
        <v>39</v>
      </c>
      <c r="F60" s="28">
        <v>153877402.28266966</v>
      </c>
      <c r="G60" s="3"/>
      <c r="H60" s="3"/>
    </row>
    <row r="61" spans="5:8" x14ac:dyDescent="0.3">
      <c r="E61">
        <v>40</v>
      </c>
      <c r="F61" s="28">
        <v>147490790.43669176</v>
      </c>
      <c r="G61" s="3"/>
      <c r="H61" s="3"/>
    </row>
    <row r="62" spans="5:8" x14ac:dyDescent="0.3">
      <c r="E62">
        <v>41</v>
      </c>
      <c r="F62" s="28">
        <v>186704111.08172488</v>
      </c>
      <c r="G62" s="3"/>
      <c r="H62" s="3"/>
    </row>
    <row r="63" spans="5:8" x14ac:dyDescent="0.3">
      <c r="E63">
        <v>42</v>
      </c>
      <c r="F63" s="28">
        <v>132859250.07662319</v>
      </c>
      <c r="G63" s="3"/>
      <c r="H63" s="3"/>
    </row>
    <row r="64" spans="5:8" x14ac:dyDescent="0.3">
      <c r="E64">
        <v>43</v>
      </c>
      <c r="F64" s="28">
        <v>172321479.65045547</v>
      </c>
      <c r="G64" s="3"/>
      <c r="H64" s="3"/>
    </row>
    <row r="65" spans="5:8" x14ac:dyDescent="0.3">
      <c r="E65">
        <v>44</v>
      </c>
      <c r="F65" s="28">
        <v>128269732.54881459</v>
      </c>
      <c r="G65" s="3"/>
      <c r="H65" s="3"/>
    </row>
    <row r="66" spans="5:8" x14ac:dyDescent="0.3">
      <c r="E66">
        <v>45</v>
      </c>
      <c r="F66" s="28">
        <v>157581543.63113269</v>
      </c>
      <c r="G66" s="3"/>
      <c r="H66" s="3"/>
    </row>
    <row r="67" spans="5:8" x14ac:dyDescent="0.3">
      <c r="E67">
        <v>46</v>
      </c>
      <c r="F67" s="28">
        <v>170455969.41659421</v>
      </c>
      <c r="G67" s="3"/>
      <c r="H67" s="3"/>
    </row>
    <row r="68" spans="5:8" x14ac:dyDescent="0.3">
      <c r="E68">
        <v>47</v>
      </c>
      <c r="F68" s="28">
        <v>221252424.20539322</v>
      </c>
      <c r="G68" s="3"/>
      <c r="H68" s="3"/>
    </row>
    <row r="69" spans="5:8" x14ac:dyDescent="0.3">
      <c r="E69">
        <v>48</v>
      </c>
      <c r="F69" s="28">
        <v>142761186.49751914</v>
      </c>
      <c r="G69" s="3"/>
      <c r="H69" s="3"/>
    </row>
    <row r="70" spans="5:8" x14ac:dyDescent="0.3">
      <c r="E70">
        <v>49</v>
      </c>
      <c r="F70" s="28">
        <v>138711565.18357727</v>
      </c>
      <c r="G70" s="3"/>
      <c r="H70" s="3"/>
    </row>
    <row r="71" spans="5:8" x14ac:dyDescent="0.3">
      <c r="E71">
        <v>50</v>
      </c>
      <c r="F71" s="28">
        <v>162027159.03664172</v>
      </c>
      <c r="G71" s="3"/>
      <c r="H71" s="3"/>
    </row>
    <row r="72" spans="5:8" x14ac:dyDescent="0.3">
      <c r="E72">
        <v>51</v>
      </c>
      <c r="F72" s="28">
        <v>160838004.65682966</v>
      </c>
      <c r="G72" s="3"/>
      <c r="H72" s="3"/>
    </row>
    <row r="73" spans="5:8" x14ac:dyDescent="0.3">
      <c r="E73">
        <v>52</v>
      </c>
      <c r="F73" s="28">
        <v>171425658.38937828</v>
      </c>
      <c r="G73" s="3"/>
      <c r="H73" s="3"/>
    </row>
    <row r="74" spans="5:8" x14ac:dyDescent="0.3">
      <c r="E74">
        <v>53</v>
      </c>
      <c r="F74" s="28">
        <v>110049550.18051799</v>
      </c>
      <c r="G74" s="3"/>
      <c r="H74" s="3"/>
    </row>
    <row r="75" spans="5:8" x14ac:dyDescent="0.3">
      <c r="E75">
        <v>54</v>
      </c>
      <c r="F75" s="28">
        <v>165132973.57471743</v>
      </c>
      <c r="G75" s="3"/>
      <c r="H75" s="3"/>
    </row>
    <row r="76" spans="5:8" x14ac:dyDescent="0.3">
      <c r="E76">
        <v>55</v>
      </c>
      <c r="F76" s="28">
        <v>147926468.83086514</v>
      </c>
      <c r="G76" s="3"/>
      <c r="H76" s="3"/>
    </row>
    <row r="77" spans="5:8" x14ac:dyDescent="0.3">
      <c r="E77">
        <v>56</v>
      </c>
      <c r="F77" s="28">
        <v>121550270.1595301</v>
      </c>
      <c r="G77" s="3"/>
      <c r="H77" s="3"/>
    </row>
    <row r="78" spans="5:8" x14ac:dyDescent="0.3">
      <c r="E78">
        <v>57</v>
      </c>
      <c r="F78" s="28">
        <v>169562464.56571859</v>
      </c>
      <c r="G78" s="3"/>
      <c r="H78" s="3"/>
    </row>
    <row r="79" spans="5:8" x14ac:dyDescent="0.3">
      <c r="E79">
        <v>58</v>
      </c>
      <c r="F79" s="28">
        <v>146040169.89374417</v>
      </c>
      <c r="G79" s="3"/>
      <c r="H79" s="3"/>
    </row>
    <row r="80" spans="5:8" x14ac:dyDescent="0.3">
      <c r="E80">
        <v>59</v>
      </c>
      <c r="F80" s="28">
        <v>171976736.38158453</v>
      </c>
      <c r="G80" s="3"/>
      <c r="H80" s="3"/>
    </row>
    <row r="81" spans="5:8" x14ac:dyDescent="0.3">
      <c r="E81">
        <v>60</v>
      </c>
      <c r="F81" s="28">
        <v>160422255.06070289</v>
      </c>
      <c r="G81" s="3"/>
      <c r="H81" s="3"/>
    </row>
    <row r="82" spans="5:8" x14ac:dyDescent="0.3">
      <c r="E82">
        <v>61</v>
      </c>
      <c r="F82" s="28">
        <v>148208707.16072547</v>
      </c>
      <c r="G82" s="3"/>
      <c r="H82" s="3"/>
    </row>
    <row r="83" spans="5:8" x14ac:dyDescent="0.3">
      <c r="E83">
        <v>62</v>
      </c>
      <c r="F83" s="28">
        <v>89372341.824071735</v>
      </c>
      <c r="G83" s="3"/>
      <c r="H83" s="3"/>
    </row>
    <row r="84" spans="5:8" x14ac:dyDescent="0.3">
      <c r="E84">
        <v>63</v>
      </c>
      <c r="F84" s="28">
        <v>160185435.93458998</v>
      </c>
      <c r="G84" s="3"/>
      <c r="H84" s="3"/>
    </row>
    <row r="85" spans="5:8" x14ac:dyDescent="0.3">
      <c r="E85">
        <v>64</v>
      </c>
      <c r="F85" s="28">
        <v>169645199.2214804</v>
      </c>
      <c r="G85" s="3"/>
      <c r="H85" s="3"/>
    </row>
    <row r="86" spans="5:8" x14ac:dyDescent="0.3">
      <c r="E86">
        <v>65</v>
      </c>
      <c r="F86" s="28">
        <v>163273151.51496607</v>
      </c>
      <c r="G86" s="3"/>
      <c r="H86" s="3"/>
    </row>
    <row r="87" spans="5:8" x14ac:dyDescent="0.3">
      <c r="E87">
        <v>66</v>
      </c>
      <c r="F87" s="28">
        <v>137925497.16324079</v>
      </c>
      <c r="G87" s="3"/>
      <c r="H87" s="3"/>
    </row>
    <row r="88" spans="5:8" x14ac:dyDescent="0.3">
      <c r="E88">
        <v>67</v>
      </c>
      <c r="F88" s="28">
        <v>142892928.95451599</v>
      </c>
      <c r="G88" s="3"/>
      <c r="H88" s="3"/>
    </row>
    <row r="89" spans="5:8" x14ac:dyDescent="0.3">
      <c r="E89">
        <v>68</v>
      </c>
      <c r="F89" s="28">
        <v>139293516.92610797</v>
      </c>
      <c r="G89" s="3"/>
      <c r="H89" s="3"/>
    </row>
    <row r="90" spans="5:8" x14ac:dyDescent="0.3">
      <c r="E90">
        <v>69</v>
      </c>
      <c r="F90" s="28">
        <v>155763445.49879795</v>
      </c>
      <c r="G90" s="3"/>
      <c r="H90" s="3"/>
    </row>
    <row r="91" spans="5:8" x14ac:dyDescent="0.3">
      <c r="E91">
        <v>70</v>
      </c>
      <c r="F91" s="28">
        <v>172122641.55456814</v>
      </c>
      <c r="G91" s="3"/>
      <c r="H91" s="3"/>
    </row>
    <row r="92" spans="5:8" x14ac:dyDescent="0.3">
      <c r="E92">
        <v>71</v>
      </c>
      <c r="F92" s="28">
        <v>154305165.13350207</v>
      </c>
      <c r="G92" s="3"/>
      <c r="H92" s="3"/>
    </row>
    <row r="93" spans="5:8" x14ac:dyDescent="0.3">
      <c r="E93">
        <v>72</v>
      </c>
      <c r="F93" s="28">
        <v>147304974.19674686</v>
      </c>
      <c r="G93" s="3"/>
      <c r="H93" s="3"/>
    </row>
    <row r="94" spans="5:8" x14ac:dyDescent="0.3">
      <c r="E94">
        <v>73</v>
      </c>
      <c r="F94" s="28">
        <v>135185906.07757634</v>
      </c>
      <c r="G94" s="3"/>
      <c r="H94" s="3"/>
    </row>
    <row r="95" spans="5:8" x14ac:dyDescent="0.3">
      <c r="E95">
        <v>74</v>
      </c>
      <c r="F95" s="28">
        <v>121902208.85521269</v>
      </c>
      <c r="G95" s="3"/>
      <c r="H95" s="3"/>
    </row>
    <row r="96" spans="5:8" x14ac:dyDescent="0.3">
      <c r="E96">
        <v>75</v>
      </c>
      <c r="F96" s="28">
        <v>159838277.53237575</v>
      </c>
      <c r="G96" s="3"/>
      <c r="H96" s="3"/>
    </row>
    <row r="97" spans="5:8" x14ac:dyDescent="0.3">
      <c r="E97">
        <v>76</v>
      </c>
      <c r="F97" s="28">
        <v>136542081.15930879</v>
      </c>
      <c r="G97" s="3"/>
      <c r="H97" s="3"/>
    </row>
    <row r="98" spans="5:8" x14ac:dyDescent="0.3">
      <c r="E98">
        <v>77</v>
      </c>
      <c r="F98" s="28">
        <v>157922273.16061151</v>
      </c>
      <c r="G98" s="3"/>
      <c r="H98" s="3"/>
    </row>
    <row r="99" spans="5:8" x14ac:dyDescent="0.3">
      <c r="E99">
        <v>78</v>
      </c>
      <c r="F99" s="28">
        <v>177341663.02156502</v>
      </c>
      <c r="G99" s="3"/>
      <c r="H99" s="3"/>
    </row>
    <row r="100" spans="5:8" x14ac:dyDescent="0.3">
      <c r="E100">
        <v>79</v>
      </c>
      <c r="F100" s="28">
        <v>128269109.70412622</v>
      </c>
      <c r="G100" s="3"/>
      <c r="H100" s="3"/>
    </row>
    <row r="101" spans="5:8" x14ac:dyDescent="0.3">
      <c r="E101">
        <v>80</v>
      </c>
      <c r="F101" s="28">
        <v>153290799.20965293</v>
      </c>
      <c r="G101" s="3"/>
      <c r="H101" s="3"/>
    </row>
    <row r="102" spans="5:8" x14ac:dyDescent="0.3">
      <c r="E102">
        <v>81</v>
      </c>
      <c r="F102" s="28">
        <v>197134701.87357935</v>
      </c>
      <c r="G102" s="3"/>
      <c r="H102" s="3"/>
    </row>
    <row r="103" spans="5:8" x14ac:dyDescent="0.3">
      <c r="E103">
        <v>82</v>
      </c>
      <c r="F103" s="28">
        <v>117763115.34922597</v>
      </c>
      <c r="G103" s="3"/>
      <c r="H103" s="3"/>
    </row>
    <row r="104" spans="5:8" x14ac:dyDescent="0.3">
      <c r="E104">
        <v>83</v>
      </c>
      <c r="F104" s="28">
        <v>168170800.49379587</v>
      </c>
      <c r="G104" s="3"/>
      <c r="H104" s="3"/>
    </row>
    <row r="105" spans="5:8" x14ac:dyDescent="0.3">
      <c r="E105">
        <v>84</v>
      </c>
      <c r="F105" s="28">
        <v>189112016.17264366</v>
      </c>
      <c r="G105" s="3"/>
      <c r="H105" s="3"/>
    </row>
    <row r="106" spans="5:8" x14ac:dyDescent="0.3">
      <c r="E106">
        <v>85</v>
      </c>
      <c r="F106" s="28">
        <v>162240116.38265756</v>
      </c>
      <c r="G106" s="3"/>
      <c r="H106" s="3"/>
    </row>
    <row r="107" spans="5:8" x14ac:dyDescent="0.3">
      <c r="E107">
        <v>86</v>
      </c>
      <c r="F107" s="28">
        <v>164989290.65734997</v>
      </c>
      <c r="G107" s="3"/>
      <c r="H107" s="3"/>
    </row>
    <row r="108" spans="5:8" x14ac:dyDescent="0.3">
      <c r="E108">
        <v>87</v>
      </c>
      <c r="F108" s="28">
        <v>188797215.93869478</v>
      </c>
      <c r="G108" s="3"/>
      <c r="H108" s="3"/>
    </row>
    <row r="109" spans="5:8" x14ac:dyDescent="0.3">
      <c r="E109">
        <v>88</v>
      </c>
      <c r="F109" s="28">
        <v>117778571.46177055</v>
      </c>
      <c r="G109" s="3"/>
      <c r="H109" s="3"/>
    </row>
    <row r="110" spans="5:8" x14ac:dyDescent="0.3">
      <c r="E110">
        <v>89</v>
      </c>
      <c r="F110" s="28">
        <v>142880011.70908353</v>
      </c>
      <c r="G110" s="3"/>
      <c r="H110" s="3"/>
    </row>
    <row r="111" spans="5:8" x14ac:dyDescent="0.3">
      <c r="E111">
        <v>90</v>
      </c>
      <c r="F111" s="28">
        <v>122276035.72434154</v>
      </c>
      <c r="G111" s="3"/>
      <c r="H111" s="3"/>
    </row>
    <row r="112" spans="5:8" x14ac:dyDescent="0.3">
      <c r="E112">
        <v>91</v>
      </c>
      <c r="F112" s="28">
        <v>176004209.2596359</v>
      </c>
      <c r="G112" s="3"/>
      <c r="H112" s="3"/>
    </row>
    <row r="113" spans="5:8" x14ac:dyDescent="0.3">
      <c r="E113">
        <v>92</v>
      </c>
      <c r="F113" s="28">
        <v>103982970.56869042</v>
      </c>
      <c r="G113" s="3"/>
      <c r="H113" s="3"/>
    </row>
    <row r="114" spans="5:8" x14ac:dyDescent="0.3">
      <c r="E114">
        <v>93</v>
      </c>
      <c r="F114" s="28">
        <v>176284880.055415</v>
      </c>
      <c r="G114" s="3"/>
      <c r="H114" s="3"/>
    </row>
    <row r="115" spans="5:8" x14ac:dyDescent="0.3">
      <c r="E115">
        <v>94</v>
      </c>
      <c r="F115" s="28">
        <v>152295575.52838433</v>
      </c>
      <c r="G115" s="3"/>
      <c r="H115" s="3"/>
    </row>
    <row r="116" spans="5:8" x14ac:dyDescent="0.3">
      <c r="E116">
        <v>95</v>
      </c>
      <c r="F116" s="28">
        <v>126744539.38558477</v>
      </c>
      <c r="G116" s="3"/>
      <c r="H116" s="3"/>
    </row>
    <row r="117" spans="5:8" x14ac:dyDescent="0.3">
      <c r="E117">
        <v>96</v>
      </c>
      <c r="F117" s="28">
        <v>169128961.21167615</v>
      </c>
      <c r="G117" s="3"/>
      <c r="H117" s="3"/>
    </row>
    <row r="118" spans="5:8" x14ac:dyDescent="0.3">
      <c r="E118">
        <v>97</v>
      </c>
      <c r="F118" s="28">
        <v>152387772.45372397</v>
      </c>
      <c r="G118" s="3"/>
      <c r="H118" s="3"/>
    </row>
    <row r="119" spans="5:8" x14ac:dyDescent="0.3">
      <c r="E119">
        <v>98</v>
      </c>
      <c r="F119" s="28">
        <v>157119531.60156882</v>
      </c>
      <c r="G119" s="3"/>
      <c r="H119" s="3"/>
    </row>
    <row r="120" spans="5:8" x14ac:dyDescent="0.3">
      <c r="E120">
        <v>99</v>
      </c>
      <c r="F120" s="28">
        <v>149987322.9184913</v>
      </c>
      <c r="G120" s="3"/>
      <c r="H120" s="3"/>
    </row>
    <row r="121" spans="5:8" x14ac:dyDescent="0.3">
      <c r="E121">
        <v>100</v>
      </c>
      <c r="F121" s="28">
        <v>148589155.69471258</v>
      </c>
      <c r="G121" s="3"/>
      <c r="H121" s="3"/>
    </row>
    <row r="122" spans="5:8" x14ac:dyDescent="0.3">
      <c r="E122">
        <v>101</v>
      </c>
      <c r="F122" s="28">
        <v>138626188.36854619</v>
      </c>
      <c r="G122" s="3"/>
      <c r="H122" s="3"/>
    </row>
    <row r="123" spans="5:8" x14ac:dyDescent="0.3">
      <c r="E123">
        <v>102</v>
      </c>
      <c r="F123" s="28">
        <v>145026125.03710729</v>
      </c>
      <c r="G123" s="3"/>
      <c r="H123" s="3"/>
    </row>
    <row r="124" spans="5:8" x14ac:dyDescent="0.3">
      <c r="E124">
        <v>103</v>
      </c>
      <c r="F124" s="28">
        <v>166094407.54656705</v>
      </c>
      <c r="G124" s="3"/>
      <c r="H124" s="3"/>
    </row>
    <row r="125" spans="5:8" x14ac:dyDescent="0.3">
      <c r="E125">
        <v>104</v>
      </c>
      <c r="F125" s="28">
        <v>145882397.92633468</v>
      </c>
      <c r="G125" s="3"/>
      <c r="H125" s="3"/>
    </row>
    <row r="126" spans="5:8" x14ac:dyDescent="0.3">
      <c r="E126">
        <v>105</v>
      </c>
      <c r="F126" s="28">
        <v>132742727.39730737</v>
      </c>
      <c r="G126" s="3"/>
      <c r="H126" s="3"/>
    </row>
    <row r="127" spans="5:8" x14ac:dyDescent="0.3">
      <c r="E127">
        <v>106</v>
      </c>
      <c r="F127" s="28">
        <v>139491702.91202992</v>
      </c>
      <c r="G127" s="3"/>
      <c r="H127" s="3"/>
    </row>
    <row r="128" spans="5:8" x14ac:dyDescent="0.3">
      <c r="E128">
        <v>107</v>
      </c>
      <c r="F128" s="28">
        <v>159477717.12785724</v>
      </c>
      <c r="G128" s="3"/>
      <c r="H128" s="3"/>
    </row>
    <row r="129" spans="5:8" x14ac:dyDescent="0.3">
      <c r="E129">
        <v>108</v>
      </c>
      <c r="F129" s="28">
        <v>142584816.02450365</v>
      </c>
      <c r="G129" s="3"/>
      <c r="H129" s="3"/>
    </row>
  </sheetData>
  <pageMargins left="0.7" right="0.7" top="0.75" bottom="0.75" header="0.3" footer="0.3"/>
  <pageSetup orientation="portrait" horizontalDpi="4294967293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334750-6D9D-48BF-98E9-D99C5052989C}">
  <dimension ref="A1:I129"/>
  <sheetViews>
    <sheetView workbookViewId="0">
      <selection activeCell="G8" sqref="G8"/>
    </sheetView>
  </sheetViews>
  <sheetFormatPr defaultRowHeight="14.4" x14ac:dyDescent="0.3"/>
  <cols>
    <col min="1" max="1" width="48.21875" customWidth="1"/>
    <col min="2" max="2" width="20.33203125" customWidth="1"/>
    <col min="3" max="3" width="18.21875" customWidth="1"/>
    <col min="4" max="4" width="17.44140625" customWidth="1"/>
    <col min="6" max="6" width="16.109375" bestFit="1" customWidth="1"/>
    <col min="7" max="8" width="16.109375" style="35" customWidth="1"/>
  </cols>
  <sheetData>
    <row r="1" spans="1:8" ht="18" customHeight="1" x14ac:dyDescent="0.3">
      <c r="B1" s="27" t="str">
        <f>Mappings!B6</f>
        <v>New-improved</v>
      </c>
      <c r="C1" s="38" t="str">
        <f>Mappings!B7</f>
        <v>Local-only</v>
      </c>
      <c r="D1" s="38" t="str">
        <f>Mappings!B8</f>
        <v>Extant-improved</v>
      </c>
      <c r="F1" s="1" t="str">
        <f>MC_High_ambition!F1</f>
        <v>All dairy households</v>
      </c>
      <c r="G1" s="1"/>
      <c r="H1" s="1"/>
    </row>
    <row r="3" spans="1:8" x14ac:dyDescent="0.3">
      <c r="A3" t="str">
        <f>MC_High_ambition!A3</f>
        <v>Income per cow (USD/yr)</v>
      </c>
      <c r="B3" s="28">
        <f>Mappings!N10</f>
        <v>880.62230423788765</v>
      </c>
      <c r="C3" s="28">
        <f>Mappings!N11</f>
        <v>181.77307777823148</v>
      </c>
      <c r="D3" s="28">
        <f>Mappings!N12</f>
        <v>985.97574143461293</v>
      </c>
    </row>
    <row r="4" spans="1:8" x14ac:dyDescent="0.3">
      <c r="A4" t="str">
        <f>MC_High_ambition!A4</f>
        <v>Random value income per cow (USD/yr)</v>
      </c>
      <c r="B4" s="28">
        <f ca="1">_xlfn.NORM.INV(RAND(),Mappings!N10,Mappings!O10)</f>
        <v>773.54774678281399</v>
      </c>
      <c r="C4" s="28">
        <f ca="1">_xlfn.NORM.INV(RAND(),Mappings!N11,Mappings!O11)</f>
        <v>162.9098171117941</v>
      </c>
      <c r="D4" s="28">
        <f ca="1">_xlfn.NORM.INV(RAND(),Mappings!N12,Mappings!O12)</f>
        <v>910.79731232598556</v>
      </c>
    </row>
    <row r="5" spans="1:8" x14ac:dyDescent="0.3">
      <c r="A5" t="str">
        <f>MC_High_ambition!A5</f>
        <v>Cows per household (head)</v>
      </c>
      <c r="B5" s="28">
        <f>Mappings!F10*Mappings!I10</f>
        <v>0.87244394983051599</v>
      </c>
      <c r="C5" s="28">
        <f>Mappings!F11*Mappings!I11</f>
        <v>3.2335598306251936</v>
      </c>
      <c r="D5" s="28">
        <f>Mappings!F12*Mappings!I12</f>
        <v>1.5675094412161252</v>
      </c>
    </row>
    <row r="6" spans="1:8" x14ac:dyDescent="0.3">
      <c r="A6" t="str">
        <f>MC_High_ambition!A6</f>
        <v>Random value cows per household (head)</v>
      </c>
      <c r="B6" s="28">
        <f ca="1">_xlfn.NORM.INV(RAND(),B5,B5*Mappings!E4)</f>
        <v>0.80726292541428035</v>
      </c>
      <c r="C6" s="28">
        <f ca="1">_xlfn.NORM.INV(RAND(),C5,C5*Mappings!E3)</f>
        <v>0.55025776061579412</v>
      </c>
      <c r="D6" s="28">
        <f ca="1">_xlfn.NORM.INV(RAND(),D5,D5*Mappings!E4)</f>
        <v>1.1157751113793295</v>
      </c>
    </row>
    <row r="7" spans="1:8" x14ac:dyDescent="0.3">
      <c r="A7" t="str">
        <f>MC_High_ambition!A7</f>
        <v>Non-dairy income (USD/yr)</v>
      </c>
      <c r="B7" s="28">
        <f>Mappings!V10</f>
        <v>3369.6375699085702</v>
      </c>
      <c r="C7" s="28">
        <f>Mappings!V11</f>
        <v>4143.1451421440688</v>
      </c>
      <c r="D7" s="28">
        <f>Mappings!V12</f>
        <v>5130.0572702713407</v>
      </c>
    </row>
    <row r="8" spans="1:8" x14ac:dyDescent="0.3">
      <c r="A8" t="str">
        <f>MC_High_ambition!A8</f>
        <v>Random value non dairy income (USD/yr)</v>
      </c>
      <c r="B8" s="28">
        <f ca="1">_xlfn.NORM.INV(RAND(), B7, B7 * 25/100)*0+B7</f>
        <v>3369.6375699085702</v>
      </c>
      <c r="C8" s="28">
        <f ca="1">_xlfn.NORM.INV(RAND(), C7, C7* 25/100)*0+C7</f>
        <v>4143.1451421440688</v>
      </c>
      <c r="D8" s="28">
        <f ca="1">_xlfn.NORM.INV(RAND(), D7, D7* 25/100)*0+D7</f>
        <v>5130.0572702713407</v>
      </c>
    </row>
    <row r="9" spans="1:8" s="83" customFormat="1" x14ac:dyDescent="0.3">
      <c r="A9" s="83" t="str">
        <f>MC_High_ambition!A9</f>
        <v>Reduction in non-dairy income through crop area change</v>
      </c>
      <c r="B9" s="28">
        <f>Mappings!Q10</f>
        <v>-75.93976525031151</v>
      </c>
      <c r="C9" s="28">
        <f>Mappings!Q11</f>
        <v>-849.44733748581064</v>
      </c>
      <c r="D9" s="28">
        <f>Mappings!Q12</f>
        <v>301.76985740576447</v>
      </c>
    </row>
    <row r="10" spans="1:8" s="83" customFormat="1" x14ac:dyDescent="0.3">
      <c r="A10" s="83" t="str">
        <f>MC_High_ambition!A10</f>
        <v>Random value reduction/increase in non-dairy income (USD/yr)</v>
      </c>
      <c r="B10" s="28">
        <f ca="1">IF(B9&gt;0,_xlfn.NORM.INV(RAND(),B9,B9*Dairy_Income_Roadmap!L36),_xlfn.NORM.INV(RAND(),ABS(B9),ABS(B9)*Dairy_Income_Roadmap!L36))</f>
        <v>119.6525582786231</v>
      </c>
      <c r="C10" s="28">
        <f ca="1">IF(C9&gt;0,_xlfn.NORM.INV(RAND(),C9,C9*Dairy_Income_Roadmap!L36),_xlfn.NORM.INV(RAND(),ABS(C9),ABS(C9)*Dairy_Income_Roadmap!L36))</f>
        <v>-2049.5827682578379</v>
      </c>
      <c r="D10" s="28">
        <f ca="1">IF(D9&gt;0,_xlfn.NORM.INV(RAND(),D9,D9*Dairy_Income_Roadmap!L38),_xlfn.NORM.INV(RAND(),ABS(D9),ABS(D9)*Dairy_Income_Roadmap!L38))</f>
        <v>1275.6341319179028</v>
      </c>
    </row>
    <row r="11" spans="1:8" x14ac:dyDescent="0.3">
      <c r="A11" t="str">
        <f>MC_High_ambition!A11</f>
        <v>Quantity households</v>
      </c>
      <c r="B11" s="28">
        <f>Mappings!D10</f>
        <v>1555.5284698747773</v>
      </c>
      <c r="C11" s="28">
        <f>Mappings!D11</f>
        <v>14818.455423543935</v>
      </c>
      <c r="D11" s="28">
        <f>Mappings!D12</f>
        <v>11688.199263308798</v>
      </c>
    </row>
    <row r="12" spans="1:8" x14ac:dyDescent="0.3">
      <c r="A12" t="str">
        <f>MC_High_ambition!A12</f>
        <v>SE quantity households</v>
      </c>
      <c r="B12" s="28">
        <f>Mappings!Z10*B11</f>
        <v>45.423967261783474</v>
      </c>
      <c r="C12" s="28">
        <f>Mappings!Z11*C11</f>
        <v>432.72305654646374</v>
      </c>
      <c r="D12" s="28">
        <f>Mappings!Z12*D11</f>
        <v>341.31447348468066</v>
      </c>
    </row>
    <row r="13" spans="1:8" x14ac:dyDescent="0.3">
      <c r="B13" s="28"/>
      <c r="C13" s="28"/>
      <c r="D13" s="28"/>
    </row>
    <row r="14" spans="1:8" x14ac:dyDescent="0.3">
      <c r="A14" t="str">
        <f>MC_High_ambition!A14</f>
        <v>Dairy Income (USD/household/year)</v>
      </c>
      <c r="B14" s="28">
        <f ca="1">B4*B6</f>
        <v>624.45641701551938</v>
      </c>
      <c r="C14" s="28">
        <f ca="1">C4*C6</f>
        <v>89.642391146264401</v>
      </c>
      <c r="D14" s="28">
        <f ca="1">D4*D6</f>
        <v>1016.2449726045205</v>
      </c>
    </row>
    <row r="15" spans="1:8" x14ac:dyDescent="0.3">
      <c r="A15" t="str">
        <f>MC_High_ambition!A15</f>
        <v>Non dairy income (USD/household/year)</v>
      </c>
      <c r="B15" s="28">
        <f ca="1">B8-IF(B9&gt;0,B10,(-1)*B10)</f>
        <v>3489.2901281871932</v>
      </c>
      <c r="C15" s="28">
        <f ca="1">C8-IF(C9&gt;0,C10,(-1)*C10)</f>
        <v>2093.5623738862309</v>
      </c>
      <c r="D15" s="28">
        <f ca="1">D8-IF(D9&gt;0,D10,(-1)*D10)</f>
        <v>3854.4231383534379</v>
      </c>
    </row>
    <row r="16" spans="1:8" x14ac:dyDescent="0.3">
      <c r="A16" t="str">
        <f>MC_High_ambition!A16</f>
        <v>Quantity households</v>
      </c>
      <c r="B16" s="28">
        <f ca="1">_xlfn.NORM.INV(RAND(),B11,B12)</f>
        <v>1500.9706991069725</v>
      </c>
      <c r="C16" s="28">
        <f ca="1">_xlfn.NORM.INV(RAND(),C11,C12)</f>
        <v>15307.946261713714</v>
      </c>
      <c r="D16" s="28">
        <f ca="1">_xlfn.NORM.INV(RAND(),D11,D12)</f>
        <v>11681.515521457542</v>
      </c>
    </row>
    <row r="17" spans="1:9" x14ac:dyDescent="0.3">
      <c r="A17" s="93"/>
      <c r="B17" s="28"/>
      <c r="C17" s="28"/>
      <c r="D17" s="28"/>
    </row>
    <row r="18" spans="1:9" x14ac:dyDescent="0.3">
      <c r="A18" s="93" t="str">
        <f>MC_High_ambition!A18</f>
        <v>Estimated population income (USD/yr)</v>
      </c>
      <c r="B18" s="36">
        <f ca="1">(B14+B15)*B16</f>
        <v>6174613.0279018087</v>
      </c>
      <c r="C18" s="36">
        <f ca="1">(C14+C15)*C16</f>
        <v>33420381.221434753</v>
      </c>
      <c r="D18" s="36">
        <f ca="1">(D14+D15)*D16</f>
        <v>56896785.138023682</v>
      </c>
      <c r="F18" s="28">
        <f ca="1">B18+C18+D18</f>
        <v>96491779.387360245</v>
      </c>
    </row>
    <row r="19" spans="1:9" x14ac:dyDescent="0.3">
      <c r="A19" s="93" t="str">
        <f>MC_High_ambition!A19</f>
        <v>SE population income (USD/yr)</v>
      </c>
      <c r="B19" s="28" t="s">
        <v>49</v>
      </c>
      <c r="C19" s="28" t="s">
        <v>49</v>
      </c>
      <c r="D19" s="28" t="s">
        <v>49</v>
      </c>
      <c r="F19" s="28">
        <f ca="1">STDEV(F22:F129)</f>
        <v>29786516.008065201</v>
      </c>
      <c r="H19" s="1" t="s">
        <v>52</v>
      </c>
    </row>
    <row r="20" spans="1:9" x14ac:dyDescent="0.3">
      <c r="A20" s="93" t="str">
        <f>MC_High_ambition!A20</f>
        <v>Mean population income (USD/yr)</v>
      </c>
      <c r="B20" s="28" t="s">
        <v>49</v>
      </c>
      <c r="C20" s="28" t="s">
        <v>49</v>
      </c>
      <c r="D20" s="28" t="s">
        <v>49</v>
      </c>
      <c r="E20" s="3"/>
      <c r="F20" s="28">
        <f ca="1">AVERAGE(F22:F129)</f>
        <v>163155191.99893454</v>
      </c>
      <c r="G20" s="3"/>
      <c r="H20" s="3"/>
      <c r="I20" s="40">
        <f ca="1">100*F19/F20</f>
        <v>18.256554169762317</v>
      </c>
    </row>
    <row r="21" spans="1:9" x14ac:dyDescent="0.3">
      <c r="F21" s="28"/>
      <c r="G21" s="3"/>
      <c r="H21" s="3"/>
    </row>
    <row r="22" spans="1:9" x14ac:dyDescent="0.3">
      <c r="B22" s="3"/>
      <c r="E22">
        <v>1</v>
      </c>
      <c r="F22" s="28">
        <f ca="1">F18</f>
        <v>96491779.387360245</v>
      </c>
      <c r="G22" s="3"/>
      <c r="H22" s="3"/>
    </row>
    <row r="23" spans="1:9" x14ac:dyDescent="0.3">
      <c r="E23">
        <v>2</v>
      </c>
      <c r="F23" s="28">
        <f t="dataTable" ref="F23:F129" dt2D="0" dtr="0" r1="F21" ca="1"/>
        <v>201673337.63605723</v>
      </c>
      <c r="G23" s="3"/>
      <c r="H23" s="3"/>
    </row>
    <row r="24" spans="1:9" x14ac:dyDescent="0.3">
      <c r="E24">
        <v>3</v>
      </c>
      <c r="F24" s="28">
        <v>137069536.30983281</v>
      </c>
      <c r="G24" s="3"/>
      <c r="H24" s="3"/>
    </row>
    <row r="25" spans="1:9" x14ac:dyDescent="0.3">
      <c r="E25">
        <v>4</v>
      </c>
      <c r="F25" s="28">
        <v>183985559.9593904</v>
      </c>
      <c r="G25" s="3"/>
      <c r="H25" s="3"/>
    </row>
    <row r="26" spans="1:9" x14ac:dyDescent="0.3">
      <c r="E26">
        <v>5</v>
      </c>
      <c r="F26" s="28">
        <v>175087321.88492754</v>
      </c>
      <c r="G26" s="3"/>
      <c r="H26" s="3"/>
    </row>
    <row r="27" spans="1:9" x14ac:dyDescent="0.3">
      <c r="E27">
        <v>6</v>
      </c>
      <c r="F27" s="28">
        <v>171319711.34698772</v>
      </c>
      <c r="G27" s="3"/>
      <c r="H27" s="3"/>
    </row>
    <row r="28" spans="1:9" x14ac:dyDescent="0.3">
      <c r="E28">
        <v>7</v>
      </c>
      <c r="F28" s="28">
        <v>148102034.49313042</v>
      </c>
      <c r="G28" s="3"/>
      <c r="H28" s="3"/>
    </row>
    <row r="29" spans="1:9" x14ac:dyDescent="0.3">
      <c r="E29">
        <v>8</v>
      </c>
      <c r="F29" s="28">
        <v>139016471.34189835</v>
      </c>
      <c r="G29" s="3"/>
      <c r="H29" s="3"/>
    </row>
    <row r="30" spans="1:9" x14ac:dyDescent="0.3">
      <c r="E30">
        <v>9</v>
      </c>
      <c r="F30" s="28">
        <v>159414715.20317182</v>
      </c>
      <c r="G30" s="3"/>
      <c r="H30" s="3"/>
    </row>
    <row r="31" spans="1:9" x14ac:dyDescent="0.3">
      <c r="E31">
        <v>10</v>
      </c>
      <c r="F31" s="28">
        <v>146106518.98689222</v>
      </c>
      <c r="G31" s="3"/>
      <c r="H31" s="3"/>
    </row>
    <row r="32" spans="1:9" x14ac:dyDescent="0.3">
      <c r="E32">
        <v>11</v>
      </c>
      <c r="F32" s="28">
        <v>176094508.5149768</v>
      </c>
      <c r="G32" s="3"/>
      <c r="H32" s="3"/>
    </row>
    <row r="33" spans="5:8" x14ac:dyDescent="0.3">
      <c r="E33">
        <v>12</v>
      </c>
      <c r="F33" s="28">
        <v>148017599.56382596</v>
      </c>
      <c r="G33" s="3"/>
      <c r="H33" s="3"/>
    </row>
    <row r="34" spans="5:8" x14ac:dyDescent="0.3">
      <c r="E34">
        <v>13</v>
      </c>
      <c r="F34" s="28">
        <v>117708574.67427579</v>
      </c>
      <c r="G34" s="3"/>
      <c r="H34" s="3"/>
    </row>
    <row r="35" spans="5:8" x14ac:dyDescent="0.3">
      <c r="E35">
        <v>14</v>
      </c>
      <c r="F35" s="28">
        <v>165948779.520962</v>
      </c>
      <c r="G35" s="3"/>
      <c r="H35" s="3"/>
    </row>
    <row r="36" spans="5:8" x14ac:dyDescent="0.3">
      <c r="E36">
        <v>15</v>
      </c>
      <c r="F36" s="28">
        <v>135592130.3645494</v>
      </c>
      <c r="G36" s="3"/>
      <c r="H36" s="3"/>
    </row>
    <row r="37" spans="5:8" x14ac:dyDescent="0.3">
      <c r="E37">
        <v>16</v>
      </c>
      <c r="F37" s="28">
        <v>141279002.10173136</v>
      </c>
      <c r="G37" s="3"/>
      <c r="H37" s="3"/>
    </row>
    <row r="38" spans="5:8" x14ac:dyDescent="0.3">
      <c r="E38">
        <v>17</v>
      </c>
      <c r="F38" s="28">
        <v>221705031.58004361</v>
      </c>
      <c r="G38" s="3"/>
      <c r="H38" s="3"/>
    </row>
    <row r="39" spans="5:8" x14ac:dyDescent="0.3">
      <c r="E39">
        <v>18</v>
      </c>
      <c r="F39" s="28">
        <v>134745793.92778432</v>
      </c>
      <c r="G39" s="3"/>
      <c r="H39" s="3"/>
    </row>
    <row r="40" spans="5:8" x14ac:dyDescent="0.3">
      <c r="E40">
        <v>19</v>
      </c>
      <c r="F40" s="28">
        <v>210049337.93282568</v>
      </c>
      <c r="G40" s="3"/>
      <c r="H40" s="3"/>
    </row>
    <row r="41" spans="5:8" x14ac:dyDescent="0.3">
      <c r="E41">
        <v>20</v>
      </c>
      <c r="F41" s="28">
        <v>156975399.80949834</v>
      </c>
      <c r="G41" s="3"/>
      <c r="H41" s="3"/>
    </row>
    <row r="42" spans="5:8" x14ac:dyDescent="0.3">
      <c r="E42">
        <v>21</v>
      </c>
      <c r="F42" s="28">
        <v>171253554.86207694</v>
      </c>
      <c r="G42" s="3"/>
      <c r="H42" s="3"/>
    </row>
    <row r="43" spans="5:8" x14ac:dyDescent="0.3">
      <c r="E43">
        <v>22</v>
      </c>
      <c r="F43" s="28">
        <v>116049971.2061028</v>
      </c>
      <c r="G43" s="3"/>
      <c r="H43" s="3"/>
    </row>
    <row r="44" spans="5:8" x14ac:dyDescent="0.3">
      <c r="E44">
        <v>23</v>
      </c>
      <c r="F44" s="28">
        <v>103324737.24025099</v>
      </c>
      <c r="G44" s="3"/>
      <c r="H44" s="3"/>
    </row>
    <row r="45" spans="5:8" x14ac:dyDescent="0.3">
      <c r="E45">
        <v>24</v>
      </c>
      <c r="F45" s="28">
        <v>133850774.7274902</v>
      </c>
      <c r="G45" s="3"/>
      <c r="H45" s="3"/>
    </row>
    <row r="46" spans="5:8" x14ac:dyDescent="0.3">
      <c r="E46">
        <v>25</v>
      </c>
      <c r="F46" s="28">
        <v>104575113.13216859</v>
      </c>
      <c r="G46" s="3"/>
      <c r="H46" s="3"/>
    </row>
    <row r="47" spans="5:8" x14ac:dyDescent="0.3">
      <c r="E47">
        <v>26</v>
      </c>
      <c r="F47" s="28">
        <v>139675275.0462842</v>
      </c>
      <c r="G47" s="3"/>
      <c r="H47" s="3"/>
    </row>
    <row r="48" spans="5:8" x14ac:dyDescent="0.3">
      <c r="E48">
        <v>27</v>
      </c>
      <c r="F48" s="28">
        <v>185885916.13606295</v>
      </c>
      <c r="G48" s="3"/>
      <c r="H48" s="3"/>
    </row>
    <row r="49" spans="5:8" x14ac:dyDescent="0.3">
      <c r="E49">
        <v>28</v>
      </c>
      <c r="F49" s="28">
        <v>218683023.41401577</v>
      </c>
      <c r="G49" s="3"/>
      <c r="H49" s="3"/>
    </row>
    <row r="50" spans="5:8" x14ac:dyDescent="0.3">
      <c r="E50">
        <v>29</v>
      </c>
      <c r="F50" s="28">
        <v>173386516.53690064</v>
      </c>
      <c r="G50" s="3"/>
      <c r="H50" s="3"/>
    </row>
    <row r="51" spans="5:8" x14ac:dyDescent="0.3">
      <c r="E51">
        <v>30</v>
      </c>
      <c r="F51" s="28">
        <v>169383778.76303935</v>
      </c>
      <c r="G51" s="3"/>
      <c r="H51" s="3"/>
    </row>
    <row r="52" spans="5:8" x14ac:dyDescent="0.3">
      <c r="E52">
        <v>31</v>
      </c>
      <c r="F52" s="28">
        <v>173382127.95839912</v>
      </c>
      <c r="G52" s="3"/>
      <c r="H52" s="3"/>
    </row>
    <row r="53" spans="5:8" x14ac:dyDescent="0.3">
      <c r="E53">
        <v>32</v>
      </c>
      <c r="F53" s="28">
        <v>166162393.3610884</v>
      </c>
      <c r="G53" s="3"/>
      <c r="H53" s="3"/>
    </row>
    <row r="54" spans="5:8" x14ac:dyDescent="0.3">
      <c r="E54">
        <v>33</v>
      </c>
      <c r="F54" s="28">
        <v>169571520.32359153</v>
      </c>
      <c r="G54" s="3"/>
      <c r="H54" s="3"/>
    </row>
    <row r="55" spans="5:8" x14ac:dyDescent="0.3">
      <c r="E55">
        <v>34</v>
      </c>
      <c r="F55" s="28">
        <v>186168861.73322198</v>
      </c>
      <c r="G55" s="3"/>
      <c r="H55" s="3"/>
    </row>
    <row r="56" spans="5:8" x14ac:dyDescent="0.3">
      <c r="E56">
        <v>35</v>
      </c>
      <c r="F56" s="28">
        <v>106828016.4943901</v>
      </c>
      <c r="G56" s="3"/>
      <c r="H56" s="3"/>
    </row>
    <row r="57" spans="5:8" x14ac:dyDescent="0.3">
      <c r="E57">
        <v>36</v>
      </c>
      <c r="F57" s="28">
        <v>193393407.42080915</v>
      </c>
      <c r="G57" s="3"/>
      <c r="H57" s="3"/>
    </row>
    <row r="58" spans="5:8" x14ac:dyDescent="0.3">
      <c r="E58">
        <v>37</v>
      </c>
      <c r="F58" s="28">
        <v>146887422.6595915</v>
      </c>
      <c r="G58" s="3"/>
      <c r="H58" s="3"/>
    </row>
    <row r="59" spans="5:8" x14ac:dyDescent="0.3">
      <c r="E59">
        <v>38</v>
      </c>
      <c r="F59" s="28">
        <v>188278545.84479952</v>
      </c>
      <c r="G59" s="3"/>
      <c r="H59" s="3"/>
    </row>
    <row r="60" spans="5:8" x14ac:dyDescent="0.3">
      <c r="E60">
        <v>39</v>
      </c>
      <c r="F60" s="28">
        <v>141679058.26487929</v>
      </c>
      <c r="G60" s="3"/>
      <c r="H60" s="3"/>
    </row>
    <row r="61" spans="5:8" x14ac:dyDescent="0.3">
      <c r="E61">
        <v>40</v>
      </c>
      <c r="F61" s="28">
        <v>160751957.17798871</v>
      </c>
      <c r="G61" s="3"/>
      <c r="H61" s="3"/>
    </row>
    <row r="62" spans="5:8" x14ac:dyDescent="0.3">
      <c r="E62">
        <v>41</v>
      </c>
      <c r="F62" s="28">
        <v>125936094.4459018</v>
      </c>
      <c r="G62" s="3"/>
      <c r="H62" s="3"/>
    </row>
    <row r="63" spans="5:8" x14ac:dyDescent="0.3">
      <c r="E63">
        <v>42</v>
      </c>
      <c r="F63" s="28">
        <v>159073303.23259893</v>
      </c>
      <c r="G63" s="3"/>
      <c r="H63" s="3"/>
    </row>
    <row r="64" spans="5:8" x14ac:dyDescent="0.3">
      <c r="E64">
        <v>43</v>
      </c>
      <c r="F64" s="28">
        <v>164030596.35228589</v>
      </c>
      <c r="G64" s="3"/>
      <c r="H64" s="3"/>
    </row>
    <row r="65" spans="5:8" x14ac:dyDescent="0.3">
      <c r="E65">
        <v>44</v>
      </c>
      <c r="F65" s="28">
        <v>153859344.13144577</v>
      </c>
      <c r="G65" s="3"/>
      <c r="H65" s="3"/>
    </row>
    <row r="66" spans="5:8" x14ac:dyDescent="0.3">
      <c r="E66">
        <v>45</v>
      </c>
      <c r="F66" s="28">
        <v>165542994.3584688</v>
      </c>
      <c r="G66" s="3"/>
      <c r="H66" s="3"/>
    </row>
    <row r="67" spans="5:8" x14ac:dyDescent="0.3">
      <c r="E67">
        <v>46</v>
      </c>
      <c r="F67" s="28">
        <v>145608274.1762298</v>
      </c>
      <c r="G67" s="3"/>
      <c r="H67" s="3"/>
    </row>
    <row r="68" spans="5:8" x14ac:dyDescent="0.3">
      <c r="E68">
        <v>47</v>
      </c>
      <c r="F68" s="28">
        <v>181577824.03980923</v>
      </c>
      <c r="G68" s="3"/>
      <c r="H68" s="3"/>
    </row>
    <row r="69" spans="5:8" x14ac:dyDescent="0.3">
      <c r="E69">
        <v>48</v>
      </c>
      <c r="F69" s="28">
        <v>193496882.10586789</v>
      </c>
      <c r="G69" s="3"/>
      <c r="H69" s="3"/>
    </row>
    <row r="70" spans="5:8" x14ac:dyDescent="0.3">
      <c r="E70">
        <v>49</v>
      </c>
      <c r="F70" s="28">
        <v>188670178.17096627</v>
      </c>
      <c r="G70" s="3"/>
      <c r="H70" s="3"/>
    </row>
    <row r="71" spans="5:8" x14ac:dyDescent="0.3">
      <c r="E71">
        <v>50</v>
      </c>
      <c r="F71" s="28">
        <v>190105879.66287315</v>
      </c>
      <c r="G71" s="3"/>
      <c r="H71" s="3"/>
    </row>
    <row r="72" spans="5:8" x14ac:dyDescent="0.3">
      <c r="E72">
        <v>51</v>
      </c>
      <c r="F72" s="28">
        <v>185378339.32382879</v>
      </c>
      <c r="G72" s="3"/>
      <c r="H72" s="3"/>
    </row>
    <row r="73" spans="5:8" x14ac:dyDescent="0.3">
      <c r="E73">
        <v>52</v>
      </c>
      <c r="F73" s="28">
        <v>158605090.81177598</v>
      </c>
      <c r="G73" s="3"/>
      <c r="H73" s="3"/>
    </row>
    <row r="74" spans="5:8" x14ac:dyDescent="0.3">
      <c r="E74">
        <v>53</v>
      </c>
      <c r="F74" s="28">
        <v>140989385.33461654</v>
      </c>
      <c r="G74" s="3"/>
      <c r="H74" s="3"/>
    </row>
    <row r="75" spans="5:8" x14ac:dyDescent="0.3">
      <c r="E75">
        <v>54</v>
      </c>
      <c r="F75" s="28">
        <v>138471413.83973137</v>
      </c>
      <c r="G75" s="3"/>
      <c r="H75" s="3"/>
    </row>
    <row r="76" spans="5:8" x14ac:dyDescent="0.3">
      <c r="E76">
        <v>55</v>
      </c>
      <c r="F76" s="28">
        <v>206193726.06327844</v>
      </c>
      <c r="G76" s="3"/>
      <c r="H76" s="3"/>
    </row>
    <row r="77" spans="5:8" x14ac:dyDescent="0.3">
      <c r="E77">
        <v>56</v>
      </c>
      <c r="F77" s="28">
        <v>174411404.61122215</v>
      </c>
      <c r="G77" s="3"/>
      <c r="H77" s="3"/>
    </row>
    <row r="78" spans="5:8" x14ac:dyDescent="0.3">
      <c r="E78">
        <v>57</v>
      </c>
      <c r="F78" s="28">
        <v>188731857.2374801</v>
      </c>
      <c r="G78" s="3"/>
      <c r="H78" s="3"/>
    </row>
    <row r="79" spans="5:8" x14ac:dyDescent="0.3">
      <c r="E79">
        <v>58</v>
      </c>
      <c r="F79" s="28">
        <v>177863782.93374455</v>
      </c>
      <c r="G79" s="3"/>
      <c r="H79" s="3"/>
    </row>
    <row r="80" spans="5:8" x14ac:dyDescent="0.3">
      <c r="E80">
        <v>59</v>
      </c>
      <c r="F80" s="28">
        <v>161484100.3580749</v>
      </c>
      <c r="G80" s="3"/>
      <c r="H80" s="3"/>
    </row>
    <row r="81" spans="5:8" x14ac:dyDescent="0.3">
      <c r="E81">
        <v>60</v>
      </c>
      <c r="F81" s="28">
        <v>288701071.2017082</v>
      </c>
      <c r="G81" s="3"/>
      <c r="H81" s="3"/>
    </row>
    <row r="82" spans="5:8" x14ac:dyDescent="0.3">
      <c r="E82">
        <v>61</v>
      </c>
      <c r="F82" s="28">
        <v>199503458.35909766</v>
      </c>
      <c r="G82" s="3"/>
      <c r="H82" s="3"/>
    </row>
    <row r="83" spans="5:8" x14ac:dyDescent="0.3">
      <c r="E83">
        <v>62</v>
      </c>
      <c r="F83" s="28">
        <v>178299956.57337832</v>
      </c>
      <c r="G83" s="3"/>
      <c r="H83" s="3"/>
    </row>
    <row r="84" spans="5:8" x14ac:dyDescent="0.3">
      <c r="E84">
        <v>63</v>
      </c>
      <c r="F84" s="28">
        <v>136336149.19895345</v>
      </c>
      <c r="G84" s="3"/>
      <c r="H84" s="3"/>
    </row>
    <row r="85" spans="5:8" x14ac:dyDescent="0.3">
      <c r="E85">
        <v>64</v>
      </c>
      <c r="F85" s="28">
        <v>175286252.93057382</v>
      </c>
      <c r="G85" s="3"/>
      <c r="H85" s="3"/>
    </row>
    <row r="86" spans="5:8" x14ac:dyDescent="0.3">
      <c r="E86">
        <v>65</v>
      </c>
      <c r="F86" s="28">
        <v>195204252.11084211</v>
      </c>
      <c r="G86" s="3"/>
      <c r="H86" s="3"/>
    </row>
    <row r="87" spans="5:8" x14ac:dyDescent="0.3">
      <c r="E87">
        <v>66</v>
      </c>
      <c r="F87" s="28">
        <v>157666302.19842941</v>
      </c>
      <c r="G87" s="3"/>
      <c r="H87" s="3"/>
    </row>
    <row r="88" spans="5:8" x14ac:dyDescent="0.3">
      <c r="E88">
        <v>67</v>
      </c>
      <c r="F88" s="28">
        <v>126117036.84433505</v>
      </c>
      <c r="G88" s="3"/>
      <c r="H88" s="3"/>
    </row>
    <row r="89" spans="5:8" x14ac:dyDescent="0.3">
      <c r="E89">
        <v>68</v>
      </c>
      <c r="F89" s="28">
        <v>155197638.59299451</v>
      </c>
      <c r="G89" s="3"/>
      <c r="H89" s="3"/>
    </row>
    <row r="90" spans="5:8" x14ac:dyDescent="0.3">
      <c r="E90">
        <v>69</v>
      </c>
      <c r="F90" s="28">
        <v>136637692.77540985</v>
      </c>
      <c r="G90" s="3"/>
      <c r="H90" s="3"/>
    </row>
    <row r="91" spans="5:8" x14ac:dyDescent="0.3">
      <c r="E91">
        <v>70</v>
      </c>
      <c r="F91" s="28">
        <v>204019972.37644067</v>
      </c>
      <c r="G91" s="3"/>
      <c r="H91" s="3"/>
    </row>
    <row r="92" spans="5:8" x14ac:dyDescent="0.3">
      <c r="E92">
        <v>71</v>
      </c>
      <c r="F92" s="28">
        <v>148265703.61768654</v>
      </c>
      <c r="G92" s="3"/>
      <c r="H92" s="3"/>
    </row>
    <row r="93" spans="5:8" x14ac:dyDescent="0.3">
      <c r="E93">
        <v>72</v>
      </c>
      <c r="F93" s="28">
        <v>195009433.5960052</v>
      </c>
      <c r="G93" s="3"/>
      <c r="H93" s="3"/>
    </row>
    <row r="94" spans="5:8" x14ac:dyDescent="0.3">
      <c r="E94">
        <v>73</v>
      </c>
      <c r="F94" s="28">
        <v>142723700.93693471</v>
      </c>
      <c r="G94" s="3"/>
      <c r="H94" s="3"/>
    </row>
    <row r="95" spans="5:8" x14ac:dyDescent="0.3">
      <c r="E95">
        <v>74</v>
      </c>
      <c r="F95" s="28">
        <v>151567330.39531729</v>
      </c>
      <c r="G95" s="3"/>
      <c r="H95" s="3"/>
    </row>
    <row r="96" spans="5:8" x14ac:dyDescent="0.3">
      <c r="E96">
        <v>75</v>
      </c>
      <c r="F96" s="28">
        <v>139984962.97373348</v>
      </c>
      <c r="G96" s="3"/>
      <c r="H96" s="3"/>
    </row>
    <row r="97" spans="5:8" x14ac:dyDescent="0.3">
      <c r="E97">
        <v>76</v>
      </c>
      <c r="F97" s="28">
        <v>200166928.41168261</v>
      </c>
      <c r="G97" s="3"/>
      <c r="H97" s="3"/>
    </row>
    <row r="98" spans="5:8" x14ac:dyDescent="0.3">
      <c r="E98">
        <v>77</v>
      </c>
      <c r="F98" s="28">
        <v>153936993.29913872</v>
      </c>
      <c r="G98" s="3"/>
      <c r="H98" s="3"/>
    </row>
    <row r="99" spans="5:8" x14ac:dyDescent="0.3">
      <c r="E99">
        <v>78</v>
      </c>
      <c r="F99" s="28">
        <v>203139197.16147915</v>
      </c>
      <c r="G99" s="3"/>
      <c r="H99" s="3"/>
    </row>
    <row r="100" spans="5:8" x14ac:dyDescent="0.3">
      <c r="E100">
        <v>79</v>
      </c>
      <c r="F100" s="28">
        <v>178215271.9446528</v>
      </c>
      <c r="G100" s="3"/>
      <c r="H100" s="3"/>
    </row>
    <row r="101" spans="5:8" x14ac:dyDescent="0.3">
      <c r="E101">
        <v>80</v>
      </c>
      <c r="F101" s="28">
        <v>134801478.61198974</v>
      </c>
      <c r="G101" s="3"/>
      <c r="H101" s="3"/>
    </row>
    <row r="102" spans="5:8" x14ac:dyDescent="0.3">
      <c r="E102">
        <v>81</v>
      </c>
      <c r="F102" s="28">
        <v>125841089.53832053</v>
      </c>
      <c r="G102" s="3"/>
      <c r="H102" s="3"/>
    </row>
    <row r="103" spans="5:8" x14ac:dyDescent="0.3">
      <c r="E103">
        <v>82</v>
      </c>
      <c r="F103" s="28">
        <v>156101942.72518957</v>
      </c>
      <c r="G103" s="3"/>
      <c r="H103" s="3"/>
    </row>
    <row r="104" spans="5:8" x14ac:dyDescent="0.3">
      <c r="E104">
        <v>83</v>
      </c>
      <c r="F104" s="28">
        <v>181829702.58159095</v>
      </c>
      <c r="G104" s="3"/>
      <c r="H104" s="3"/>
    </row>
    <row r="105" spans="5:8" x14ac:dyDescent="0.3">
      <c r="E105">
        <v>84</v>
      </c>
      <c r="F105" s="28">
        <v>122791140.11541188</v>
      </c>
      <c r="G105" s="3"/>
      <c r="H105" s="3"/>
    </row>
    <row r="106" spans="5:8" x14ac:dyDescent="0.3">
      <c r="E106">
        <v>85</v>
      </c>
      <c r="F106" s="28">
        <v>200070513.82278472</v>
      </c>
      <c r="G106" s="3"/>
      <c r="H106" s="3"/>
    </row>
    <row r="107" spans="5:8" x14ac:dyDescent="0.3">
      <c r="E107">
        <v>86</v>
      </c>
      <c r="F107" s="28">
        <v>145128890.2071996</v>
      </c>
      <c r="G107" s="3"/>
      <c r="H107" s="3"/>
    </row>
    <row r="108" spans="5:8" x14ac:dyDescent="0.3">
      <c r="E108">
        <v>87</v>
      </c>
      <c r="F108" s="28">
        <v>139537250.94909364</v>
      </c>
      <c r="G108" s="3"/>
      <c r="H108" s="3"/>
    </row>
    <row r="109" spans="5:8" x14ac:dyDescent="0.3">
      <c r="E109">
        <v>88</v>
      </c>
      <c r="F109" s="28">
        <v>166658347.18247291</v>
      </c>
      <c r="G109" s="3"/>
      <c r="H109" s="3"/>
    </row>
    <row r="110" spans="5:8" x14ac:dyDescent="0.3">
      <c r="E110">
        <v>89</v>
      </c>
      <c r="F110" s="28">
        <v>124623757.0216864</v>
      </c>
      <c r="G110" s="3"/>
      <c r="H110" s="3"/>
    </row>
    <row r="111" spans="5:8" x14ac:dyDescent="0.3">
      <c r="E111">
        <v>90</v>
      </c>
      <c r="F111" s="28">
        <v>182984481.4744916</v>
      </c>
      <c r="G111" s="3"/>
      <c r="H111" s="3"/>
    </row>
    <row r="112" spans="5:8" x14ac:dyDescent="0.3">
      <c r="E112">
        <v>91</v>
      </c>
      <c r="F112" s="28">
        <v>151183218.88153309</v>
      </c>
      <c r="G112" s="3"/>
      <c r="H112" s="3"/>
    </row>
    <row r="113" spans="5:8" x14ac:dyDescent="0.3">
      <c r="E113">
        <v>92</v>
      </c>
      <c r="F113" s="28">
        <v>170059917.27114117</v>
      </c>
      <c r="G113" s="3"/>
      <c r="H113" s="3"/>
    </row>
    <row r="114" spans="5:8" x14ac:dyDescent="0.3">
      <c r="E114">
        <v>93</v>
      </c>
      <c r="F114" s="28">
        <v>168551545.44947556</v>
      </c>
      <c r="G114" s="3"/>
      <c r="H114" s="3"/>
    </row>
    <row r="115" spans="5:8" x14ac:dyDescent="0.3">
      <c r="E115">
        <v>94</v>
      </c>
      <c r="F115" s="28">
        <v>157774722.17349148</v>
      </c>
      <c r="G115" s="3"/>
      <c r="H115" s="3"/>
    </row>
    <row r="116" spans="5:8" x14ac:dyDescent="0.3">
      <c r="E116">
        <v>95</v>
      </c>
      <c r="F116" s="28">
        <v>118994916.6498086</v>
      </c>
      <c r="G116" s="3"/>
      <c r="H116" s="3"/>
    </row>
    <row r="117" spans="5:8" x14ac:dyDescent="0.3">
      <c r="E117">
        <v>96</v>
      </c>
      <c r="F117" s="28">
        <v>170747585.39813495</v>
      </c>
      <c r="G117" s="3"/>
      <c r="H117" s="3"/>
    </row>
    <row r="118" spans="5:8" x14ac:dyDescent="0.3">
      <c r="E118">
        <v>97</v>
      </c>
      <c r="F118" s="28">
        <v>196138691.64031532</v>
      </c>
      <c r="G118" s="3"/>
      <c r="H118" s="3"/>
    </row>
    <row r="119" spans="5:8" x14ac:dyDescent="0.3">
      <c r="E119">
        <v>98</v>
      </c>
      <c r="F119" s="28">
        <v>185392966.2967903</v>
      </c>
      <c r="G119" s="3"/>
      <c r="H119" s="3"/>
    </row>
    <row r="120" spans="5:8" x14ac:dyDescent="0.3">
      <c r="E120">
        <v>99</v>
      </c>
      <c r="F120" s="28">
        <v>168555764.66460896</v>
      </c>
      <c r="G120" s="3"/>
      <c r="H120" s="3"/>
    </row>
    <row r="121" spans="5:8" x14ac:dyDescent="0.3">
      <c r="E121">
        <v>100</v>
      </c>
      <c r="F121" s="28">
        <v>167113924.03366563</v>
      </c>
      <c r="G121" s="3"/>
      <c r="H121" s="3"/>
    </row>
    <row r="122" spans="5:8" x14ac:dyDescent="0.3">
      <c r="E122">
        <v>101</v>
      </c>
      <c r="F122" s="28">
        <v>137400234.55318823</v>
      </c>
      <c r="G122" s="3"/>
      <c r="H122" s="3"/>
    </row>
    <row r="123" spans="5:8" x14ac:dyDescent="0.3">
      <c r="E123">
        <v>102</v>
      </c>
      <c r="F123" s="28">
        <v>197590816.03315318</v>
      </c>
      <c r="G123" s="3"/>
      <c r="H123" s="3"/>
    </row>
    <row r="124" spans="5:8" x14ac:dyDescent="0.3">
      <c r="E124">
        <v>103</v>
      </c>
      <c r="F124" s="28">
        <v>212739511.69503403</v>
      </c>
      <c r="G124" s="3"/>
      <c r="H124" s="3"/>
    </row>
    <row r="125" spans="5:8" x14ac:dyDescent="0.3">
      <c r="E125">
        <v>104</v>
      </c>
      <c r="F125" s="28">
        <v>151238600.59437343</v>
      </c>
      <c r="G125" s="3"/>
      <c r="H125" s="3"/>
    </row>
    <row r="126" spans="5:8" x14ac:dyDescent="0.3">
      <c r="E126">
        <v>105</v>
      </c>
      <c r="F126" s="28">
        <v>148721655.32596791</v>
      </c>
      <c r="G126" s="3"/>
      <c r="H126" s="3"/>
    </row>
    <row r="127" spans="5:8" x14ac:dyDescent="0.3">
      <c r="E127">
        <v>106</v>
      </c>
      <c r="F127" s="28">
        <v>130458335.23068537</v>
      </c>
      <c r="G127" s="3"/>
      <c r="H127" s="3"/>
    </row>
    <row r="128" spans="5:8" x14ac:dyDescent="0.3">
      <c r="E128">
        <v>107</v>
      </c>
      <c r="F128" s="28">
        <v>151313652.63776562</v>
      </c>
      <c r="G128" s="3"/>
      <c r="H128" s="3"/>
    </row>
    <row r="129" spans="5:8" x14ac:dyDescent="0.3">
      <c r="E129">
        <v>108</v>
      </c>
      <c r="F129" s="28">
        <v>174851189.59330156</v>
      </c>
      <c r="G129" s="3"/>
      <c r="H129" s="3"/>
    </row>
  </sheetData>
  <pageMargins left="0.7" right="0.7" top="0.75" bottom="0.75" header="0.3" footer="0.3"/>
  <pageSetup orientation="portrait" horizontalDpi="4294967293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79008B-B268-4F57-A9BB-DAB8EFECC60F}">
  <dimension ref="A1:I132"/>
  <sheetViews>
    <sheetView workbookViewId="0">
      <selection activeCell="B8" sqref="B8:D8"/>
    </sheetView>
  </sheetViews>
  <sheetFormatPr defaultRowHeight="14.4" x14ac:dyDescent="0.3"/>
  <cols>
    <col min="1" max="1" width="48.21875" customWidth="1"/>
    <col min="2" max="2" width="20.33203125" customWidth="1"/>
    <col min="3" max="3" width="18.21875" customWidth="1"/>
    <col min="4" max="4" width="20.33203125" customWidth="1"/>
    <col min="6" max="6" width="18.6640625" customWidth="1"/>
    <col min="7" max="8" width="18.6640625" style="35" customWidth="1"/>
  </cols>
  <sheetData>
    <row r="1" spans="1:8" ht="18" customHeight="1" x14ac:dyDescent="0.3">
      <c r="B1" s="27" t="str">
        <f>Mappings!B6</f>
        <v>New-improved</v>
      </c>
      <c r="C1" s="38" t="str">
        <f>Mappings!B7</f>
        <v>Local-only</v>
      </c>
      <c r="D1" s="38" t="str">
        <f>Mappings!B8</f>
        <v>Extant-improved</v>
      </c>
      <c r="F1" s="1" t="str">
        <f>MC_High_ambition!F1</f>
        <v>All dairy households</v>
      </c>
      <c r="G1" s="1"/>
      <c r="H1" s="1"/>
    </row>
    <row r="3" spans="1:8" x14ac:dyDescent="0.3">
      <c r="A3" t="str">
        <f>MC_High_ambition!A3</f>
        <v>Income per cow (USD/yr)</v>
      </c>
      <c r="B3" s="28">
        <f>Mappings!N14</f>
        <v>880.62230423788765</v>
      </c>
      <c r="C3" s="28">
        <f>Mappings!N15</f>
        <v>181.77307777823148</v>
      </c>
      <c r="D3" s="28">
        <f>Mappings!N15</f>
        <v>181.77307777823148</v>
      </c>
    </row>
    <row r="4" spans="1:8" x14ac:dyDescent="0.3">
      <c r="A4" t="str">
        <f>MC_High_ambition!A4</f>
        <v>Random value income per cow (USD/yr)</v>
      </c>
      <c r="B4" s="28">
        <f ca="1">_xlfn.NORM.INV(RAND(),Mappings!N14,Mappings!O14)</f>
        <v>957.20017881207036</v>
      </c>
      <c r="C4" s="28">
        <f ca="1">_xlfn.NORM.INV(RAND(),Mappings!N15,Mappings!O15)</f>
        <v>175.64439878798058</v>
      </c>
      <c r="D4" s="28">
        <f ca="1">_xlfn.NORM.INV(RAND(),Mappings!N16,Mappings!O16)</f>
        <v>750.99489758854236</v>
      </c>
    </row>
    <row r="5" spans="1:8" x14ac:dyDescent="0.3">
      <c r="A5" t="str">
        <f>MC_High_ambition!A5</f>
        <v>Cows per household (head)</v>
      </c>
      <c r="B5" s="28">
        <f>Mappings!F14*Mappings!I14</f>
        <v>1.0265463370050518</v>
      </c>
      <c r="C5" s="28">
        <f>Mappings!F15*Mappings!I15</f>
        <v>3.7916166388179668</v>
      </c>
      <c r="D5" s="28">
        <f>Mappings!F16*Mappings!I16</f>
        <v>1.089077105325843</v>
      </c>
    </row>
    <row r="6" spans="1:8" x14ac:dyDescent="0.3">
      <c r="A6" t="str">
        <f>MC_High_ambition!A6</f>
        <v>Random value cows per household (head)</v>
      </c>
      <c r="B6" s="28">
        <f ca="1">_xlfn.NORM.INV(RAND(),B5,B5*Mappings!E4)</f>
        <v>1.0548927304558691</v>
      </c>
      <c r="C6" s="28">
        <f ca="1">_xlfn.NORM.INV(RAND(),C5,C5*Mappings!E3)</f>
        <v>3.7390900817210988</v>
      </c>
      <c r="D6" s="28">
        <f ca="1">_xlfn.NORM.INV(RAND(),D5,D5*Mappings!E4)</f>
        <v>1.1400366040830223</v>
      </c>
    </row>
    <row r="7" spans="1:8" x14ac:dyDescent="0.3">
      <c r="A7" t="str">
        <f>MC_High_ambition!A7</f>
        <v>Non-dairy income (USD/yr)</v>
      </c>
      <c r="B7" s="28">
        <f>Mappings!V14</f>
        <v>3370.1180653343276</v>
      </c>
      <c r="C7" s="28">
        <f>Mappings!V15</f>
        <v>4277.1087221255111</v>
      </c>
      <c r="D7" s="28">
        <f>Mappings!V16</f>
        <v>5250.3846882236567</v>
      </c>
    </row>
    <row r="8" spans="1:8" x14ac:dyDescent="0.3">
      <c r="A8" t="str">
        <f>MC_High_ambition!A8</f>
        <v>Random value non dairy income (USD/yr)</v>
      </c>
      <c r="B8" s="28">
        <f ca="1">_xlfn.NORM.INV(RAND(), B7, B7 * 25/100)*0+B7</f>
        <v>3370.1180653343276</v>
      </c>
      <c r="C8" s="28">
        <f ca="1">_xlfn.NORM.INV(RAND(), C7, C7* 25/100)*0+C7</f>
        <v>4277.1087221255111</v>
      </c>
      <c r="D8" s="28">
        <f ca="1">_xlfn.NORM.INV(RAND(),D7,D7*25/100)*0+D7</f>
        <v>5250.3846882236567</v>
      </c>
    </row>
    <row r="9" spans="1:8" s="83" customFormat="1" x14ac:dyDescent="0.3">
      <c r="A9" s="83" t="str">
        <f>MC_Middle_road!A9</f>
        <v>Reduction in non-dairy income through crop area change</v>
      </c>
      <c r="B9" s="28">
        <f>Mappings!Q14</f>
        <v>-76.420260676068921</v>
      </c>
      <c r="C9" s="28">
        <f>Mappings!Q15</f>
        <v>-983.41091746725249</v>
      </c>
      <c r="D9" s="28">
        <f>Mappings!Q16</f>
        <v>182.27982082974029</v>
      </c>
    </row>
    <row r="10" spans="1:8" s="83" customFormat="1" x14ac:dyDescent="0.3">
      <c r="A10" s="83" t="str">
        <f>MC_Middle_road!A10</f>
        <v>Random value reduction/increase in non-dairy income (USD/yr)</v>
      </c>
      <c r="B10" s="28">
        <f ca="1">IF(B9&gt;0,_xlfn.NORM.INV(RAND(),B9,B9*Dairy_Income_Roadmap!L36),_xlfn.NORM.INV(RAND(),ABS(B9),ABS(B9)*Dairy_Income_Roadmap!L36))</f>
        <v>52.510818443175211</v>
      </c>
      <c r="C10" s="28">
        <f ca="1">IF(C9&gt;0,_xlfn.NORM.INV(RAND(),C9,C9*Dairy_Income_Roadmap!L36),_xlfn.NORM.INV(RAND(),ABS(C9),ABS(C9)*Dairy_Income_Roadmap!L36))</f>
        <v>1918.1599809970457</v>
      </c>
      <c r="D10" s="28">
        <f ca="1">IF(D9&gt;0,_xlfn.NORM.INV(RAND(),D9,D9*Dairy_Income_Roadmap!L38),_xlfn.NORM.INV(RAND(),ABS(D9),ABS(D9)*Dairy_Income_Roadmap!L38))</f>
        <v>624.76537648375825</v>
      </c>
    </row>
    <row r="11" spans="1:8" x14ac:dyDescent="0.3">
      <c r="A11" t="str">
        <f>MC_High_ambition!A11</f>
        <v>Quantity households</v>
      </c>
      <c r="B11" s="28">
        <f>Mappings!D14</f>
        <v>245.60975840128066</v>
      </c>
      <c r="C11" s="28">
        <f>Mappings!D15</f>
        <v>16128.374135017431</v>
      </c>
      <c r="D11" s="28">
        <f>Mappings!D16</f>
        <v>11688.199263308798</v>
      </c>
    </row>
    <row r="12" spans="1:8" x14ac:dyDescent="0.3">
      <c r="A12" t="str">
        <f>MC_High_ambition!A12</f>
        <v>SE quantity households</v>
      </c>
      <c r="B12" s="28">
        <f>Mappings!Z14*Mappings!D14</f>
        <v>7.1722053571237074</v>
      </c>
      <c r="C12" s="28">
        <f>Mappings!Z15*Mappings!D15</f>
        <v>470.9748184511235</v>
      </c>
      <c r="D12" s="28">
        <f>Mappings!Z16*Mappings!D16</f>
        <v>341.31447348468066</v>
      </c>
    </row>
    <row r="13" spans="1:8" x14ac:dyDescent="0.3">
      <c r="B13" s="28"/>
      <c r="C13" s="28"/>
      <c r="D13" s="28"/>
    </row>
    <row r="14" spans="1:8" x14ac:dyDescent="0.3">
      <c r="A14" t="str">
        <f>MC_High_ambition!A14</f>
        <v>Dairy Income (USD/household/year)</v>
      </c>
      <c r="B14" s="28">
        <f ca="1">B4*B6</f>
        <v>1009.7435102199111</v>
      </c>
      <c r="C14" s="28">
        <f ca="1">C4*C6</f>
        <v>656.75022941800353</v>
      </c>
      <c r="D14" s="28">
        <f ca="1">D4*D6</f>
        <v>856.16167273051894</v>
      </c>
    </row>
    <row r="15" spans="1:8" x14ac:dyDescent="0.3">
      <c r="A15" t="str">
        <f>MC_High_ambition!A15</f>
        <v>Non dairy income (USD/household/year)</v>
      </c>
      <c r="B15" s="16">
        <f ca="1">B8-IF(B9&gt;0,B10,(-1)*B10)</f>
        <v>3422.6288837775028</v>
      </c>
      <c r="C15" s="16">
        <f ca="1">C8-IF(C9&gt;0,C10,(-1)*C10)</f>
        <v>6195.2687031225569</v>
      </c>
      <c r="D15" s="16">
        <f ca="1">D8-IF(D9&gt;0,D10,(-1)*D10)</f>
        <v>4625.619311739898</v>
      </c>
    </row>
    <row r="16" spans="1:8" x14ac:dyDescent="0.3">
      <c r="A16" t="str">
        <f>MC_High_ambition!A16</f>
        <v>Quantity households</v>
      </c>
      <c r="B16" s="28">
        <f ca="1">_xlfn.NORM.INV(RAND(),B11,B12)</f>
        <v>243.71298402514168</v>
      </c>
      <c r="C16" s="28">
        <f ca="1">_xlfn.NORM.INV(RAND(),C11,C12)</f>
        <v>15362.950476340648</v>
      </c>
      <c r="D16" s="28">
        <f ca="1">_xlfn.NORM.INV(RAND(),D11,D12)</f>
        <v>11968.460255158345</v>
      </c>
    </row>
    <row r="17" spans="1:9" x14ac:dyDescent="0.3">
      <c r="A17" s="93"/>
      <c r="B17" s="28"/>
      <c r="C17" s="28"/>
      <c r="D17" s="28"/>
    </row>
    <row r="18" spans="1:9" x14ac:dyDescent="0.3">
      <c r="A18" s="93" t="str">
        <f>MC_High_ambition!A18</f>
        <v>Estimated population income (USD/yr)</v>
      </c>
      <c r="B18" s="36">
        <f ca="1">(B14+B15)*B16</f>
        <v>1080226.7024517707</v>
      </c>
      <c r="C18" s="36">
        <f ca="1">(C14+C15)*C16</f>
        <v>105267227.52356915</v>
      </c>
      <c r="D18" s="36">
        <f ca="1">(D14+D15)*D16</f>
        <v>65608477.84011697</v>
      </c>
      <c r="F18" s="28">
        <f ca="1">B18+C18+D18</f>
        <v>171955932.06613788</v>
      </c>
    </row>
    <row r="19" spans="1:9" x14ac:dyDescent="0.3">
      <c r="A19" s="93" t="str">
        <f>MC_High_ambition!A19</f>
        <v>SE population income (USD/yr)</v>
      </c>
      <c r="B19" t="s">
        <v>49</v>
      </c>
      <c r="C19" t="s">
        <v>49</v>
      </c>
      <c r="D19" t="s">
        <v>49</v>
      </c>
      <c r="F19" s="28">
        <f ca="1">STDEV(F22:F129)</f>
        <v>35545021.885762222</v>
      </c>
      <c r="H19" s="1" t="s">
        <v>52</v>
      </c>
    </row>
    <row r="20" spans="1:9" x14ac:dyDescent="0.3">
      <c r="A20" s="93" t="str">
        <f>MC_High_ambition!A20</f>
        <v>Mean population income (USD/yr)</v>
      </c>
      <c r="B20" s="3" t="s">
        <v>49</v>
      </c>
      <c r="C20" s="3" t="s">
        <v>49</v>
      </c>
      <c r="D20" s="3" t="s">
        <v>49</v>
      </c>
      <c r="E20" s="3"/>
      <c r="F20" s="28">
        <f ca="1">AVERAGE(F22:F129)</f>
        <v>169478170.65708163</v>
      </c>
      <c r="G20" s="3"/>
      <c r="H20" s="3"/>
      <c r="I20" s="40">
        <f ca="1">100*F19/F20</f>
        <v>20.973215457749561</v>
      </c>
    </row>
    <row r="21" spans="1:9" x14ac:dyDescent="0.3">
      <c r="F21" s="28"/>
      <c r="G21" s="3"/>
      <c r="H21" s="3"/>
    </row>
    <row r="22" spans="1:9" x14ac:dyDescent="0.3">
      <c r="B22" s="3"/>
      <c r="E22">
        <v>1</v>
      </c>
      <c r="F22" s="28">
        <f ca="1">F18</f>
        <v>171955932.06613788</v>
      </c>
      <c r="G22" s="3"/>
      <c r="H22" s="3"/>
    </row>
    <row r="23" spans="1:9" x14ac:dyDescent="0.3">
      <c r="E23">
        <v>2</v>
      </c>
      <c r="F23" s="28">
        <f t="dataTable" ref="F23:F129" dt2D="0" dtr="0" r1="F21" ca="1"/>
        <v>143070216.45480898</v>
      </c>
      <c r="G23" s="3"/>
      <c r="H23" s="3"/>
    </row>
    <row r="24" spans="1:9" x14ac:dyDescent="0.3">
      <c r="E24">
        <v>3</v>
      </c>
      <c r="F24" s="28">
        <v>113279840.16285929</v>
      </c>
      <c r="G24" s="3"/>
      <c r="H24" s="3"/>
    </row>
    <row r="25" spans="1:9" x14ac:dyDescent="0.3">
      <c r="E25">
        <v>4</v>
      </c>
      <c r="F25" s="28">
        <v>136187546.86956304</v>
      </c>
      <c r="G25" s="3"/>
      <c r="H25" s="3"/>
    </row>
    <row r="26" spans="1:9" x14ac:dyDescent="0.3">
      <c r="E26">
        <v>5</v>
      </c>
      <c r="F26" s="28">
        <v>203724694.54172045</v>
      </c>
      <c r="G26" s="3"/>
      <c r="H26" s="3"/>
    </row>
    <row r="27" spans="1:9" x14ac:dyDescent="0.3">
      <c r="E27">
        <v>6</v>
      </c>
      <c r="F27" s="28">
        <v>163578457.0673714</v>
      </c>
      <c r="G27" s="3"/>
      <c r="H27" s="3"/>
    </row>
    <row r="28" spans="1:9" x14ac:dyDescent="0.3">
      <c r="E28">
        <v>7</v>
      </c>
      <c r="F28" s="28">
        <v>219955612.06726325</v>
      </c>
      <c r="G28" s="3"/>
      <c r="H28" s="3"/>
    </row>
    <row r="29" spans="1:9" x14ac:dyDescent="0.3">
      <c r="E29">
        <v>8</v>
      </c>
      <c r="F29" s="28">
        <v>154939155.96030039</v>
      </c>
      <c r="G29" s="3"/>
      <c r="H29" s="3"/>
    </row>
    <row r="30" spans="1:9" x14ac:dyDescent="0.3">
      <c r="E30">
        <v>9</v>
      </c>
      <c r="F30" s="28">
        <v>147432288.51891091</v>
      </c>
      <c r="G30" s="3"/>
      <c r="H30" s="3"/>
    </row>
    <row r="31" spans="1:9" x14ac:dyDescent="0.3">
      <c r="E31">
        <v>10</v>
      </c>
      <c r="F31" s="28">
        <v>60271554.57354565</v>
      </c>
      <c r="G31" s="3"/>
      <c r="H31" s="3"/>
    </row>
    <row r="32" spans="1:9" x14ac:dyDescent="0.3">
      <c r="E32">
        <v>11</v>
      </c>
      <c r="F32" s="28">
        <v>186257712.89842516</v>
      </c>
      <c r="G32" s="3"/>
      <c r="H32" s="3"/>
    </row>
    <row r="33" spans="5:8" x14ac:dyDescent="0.3">
      <c r="E33">
        <v>12</v>
      </c>
      <c r="F33" s="28">
        <v>116729451.19335821</v>
      </c>
      <c r="G33" s="3"/>
      <c r="H33" s="3"/>
    </row>
    <row r="34" spans="5:8" x14ac:dyDescent="0.3">
      <c r="E34">
        <v>13</v>
      </c>
      <c r="F34" s="28">
        <v>147851456.48060644</v>
      </c>
      <c r="G34" s="3"/>
      <c r="H34" s="3"/>
    </row>
    <row r="35" spans="5:8" x14ac:dyDescent="0.3">
      <c r="E35">
        <v>14</v>
      </c>
      <c r="F35" s="28">
        <v>129579300.3236538</v>
      </c>
      <c r="G35" s="3"/>
      <c r="H35" s="3"/>
    </row>
    <row r="36" spans="5:8" x14ac:dyDescent="0.3">
      <c r="E36">
        <v>15</v>
      </c>
      <c r="F36" s="28">
        <v>208232765.46713877</v>
      </c>
      <c r="G36" s="3"/>
      <c r="H36" s="3"/>
    </row>
    <row r="37" spans="5:8" x14ac:dyDescent="0.3">
      <c r="E37">
        <v>16</v>
      </c>
      <c r="F37" s="28">
        <v>135941321.75431812</v>
      </c>
      <c r="G37" s="3"/>
      <c r="H37" s="3"/>
    </row>
    <row r="38" spans="5:8" x14ac:dyDescent="0.3">
      <c r="E38">
        <v>17</v>
      </c>
      <c r="F38" s="28">
        <v>144735109.8631736</v>
      </c>
      <c r="G38" s="3"/>
      <c r="H38" s="3"/>
    </row>
    <row r="39" spans="5:8" x14ac:dyDescent="0.3">
      <c r="E39">
        <v>18</v>
      </c>
      <c r="F39" s="28">
        <v>205341798.02801272</v>
      </c>
      <c r="G39" s="3"/>
      <c r="H39" s="3"/>
    </row>
    <row r="40" spans="5:8" x14ac:dyDescent="0.3">
      <c r="E40">
        <v>19</v>
      </c>
      <c r="F40" s="28">
        <v>228130157.79103994</v>
      </c>
      <c r="G40" s="3"/>
      <c r="H40" s="3"/>
    </row>
    <row r="41" spans="5:8" x14ac:dyDescent="0.3">
      <c r="E41">
        <v>20</v>
      </c>
      <c r="F41" s="28">
        <v>111237872.03473347</v>
      </c>
      <c r="G41" s="3"/>
      <c r="H41" s="3"/>
    </row>
    <row r="42" spans="5:8" x14ac:dyDescent="0.3">
      <c r="E42">
        <v>21</v>
      </c>
      <c r="F42" s="28">
        <v>173519612.44138166</v>
      </c>
      <c r="G42" s="3"/>
      <c r="H42" s="3"/>
    </row>
    <row r="43" spans="5:8" x14ac:dyDescent="0.3">
      <c r="E43">
        <v>22</v>
      </c>
      <c r="F43" s="28">
        <v>187870889.18186083</v>
      </c>
      <c r="G43" s="3"/>
      <c r="H43" s="3"/>
    </row>
    <row r="44" spans="5:8" x14ac:dyDescent="0.3">
      <c r="E44">
        <v>23</v>
      </c>
      <c r="F44" s="28">
        <v>210327227.96358517</v>
      </c>
      <c r="G44" s="3"/>
      <c r="H44" s="3"/>
    </row>
    <row r="45" spans="5:8" x14ac:dyDescent="0.3">
      <c r="E45">
        <v>24</v>
      </c>
      <c r="F45" s="28">
        <v>143414938.82149106</v>
      </c>
      <c r="G45" s="3"/>
      <c r="H45" s="3"/>
    </row>
    <row r="46" spans="5:8" x14ac:dyDescent="0.3">
      <c r="E46">
        <v>25</v>
      </c>
      <c r="F46" s="28">
        <v>179329357.70730162</v>
      </c>
      <c r="G46" s="3"/>
      <c r="H46" s="3"/>
    </row>
    <row r="47" spans="5:8" x14ac:dyDescent="0.3">
      <c r="E47">
        <v>26</v>
      </c>
      <c r="F47" s="28">
        <v>179163978.96526647</v>
      </c>
      <c r="G47" s="3"/>
      <c r="H47" s="3"/>
    </row>
    <row r="48" spans="5:8" x14ac:dyDescent="0.3">
      <c r="E48">
        <v>27</v>
      </c>
      <c r="F48" s="28">
        <v>198203013.64289308</v>
      </c>
      <c r="G48" s="3"/>
      <c r="H48" s="3"/>
    </row>
    <row r="49" spans="5:8" x14ac:dyDescent="0.3">
      <c r="E49">
        <v>28</v>
      </c>
      <c r="F49" s="28">
        <v>140909574.15080112</v>
      </c>
      <c r="G49" s="3"/>
      <c r="H49" s="3"/>
    </row>
    <row r="50" spans="5:8" x14ac:dyDescent="0.3">
      <c r="E50">
        <v>29</v>
      </c>
      <c r="F50" s="28">
        <v>157951653.5246034</v>
      </c>
      <c r="G50" s="3"/>
      <c r="H50" s="3"/>
    </row>
    <row r="51" spans="5:8" x14ac:dyDescent="0.3">
      <c r="E51">
        <v>30</v>
      </c>
      <c r="F51" s="28">
        <v>112211748.1906043</v>
      </c>
      <c r="G51" s="3"/>
      <c r="H51" s="3"/>
    </row>
    <row r="52" spans="5:8" x14ac:dyDescent="0.3">
      <c r="E52">
        <v>31</v>
      </c>
      <c r="F52" s="28">
        <v>194579357.12019897</v>
      </c>
      <c r="G52" s="3"/>
      <c r="H52" s="3"/>
    </row>
    <row r="53" spans="5:8" x14ac:dyDescent="0.3">
      <c r="E53">
        <v>32</v>
      </c>
      <c r="F53" s="28">
        <v>175892612.61032555</v>
      </c>
      <c r="G53" s="3"/>
      <c r="H53" s="3"/>
    </row>
    <row r="54" spans="5:8" x14ac:dyDescent="0.3">
      <c r="E54">
        <v>33</v>
      </c>
      <c r="F54" s="28">
        <v>191320773.74199092</v>
      </c>
      <c r="G54" s="3"/>
      <c r="H54" s="3"/>
    </row>
    <row r="55" spans="5:8" x14ac:dyDescent="0.3">
      <c r="E55">
        <v>34</v>
      </c>
      <c r="F55" s="28">
        <v>190172144.11576995</v>
      </c>
      <c r="G55" s="3"/>
      <c r="H55" s="3"/>
    </row>
    <row r="56" spans="5:8" x14ac:dyDescent="0.3">
      <c r="E56">
        <v>35</v>
      </c>
      <c r="F56" s="28">
        <v>140703403.77737898</v>
      </c>
      <c r="G56" s="3"/>
      <c r="H56" s="3"/>
    </row>
    <row r="57" spans="5:8" x14ac:dyDescent="0.3">
      <c r="E57">
        <v>36</v>
      </c>
      <c r="F57" s="28">
        <v>154549520.06147283</v>
      </c>
      <c r="G57" s="3"/>
      <c r="H57" s="3"/>
    </row>
    <row r="58" spans="5:8" x14ac:dyDescent="0.3">
      <c r="E58">
        <v>37</v>
      </c>
      <c r="F58" s="28">
        <v>195631545.04012966</v>
      </c>
      <c r="G58" s="3"/>
      <c r="H58" s="3"/>
    </row>
    <row r="59" spans="5:8" x14ac:dyDescent="0.3">
      <c r="E59">
        <v>38</v>
      </c>
      <c r="F59" s="28">
        <v>137632175.23192734</v>
      </c>
      <c r="G59" s="3"/>
      <c r="H59" s="3"/>
    </row>
    <row r="60" spans="5:8" x14ac:dyDescent="0.3">
      <c r="E60">
        <v>39</v>
      </c>
      <c r="F60" s="28">
        <v>176099841.30650592</v>
      </c>
      <c r="G60" s="3"/>
      <c r="H60" s="3"/>
    </row>
    <row r="61" spans="5:8" x14ac:dyDescent="0.3">
      <c r="E61">
        <v>40</v>
      </c>
      <c r="F61" s="28">
        <v>211782510.63107032</v>
      </c>
      <c r="G61" s="3"/>
      <c r="H61" s="3"/>
    </row>
    <row r="62" spans="5:8" x14ac:dyDescent="0.3">
      <c r="E62">
        <v>41</v>
      </c>
      <c r="F62" s="28">
        <v>157604996.85460967</v>
      </c>
      <c r="G62" s="3"/>
      <c r="H62" s="3"/>
    </row>
    <row r="63" spans="5:8" x14ac:dyDescent="0.3">
      <c r="E63">
        <v>42</v>
      </c>
      <c r="F63" s="28">
        <v>157368138.74529058</v>
      </c>
      <c r="G63" s="3"/>
      <c r="H63" s="3"/>
    </row>
    <row r="64" spans="5:8" x14ac:dyDescent="0.3">
      <c r="E64">
        <v>43</v>
      </c>
      <c r="F64" s="28">
        <v>163267749.13424677</v>
      </c>
      <c r="G64" s="3"/>
      <c r="H64" s="3"/>
    </row>
    <row r="65" spans="5:8" x14ac:dyDescent="0.3">
      <c r="E65">
        <v>44</v>
      </c>
      <c r="F65" s="28">
        <v>173127106.33481991</v>
      </c>
      <c r="G65" s="3"/>
      <c r="H65" s="3"/>
    </row>
    <row r="66" spans="5:8" x14ac:dyDescent="0.3">
      <c r="E66">
        <v>45</v>
      </c>
      <c r="F66" s="28">
        <v>115669950.01274018</v>
      </c>
      <c r="G66" s="3"/>
      <c r="H66" s="3"/>
    </row>
    <row r="67" spans="5:8" x14ac:dyDescent="0.3">
      <c r="E67">
        <v>46</v>
      </c>
      <c r="F67" s="28">
        <v>177323408.09526843</v>
      </c>
      <c r="G67" s="3"/>
      <c r="H67" s="3"/>
    </row>
    <row r="68" spans="5:8" x14ac:dyDescent="0.3">
      <c r="E68">
        <v>47</v>
      </c>
      <c r="F68" s="28">
        <v>145364033.51605624</v>
      </c>
      <c r="G68" s="3"/>
      <c r="H68" s="3"/>
    </row>
    <row r="69" spans="5:8" x14ac:dyDescent="0.3">
      <c r="E69">
        <v>48</v>
      </c>
      <c r="F69" s="28">
        <v>224489622.2493315</v>
      </c>
      <c r="G69" s="3"/>
      <c r="H69" s="3"/>
    </row>
    <row r="70" spans="5:8" x14ac:dyDescent="0.3">
      <c r="E70">
        <v>49</v>
      </c>
      <c r="F70" s="28">
        <v>187679141.08022588</v>
      </c>
      <c r="G70" s="3"/>
      <c r="H70" s="3"/>
    </row>
    <row r="71" spans="5:8" x14ac:dyDescent="0.3">
      <c r="E71">
        <v>50</v>
      </c>
      <c r="F71" s="28">
        <v>183202472.94218099</v>
      </c>
      <c r="G71" s="3"/>
      <c r="H71" s="3"/>
    </row>
    <row r="72" spans="5:8" x14ac:dyDescent="0.3">
      <c r="E72">
        <v>51</v>
      </c>
      <c r="F72" s="28">
        <v>224279915.26957193</v>
      </c>
      <c r="G72" s="3"/>
      <c r="H72" s="3"/>
    </row>
    <row r="73" spans="5:8" x14ac:dyDescent="0.3">
      <c r="E73">
        <v>52</v>
      </c>
      <c r="F73" s="28">
        <v>152397061.82974139</v>
      </c>
      <c r="G73" s="3"/>
      <c r="H73" s="3"/>
    </row>
    <row r="74" spans="5:8" x14ac:dyDescent="0.3">
      <c r="E74">
        <v>53</v>
      </c>
      <c r="F74" s="28">
        <v>168898903.58698764</v>
      </c>
      <c r="G74" s="3"/>
      <c r="H74" s="3"/>
    </row>
    <row r="75" spans="5:8" x14ac:dyDescent="0.3">
      <c r="E75">
        <v>54</v>
      </c>
      <c r="F75" s="28">
        <v>132282106.02349591</v>
      </c>
      <c r="G75" s="3"/>
      <c r="H75" s="3"/>
    </row>
    <row r="76" spans="5:8" x14ac:dyDescent="0.3">
      <c r="E76">
        <v>55</v>
      </c>
      <c r="F76" s="28">
        <v>165920757.4755438</v>
      </c>
      <c r="G76" s="3"/>
      <c r="H76" s="3"/>
    </row>
    <row r="77" spans="5:8" x14ac:dyDescent="0.3">
      <c r="E77">
        <v>56</v>
      </c>
      <c r="F77" s="28">
        <v>96792949.669698119</v>
      </c>
      <c r="G77" s="3"/>
      <c r="H77" s="3"/>
    </row>
    <row r="78" spans="5:8" x14ac:dyDescent="0.3">
      <c r="E78">
        <v>57</v>
      </c>
      <c r="F78" s="28">
        <v>189483823.59724694</v>
      </c>
      <c r="G78" s="3"/>
      <c r="H78" s="3"/>
    </row>
    <row r="79" spans="5:8" x14ac:dyDescent="0.3">
      <c r="E79">
        <v>58</v>
      </c>
      <c r="F79" s="28">
        <v>118687970.03880699</v>
      </c>
      <c r="G79" s="3"/>
      <c r="H79" s="3"/>
    </row>
    <row r="80" spans="5:8" x14ac:dyDescent="0.3">
      <c r="E80">
        <v>59</v>
      </c>
      <c r="F80" s="28">
        <v>148552701.16133887</v>
      </c>
      <c r="G80" s="3"/>
      <c r="H80" s="3"/>
    </row>
    <row r="81" spans="5:8" x14ac:dyDescent="0.3">
      <c r="E81">
        <v>60</v>
      </c>
      <c r="F81" s="28">
        <v>145085034.54908422</v>
      </c>
      <c r="G81" s="3"/>
      <c r="H81" s="3"/>
    </row>
    <row r="82" spans="5:8" x14ac:dyDescent="0.3">
      <c r="E82">
        <v>61</v>
      </c>
      <c r="F82" s="28">
        <v>139437492.85872751</v>
      </c>
      <c r="G82" s="3"/>
      <c r="H82" s="3"/>
    </row>
    <row r="83" spans="5:8" x14ac:dyDescent="0.3">
      <c r="E83">
        <v>62</v>
      </c>
      <c r="F83" s="28">
        <v>221876969.27182996</v>
      </c>
      <c r="G83" s="3"/>
      <c r="H83" s="3"/>
    </row>
    <row r="84" spans="5:8" x14ac:dyDescent="0.3">
      <c r="E84">
        <v>63</v>
      </c>
      <c r="F84" s="28">
        <v>204283082.40458131</v>
      </c>
      <c r="G84" s="3"/>
      <c r="H84" s="3"/>
    </row>
    <row r="85" spans="5:8" x14ac:dyDescent="0.3">
      <c r="E85">
        <v>64</v>
      </c>
      <c r="F85" s="28">
        <v>213022170.14823681</v>
      </c>
      <c r="G85" s="3"/>
      <c r="H85" s="3"/>
    </row>
    <row r="86" spans="5:8" x14ac:dyDescent="0.3">
      <c r="E86">
        <v>65</v>
      </c>
      <c r="F86" s="28">
        <v>168759562.22074366</v>
      </c>
      <c r="G86" s="3"/>
      <c r="H86" s="3"/>
    </row>
    <row r="87" spans="5:8" x14ac:dyDescent="0.3">
      <c r="E87">
        <v>66</v>
      </c>
      <c r="F87" s="28">
        <v>204515456.5544858</v>
      </c>
      <c r="G87" s="3"/>
      <c r="H87" s="3"/>
    </row>
    <row r="88" spans="5:8" x14ac:dyDescent="0.3">
      <c r="E88">
        <v>67</v>
      </c>
      <c r="F88" s="28">
        <v>172373199.46188283</v>
      </c>
      <c r="G88" s="3"/>
      <c r="H88" s="3"/>
    </row>
    <row r="89" spans="5:8" x14ac:dyDescent="0.3">
      <c r="E89">
        <v>68</v>
      </c>
      <c r="F89" s="28">
        <v>164443466.76638433</v>
      </c>
      <c r="G89" s="3"/>
      <c r="H89" s="3"/>
    </row>
    <row r="90" spans="5:8" x14ac:dyDescent="0.3">
      <c r="E90">
        <v>69</v>
      </c>
      <c r="F90" s="28">
        <v>145102676.69914705</v>
      </c>
      <c r="G90" s="3"/>
      <c r="H90" s="3"/>
    </row>
    <row r="91" spans="5:8" x14ac:dyDescent="0.3">
      <c r="E91">
        <v>70</v>
      </c>
      <c r="F91" s="28">
        <v>149435918.3672767</v>
      </c>
      <c r="G91" s="3"/>
      <c r="H91" s="3"/>
    </row>
    <row r="92" spans="5:8" x14ac:dyDescent="0.3">
      <c r="E92">
        <v>71</v>
      </c>
      <c r="F92" s="28">
        <v>169929571.65817821</v>
      </c>
      <c r="G92" s="3"/>
      <c r="H92" s="3"/>
    </row>
    <row r="93" spans="5:8" x14ac:dyDescent="0.3">
      <c r="E93">
        <v>72</v>
      </c>
      <c r="F93" s="28">
        <v>208821204.91077644</v>
      </c>
      <c r="G93" s="3"/>
      <c r="H93" s="3"/>
    </row>
    <row r="94" spans="5:8" x14ac:dyDescent="0.3">
      <c r="E94">
        <v>73</v>
      </c>
      <c r="F94" s="28">
        <v>276863153.9067415</v>
      </c>
      <c r="G94" s="3"/>
      <c r="H94" s="3"/>
    </row>
    <row r="95" spans="5:8" x14ac:dyDescent="0.3">
      <c r="E95">
        <v>74</v>
      </c>
      <c r="F95" s="28">
        <v>193702711.96801442</v>
      </c>
      <c r="G95" s="3"/>
      <c r="H95" s="3"/>
    </row>
    <row r="96" spans="5:8" x14ac:dyDescent="0.3">
      <c r="E96">
        <v>75</v>
      </c>
      <c r="F96" s="28">
        <v>188794977.78658983</v>
      </c>
      <c r="G96" s="3"/>
      <c r="H96" s="3"/>
    </row>
    <row r="97" spans="5:8" x14ac:dyDescent="0.3">
      <c r="E97">
        <v>76</v>
      </c>
      <c r="F97" s="28">
        <v>165144088.91193104</v>
      </c>
      <c r="G97" s="3"/>
      <c r="H97" s="3"/>
    </row>
    <row r="98" spans="5:8" x14ac:dyDescent="0.3">
      <c r="E98">
        <v>77</v>
      </c>
      <c r="F98" s="28">
        <v>188002772.58635437</v>
      </c>
      <c r="G98" s="3"/>
      <c r="H98" s="3"/>
    </row>
    <row r="99" spans="5:8" x14ac:dyDescent="0.3">
      <c r="E99">
        <v>78</v>
      </c>
      <c r="F99" s="28">
        <v>179175050.33647829</v>
      </c>
      <c r="G99" s="3"/>
      <c r="H99" s="3"/>
    </row>
    <row r="100" spans="5:8" x14ac:dyDescent="0.3">
      <c r="E100">
        <v>79</v>
      </c>
      <c r="F100" s="28">
        <v>212513331.8017962</v>
      </c>
      <c r="G100" s="3"/>
      <c r="H100" s="3"/>
    </row>
    <row r="101" spans="5:8" x14ac:dyDescent="0.3">
      <c r="E101">
        <v>80</v>
      </c>
      <c r="F101" s="28">
        <v>184193361.83446634</v>
      </c>
      <c r="G101" s="3"/>
      <c r="H101" s="3"/>
    </row>
    <row r="102" spans="5:8" x14ac:dyDescent="0.3">
      <c r="E102">
        <v>81</v>
      </c>
      <c r="F102" s="28">
        <v>125597074.65250932</v>
      </c>
      <c r="G102" s="3"/>
      <c r="H102" s="3"/>
    </row>
    <row r="103" spans="5:8" x14ac:dyDescent="0.3">
      <c r="E103">
        <v>82</v>
      </c>
      <c r="F103" s="28">
        <v>99334812.854860798</v>
      </c>
      <c r="G103" s="3"/>
      <c r="H103" s="3"/>
    </row>
    <row r="104" spans="5:8" x14ac:dyDescent="0.3">
      <c r="E104">
        <v>83</v>
      </c>
      <c r="F104" s="28">
        <v>136449701.96179175</v>
      </c>
      <c r="G104" s="3"/>
      <c r="H104" s="3"/>
    </row>
    <row r="105" spans="5:8" x14ac:dyDescent="0.3">
      <c r="E105">
        <v>84</v>
      </c>
      <c r="F105" s="28">
        <v>164446653.76697952</v>
      </c>
      <c r="G105" s="3"/>
      <c r="H105" s="3"/>
    </row>
    <row r="106" spans="5:8" x14ac:dyDescent="0.3">
      <c r="E106">
        <v>85</v>
      </c>
      <c r="F106" s="28">
        <v>151068965.17268991</v>
      </c>
      <c r="G106" s="3"/>
      <c r="H106" s="3"/>
    </row>
    <row r="107" spans="5:8" x14ac:dyDescent="0.3">
      <c r="E107">
        <v>86</v>
      </c>
      <c r="F107" s="28">
        <v>167194555.67715031</v>
      </c>
      <c r="G107" s="3"/>
      <c r="H107" s="3"/>
    </row>
    <row r="108" spans="5:8" x14ac:dyDescent="0.3">
      <c r="E108">
        <v>87</v>
      </c>
      <c r="F108" s="28">
        <v>208556501.43545175</v>
      </c>
      <c r="G108" s="3"/>
      <c r="H108" s="3"/>
    </row>
    <row r="109" spans="5:8" x14ac:dyDescent="0.3">
      <c r="E109">
        <v>88</v>
      </c>
      <c r="F109" s="28">
        <v>157892130.4558593</v>
      </c>
      <c r="G109" s="3"/>
      <c r="H109" s="3"/>
    </row>
    <row r="110" spans="5:8" x14ac:dyDescent="0.3">
      <c r="E110">
        <v>89</v>
      </c>
      <c r="F110" s="28">
        <v>135443530.58482736</v>
      </c>
      <c r="G110" s="3"/>
      <c r="H110" s="3"/>
    </row>
    <row r="111" spans="5:8" x14ac:dyDescent="0.3">
      <c r="E111">
        <v>90</v>
      </c>
      <c r="F111" s="28">
        <v>136673809.69785488</v>
      </c>
      <c r="G111" s="3"/>
      <c r="H111" s="3"/>
    </row>
    <row r="112" spans="5:8" x14ac:dyDescent="0.3">
      <c r="E112">
        <v>91</v>
      </c>
      <c r="F112" s="28">
        <v>183700473.79145676</v>
      </c>
      <c r="G112" s="3"/>
      <c r="H112" s="3"/>
    </row>
    <row r="113" spans="5:8" x14ac:dyDescent="0.3">
      <c r="E113">
        <v>92</v>
      </c>
      <c r="F113" s="28">
        <v>174705378.95652407</v>
      </c>
      <c r="G113" s="3"/>
      <c r="H113" s="3"/>
    </row>
    <row r="114" spans="5:8" x14ac:dyDescent="0.3">
      <c r="E114">
        <v>93</v>
      </c>
      <c r="F114" s="28">
        <v>113802132.46757132</v>
      </c>
      <c r="G114" s="3"/>
      <c r="H114" s="3"/>
    </row>
    <row r="115" spans="5:8" x14ac:dyDescent="0.3">
      <c r="E115">
        <v>94</v>
      </c>
      <c r="F115" s="28">
        <v>177976637.37032086</v>
      </c>
      <c r="G115" s="3"/>
      <c r="H115" s="3"/>
    </row>
    <row r="116" spans="5:8" x14ac:dyDescent="0.3">
      <c r="E116">
        <v>95</v>
      </c>
      <c r="F116" s="28">
        <v>235878170.39296523</v>
      </c>
      <c r="G116" s="3"/>
      <c r="H116" s="3"/>
    </row>
    <row r="117" spans="5:8" x14ac:dyDescent="0.3">
      <c r="E117">
        <v>96</v>
      </c>
      <c r="F117" s="28">
        <v>195792090.26765761</v>
      </c>
      <c r="G117" s="3"/>
      <c r="H117" s="3"/>
    </row>
    <row r="118" spans="5:8" x14ac:dyDescent="0.3">
      <c r="E118">
        <v>97</v>
      </c>
      <c r="F118" s="28">
        <v>226975642.13831159</v>
      </c>
      <c r="G118" s="3"/>
      <c r="H118" s="3"/>
    </row>
    <row r="119" spans="5:8" x14ac:dyDescent="0.3">
      <c r="E119">
        <v>98</v>
      </c>
      <c r="F119" s="28">
        <v>232516835.96972615</v>
      </c>
      <c r="G119" s="3"/>
      <c r="H119" s="3"/>
    </row>
    <row r="120" spans="5:8" x14ac:dyDescent="0.3">
      <c r="E120">
        <v>99</v>
      </c>
      <c r="F120" s="28">
        <v>169365722.50855386</v>
      </c>
      <c r="G120" s="3"/>
      <c r="H120" s="3"/>
    </row>
    <row r="121" spans="5:8" x14ac:dyDescent="0.3">
      <c r="E121">
        <v>100</v>
      </c>
      <c r="F121" s="28">
        <v>153604902.8669416</v>
      </c>
      <c r="G121" s="3"/>
      <c r="H121" s="3"/>
    </row>
    <row r="122" spans="5:8" x14ac:dyDescent="0.3">
      <c r="E122">
        <v>101</v>
      </c>
      <c r="F122" s="28">
        <v>187044101.60455403</v>
      </c>
      <c r="G122" s="3"/>
      <c r="H122" s="3"/>
    </row>
    <row r="123" spans="5:8" x14ac:dyDescent="0.3">
      <c r="E123">
        <v>102</v>
      </c>
      <c r="F123" s="28">
        <v>138129335.38526195</v>
      </c>
      <c r="G123" s="3"/>
      <c r="H123" s="3"/>
    </row>
    <row r="124" spans="5:8" x14ac:dyDescent="0.3">
      <c r="E124">
        <v>103</v>
      </c>
      <c r="F124" s="28">
        <v>190291355.62466833</v>
      </c>
      <c r="G124" s="3"/>
      <c r="H124" s="3"/>
    </row>
    <row r="125" spans="5:8" x14ac:dyDescent="0.3">
      <c r="E125">
        <v>104</v>
      </c>
      <c r="F125" s="28">
        <v>164651492.2106123</v>
      </c>
      <c r="G125" s="3"/>
      <c r="H125" s="3"/>
    </row>
    <row r="126" spans="5:8" x14ac:dyDescent="0.3">
      <c r="E126">
        <v>105</v>
      </c>
      <c r="F126" s="28">
        <v>126339480.72590441</v>
      </c>
      <c r="G126" s="3"/>
      <c r="H126" s="3"/>
    </row>
    <row r="127" spans="5:8" x14ac:dyDescent="0.3">
      <c r="E127">
        <v>106</v>
      </c>
      <c r="F127" s="28">
        <v>163357534.11581114</v>
      </c>
      <c r="G127" s="3"/>
      <c r="H127" s="3"/>
    </row>
    <row r="128" spans="5:8" x14ac:dyDescent="0.3">
      <c r="E128">
        <v>107</v>
      </c>
      <c r="F128" s="28">
        <v>226929518.62965852</v>
      </c>
      <c r="G128" s="3"/>
      <c r="H128" s="3"/>
    </row>
    <row r="129" spans="5:8" x14ac:dyDescent="0.3">
      <c r="E129">
        <v>108</v>
      </c>
      <c r="F129" s="28">
        <v>202357704.71393043</v>
      </c>
      <c r="G129" s="3"/>
      <c r="H129" s="3"/>
    </row>
    <row r="130" spans="5:8" x14ac:dyDescent="0.3">
      <c r="F130" s="3"/>
      <c r="G130" s="3"/>
      <c r="H130" s="3"/>
    </row>
    <row r="131" spans="5:8" x14ac:dyDescent="0.3">
      <c r="F131" s="3"/>
      <c r="G131" s="3"/>
      <c r="H131" s="3"/>
    </row>
    <row r="132" spans="5:8" x14ac:dyDescent="0.3">
      <c r="F132" s="3"/>
      <c r="G132" s="3"/>
      <c r="H132" s="3"/>
    </row>
  </sheetData>
  <pageMargins left="0.7" right="0.7" top="0.75" bottom="0.75" header="0.3" footer="0.3"/>
  <pageSetup orientation="portrait" horizontalDpi="4294967293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F3B755-8EAF-4A6C-95FD-10B6760A73E8}">
  <dimension ref="A1:I129"/>
  <sheetViews>
    <sheetView workbookViewId="0">
      <selection activeCell="D8" sqref="B8:D8"/>
    </sheetView>
  </sheetViews>
  <sheetFormatPr defaultRowHeight="14.4" x14ac:dyDescent="0.3"/>
  <cols>
    <col min="1" max="1" width="48.21875" customWidth="1"/>
    <col min="2" max="2" width="20.33203125" customWidth="1"/>
    <col min="3" max="3" width="18.21875" customWidth="1"/>
    <col min="4" max="4" width="20.33203125" customWidth="1"/>
    <col min="6" max="6" width="18.6640625" customWidth="1"/>
    <col min="7" max="8" width="18.6640625" style="35" customWidth="1"/>
  </cols>
  <sheetData>
    <row r="1" spans="1:9" ht="18" customHeight="1" x14ac:dyDescent="0.3">
      <c r="B1" s="27" t="str">
        <f>Mappings!B6</f>
        <v>New-improved</v>
      </c>
      <c r="C1" s="38" t="str">
        <f>Mappings!B7</f>
        <v>Local-only</v>
      </c>
      <c r="D1" s="38" t="str">
        <f>Mappings!B8</f>
        <v>Extant-improved</v>
      </c>
      <c r="F1" s="1" t="str">
        <f>MC_High_ambition!F1</f>
        <v>All dairy households</v>
      </c>
      <c r="G1" s="1"/>
      <c r="H1" s="1"/>
    </row>
    <row r="3" spans="1:9" x14ac:dyDescent="0.3">
      <c r="A3" t="str">
        <f>MC_High_ambition!A3</f>
        <v>Income per cow (USD/yr)</v>
      </c>
      <c r="B3" s="28">
        <f>Mappings!N18</f>
        <v>880.62230423788765</v>
      </c>
      <c r="C3" s="28">
        <f>Mappings!N19</f>
        <v>181.77307777823148</v>
      </c>
      <c r="D3" s="28">
        <f>Mappings!N20</f>
        <v>985.97574143461293</v>
      </c>
      <c r="E3" s="28"/>
      <c r="F3" s="28"/>
      <c r="G3" s="28"/>
      <c r="H3" s="28"/>
      <c r="I3" s="28"/>
    </row>
    <row r="4" spans="1:9" x14ac:dyDescent="0.3">
      <c r="A4" t="str">
        <f>MC_High_ambition!A4</f>
        <v>Random value income per cow (USD/yr)</v>
      </c>
      <c r="B4" s="28">
        <f ca="1">_xlfn.NORM.INV(RAND(),Mappings!N18,Mappings!O18)</f>
        <v>566.9482348263125</v>
      </c>
      <c r="C4" s="28">
        <f ca="1">_xlfn.NORM.INV(RAND(),Mappings!N19,Mappings!O19)</f>
        <v>210.03007844895703</v>
      </c>
      <c r="D4" s="28">
        <f ca="1">_xlfn.NORM.INV(RAND(),Mappings!N20,Mappings!O20)</f>
        <v>1378.1291150575801</v>
      </c>
      <c r="E4" s="28"/>
      <c r="F4" s="28"/>
      <c r="G4" s="28"/>
      <c r="H4" s="28"/>
      <c r="I4" s="28"/>
    </row>
    <row r="5" spans="1:9" x14ac:dyDescent="0.3">
      <c r="A5" t="str">
        <f>MC_High_ambition!A5</f>
        <v>Cows per household (head)</v>
      </c>
      <c r="B5" s="28">
        <f>Mappings!F18*Mappings!I18</f>
        <v>1.2434645353304679</v>
      </c>
      <c r="C5" s="28">
        <f>Mappings!F19*Mappings!I19</f>
        <v>3.3928691985208741</v>
      </c>
      <c r="D5" s="28">
        <f>Mappings!F20*Mappings!I20</f>
        <v>2.2362652916509873</v>
      </c>
      <c r="E5" s="28"/>
      <c r="F5" s="28"/>
      <c r="G5" s="28"/>
      <c r="H5" s="28"/>
      <c r="I5" s="28"/>
    </row>
    <row r="6" spans="1:9" x14ac:dyDescent="0.3">
      <c r="A6" t="str">
        <f>MC_High_ambition!A6</f>
        <v>Random value cows per household (head)</v>
      </c>
      <c r="B6" s="28">
        <f ca="1">_xlfn.NORM.INV(RAND(),B5,B5*Mappings!E4)</f>
        <v>1.0699374407909188</v>
      </c>
      <c r="C6" s="28">
        <f ca="1">_xlfn.NORM.INV(RAND(),C5,C5*Mappings!E3)</f>
        <v>1.090629361478737</v>
      </c>
      <c r="D6" s="28">
        <f ca="1">_xlfn.NORM.INV(RAND(),D5,D5*Mappings!E4)</f>
        <v>1.9779555483018747</v>
      </c>
      <c r="E6" s="28"/>
      <c r="F6" s="28"/>
      <c r="G6" s="28"/>
      <c r="H6" s="28"/>
      <c r="I6" s="28"/>
    </row>
    <row r="7" spans="1:9" x14ac:dyDescent="0.3">
      <c r="A7" t="str">
        <f>MC_High_ambition!A7</f>
        <v>Non-dairy income (USD/yr)</v>
      </c>
      <c r="B7" s="28">
        <f>Mappings!V18</f>
        <v>3370.7944221641592</v>
      </c>
      <c r="C7" s="28">
        <f>Mappings!V19</f>
        <v>4181.3879391757891</v>
      </c>
      <c r="D7" s="28">
        <f>Mappings!V20</f>
        <v>4961.8628179177167</v>
      </c>
      <c r="E7" s="28"/>
      <c r="F7" s="28"/>
      <c r="G7" s="28"/>
      <c r="H7" s="28"/>
      <c r="I7" s="28"/>
    </row>
    <row r="8" spans="1:9" x14ac:dyDescent="0.3">
      <c r="A8" t="str">
        <f>MC_High_ambition!A8</f>
        <v>Random value non dairy income (USD/yr)</v>
      </c>
      <c r="B8" s="28">
        <f ca="1">_xlfn.NORM.INV(RAND(), B7, B7 * 25/100)*0+B7</f>
        <v>3370.7944221641592</v>
      </c>
      <c r="C8" s="28">
        <f ca="1">_xlfn.NORM.INV(RAND(), C7, C7* 25/100)*0+C7</f>
        <v>4181.3879391757891</v>
      </c>
      <c r="D8" s="28">
        <f ca="1">_xlfn.NORM.INV(RAND(), D7, D7* 25/100)*0+D7</f>
        <v>4961.8628179177167</v>
      </c>
      <c r="E8" s="28"/>
      <c r="F8" s="28"/>
      <c r="G8" s="28"/>
      <c r="H8" s="28"/>
      <c r="I8" s="28"/>
    </row>
    <row r="9" spans="1:9" s="83" customFormat="1" x14ac:dyDescent="0.3">
      <c r="A9" s="83" t="str">
        <f>MC_Status_quo!A9</f>
        <v>Reduction in non-dairy income through crop area change</v>
      </c>
      <c r="B9" s="16">
        <f>Mappings!Q18</f>
        <v>-77.096617505900852</v>
      </c>
      <c r="C9" s="16">
        <f>Mappings!Q19</f>
        <v>-887.69013451753096</v>
      </c>
      <c r="D9" s="16">
        <f>Mappings!Q20</f>
        <v>468.79381259097039</v>
      </c>
      <c r="E9" s="28"/>
      <c r="F9" s="28"/>
      <c r="G9" s="28"/>
      <c r="H9" s="28"/>
      <c r="I9" s="28"/>
    </row>
    <row r="10" spans="1:9" s="83" customFormat="1" x14ac:dyDescent="0.3">
      <c r="A10" s="83" t="str">
        <f>MC_Status_quo!A10</f>
        <v>Random value reduction/increase in non-dairy income (USD/yr)</v>
      </c>
      <c r="B10" s="16">
        <f ca="1">IF(B9&gt;0,_xlfn.NORM.INV(RAND(),B9,B9*Dairy_Income_Roadmap!L36),_xlfn.NORM.INV(RAND(),ABS(B9),ABS(B9)*Dairy_Income_Roadmap!L36))</f>
        <v>46.756782791538711</v>
      </c>
      <c r="C10" s="16">
        <f ca="1">IF(C9&gt;0,_xlfn.NORM.INV(RAND(),C9,C9*Dairy_Income_Roadmap!L36),_xlfn.NORM.INV(RAND(),ABS(C9),ABS(C9)*Dairy_Income_Roadmap!L36))</f>
        <v>-1130.5307934198713</v>
      </c>
      <c r="D10" s="16">
        <f ca="1">IF(D9&gt;0,_xlfn.NORM.INV(RAND(),D9,D9*Dairy_Income_Roadmap!L38),_xlfn.NORM.INV(RAND(),ABS(D9),ABS(D9)*Dairy_Income_Roadmap!L38))</f>
        <v>839.9020276832714</v>
      </c>
      <c r="E10" s="28"/>
      <c r="F10" s="28"/>
      <c r="G10" s="28"/>
      <c r="H10" s="28"/>
      <c r="I10" s="28"/>
    </row>
    <row r="11" spans="1:9" x14ac:dyDescent="0.3">
      <c r="A11" t="str">
        <f>MC_High_ambition!A11</f>
        <v>Quantity households</v>
      </c>
      <c r="B11" s="28">
        <f>Mappings!D18</f>
        <v>2865.4471813482746</v>
      </c>
      <c r="C11" s="28">
        <f>Mappings!D19</f>
        <v>13508.536712070436</v>
      </c>
      <c r="D11" s="28">
        <f>Mappings!D20</f>
        <v>11688.199263308798</v>
      </c>
      <c r="E11" s="28"/>
      <c r="F11" s="28"/>
      <c r="G11" s="28"/>
      <c r="H11" s="28"/>
      <c r="I11" s="28"/>
    </row>
    <row r="12" spans="1:9" x14ac:dyDescent="0.3">
      <c r="A12" t="str">
        <f>MC_High_ambition!A12</f>
        <v>SE quantity households</v>
      </c>
      <c r="B12" s="28">
        <f>Mappings!Z18*Mappings!D18</f>
        <v>83.675729166443261</v>
      </c>
      <c r="C12" s="28">
        <f>Mappings!Z19*Mappings!D19</f>
        <v>394.47129464180392</v>
      </c>
      <c r="D12" s="28">
        <f>Mappings!Z20*Mappings!D20</f>
        <v>341.31447348468066</v>
      </c>
      <c r="E12" s="28"/>
      <c r="F12" s="28"/>
      <c r="G12" s="28"/>
      <c r="H12" s="28"/>
      <c r="I12" s="28"/>
    </row>
    <row r="13" spans="1:9" x14ac:dyDescent="0.3">
      <c r="B13" s="28"/>
      <c r="C13" s="28"/>
      <c r="D13" s="28"/>
      <c r="E13" s="28"/>
      <c r="F13" s="28"/>
      <c r="G13" s="28"/>
      <c r="H13" s="28"/>
      <c r="I13" s="28"/>
    </row>
    <row r="14" spans="1:9" x14ac:dyDescent="0.3">
      <c r="A14" t="str">
        <f>MC_High_ambition!A14</f>
        <v>Dairy Income (USD/household/year)</v>
      </c>
      <c r="B14" s="28">
        <f ca="1">B4*B6</f>
        <v>606.59914343099365</v>
      </c>
      <c r="C14" s="28">
        <f ca="1">C4*C6</f>
        <v>229.06497035011503</v>
      </c>
      <c r="D14" s="28">
        <f ca="1">D4*D6</f>
        <v>2725.8781294044929</v>
      </c>
      <c r="E14" s="28"/>
      <c r="F14" s="28"/>
      <c r="G14" s="28"/>
      <c r="H14" s="28"/>
      <c r="I14" s="28"/>
    </row>
    <row r="15" spans="1:9" x14ac:dyDescent="0.3">
      <c r="A15" t="str">
        <f>MC_High_ambition!A15</f>
        <v>Non dairy income (USD/household/year)</v>
      </c>
      <c r="B15" s="28">
        <f ca="1">B8-IF(B9&gt;0,B10,(-1)*B10)</f>
        <v>3417.5512049556978</v>
      </c>
      <c r="C15" s="28">
        <f ca="1">C8-IF(C9&gt;0,C10,(-1)*C10)</f>
        <v>3050.8571457559178</v>
      </c>
      <c r="D15" s="28">
        <f ca="1">D8-IF(D9&gt;0,D10,(-1)*D10)</f>
        <v>4121.9607902344451</v>
      </c>
      <c r="E15" s="28"/>
      <c r="F15" s="28"/>
      <c r="G15" s="28"/>
      <c r="H15" s="28"/>
      <c r="I15" s="28"/>
    </row>
    <row r="16" spans="1:9" x14ac:dyDescent="0.3">
      <c r="A16" t="str">
        <f>MC_High_ambition!A16</f>
        <v>Quantity households</v>
      </c>
      <c r="B16" s="28">
        <f ca="1">_xlfn.NORM.INV(RAND(),B11,B12)</f>
        <v>2924.4928354225872</v>
      </c>
      <c r="C16" s="28">
        <f ca="1">_xlfn.NORM.INV(RAND(),C11,C12)</f>
        <v>13559.08538521532</v>
      </c>
      <c r="D16" s="28">
        <f ca="1">_xlfn.NORM.INV(RAND(),D11,D12)</f>
        <v>11819.152793164216</v>
      </c>
      <c r="E16" s="28"/>
      <c r="F16" s="28"/>
      <c r="G16" s="28"/>
      <c r="H16" s="28"/>
      <c r="I16" s="28"/>
    </row>
    <row r="17" spans="1:9" x14ac:dyDescent="0.3">
      <c r="A17" s="93"/>
      <c r="B17" s="28"/>
      <c r="C17" s="28"/>
      <c r="D17" s="28"/>
      <c r="E17" s="28"/>
      <c r="F17" s="28"/>
      <c r="G17" s="28"/>
      <c r="H17" s="28"/>
      <c r="I17" s="28"/>
    </row>
    <row r="18" spans="1:9" x14ac:dyDescent="0.3">
      <c r="A18" s="93" t="str">
        <f>MC_High_ambition!A18</f>
        <v>Estimated population income (USD/yr)</v>
      </c>
      <c r="B18" s="36">
        <f ca="1">(B14+B15)*B16</f>
        <v>11768598.862520186</v>
      </c>
      <c r="C18" s="36">
        <f ca="1">(C14+C15)*C16</f>
        <v>44472744.029137813</v>
      </c>
      <c r="D18" s="36">
        <f ca="1">(D14+D15)*D16</f>
        <v>80935654.494189188</v>
      </c>
      <c r="E18" s="28"/>
      <c r="F18" s="28">
        <f ca="1">B18+C18+D18</f>
        <v>137176997.38584718</v>
      </c>
      <c r="G18" s="28"/>
      <c r="H18" s="28"/>
      <c r="I18" s="28"/>
    </row>
    <row r="19" spans="1:9" x14ac:dyDescent="0.3">
      <c r="A19" s="93" t="str">
        <f>MC_High_ambition!A19</f>
        <v>SE population income (USD/yr)</v>
      </c>
      <c r="B19" s="28" t="s">
        <v>49</v>
      </c>
      <c r="C19" s="28" t="s">
        <v>49</v>
      </c>
      <c r="D19" s="28" t="s">
        <v>49</v>
      </c>
      <c r="E19" s="28"/>
      <c r="F19" s="28">
        <f ca="1">STDEV(F22:F129)</f>
        <v>30215391.218213394</v>
      </c>
      <c r="G19" s="28"/>
      <c r="H19" s="1" t="s">
        <v>52</v>
      </c>
      <c r="I19" s="28"/>
    </row>
    <row r="20" spans="1:9" x14ac:dyDescent="0.3">
      <c r="A20" s="93" t="str">
        <f>MC_High_ambition!A20</f>
        <v>Mean population income (USD/yr)</v>
      </c>
      <c r="B20" s="28" t="s">
        <v>49</v>
      </c>
      <c r="C20" s="28" t="s">
        <v>49</v>
      </c>
      <c r="D20" s="28" t="s">
        <v>49</v>
      </c>
      <c r="E20" s="28"/>
      <c r="F20" s="28">
        <f ca="1">AVERAGE(F22:F129)</f>
        <v>166369216.30834034</v>
      </c>
      <c r="G20" s="28"/>
      <c r="H20" s="28"/>
      <c r="I20" s="39">
        <f ca="1">100*F19/F20</f>
        <v>18.161647862915764</v>
      </c>
    </row>
    <row r="21" spans="1:9" x14ac:dyDescent="0.3">
      <c r="F21" s="3"/>
      <c r="G21" s="3"/>
      <c r="H21" s="3"/>
    </row>
    <row r="22" spans="1:9" x14ac:dyDescent="0.3">
      <c r="B22" s="3"/>
      <c r="E22">
        <v>1</v>
      </c>
      <c r="F22" s="30">
        <f ca="1">F18</f>
        <v>137176997.38584718</v>
      </c>
      <c r="G22" s="3"/>
      <c r="H22" s="3"/>
    </row>
    <row r="23" spans="1:9" x14ac:dyDescent="0.3">
      <c r="E23">
        <v>2</v>
      </c>
      <c r="F23" s="30">
        <f t="dataTable" ref="F23:F129" dt2D="0" dtr="0" r1="F21" ca="1"/>
        <v>214778143.21458393</v>
      </c>
      <c r="G23" s="3"/>
      <c r="H23" s="3"/>
    </row>
    <row r="24" spans="1:9" x14ac:dyDescent="0.3">
      <c r="E24">
        <v>3</v>
      </c>
      <c r="F24" s="30">
        <v>122091340.99502955</v>
      </c>
      <c r="G24" s="3"/>
      <c r="H24" s="3"/>
    </row>
    <row r="25" spans="1:9" x14ac:dyDescent="0.3">
      <c r="E25">
        <v>4</v>
      </c>
      <c r="F25" s="30">
        <v>167536503.61695281</v>
      </c>
      <c r="G25" s="3"/>
      <c r="H25" s="3"/>
    </row>
    <row r="26" spans="1:9" x14ac:dyDescent="0.3">
      <c r="E26">
        <v>5</v>
      </c>
      <c r="F26" s="30">
        <v>192081736.54437315</v>
      </c>
      <c r="G26" s="3"/>
      <c r="H26" s="3"/>
    </row>
    <row r="27" spans="1:9" x14ac:dyDescent="0.3">
      <c r="E27">
        <v>6</v>
      </c>
      <c r="F27" s="30">
        <v>209806658.11049873</v>
      </c>
      <c r="G27" s="3"/>
      <c r="H27" s="3"/>
    </row>
    <row r="28" spans="1:9" x14ac:dyDescent="0.3">
      <c r="E28">
        <v>7</v>
      </c>
      <c r="F28" s="30">
        <v>171689139.81777796</v>
      </c>
      <c r="G28" s="3"/>
      <c r="H28" s="3"/>
    </row>
    <row r="29" spans="1:9" x14ac:dyDescent="0.3">
      <c r="E29">
        <v>8</v>
      </c>
      <c r="F29" s="30">
        <v>149728436.3249017</v>
      </c>
      <c r="G29" s="3"/>
      <c r="H29" s="3"/>
    </row>
    <row r="30" spans="1:9" x14ac:dyDescent="0.3">
      <c r="E30">
        <v>9</v>
      </c>
      <c r="F30" s="30">
        <v>152315451.20991024</v>
      </c>
      <c r="G30" s="3"/>
      <c r="H30" s="3"/>
    </row>
    <row r="31" spans="1:9" x14ac:dyDescent="0.3">
      <c r="E31">
        <v>10</v>
      </c>
      <c r="F31" s="30">
        <v>177449090.00934085</v>
      </c>
      <c r="G31" s="3"/>
      <c r="H31" s="3"/>
    </row>
    <row r="32" spans="1:9" x14ac:dyDescent="0.3">
      <c r="E32">
        <v>11</v>
      </c>
      <c r="F32" s="30">
        <v>149684070.14262328</v>
      </c>
      <c r="G32" s="3"/>
      <c r="H32" s="3"/>
    </row>
    <row r="33" spans="5:8" x14ac:dyDescent="0.3">
      <c r="E33">
        <v>12</v>
      </c>
      <c r="F33" s="30">
        <v>175292324.09494406</v>
      </c>
      <c r="G33" s="3"/>
      <c r="H33" s="3"/>
    </row>
    <row r="34" spans="5:8" x14ac:dyDescent="0.3">
      <c r="E34">
        <v>13</v>
      </c>
      <c r="F34" s="30">
        <v>183938658.12098843</v>
      </c>
      <c r="G34" s="3"/>
      <c r="H34" s="3"/>
    </row>
    <row r="35" spans="5:8" x14ac:dyDescent="0.3">
      <c r="E35">
        <v>14</v>
      </c>
      <c r="F35" s="30">
        <v>141289006.33658955</v>
      </c>
      <c r="G35" s="3"/>
      <c r="H35" s="3"/>
    </row>
    <row r="36" spans="5:8" x14ac:dyDescent="0.3">
      <c r="E36">
        <v>15</v>
      </c>
      <c r="F36" s="30">
        <v>148602605.53445226</v>
      </c>
      <c r="G36" s="3"/>
      <c r="H36" s="3"/>
    </row>
    <row r="37" spans="5:8" x14ac:dyDescent="0.3">
      <c r="E37">
        <v>16</v>
      </c>
      <c r="F37" s="30">
        <v>157082512.7472077</v>
      </c>
      <c r="G37" s="3"/>
      <c r="H37" s="3"/>
    </row>
    <row r="38" spans="5:8" x14ac:dyDescent="0.3">
      <c r="E38">
        <v>17</v>
      </c>
      <c r="F38" s="30">
        <v>168225157.28173423</v>
      </c>
      <c r="G38" s="3"/>
      <c r="H38" s="3"/>
    </row>
    <row r="39" spans="5:8" x14ac:dyDescent="0.3">
      <c r="E39">
        <v>18</v>
      </c>
      <c r="F39" s="30">
        <v>194265567.66462407</v>
      </c>
      <c r="G39" s="3"/>
      <c r="H39" s="3"/>
    </row>
    <row r="40" spans="5:8" x14ac:dyDescent="0.3">
      <c r="E40">
        <v>19</v>
      </c>
      <c r="F40" s="30">
        <v>164803966.06476885</v>
      </c>
      <c r="G40" s="3"/>
      <c r="H40" s="3"/>
    </row>
    <row r="41" spans="5:8" x14ac:dyDescent="0.3">
      <c r="E41">
        <v>20</v>
      </c>
      <c r="F41" s="30">
        <v>152452804.25522906</v>
      </c>
      <c r="G41" s="3"/>
      <c r="H41" s="3"/>
    </row>
    <row r="42" spans="5:8" x14ac:dyDescent="0.3">
      <c r="E42">
        <v>21</v>
      </c>
      <c r="F42" s="30">
        <v>188641331.56332785</v>
      </c>
      <c r="G42" s="3"/>
      <c r="H42" s="3"/>
    </row>
    <row r="43" spans="5:8" x14ac:dyDescent="0.3">
      <c r="E43">
        <v>22</v>
      </c>
      <c r="F43" s="30">
        <v>171903894.51804399</v>
      </c>
      <c r="G43" s="3"/>
      <c r="H43" s="3"/>
    </row>
    <row r="44" spans="5:8" x14ac:dyDescent="0.3">
      <c r="E44">
        <v>23</v>
      </c>
      <c r="F44" s="30">
        <v>141928783.5477213</v>
      </c>
      <c r="G44" s="3"/>
      <c r="H44" s="3"/>
    </row>
    <row r="45" spans="5:8" x14ac:dyDescent="0.3">
      <c r="E45">
        <v>24</v>
      </c>
      <c r="F45" s="30">
        <v>177812634.27323312</v>
      </c>
      <c r="G45" s="3"/>
      <c r="H45" s="3"/>
    </row>
    <row r="46" spans="5:8" x14ac:dyDescent="0.3">
      <c r="E46">
        <v>25</v>
      </c>
      <c r="F46" s="30">
        <v>177956952.78171229</v>
      </c>
      <c r="G46" s="3"/>
      <c r="H46" s="3"/>
    </row>
    <row r="47" spans="5:8" x14ac:dyDescent="0.3">
      <c r="E47">
        <v>26</v>
      </c>
      <c r="F47" s="30">
        <v>185315265.01177114</v>
      </c>
      <c r="G47" s="3"/>
      <c r="H47" s="3"/>
    </row>
    <row r="48" spans="5:8" x14ac:dyDescent="0.3">
      <c r="E48">
        <v>27</v>
      </c>
      <c r="F48" s="30">
        <v>121371537.48478758</v>
      </c>
      <c r="G48" s="3"/>
      <c r="H48" s="3"/>
    </row>
    <row r="49" spans="5:8" x14ac:dyDescent="0.3">
      <c r="E49">
        <v>28</v>
      </c>
      <c r="F49" s="30">
        <v>163503746.43250573</v>
      </c>
      <c r="G49" s="3"/>
      <c r="H49" s="3"/>
    </row>
    <row r="50" spans="5:8" x14ac:dyDescent="0.3">
      <c r="E50">
        <v>29</v>
      </c>
      <c r="F50" s="30">
        <v>260173377.3868449</v>
      </c>
      <c r="G50" s="3"/>
      <c r="H50" s="3"/>
    </row>
    <row r="51" spans="5:8" x14ac:dyDescent="0.3">
      <c r="E51">
        <v>30</v>
      </c>
      <c r="F51" s="30">
        <v>162497591.29253924</v>
      </c>
      <c r="G51" s="3"/>
      <c r="H51" s="3"/>
    </row>
    <row r="52" spans="5:8" x14ac:dyDescent="0.3">
      <c r="E52">
        <v>31</v>
      </c>
      <c r="F52" s="30">
        <v>144506214.09205407</v>
      </c>
      <c r="G52" s="3"/>
      <c r="H52" s="3"/>
    </row>
    <row r="53" spans="5:8" x14ac:dyDescent="0.3">
      <c r="E53">
        <v>32</v>
      </c>
      <c r="F53" s="30">
        <v>94483053.943227559</v>
      </c>
      <c r="G53" s="3"/>
      <c r="H53" s="3"/>
    </row>
    <row r="54" spans="5:8" x14ac:dyDescent="0.3">
      <c r="E54">
        <v>33</v>
      </c>
      <c r="F54" s="30">
        <v>183122126.69990849</v>
      </c>
      <c r="G54" s="3"/>
      <c r="H54" s="3"/>
    </row>
    <row r="55" spans="5:8" x14ac:dyDescent="0.3">
      <c r="E55">
        <v>34</v>
      </c>
      <c r="F55" s="30">
        <v>208359590.62691867</v>
      </c>
      <c r="G55" s="3"/>
      <c r="H55" s="3"/>
    </row>
    <row r="56" spans="5:8" x14ac:dyDescent="0.3">
      <c r="E56">
        <v>35</v>
      </c>
      <c r="F56" s="30">
        <v>193276702.10007402</v>
      </c>
      <c r="G56" s="3"/>
      <c r="H56" s="3"/>
    </row>
    <row r="57" spans="5:8" x14ac:dyDescent="0.3">
      <c r="E57">
        <v>36</v>
      </c>
      <c r="F57" s="30">
        <v>166040649.2629323</v>
      </c>
      <c r="G57" s="3"/>
      <c r="H57" s="3"/>
    </row>
    <row r="58" spans="5:8" x14ac:dyDescent="0.3">
      <c r="E58">
        <v>37</v>
      </c>
      <c r="F58" s="30">
        <v>159166049.16072896</v>
      </c>
      <c r="G58" s="3"/>
      <c r="H58" s="3"/>
    </row>
    <row r="59" spans="5:8" x14ac:dyDescent="0.3">
      <c r="E59">
        <v>38</v>
      </c>
      <c r="F59" s="30">
        <v>206756617.52485302</v>
      </c>
      <c r="G59" s="3"/>
      <c r="H59" s="3"/>
    </row>
    <row r="60" spans="5:8" x14ac:dyDescent="0.3">
      <c r="E60">
        <v>39</v>
      </c>
      <c r="F60" s="30">
        <v>182068786.34035224</v>
      </c>
      <c r="G60" s="3"/>
      <c r="H60" s="3"/>
    </row>
    <row r="61" spans="5:8" x14ac:dyDescent="0.3">
      <c r="E61">
        <v>40</v>
      </c>
      <c r="F61" s="30">
        <v>139979316.88249892</v>
      </c>
      <c r="G61" s="3"/>
      <c r="H61" s="3"/>
    </row>
    <row r="62" spans="5:8" x14ac:dyDescent="0.3">
      <c r="E62">
        <v>41</v>
      </c>
      <c r="F62" s="30">
        <v>147906884.37605375</v>
      </c>
      <c r="G62" s="3"/>
      <c r="H62" s="3"/>
    </row>
    <row r="63" spans="5:8" x14ac:dyDescent="0.3">
      <c r="E63">
        <v>42</v>
      </c>
      <c r="F63" s="30">
        <v>146551226.02644193</v>
      </c>
      <c r="G63" s="3"/>
      <c r="H63" s="3"/>
    </row>
    <row r="64" spans="5:8" x14ac:dyDescent="0.3">
      <c r="E64">
        <v>43</v>
      </c>
      <c r="F64" s="30">
        <v>137451627.47031039</v>
      </c>
      <c r="G64" s="3"/>
      <c r="H64" s="3"/>
    </row>
    <row r="65" spans="5:8" x14ac:dyDescent="0.3">
      <c r="E65">
        <v>44</v>
      </c>
      <c r="F65" s="30">
        <v>184257852.2423619</v>
      </c>
      <c r="G65" s="3"/>
      <c r="H65" s="3"/>
    </row>
    <row r="66" spans="5:8" x14ac:dyDescent="0.3">
      <c r="E66">
        <v>45</v>
      </c>
      <c r="F66" s="30">
        <v>190428787.54396766</v>
      </c>
      <c r="G66" s="3"/>
      <c r="H66" s="3"/>
    </row>
    <row r="67" spans="5:8" x14ac:dyDescent="0.3">
      <c r="E67">
        <v>46</v>
      </c>
      <c r="F67" s="30">
        <v>185705178.86816704</v>
      </c>
      <c r="G67" s="3"/>
      <c r="H67" s="3"/>
    </row>
    <row r="68" spans="5:8" x14ac:dyDescent="0.3">
      <c r="E68">
        <v>47</v>
      </c>
      <c r="F68" s="30">
        <v>115486044.13014083</v>
      </c>
      <c r="G68" s="3"/>
      <c r="H68" s="3"/>
    </row>
    <row r="69" spans="5:8" x14ac:dyDescent="0.3">
      <c r="E69">
        <v>48</v>
      </c>
      <c r="F69" s="30">
        <v>127497468.82136562</v>
      </c>
      <c r="G69" s="3"/>
      <c r="H69" s="3"/>
    </row>
    <row r="70" spans="5:8" x14ac:dyDescent="0.3">
      <c r="E70">
        <v>49</v>
      </c>
      <c r="F70" s="30">
        <v>170015728.38542119</v>
      </c>
      <c r="G70" s="3"/>
      <c r="H70" s="3"/>
    </row>
    <row r="71" spans="5:8" x14ac:dyDescent="0.3">
      <c r="E71">
        <v>50</v>
      </c>
      <c r="F71" s="30">
        <v>169553021.80344942</v>
      </c>
      <c r="G71" s="3"/>
      <c r="H71" s="3"/>
    </row>
    <row r="72" spans="5:8" x14ac:dyDescent="0.3">
      <c r="E72">
        <v>51</v>
      </c>
      <c r="F72" s="30">
        <v>101169254.70609252</v>
      </c>
      <c r="G72" s="3"/>
      <c r="H72" s="3"/>
    </row>
    <row r="73" spans="5:8" x14ac:dyDescent="0.3">
      <c r="E73">
        <v>52</v>
      </c>
      <c r="F73" s="30">
        <v>170937905.63864759</v>
      </c>
      <c r="G73" s="3"/>
      <c r="H73" s="3"/>
    </row>
    <row r="74" spans="5:8" x14ac:dyDescent="0.3">
      <c r="E74">
        <v>53</v>
      </c>
      <c r="F74" s="30">
        <v>134752590.81286246</v>
      </c>
      <c r="G74" s="3"/>
      <c r="H74" s="3"/>
    </row>
    <row r="75" spans="5:8" x14ac:dyDescent="0.3">
      <c r="E75">
        <v>54</v>
      </c>
      <c r="F75" s="30">
        <v>121096724.65485695</v>
      </c>
      <c r="G75" s="3"/>
      <c r="H75" s="3"/>
    </row>
    <row r="76" spans="5:8" x14ac:dyDescent="0.3">
      <c r="E76">
        <v>55</v>
      </c>
      <c r="F76" s="30">
        <v>150376296.46134615</v>
      </c>
      <c r="G76" s="3"/>
      <c r="H76" s="3"/>
    </row>
    <row r="77" spans="5:8" x14ac:dyDescent="0.3">
      <c r="E77">
        <v>56</v>
      </c>
      <c r="F77" s="30">
        <v>194842939.58223462</v>
      </c>
      <c r="G77" s="3"/>
      <c r="H77" s="3"/>
    </row>
    <row r="78" spans="5:8" x14ac:dyDescent="0.3">
      <c r="E78">
        <v>57</v>
      </c>
      <c r="F78" s="30">
        <v>141553921.13902301</v>
      </c>
      <c r="G78" s="3"/>
      <c r="H78" s="3"/>
    </row>
    <row r="79" spans="5:8" x14ac:dyDescent="0.3">
      <c r="E79">
        <v>58</v>
      </c>
      <c r="F79" s="30">
        <v>191001487.74599695</v>
      </c>
      <c r="G79" s="3"/>
      <c r="H79" s="3"/>
    </row>
    <row r="80" spans="5:8" x14ac:dyDescent="0.3">
      <c r="E80">
        <v>59</v>
      </c>
      <c r="F80" s="30">
        <v>164225443.77575696</v>
      </c>
      <c r="G80" s="3"/>
      <c r="H80" s="3"/>
    </row>
    <row r="81" spans="5:8" x14ac:dyDescent="0.3">
      <c r="E81">
        <v>60</v>
      </c>
      <c r="F81" s="30">
        <v>239121846.19367808</v>
      </c>
      <c r="G81" s="3"/>
      <c r="H81" s="3"/>
    </row>
    <row r="82" spans="5:8" x14ac:dyDescent="0.3">
      <c r="E82">
        <v>61</v>
      </c>
      <c r="F82" s="30">
        <v>197787181.28376931</v>
      </c>
      <c r="G82" s="3"/>
      <c r="H82" s="3"/>
    </row>
    <row r="83" spans="5:8" x14ac:dyDescent="0.3">
      <c r="E83">
        <v>62</v>
      </c>
      <c r="F83" s="30">
        <v>174938200.92532402</v>
      </c>
      <c r="G83" s="3"/>
      <c r="H83" s="3"/>
    </row>
    <row r="84" spans="5:8" x14ac:dyDescent="0.3">
      <c r="E84">
        <v>63</v>
      </c>
      <c r="F84" s="30">
        <v>223170920.25437537</v>
      </c>
      <c r="G84" s="3"/>
      <c r="H84" s="3"/>
    </row>
    <row r="85" spans="5:8" x14ac:dyDescent="0.3">
      <c r="E85">
        <v>64</v>
      </c>
      <c r="F85" s="30">
        <v>160104739.88719678</v>
      </c>
      <c r="G85" s="3"/>
      <c r="H85" s="3"/>
    </row>
    <row r="86" spans="5:8" x14ac:dyDescent="0.3">
      <c r="E86">
        <v>65</v>
      </c>
      <c r="F86" s="30">
        <v>202930662.89888212</v>
      </c>
      <c r="G86" s="3"/>
      <c r="H86" s="3"/>
    </row>
    <row r="87" spans="5:8" x14ac:dyDescent="0.3">
      <c r="E87">
        <v>66</v>
      </c>
      <c r="F87" s="30">
        <v>131972763.68291885</v>
      </c>
      <c r="G87" s="3"/>
      <c r="H87" s="3"/>
    </row>
    <row r="88" spans="5:8" x14ac:dyDescent="0.3">
      <c r="E88">
        <v>67</v>
      </c>
      <c r="F88" s="30">
        <v>119146842.58980708</v>
      </c>
      <c r="G88" s="3"/>
      <c r="H88" s="3"/>
    </row>
    <row r="89" spans="5:8" x14ac:dyDescent="0.3">
      <c r="E89">
        <v>68</v>
      </c>
      <c r="F89" s="30">
        <v>131230393.92788877</v>
      </c>
      <c r="G89" s="3"/>
      <c r="H89" s="3"/>
    </row>
    <row r="90" spans="5:8" x14ac:dyDescent="0.3">
      <c r="E90">
        <v>69</v>
      </c>
      <c r="F90" s="30">
        <v>175957993.49279204</v>
      </c>
      <c r="G90" s="3"/>
      <c r="H90" s="3"/>
    </row>
    <row r="91" spans="5:8" x14ac:dyDescent="0.3">
      <c r="E91">
        <v>70</v>
      </c>
      <c r="F91" s="30">
        <v>148357024.01871735</v>
      </c>
      <c r="G91" s="3"/>
      <c r="H91" s="3"/>
    </row>
    <row r="92" spans="5:8" x14ac:dyDescent="0.3">
      <c r="E92">
        <v>71</v>
      </c>
      <c r="F92" s="30">
        <v>177066192.38608795</v>
      </c>
      <c r="G92" s="3"/>
      <c r="H92" s="3"/>
    </row>
    <row r="93" spans="5:8" x14ac:dyDescent="0.3">
      <c r="E93">
        <v>72</v>
      </c>
      <c r="F93" s="30">
        <v>147869766.63412368</v>
      </c>
      <c r="G93" s="3"/>
      <c r="H93" s="3"/>
    </row>
    <row r="94" spans="5:8" x14ac:dyDescent="0.3">
      <c r="E94">
        <v>73</v>
      </c>
      <c r="F94" s="30">
        <v>117094228.21068269</v>
      </c>
      <c r="G94" s="3"/>
      <c r="H94" s="3"/>
    </row>
    <row r="95" spans="5:8" x14ac:dyDescent="0.3">
      <c r="E95">
        <v>74</v>
      </c>
      <c r="F95" s="30">
        <v>165194482.21823531</v>
      </c>
      <c r="G95" s="3"/>
      <c r="H95" s="3"/>
    </row>
    <row r="96" spans="5:8" x14ac:dyDescent="0.3">
      <c r="E96">
        <v>75</v>
      </c>
      <c r="F96" s="30">
        <v>174029866.42624521</v>
      </c>
      <c r="G96" s="3"/>
      <c r="H96" s="3"/>
    </row>
    <row r="97" spans="5:8" x14ac:dyDescent="0.3">
      <c r="E97">
        <v>76</v>
      </c>
      <c r="F97" s="30">
        <v>165997745.60456884</v>
      </c>
      <c r="G97" s="3"/>
      <c r="H97" s="3"/>
    </row>
    <row r="98" spans="5:8" x14ac:dyDescent="0.3">
      <c r="E98">
        <v>77</v>
      </c>
      <c r="F98" s="30">
        <v>163603764.91097319</v>
      </c>
      <c r="G98" s="3"/>
      <c r="H98" s="3"/>
    </row>
    <row r="99" spans="5:8" x14ac:dyDescent="0.3">
      <c r="E99">
        <v>78</v>
      </c>
      <c r="F99" s="30">
        <v>125520038.03487693</v>
      </c>
      <c r="G99" s="3"/>
      <c r="H99" s="3"/>
    </row>
    <row r="100" spans="5:8" x14ac:dyDescent="0.3">
      <c r="E100">
        <v>79</v>
      </c>
      <c r="F100" s="30">
        <v>197494918.30754226</v>
      </c>
      <c r="G100" s="3"/>
      <c r="H100" s="3"/>
    </row>
    <row r="101" spans="5:8" x14ac:dyDescent="0.3">
      <c r="E101">
        <v>80</v>
      </c>
      <c r="F101" s="30">
        <v>192305560.46061516</v>
      </c>
      <c r="G101" s="3"/>
      <c r="H101" s="3"/>
    </row>
    <row r="102" spans="5:8" x14ac:dyDescent="0.3">
      <c r="E102">
        <v>81</v>
      </c>
      <c r="F102" s="30">
        <v>139440447.53544909</v>
      </c>
      <c r="G102" s="3"/>
      <c r="H102" s="3"/>
    </row>
    <row r="103" spans="5:8" x14ac:dyDescent="0.3">
      <c r="E103">
        <v>82</v>
      </c>
      <c r="F103" s="30">
        <v>150905997.29179069</v>
      </c>
      <c r="G103" s="3"/>
      <c r="H103" s="3"/>
    </row>
    <row r="104" spans="5:8" x14ac:dyDescent="0.3">
      <c r="E104">
        <v>83</v>
      </c>
      <c r="F104" s="30">
        <v>168603258.58088708</v>
      </c>
      <c r="G104" s="3"/>
      <c r="H104" s="3"/>
    </row>
    <row r="105" spans="5:8" x14ac:dyDescent="0.3">
      <c r="E105">
        <v>84</v>
      </c>
      <c r="F105" s="30">
        <v>200871843.56083268</v>
      </c>
      <c r="G105" s="3"/>
      <c r="H105" s="3"/>
    </row>
    <row r="106" spans="5:8" x14ac:dyDescent="0.3">
      <c r="E106">
        <v>85</v>
      </c>
      <c r="F106" s="30">
        <v>175575242.35650975</v>
      </c>
      <c r="G106" s="3"/>
      <c r="H106" s="3"/>
    </row>
    <row r="107" spans="5:8" x14ac:dyDescent="0.3">
      <c r="E107">
        <v>86</v>
      </c>
      <c r="F107" s="30">
        <v>213095132.38906744</v>
      </c>
      <c r="G107" s="3"/>
      <c r="H107" s="3"/>
    </row>
    <row r="108" spans="5:8" x14ac:dyDescent="0.3">
      <c r="E108">
        <v>87</v>
      </c>
      <c r="F108" s="30">
        <v>210493759.27810186</v>
      </c>
      <c r="G108" s="3"/>
      <c r="H108" s="3"/>
    </row>
    <row r="109" spans="5:8" x14ac:dyDescent="0.3">
      <c r="E109">
        <v>88</v>
      </c>
      <c r="F109" s="30">
        <v>201318824.64856634</v>
      </c>
      <c r="G109" s="3"/>
      <c r="H109" s="3"/>
    </row>
    <row r="110" spans="5:8" x14ac:dyDescent="0.3">
      <c r="E110">
        <v>89</v>
      </c>
      <c r="F110" s="30">
        <v>142658377.52810979</v>
      </c>
      <c r="G110" s="3"/>
      <c r="H110" s="3"/>
    </row>
    <row r="111" spans="5:8" x14ac:dyDescent="0.3">
      <c r="E111">
        <v>90</v>
      </c>
      <c r="F111" s="30">
        <v>245808043.64897263</v>
      </c>
      <c r="G111" s="3"/>
      <c r="H111" s="3"/>
    </row>
    <row r="112" spans="5:8" x14ac:dyDescent="0.3">
      <c r="E112">
        <v>91</v>
      </c>
      <c r="F112" s="30">
        <v>177412368.66925713</v>
      </c>
      <c r="G112" s="3"/>
      <c r="H112" s="3"/>
    </row>
    <row r="113" spans="5:8" x14ac:dyDescent="0.3">
      <c r="E113">
        <v>92</v>
      </c>
      <c r="F113" s="30">
        <v>175018912.28097892</v>
      </c>
      <c r="G113" s="3"/>
      <c r="H113" s="3"/>
    </row>
    <row r="114" spans="5:8" x14ac:dyDescent="0.3">
      <c r="E114">
        <v>93</v>
      </c>
      <c r="F114" s="30">
        <v>135660013.94645488</v>
      </c>
      <c r="G114" s="3"/>
      <c r="H114" s="3"/>
    </row>
    <row r="115" spans="5:8" x14ac:dyDescent="0.3">
      <c r="E115">
        <v>94</v>
      </c>
      <c r="F115" s="30">
        <v>135171832.63803455</v>
      </c>
      <c r="G115" s="3"/>
      <c r="H115" s="3"/>
    </row>
    <row r="116" spans="5:8" x14ac:dyDescent="0.3">
      <c r="E116">
        <v>95</v>
      </c>
      <c r="F116" s="30">
        <v>162568379.51314968</v>
      </c>
      <c r="G116" s="3"/>
      <c r="H116" s="3"/>
    </row>
    <row r="117" spans="5:8" x14ac:dyDescent="0.3">
      <c r="E117">
        <v>96</v>
      </c>
      <c r="F117" s="30">
        <v>125581032.78792265</v>
      </c>
      <c r="G117" s="3"/>
      <c r="H117" s="3"/>
    </row>
    <row r="118" spans="5:8" x14ac:dyDescent="0.3">
      <c r="E118">
        <v>97</v>
      </c>
      <c r="F118" s="30">
        <v>167490879.98519257</v>
      </c>
      <c r="G118" s="3"/>
      <c r="H118" s="3"/>
    </row>
    <row r="119" spans="5:8" x14ac:dyDescent="0.3">
      <c r="E119">
        <v>98</v>
      </c>
      <c r="F119" s="30">
        <v>127546229.7227149</v>
      </c>
      <c r="G119" s="3"/>
      <c r="H119" s="3"/>
    </row>
    <row r="120" spans="5:8" x14ac:dyDescent="0.3">
      <c r="E120">
        <v>99</v>
      </c>
      <c r="F120" s="30">
        <v>162780555.53195101</v>
      </c>
      <c r="G120" s="3"/>
      <c r="H120" s="3"/>
    </row>
    <row r="121" spans="5:8" x14ac:dyDescent="0.3">
      <c r="E121">
        <v>100</v>
      </c>
      <c r="F121" s="30">
        <v>154728503.04546484</v>
      </c>
      <c r="G121" s="3"/>
      <c r="H121" s="3"/>
    </row>
    <row r="122" spans="5:8" x14ac:dyDescent="0.3">
      <c r="E122">
        <v>101</v>
      </c>
      <c r="F122" s="30">
        <v>190482316.11531898</v>
      </c>
      <c r="G122" s="3"/>
      <c r="H122" s="3"/>
    </row>
    <row r="123" spans="5:8" x14ac:dyDescent="0.3">
      <c r="E123">
        <v>102</v>
      </c>
      <c r="F123" s="30">
        <v>187262168.59629446</v>
      </c>
      <c r="G123" s="3"/>
      <c r="H123" s="3"/>
    </row>
    <row r="124" spans="5:8" x14ac:dyDescent="0.3">
      <c r="E124">
        <v>103</v>
      </c>
      <c r="F124" s="30">
        <v>172424379.64021182</v>
      </c>
      <c r="G124" s="3"/>
      <c r="H124" s="3"/>
    </row>
    <row r="125" spans="5:8" x14ac:dyDescent="0.3">
      <c r="E125">
        <v>104</v>
      </c>
      <c r="F125" s="30">
        <v>193271705.20818374</v>
      </c>
      <c r="G125" s="3"/>
      <c r="H125" s="3"/>
    </row>
    <row r="126" spans="5:8" x14ac:dyDescent="0.3">
      <c r="E126">
        <v>105</v>
      </c>
      <c r="F126" s="30">
        <v>183958651.71163368</v>
      </c>
      <c r="G126" s="3"/>
      <c r="H126" s="3"/>
    </row>
    <row r="127" spans="5:8" x14ac:dyDescent="0.3">
      <c r="E127">
        <v>106</v>
      </c>
      <c r="F127" s="30">
        <v>147501263.6428135</v>
      </c>
      <c r="G127" s="3"/>
      <c r="H127" s="3"/>
    </row>
    <row r="128" spans="5:8" x14ac:dyDescent="0.3">
      <c r="E128">
        <v>107</v>
      </c>
      <c r="F128" s="30">
        <v>161413367.13411126</v>
      </c>
      <c r="G128" s="3"/>
      <c r="H128" s="3"/>
    </row>
    <row r="129" spans="5:8" x14ac:dyDescent="0.3">
      <c r="E129">
        <v>108</v>
      </c>
      <c r="F129" s="30">
        <v>123971967.38057521</v>
      </c>
      <c r="G129" s="3"/>
      <c r="H129" s="3"/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Dairy_Income_Roadmap</vt:lpstr>
      <vt:lpstr>Dairy_Income_Baseline</vt:lpstr>
      <vt:lpstr>Mappings</vt:lpstr>
      <vt:lpstr>MC_Baseline</vt:lpstr>
      <vt:lpstr>MC_High_ambition</vt:lpstr>
      <vt:lpstr>MC_Middle_road</vt:lpstr>
      <vt:lpstr>MC_Status_quo</vt:lpstr>
      <vt:lpstr>MC_High_ambition_plus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Hawkins</dc:creator>
  <cp:lastModifiedBy>James Hawkins</cp:lastModifiedBy>
  <dcterms:created xsi:type="dcterms:W3CDTF">2021-04-19T13:15:38Z</dcterms:created>
  <dcterms:modified xsi:type="dcterms:W3CDTF">2022-07-19T06:13:20Z</dcterms:modified>
</cp:coreProperties>
</file>