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DCD53F12-0DAE-4E49-B777-C10E8B08712E}" xr6:coauthVersionLast="47" xr6:coauthVersionMax="47" xr10:uidLastSave="{00000000-0000-0000-0000-000000000000}"/>
  <bookViews>
    <workbookView xWindow="-108" yWindow="-108" windowWidth="23256" windowHeight="12456" activeTab="1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Status_quo" sheetId="19" r:id="rId5"/>
    <sheet name="MC_Middle_road" sheetId="18" r:id="rId6"/>
    <sheet name="MC_High_ambition" sheetId="25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B38" i="1" l="1"/>
  <c r="B37" i="1"/>
  <c r="B36" i="1"/>
  <c r="B35" i="1"/>
  <c r="N23" i="1"/>
  <c r="C32" i="1"/>
  <c r="C31" i="1"/>
  <c r="C33" i="1"/>
  <c r="A18" i="18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25" i="1" l="1"/>
  <c r="C24" i="1"/>
  <c r="B11" i="1" l="1"/>
  <c r="B15" i="1" s="1"/>
  <c r="B19" i="1" s="1"/>
  <c r="B12" i="1"/>
  <c r="B16" i="1" s="1"/>
  <c r="B20" i="1" s="1"/>
  <c r="B10" i="1"/>
  <c r="B14" i="1" s="1"/>
  <c r="B18" i="1" s="1"/>
  <c r="C29" i="1" l="1"/>
  <c r="C27" i="1"/>
  <c r="C30" i="1" s="1"/>
  <c r="C26" i="1"/>
  <c r="A10" i="18" l="1"/>
  <c r="A9" i="18"/>
  <c r="F3" i="1" l="1"/>
  <c r="F4" i="1" l="1"/>
  <c r="C28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L35" i="4"/>
  <c r="L37" i="4"/>
  <c r="G19" i="4" s="1"/>
  <c r="B42" i="10"/>
  <c r="E42" i="10"/>
  <c r="H3" i="1"/>
  <c r="H4" i="1"/>
  <c r="E49" i="10" l="1"/>
  <c r="E19" i="4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30" i="1" l="1"/>
  <c r="B34" i="1" s="1"/>
  <c r="B29" i="1"/>
  <c r="B33" i="1" s="1"/>
  <c r="B28" i="1"/>
  <c r="B32" i="1" s="1"/>
  <c r="I8" i="1"/>
  <c r="B27" i="1" l="1"/>
  <c r="B31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W4" i="1" l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G54" i="4"/>
  <c r="E54" i="4"/>
  <c r="E55" i="4"/>
  <c r="C55" i="4"/>
  <c r="O10" i="1" l="1"/>
  <c r="O11" i="1"/>
  <c r="O8" i="1"/>
  <c r="O15" i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2" i="1"/>
  <c r="M4" i="1" l="1"/>
  <c r="C3" i="1"/>
  <c r="Z3" i="1" s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B11" i="26"/>
  <c r="B15" i="26" s="1"/>
  <c r="D7" i="1"/>
  <c r="G4" i="1"/>
  <c r="Z4" i="1" l="1"/>
  <c r="Z8" i="1" s="1"/>
  <c r="Z12" i="1" s="1"/>
  <c r="Z16" i="1" s="1"/>
  <c r="Z20" i="1" s="1"/>
  <c r="C6" i="1"/>
  <c r="Z7" i="1"/>
  <c r="Z6" i="1"/>
  <c r="Z10" i="1" s="1"/>
  <c r="Z14" i="1" s="1"/>
  <c r="Z11" i="1"/>
  <c r="Z15" i="1" s="1"/>
  <c r="D11" i="18"/>
  <c r="D16" i="1"/>
  <c r="C12" i="1"/>
  <c r="C10" i="1"/>
  <c r="P4" i="1"/>
  <c r="C11" i="1"/>
  <c r="C11" i="25"/>
  <c r="C7" i="1"/>
  <c r="C8" i="1"/>
  <c r="P3" i="1"/>
  <c r="C36" i="1" l="1"/>
  <c r="C35" i="1"/>
  <c r="C11" i="26"/>
  <c r="C15" i="26" s="1"/>
  <c r="D12" i="25"/>
  <c r="D16" i="25" s="1"/>
  <c r="D12" i="18"/>
  <c r="D16" i="18" s="1"/>
  <c r="D12" i="19"/>
  <c r="C12" i="25"/>
  <c r="C16" i="25" s="1"/>
  <c r="B12" i="25"/>
  <c r="B16" i="25" s="1"/>
  <c r="C12" i="18"/>
  <c r="C16" i="18" s="1"/>
  <c r="Z19" i="1"/>
  <c r="C12" i="21" s="1"/>
  <c r="C16" i="21" s="1"/>
  <c r="C12" i="19"/>
  <c r="C16" i="19" s="1"/>
  <c r="B12" i="19"/>
  <c r="B16" i="19" s="1"/>
  <c r="Z18" i="1"/>
  <c r="B12" i="21" s="1"/>
  <c r="B16" i="21" s="1"/>
  <c r="Q3" i="1"/>
  <c r="R3" i="1"/>
  <c r="R4" i="1"/>
  <c r="Q4" i="1"/>
  <c r="B12" i="18"/>
  <c r="B16" i="18" s="1"/>
  <c r="D20" i="1"/>
  <c r="C16" i="1"/>
  <c r="D11" i="19"/>
  <c r="C14" i="1"/>
  <c r="C15" i="1"/>
  <c r="C37" i="1" l="1"/>
  <c r="D16" i="19"/>
  <c r="D12" i="21"/>
  <c r="C8" i="26"/>
  <c r="C9" i="26" s="1"/>
  <c r="C14" i="26" s="1"/>
  <c r="D11" i="21"/>
  <c r="C20" i="1"/>
  <c r="C19" i="1"/>
  <c r="C18" i="1"/>
  <c r="B8" i="26"/>
  <c r="B9" i="26" s="1"/>
  <c r="B14" i="26" s="1"/>
  <c r="C38" i="1" l="1"/>
  <c r="D16" i="2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B59" i="10"/>
  <c r="M19" i="1"/>
  <c r="J19" i="1" s="1"/>
  <c r="M18" i="1"/>
  <c r="E59" i="10"/>
  <c r="E60" i="10"/>
  <c r="N4" i="1"/>
  <c r="G28" i="4"/>
  <c r="E28" i="4"/>
  <c r="M8" i="1"/>
  <c r="J8" i="1" s="1"/>
  <c r="O4" i="1" l="1"/>
  <c r="T4" i="1" s="1"/>
  <c r="O3" i="1"/>
  <c r="T3" i="1" s="1"/>
  <c r="F8" i="1"/>
  <c r="F19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S3" i="1"/>
  <c r="U3" i="1"/>
  <c r="B2" i="26"/>
  <c r="B3" i="26" l="1"/>
  <c r="B13" i="26" s="1"/>
  <c r="B17" i="26" s="1"/>
  <c r="C3" i="26"/>
  <c r="C13" i="26" s="1"/>
  <c r="C17" i="26" s="1"/>
  <c r="T19" i="1"/>
  <c r="S19" i="1"/>
  <c r="AA19" i="1" s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AA4" i="1"/>
  <c r="E17" i="26" l="1"/>
  <c r="E21" i="26" s="1"/>
  <c r="E18" i="26" s="1"/>
  <c r="B5" i="2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B5" i="18" s="1"/>
  <c r="B6" i="18" s="1"/>
  <c r="B14" i="18" s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U11" i="1"/>
  <c r="U15" i="1" s="1"/>
  <c r="E19" i="26" l="1"/>
  <c r="H19" i="26" s="1"/>
  <c r="AA18" i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U18" i="1"/>
  <c r="AD4" i="1" l="1"/>
  <c r="AA16" i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B16" i="1"/>
  <c r="AB10" i="1"/>
  <c r="AB12" i="1"/>
  <c r="AC20" i="1"/>
  <c r="AB14" i="1"/>
  <c r="AD8" i="1" l="1"/>
  <c r="F18" i="18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l="1"/>
  <c r="AD12" i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l="1"/>
</calcChain>
</file>

<file path=xl/sharedStrings.xml><?xml version="1.0" encoding="utf-8"?>
<sst xmlns="http://schemas.openxmlformats.org/spreadsheetml/2006/main" count="211" uniqueCount="139">
  <si>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</si>
  <si>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</si>
  <si>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</si>
  <si>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</si>
  <si>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</si>
  <si>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</si>
  <si>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</si>
  <si>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</si>
  <si>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</si>
  <si>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</si>
  <si>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</si>
  <si>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</si>
  <si>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</si>
  <si>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</si>
  <si>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</si>
  <si>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</si>
  <si>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</si>
  <si>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</si>
  <si>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</si>
  <si>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</si>
  <si>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</si>
  <si>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</si>
  <si>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</si>
  <si>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</si>
  <si>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</si>
  <si>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</si>
  <si>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</si>
  <si>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</si>
  <si>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</si>
  <si>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</si>
  <si>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</si>
  <si>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</si>
  <si>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</si>
  <si>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</si>
  <si>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</si>
  <si>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</si>
  <si>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</si>
  <si>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</si>
  <si>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</si>
  <si>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</si>
  <si>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</si>
  <si>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</si>
  <si>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</si>
  <si>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</si>
  <si>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</si>
  <si>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</si>
  <si>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</si>
  <si>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</si>
  <si>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</si>
  <si>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</si>
  <si>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</si>
  <si>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</si>
  <si>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</si>
  <si>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</si>
  <si>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</si>
  <si>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</si>
  <si>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</si>
  <si>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</si>
  <si>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</si>
  <si>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</si>
  <si>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</si>
  <si>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</si>
  <si>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</si>
  <si>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</si>
  <si>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</si>
  <si>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</si>
  <si>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</si>
  <si>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</si>
  <si>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</si>
  <si>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</si>
  <si>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</si>
  <si>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</si>
  <si>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</si>
  <si>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</si>
  <si>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</si>
  <si>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</si>
  <si>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</si>
  <si>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</si>
  <si>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</si>
  <si>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</si>
  <si>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</si>
  <si>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</si>
  <si>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</si>
  <si>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</si>
  <si>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</si>
  <si>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</si>
  <si>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</si>
  <si>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</si>
  <si>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</si>
  <si>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</si>
  <si>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</si>
  <si>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</si>
  <si>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</si>
  <si>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Total variable expenses (USD/cow/year)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</si>
  <si>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</si>
  <si>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</si>
  <si>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</si>
  <si>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</si>
  <si>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</si>
  <si>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</si>
  <si>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</si>
  <si>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</si>
  <si>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</si>
  <si>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</si>
  <si>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</si>
  <si>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</si>
  <si>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</si>
  <si>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</si>
  <si>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</si>
  <si>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</si>
  <si>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</si>
  <si>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</si>
  <si>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</si>
  <si>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</si>
  <si>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</si>
  <si>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</si>
  <si>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</si>
  <si>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</si>
  <si>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</si>
  <si>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</si>
  <si>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</si>
  <si>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</si>
  <si>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</si>
  <si>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</si>
  <si>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</si>
  <si>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</si>
  <si>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</si>
  <si>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</si>
  <si>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</si>
  <si>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</si>
  <si>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</si>
  <si>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 xml:space="preserve">Dairy Income </t>
  </si>
  <si>
    <t>Average herd size (head) in base year (2018)</t>
  </si>
  <si>
    <t>Ratio improved cattle for which new adopters adopt</t>
  </si>
  <si>
    <t>Adoption parameters (as defined in text) (based on TLSA, URT 2017)</t>
  </si>
  <si>
    <t>Fraction Improved owned by other farms  final year</t>
  </si>
  <si>
    <t>Fraction Improved owned by other base year</t>
  </si>
  <si>
    <t xml:space="preserve">Adoption rate (% of all dairy hholds) </t>
  </si>
  <si>
    <t xml:space="preserve">Adoption rate (% of newly local cattle rearing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</si>
</sst>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165" fontId="2" fillId="0" borderId="0" xfId="0" applyNumberFormat="1" applyFont="1" applyAlignment="1">
      <alignment horizontal="center"/>
    </xf>
    <xf numFmtId="168" fontId="19" fillId="0" borderId="0" xfId="0" applyNumberFormat="1" applyFont="1"/>
    <xf numFmtId="168" fontId="0" fillId="0" borderId="0" xfId="0" applyNumberFormat="1"/>
    <xf numFmtId="168" fontId="12" fillId="0" borderId="0" xfId="0" applyNumberFormat="1" applyFont="1"/>
    <xf numFmtId="165" fontId="18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2" fillId="0" borderId="0" xfId="0" applyNumberFormat="1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8A6D93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zoomScaleNormal="100" workbookViewId="0">
      <selection activeCell="B24" sqref="B24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23" t="s">
        <v>87</v>
      </c>
      <c r="D1" s="124"/>
      <c r="E1" s="124"/>
      <c r="F1" s="124"/>
      <c r="G1" s="124"/>
    </row>
    <row r="2" spans="1:12" x14ac:dyDescent="0.3">
      <c r="A2" s="2" t="s">
        <v>63</v>
      </c>
      <c r="B2" s="5"/>
      <c r="C2" s="126" t="s">
        <v>100</v>
      </c>
      <c r="D2" s="126"/>
      <c r="E2" s="126" t="s">
        <v>101</v>
      </c>
      <c r="F2" s="126"/>
      <c r="G2" s="113" t="s">
        <v>102</v>
      </c>
    </row>
    <row r="3" spans="1:12" x14ac:dyDescent="0.3">
      <c r="A3" t="s">
        <v>56</v>
      </c>
      <c r="B3" s="11"/>
      <c r="C3" s="125">
        <f>G3</f>
        <v>0.55747885382429763</v>
      </c>
      <c r="D3" s="125"/>
      <c r="E3" s="125">
        <f>Dairy_Income_Baseline!B3</f>
        <v>0.48314833998105799</v>
      </c>
      <c r="F3" s="125"/>
      <c r="G3" s="51">
        <f>[1]All!$L$7*L16</f>
        <v>0.55747885382429763</v>
      </c>
      <c r="J3" s="39"/>
    </row>
    <row r="4" spans="1:12" x14ac:dyDescent="0.3">
      <c r="A4" t="s">
        <v>57</v>
      </c>
      <c r="B4" s="11"/>
      <c r="C4" s="128">
        <f>G4</f>
        <v>3007.9506358527424</v>
      </c>
      <c r="D4" s="128"/>
      <c r="E4" s="128">
        <f>[2]prod_herd_data!$J$38</f>
        <v>757.75586056583484</v>
      </c>
      <c r="F4" s="128"/>
      <c r="G4" s="50">
        <f>[2]prod_herd_data!$J$39</f>
        <v>3007.9506358527424</v>
      </c>
    </row>
    <row r="5" spans="1:12" x14ac:dyDescent="0.3">
      <c r="A5" t="s">
        <v>58</v>
      </c>
      <c r="B5" s="11"/>
      <c r="C5" s="128">
        <f>C4*C3*(12*L11-9)/(12*L11)</f>
        <v>1572.0645682830507</v>
      </c>
      <c r="D5" s="128"/>
      <c r="E5" s="128">
        <f>E4*E3</f>
        <v>366.10848614330115</v>
      </c>
      <c r="F5" s="128"/>
      <c r="G5" s="50">
        <f>G4*G3</f>
        <v>1676.868872835254</v>
      </c>
    </row>
    <row r="6" spans="1:12" x14ac:dyDescent="0.3">
      <c r="B6" s="11"/>
      <c r="C6" s="128"/>
      <c r="D6" s="128"/>
      <c r="E6" s="128"/>
      <c r="F6" s="128"/>
      <c r="G6" s="50"/>
    </row>
    <row r="7" spans="1:12" x14ac:dyDescent="0.3">
      <c r="A7" s="2" t="s">
        <v>59</v>
      </c>
      <c r="B7" s="11"/>
      <c r="C7" s="128"/>
      <c r="D7" s="128"/>
      <c r="E7" s="128"/>
      <c r="F7" s="128"/>
      <c r="G7" s="50"/>
    </row>
    <row r="8" spans="1:12" x14ac:dyDescent="0.3">
      <c r="A8" t="s">
        <v>71</v>
      </c>
      <c r="B8" s="11"/>
      <c r="C8" s="128">
        <f>(([2]concentrate_feeding!$J$23*L29)+([2]concentrate_feeding!$J$24*L30))</f>
        <v>355.53052232957771</v>
      </c>
      <c r="D8" s="128"/>
      <c r="E8" s="128">
        <f>(([2]concentrate_feeding!$J$17*L29)+([2]concentrate_feeding!$J$18*L30))</f>
        <v>86.361328970444461</v>
      </c>
      <c r="F8" s="128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28">
        <f>Dairy_Income_Baseline!D9</f>
        <v>9.9618214429084109</v>
      </c>
      <c r="D9" s="128"/>
      <c r="E9" s="128">
        <f>Dairy_Income_Baseline!B9</f>
        <v>3.7037541262095375</v>
      </c>
      <c r="F9" s="128"/>
      <c r="G9" s="50">
        <f>Dairy_Income_Baseline!D9</f>
        <v>9.9618214429084109</v>
      </c>
    </row>
    <row r="10" spans="1:12" x14ac:dyDescent="0.3">
      <c r="A10" t="s">
        <v>60</v>
      </c>
      <c r="B10" s="11"/>
      <c r="C10" s="128">
        <f>Dairy_Income_Baseline!D10</f>
        <v>8.9400961667126779</v>
      </c>
      <c r="D10" s="128"/>
      <c r="E10" s="128">
        <f>Dairy_Income_Baseline!B10</f>
        <v>9.4509588048105453</v>
      </c>
      <c r="F10" s="128"/>
      <c r="G10" s="50">
        <f>Dairy_Income_Baseline!D10</f>
        <v>8.9400961667126779</v>
      </c>
      <c r="K10" s="2" t="s">
        <v>90</v>
      </c>
    </row>
    <row r="11" spans="1:12" x14ac:dyDescent="0.3">
      <c r="A11" t="s">
        <v>61</v>
      </c>
      <c r="B11" s="20"/>
      <c r="C11" s="128">
        <f>Dairy_Income_Baseline!D11</f>
        <v>1.0217252761957345</v>
      </c>
      <c r="D11" s="128"/>
      <c r="E11" s="128">
        <f>Dairy_Income_Baseline!B11</f>
        <v>0.12771565952446681</v>
      </c>
      <c r="F11" s="128"/>
      <c r="G11" s="50">
        <f>Dairy_Income_Baseline!D11</f>
        <v>1.0217252761957345</v>
      </c>
      <c r="K11" s="54" t="s">
        <v>86</v>
      </c>
      <c r="L11" s="52">
        <v>12</v>
      </c>
    </row>
    <row r="12" spans="1:12" s="52" customFormat="1" x14ac:dyDescent="0.3">
      <c r="B12" s="48"/>
      <c r="C12" s="128"/>
      <c r="D12" s="128"/>
      <c r="E12" s="128"/>
      <c r="F12" s="128"/>
      <c r="G12" s="50"/>
      <c r="K12" s="54"/>
    </row>
    <row r="13" spans="1:12" x14ac:dyDescent="0.3">
      <c r="A13" s="2" t="s">
        <v>84</v>
      </c>
      <c r="B13" s="11"/>
      <c r="C13" s="128">
        <f>SUM(C8:C11)</f>
        <v>375.45416521539454</v>
      </c>
      <c r="D13" s="128"/>
      <c r="E13" s="128">
        <f>SUM(E8:E11)</f>
        <v>99.643757560989002</v>
      </c>
      <c r="F13" s="128"/>
      <c r="G13" s="50">
        <f>SUM(G8:G11)</f>
        <v>375.45416521539454</v>
      </c>
      <c r="K13" t="s">
        <v>68</v>
      </c>
      <c r="L13">
        <f>[1]All!$M$12</f>
        <v>397.7</v>
      </c>
    </row>
    <row r="14" spans="1:12" x14ac:dyDescent="0.3">
      <c r="B14" s="11"/>
      <c r="C14" s="126"/>
      <c r="D14" s="126"/>
      <c r="E14" s="126"/>
      <c r="F14" s="126"/>
      <c r="G14" s="1"/>
    </row>
    <row r="15" spans="1:12" x14ac:dyDescent="0.3">
      <c r="A15" s="2" t="s">
        <v>85</v>
      </c>
      <c r="B15" s="11"/>
      <c r="C15" s="128">
        <f>L13/L11</f>
        <v>33.141666666666666</v>
      </c>
      <c r="D15" s="128"/>
      <c r="E15" s="128">
        <v>0</v>
      </c>
      <c r="F15" s="128"/>
      <c r="G15" s="50">
        <v>0</v>
      </c>
    </row>
    <row r="16" spans="1:12" x14ac:dyDescent="0.3">
      <c r="B16" s="11"/>
      <c r="C16" s="128"/>
      <c r="D16" s="128"/>
      <c r="E16" s="128"/>
      <c r="F16" s="128"/>
      <c r="G16" s="50"/>
      <c r="K16" t="s">
        <v>94</v>
      </c>
      <c r="L16" s="21">
        <f>[3]Sheet1!$B$6</f>
        <v>1.2771565952446682</v>
      </c>
    </row>
    <row r="17" spans="1:17" x14ac:dyDescent="0.3">
      <c r="B17" s="32"/>
      <c r="C17" s="128"/>
      <c r="D17" s="128"/>
      <c r="E17" s="129"/>
      <c r="F17" s="129"/>
      <c r="G17" s="50"/>
    </row>
    <row r="18" spans="1:17" x14ac:dyDescent="0.3">
      <c r="B18" s="43"/>
      <c r="C18" s="127" t="s">
        <v>74</v>
      </c>
      <c r="D18" s="127"/>
      <c r="E18" s="127"/>
      <c r="F18" s="127"/>
      <c r="G18" s="127"/>
      <c r="K18" s="2"/>
    </row>
    <row r="19" spans="1:17" x14ac:dyDescent="0.3">
      <c r="A19" t="s">
        <v>7</v>
      </c>
      <c r="B19" s="11"/>
      <c r="C19" s="128">
        <f>L35*L16</f>
        <v>473.19051384219415</v>
      </c>
      <c r="D19" s="128"/>
      <c r="E19" s="128">
        <f>L35*L16</f>
        <v>473.19051384219415</v>
      </c>
      <c r="F19" s="128"/>
      <c r="G19" s="49">
        <f>L37*L16</f>
        <v>626.19041111347224</v>
      </c>
      <c r="K19" t="s">
        <v>72</v>
      </c>
      <c r="L19">
        <f>[4]Sheet1!$B$5</f>
        <v>28</v>
      </c>
    </row>
    <row r="20" spans="1:17" x14ac:dyDescent="0.3">
      <c r="A20" t="s">
        <v>49</v>
      </c>
      <c r="B20" s="11"/>
      <c r="C20" s="128">
        <f>(((1/1000)*(1/L23)*[2]feeding_change_data!$J$25/L32))</f>
        <v>9.0559842862320855E-2</v>
      </c>
      <c r="D20" s="128"/>
      <c r="E20" s="128">
        <f>(((1/1000)*(1/L23)*[2]feeding_change_data!$J$19/L32))</f>
        <v>4.034835691513472E-2</v>
      </c>
      <c r="F20" s="128"/>
      <c r="G20" s="49">
        <f>(((1/1000)*(1/L23)*[2]feeding_change_data!$J$22/L32))</f>
        <v>6.3518016421959617E-2</v>
      </c>
    </row>
    <row r="21" spans="1:17" x14ac:dyDescent="0.3">
      <c r="A21" t="s">
        <v>64</v>
      </c>
      <c r="B21" s="71"/>
      <c r="C21" s="128">
        <f>(((1/1000)*(1/L24)*[2]feeding_change_data_pasture!$J$25/L33))</f>
        <v>0.19419972310224459</v>
      </c>
      <c r="D21" s="128"/>
      <c r="E21" s="128">
        <f>(((1/1000)*(1/L24)*[2]feeding_change_data_pasture!$J$19/L33))</f>
        <v>0.15731868251776152</v>
      </c>
      <c r="F21" s="128"/>
      <c r="G21" s="49">
        <f>(((1/1000)*(1/L24)*[2]feeding_change_data_pasture!$J$22/L33))</f>
        <v>0.10499097189490476</v>
      </c>
      <c r="K21" t="s">
        <v>98</v>
      </c>
      <c r="L21">
        <v>0.15</v>
      </c>
    </row>
    <row r="22" spans="1:17" s="70" customFormat="1" x14ac:dyDescent="0.3">
      <c r="A22" s="72" t="s">
        <v>81</v>
      </c>
      <c r="B22" s="91"/>
      <c r="C22" s="128">
        <f>C20+C21</f>
        <v>0.28475956596456542</v>
      </c>
      <c r="D22" s="128"/>
      <c r="E22" s="128">
        <f>E20+E21</f>
        <v>0.19766703943289624</v>
      </c>
      <c r="F22" s="128"/>
      <c r="G22" s="69">
        <f>G21+G20</f>
        <v>0.16850898831686439</v>
      </c>
    </row>
    <row r="23" spans="1:17" s="52" customFormat="1" x14ac:dyDescent="0.3">
      <c r="A23" s="54" t="s">
        <v>65</v>
      </c>
      <c r="B23" s="71"/>
      <c r="C23" s="128">
        <f>L19*(C20+C21)</f>
        <v>7.9732678470078318</v>
      </c>
      <c r="D23" s="128"/>
      <c r="E23" s="128">
        <f>L19*(E20+E21)</f>
        <v>5.5346771041210943</v>
      </c>
      <c r="F23" s="128"/>
      <c r="G23" s="50">
        <f>L19*(G20+G21)</f>
        <v>4.7182516728722028</v>
      </c>
      <c r="K23" t="s">
        <v>66</v>
      </c>
      <c r="L23">
        <f>[4]Sheet1!$B$6</f>
        <v>0.75</v>
      </c>
    </row>
    <row r="24" spans="1:17" x14ac:dyDescent="0.3">
      <c r="A24" t="s">
        <v>8</v>
      </c>
      <c r="B24" s="11"/>
      <c r="C24" s="128">
        <f>(C20+C21)*C19+C23</f>
        <v>142.71879318726073</v>
      </c>
      <c r="D24" s="128"/>
      <c r="E24" s="128">
        <f>(E20+E21)*E19+E23</f>
        <v>99.068845063038509</v>
      </c>
      <c r="F24" s="128"/>
      <c r="G24" s="49">
        <f>(G20+G21)*G19+G23</f>
        <v>110.2369643433248</v>
      </c>
      <c r="K24" t="s">
        <v>67</v>
      </c>
      <c r="L24">
        <v>0.5</v>
      </c>
    </row>
    <row r="25" spans="1:17" s="52" customFormat="1" x14ac:dyDescent="0.3">
      <c r="A25" s="54"/>
      <c r="B25" s="48"/>
      <c r="C25" s="128"/>
      <c r="D25" s="128"/>
      <c r="E25" s="128"/>
      <c r="F25" s="128"/>
      <c r="G25" s="50"/>
    </row>
    <row r="26" spans="1:17" x14ac:dyDescent="0.3">
      <c r="B26" s="11"/>
      <c r="C26" s="128"/>
      <c r="D26" s="128"/>
      <c r="E26" s="128"/>
      <c r="F26" s="128"/>
      <c r="G26" s="49"/>
      <c r="K26" s="28" t="s">
        <v>25</v>
      </c>
      <c r="L26" s="53">
        <f>7.5</f>
        <v>7.5</v>
      </c>
    </row>
    <row r="27" spans="1:17" x14ac:dyDescent="0.3">
      <c r="A27" t="s">
        <v>47</v>
      </c>
      <c r="B27" s="7"/>
      <c r="C27" s="128">
        <f>L16*(C5-C13)-C15</f>
        <v>1495.1172015495711</v>
      </c>
      <c r="D27" s="128"/>
      <c r="E27" s="128">
        <f>L16*(E5-E13)</f>
        <v>340.3171855089804</v>
      </c>
      <c r="F27" s="128"/>
      <c r="G27" s="90">
        <f>L16*(G5-G13)</f>
        <v>1662.110376985115</v>
      </c>
      <c r="H27" s="90"/>
      <c r="K27" s="28" t="s">
        <v>25</v>
      </c>
      <c r="L27" s="53">
        <f>20</f>
        <v>20</v>
      </c>
    </row>
    <row r="28" spans="1:17" x14ac:dyDescent="0.3">
      <c r="A28" t="s">
        <v>6</v>
      </c>
      <c r="B28" s="7"/>
      <c r="C28" s="128">
        <f>C27-Dairy_Income_Baseline!B28</f>
        <v>1410.3801118605588</v>
      </c>
      <c r="D28" s="128"/>
      <c r="E28" s="128">
        <f>E27-Dairy_Income_Baseline!D28</f>
        <v>-245.41979690192807</v>
      </c>
      <c r="F28" s="128"/>
      <c r="G28" s="49">
        <f>G27-Dairy_Income_Baseline!D28</f>
        <v>1076.3733945742065</v>
      </c>
    </row>
    <row r="29" spans="1:17" x14ac:dyDescent="0.3">
      <c r="C29" s="126"/>
      <c r="D29" s="126"/>
      <c r="E29" s="126"/>
      <c r="F29" s="126"/>
      <c r="K29" s="53" t="s">
        <v>27</v>
      </c>
      <c r="L29" s="21">
        <f>0.25*L16*'[1]Sensitiity analysis'!$C$4</f>
        <v>0.31928914881116705</v>
      </c>
    </row>
    <row r="30" spans="1:17" ht="15.6" x14ac:dyDescent="0.3">
      <c r="A30" s="123" t="s">
        <v>55</v>
      </c>
      <c r="B30" s="123"/>
      <c r="C30" s="123"/>
      <c r="D30" s="123"/>
      <c r="E30" s="123"/>
      <c r="F30" s="123"/>
      <c r="G30" s="123"/>
      <c r="K30" s="53" t="s">
        <v>26</v>
      </c>
      <c r="L30" s="21">
        <f>0.21*L16*'[1]Sensitiity analysis'!$C$5</f>
        <v>0.26820288500138029</v>
      </c>
    </row>
    <row r="31" spans="1:17" x14ac:dyDescent="0.3">
      <c r="A31" s="126" t="s">
        <v>53</v>
      </c>
      <c r="B31" s="126"/>
      <c r="C31" s="126"/>
      <c r="D31" s="126"/>
      <c r="E31" s="126"/>
      <c r="F31" s="126"/>
      <c r="G31" s="126"/>
    </row>
    <row r="32" spans="1:17" x14ac:dyDescent="0.3">
      <c r="A32" t="s">
        <v>17</v>
      </c>
      <c r="B32" s="11"/>
      <c r="C32" s="125">
        <f>Dairy_Income_Baseline!E36</f>
        <v>8.9400961667126785E-2</v>
      </c>
      <c r="D32" s="125"/>
      <c r="E32" s="125">
        <f>Dairy_Income_Baseline!B36</f>
        <v>0.11494409357202014</v>
      </c>
      <c r="F32" s="125"/>
      <c r="G32" s="6">
        <f>Dairy_Income_Baseline!E36</f>
        <v>8.9400961667126785E-2</v>
      </c>
      <c r="K32" t="s">
        <v>28</v>
      </c>
      <c r="L32">
        <v>13</v>
      </c>
      <c r="M32" s="126"/>
      <c r="N32" s="126"/>
      <c r="O32" s="126"/>
      <c r="P32" s="126"/>
      <c r="Q32" s="48"/>
    </row>
    <row r="33" spans="1:12" x14ac:dyDescent="0.3">
      <c r="B33" s="11"/>
      <c r="C33" s="126"/>
      <c r="D33" s="126"/>
      <c r="E33" s="126"/>
      <c r="F33" s="126"/>
      <c r="G33" s="29"/>
      <c r="K33" t="s">
        <v>50</v>
      </c>
      <c r="L33" s="54">
        <v>5</v>
      </c>
    </row>
    <row r="34" spans="1:12" x14ac:dyDescent="0.3">
      <c r="A34" t="s">
        <v>0</v>
      </c>
      <c r="B34" s="11"/>
      <c r="C34" s="125">
        <f>C8*Dairy_Income_Baseline!E38/Dairy_Income_Baseline!B8</f>
        <v>482.38923622672843</v>
      </c>
      <c r="D34" s="125"/>
      <c r="E34" s="125">
        <f>E8*Dairy_Income_Baseline!E38/Dairy_Income_Baseline!D8</f>
        <v>38.601136012683426</v>
      </c>
      <c r="F34" s="125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25">
        <f>Dairy_Income_Baseline!E39</f>
        <v>64.36869240033127</v>
      </c>
      <c r="D35" s="125"/>
      <c r="E35" s="125">
        <f>Dairy_Income_Baseline!B39</f>
        <v>22.09480909773276</v>
      </c>
      <c r="F35" s="125"/>
      <c r="G35" s="6">
        <f>Dairy_Income_Baseline!E39</f>
        <v>64.36869240033127</v>
      </c>
      <c r="K35" t="s">
        <v>31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25">
        <f>Dairy_Income_Baseline!E40</f>
        <v>10.472684081006278</v>
      </c>
      <c r="D36" s="125"/>
      <c r="E36" s="125">
        <f>Dairy_Income_Baseline!B40</f>
        <v>11.62212501672648</v>
      </c>
      <c r="F36" s="125"/>
      <c r="G36" s="6">
        <f>Dairy_Income_Baseline!E40</f>
        <v>10.472684081006278</v>
      </c>
      <c r="K36" t="s">
        <v>23</v>
      </c>
      <c r="L36" s="21">
        <f>Dairy_Income_Baseline!L37</f>
        <v>0.53119613926232334</v>
      </c>
    </row>
    <row r="37" spans="1:12" x14ac:dyDescent="0.3">
      <c r="A37" t="s">
        <v>5</v>
      </c>
      <c r="B37" s="11"/>
      <c r="C37" s="125">
        <f>Dairy_Income_Baseline!E41</f>
        <v>4.2146167643074044</v>
      </c>
      <c r="D37" s="125"/>
      <c r="E37" s="125">
        <f>Dairy_Income_Baseline!B41</f>
        <v>0.89400961667126766</v>
      </c>
      <c r="F37" s="125"/>
      <c r="G37" s="6">
        <f>Dairy_Income_Baseline!E41</f>
        <v>4.2146167643074044</v>
      </c>
      <c r="K37" t="s">
        <v>32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25">
        <f>Dairy_Income_Baseline!E42</f>
        <v>0</v>
      </c>
      <c r="D38" s="125"/>
      <c r="E38" s="125">
        <f>Dairy_Income_Baseline!B42</f>
        <v>0</v>
      </c>
      <c r="F38" s="125"/>
      <c r="G38" s="6">
        <f>Dairy_Income_Baseline!E42</f>
        <v>0</v>
      </c>
      <c r="K38" t="s">
        <v>23</v>
      </c>
      <c r="L38" s="21">
        <f>Dairy_Income_Baseline!L39</f>
        <v>0.4540244855431102</v>
      </c>
    </row>
    <row r="39" spans="1:12" x14ac:dyDescent="0.3">
      <c r="C39" s="130"/>
      <c r="D39" s="130"/>
      <c r="E39" s="130"/>
      <c r="F39" s="130"/>
    </row>
    <row r="40" spans="1:12" x14ac:dyDescent="0.3">
      <c r="B40" s="127" t="s">
        <v>54</v>
      </c>
      <c r="C40" s="127"/>
      <c r="D40" s="127"/>
      <c r="E40" s="127"/>
      <c r="F40" s="127"/>
      <c r="G40" s="127"/>
    </row>
    <row r="41" spans="1:12" x14ac:dyDescent="0.3">
      <c r="A41" t="s">
        <v>9</v>
      </c>
      <c r="C41" s="131">
        <f ca="1">_xlfn.NORM.INV(RAND(),C3,C32)</f>
        <v>0.54712438755744119</v>
      </c>
      <c r="D41" s="131"/>
      <c r="E41" s="131">
        <f ca="1">_xlfn.NORM.INV(RAND(),E3,E32)</f>
        <v>0.5149545362319532</v>
      </c>
      <c r="F41" s="131"/>
      <c r="G41" s="105">
        <f ca="1">_xlfn.NORM.INV(RAND(),G3,G32)</f>
        <v>0.64570223093783785</v>
      </c>
    </row>
    <row r="42" spans="1:12" s="107" customFormat="1" x14ac:dyDescent="0.3">
      <c r="A42" s="107" t="s">
        <v>97</v>
      </c>
      <c r="C42" s="128">
        <f>C4*L21</f>
        <v>451.19259537791135</v>
      </c>
      <c r="D42" s="128"/>
      <c r="E42" s="128">
        <f>E4*L21</f>
        <v>113.66337908487522</v>
      </c>
      <c r="F42" s="128"/>
      <c r="G42" s="104">
        <f>G4*L21</f>
        <v>451.19259537791135</v>
      </c>
    </row>
    <row r="43" spans="1:12" x14ac:dyDescent="0.3">
      <c r="C43" s="126"/>
      <c r="D43" s="126"/>
      <c r="E43" s="126"/>
      <c r="F43" s="126"/>
      <c r="G43" s="103"/>
    </row>
    <row r="44" spans="1:12" x14ac:dyDescent="0.3">
      <c r="A44" t="s">
        <v>10</v>
      </c>
      <c r="C44" s="128">
        <f ca="1">_xlfn.NORM.INV(RAND(),C8,C34)</f>
        <v>281.23328021332981</v>
      </c>
      <c r="D44" s="128"/>
      <c r="E44" s="128">
        <f ca="1">_xlfn.NORM.INV(RAND(),E8,E34)</f>
        <v>151.45358339195542</v>
      </c>
      <c r="F44" s="128"/>
      <c r="G44" s="104">
        <f ca="1">_xlfn.NORM.INV(RAND(),G8,G34)</f>
        <v>459.00878679833369</v>
      </c>
    </row>
    <row r="45" spans="1:12" x14ac:dyDescent="0.3">
      <c r="A45" t="s">
        <v>1</v>
      </c>
      <c r="C45" s="128">
        <f ca="1">_xlfn.NORM.INV(RAND(),C9,C35)</f>
        <v>88.873123589003555</v>
      </c>
      <c r="D45" s="128"/>
      <c r="E45" s="128">
        <f ca="1">_xlfn.NORM.INV(RAND(),E9,E35)</f>
        <v>-15.116729027253532</v>
      </c>
      <c r="F45" s="128"/>
      <c r="G45" s="104">
        <f ca="1">_xlfn.NORM.INV(RAND(),G9,G35)</f>
        <v>27.70494902026492</v>
      </c>
    </row>
    <row r="46" spans="1:12" x14ac:dyDescent="0.3">
      <c r="A46" t="s">
        <v>2</v>
      </c>
      <c r="C46" s="128">
        <f ca="1">_xlfn.NORM.INV(RAND(),C10,C36)</f>
        <v>-1.817730685345353</v>
      </c>
      <c r="D46" s="128"/>
      <c r="E46" s="128">
        <f ca="1">_xlfn.NORM.INV(RAND(),E10,E36)</f>
        <v>6.1879310435978319</v>
      </c>
      <c r="F46" s="128"/>
      <c r="G46" s="104">
        <f ca="1">_xlfn.NORM.INV(RAND(),G10,G36)</f>
        <v>15.266963422256328</v>
      </c>
    </row>
    <row r="47" spans="1:12" x14ac:dyDescent="0.3">
      <c r="A47" t="s">
        <v>12</v>
      </c>
      <c r="C47" s="128">
        <f ca="1">_xlfn.NORM.INV(RAND(),C11,C37)</f>
        <v>0.95282229328913504</v>
      </c>
      <c r="D47" s="128"/>
      <c r="E47" s="128">
        <f ca="1">_xlfn.NORM.INV(RAND(),E11,E37)</f>
        <v>0.45974344858505778</v>
      </c>
      <c r="F47" s="128"/>
      <c r="G47" s="104">
        <f ca="1">_xlfn.NORM.INV(RAND(),G11,G37)</f>
        <v>2.4892195315174095</v>
      </c>
    </row>
    <row r="48" spans="1:12" x14ac:dyDescent="0.3">
      <c r="A48" t="s">
        <v>3</v>
      </c>
      <c r="C48" s="128">
        <v>1E-4</v>
      </c>
      <c r="D48" s="128"/>
      <c r="E48" s="128">
        <v>1E-4</v>
      </c>
      <c r="F48" s="128"/>
      <c r="G48" s="104">
        <v>1E-4</v>
      </c>
    </row>
    <row r="49" spans="1:7" x14ac:dyDescent="0.3">
      <c r="C49" s="128"/>
      <c r="D49" s="128"/>
      <c r="E49" s="128"/>
      <c r="F49" s="128"/>
      <c r="G49" s="104"/>
    </row>
    <row r="50" spans="1:7" x14ac:dyDescent="0.3">
      <c r="A50" s="2" t="s">
        <v>18</v>
      </c>
      <c r="C50" s="128">
        <f ca="1">SUM(C45:C48)</f>
        <v>88.008315196947336</v>
      </c>
      <c r="D50" s="128"/>
      <c r="E50" s="128">
        <f ca="1">SUM(E45:E48)</f>
        <v>-8.4689545350706421</v>
      </c>
      <c r="F50" s="128"/>
      <c r="G50" s="104">
        <f ca="1">SUM(G45:G48)</f>
        <v>45.461231974038654</v>
      </c>
    </row>
    <row r="51" spans="1:7" x14ac:dyDescent="0.3">
      <c r="A51" s="2"/>
      <c r="C51" s="128"/>
      <c r="D51" s="128"/>
      <c r="E51" s="128"/>
      <c r="F51" s="128"/>
      <c r="G51" s="104"/>
    </row>
    <row r="52" spans="1:7" x14ac:dyDescent="0.3">
      <c r="A52" s="2" t="s">
        <v>47</v>
      </c>
      <c r="C52" s="128">
        <f ca="1">C41*C42-C50</f>
        <v>158.85015721964479</v>
      </c>
      <c r="D52" s="128"/>
      <c r="E52" s="128">
        <f ca="1">E41*E42-E50</f>
        <v>67.00042719827924</v>
      </c>
      <c r="F52" s="128"/>
      <c r="G52" s="104">
        <f ca="1">G41*G42-G50</f>
        <v>245.87483344411191</v>
      </c>
    </row>
    <row r="53" spans="1:7" x14ac:dyDescent="0.3">
      <c r="A53" s="2"/>
      <c r="C53" s="128"/>
      <c r="D53" s="128"/>
      <c r="E53" s="128"/>
      <c r="F53" s="128"/>
      <c r="G53" s="104"/>
    </row>
    <row r="54" spans="1:7" x14ac:dyDescent="0.3">
      <c r="A54" s="2" t="s">
        <v>13</v>
      </c>
      <c r="C54" s="128">
        <f ca="1">AVERAGE(C58:C557)</f>
        <v>232.02051604905387</v>
      </c>
      <c r="D54" s="128"/>
      <c r="E54" s="128">
        <f ca="1">AVERAGE(E58:E557)</f>
        <v>42.530559455732444</v>
      </c>
      <c r="F54" s="128"/>
      <c r="G54" s="104">
        <f ca="1">AVERAGE(G58:G557)</f>
        <v>232.89301228982171</v>
      </c>
    </row>
    <row r="55" spans="1:7" x14ac:dyDescent="0.3">
      <c r="A55" s="2" t="s">
        <v>11</v>
      </c>
      <c r="C55" s="128">
        <f ca="1">STDEVA(C58:C557)</f>
        <v>76.856666555711627</v>
      </c>
      <c r="D55" s="128"/>
      <c r="E55" s="128">
        <f t="shared" ref="E55:G55" ca="1" si="0">STDEVA(E58:E557)</f>
        <v>27.056173825034357</v>
      </c>
      <c r="F55" s="128"/>
      <c r="G55" s="104">
        <f t="shared" ca="1" si="0"/>
        <v>77.508690788518265</v>
      </c>
    </row>
    <row r="56" spans="1:7" x14ac:dyDescent="0.3">
      <c r="C56" s="126"/>
      <c r="D56" s="126"/>
      <c r="E56" s="126"/>
      <c r="F56" s="126"/>
      <c r="G56" s="103"/>
    </row>
    <row r="57" spans="1:7" x14ac:dyDescent="0.3">
      <c r="A57" s="2" t="s">
        <v>69</v>
      </c>
      <c r="C57" s="126"/>
      <c r="D57" s="126"/>
      <c r="E57" s="126"/>
      <c r="F57" s="126"/>
      <c r="G57" s="103"/>
    </row>
    <row r="58" spans="1:7" x14ac:dyDescent="0.3">
      <c r="B58">
        <v>1</v>
      </c>
      <c r="C58" s="33">
        <f ca="1">C52</f>
        <v>158.85015721964479</v>
      </c>
      <c r="D58" s="52">
        <v>1</v>
      </c>
      <c r="E58" s="33">
        <f ca="1">E52</f>
        <v>67.00042719827924</v>
      </c>
      <c r="F58" s="52">
        <v>1</v>
      </c>
      <c r="G58" s="104">
        <f ca="1">G52</f>
        <v>245.87483344411191</v>
      </c>
    </row>
    <row r="59" spans="1:7" x14ac:dyDescent="0.3">
      <c r="B59">
        <v>2</v>
      </c>
      <c r="C59" s="33">
        <f t="dataTable" ref="C59:C557" dt2D="0" dtr="0" r1="C57" ca="1"/>
        <v>347.40712520894533</v>
      </c>
      <c r="D59" s="52">
        <v>2</v>
      </c>
      <c r="E59" s="33">
        <f t="dataTable" ref="E59:E557" dt2D="0" dtr="0" r1="E57" ca="1"/>
        <v>50.779266276680389</v>
      </c>
      <c r="F59" s="52">
        <v>2</v>
      </c>
      <c r="G59" s="104">
        <f t="dataTable" ref="G59:G557" dt2D="0" dtr="0" r1="G57" ca="1"/>
        <v>156.48078188060992</v>
      </c>
    </row>
    <row r="60" spans="1:7" x14ac:dyDescent="0.3">
      <c r="B60">
        <v>3</v>
      </c>
      <c r="C60" s="33">
        <v>324.65580465015637</v>
      </c>
      <c r="D60" s="52">
        <v>3</v>
      </c>
      <c r="E60" s="33">
        <v>74.737415102691727</v>
      </c>
      <c r="F60" s="52">
        <v>3</v>
      </c>
      <c r="G60" s="104">
        <v>188.96867913163109</v>
      </c>
    </row>
    <row r="61" spans="1:7" x14ac:dyDescent="0.3">
      <c r="B61" s="52">
        <v>4</v>
      </c>
      <c r="C61" s="33">
        <v>123.80996840019002</v>
      </c>
      <c r="D61" s="52">
        <v>4</v>
      </c>
      <c r="E61" s="33">
        <v>-17.481457208791316</v>
      </c>
      <c r="F61" s="52">
        <v>4</v>
      </c>
      <c r="G61" s="104">
        <v>144.0184932927593</v>
      </c>
    </row>
    <row r="62" spans="1:7" x14ac:dyDescent="0.3">
      <c r="B62" s="52">
        <v>5</v>
      </c>
      <c r="C62" s="33">
        <v>256.07340313540976</v>
      </c>
      <c r="D62" s="52">
        <v>5</v>
      </c>
      <c r="E62" s="33">
        <v>49.795597243216037</v>
      </c>
      <c r="F62" s="52">
        <v>5</v>
      </c>
      <c r="G62" s="104">
        <v>239.25100351080209</v>
      </c>
    </row>
    <row r="63" spans="1:7" x14ac:dyDescent="0.3">
      <c r="B63" s="52">
        <v>6</v>
      </c>
      <c r="C63" s="33">
        <v>148.25741746039927</v>
      </c>
      <c r="D63" s="52">
        <v>6</v>
      </c>
      <c r="E63" s="33">
        <v>71.272441783360065</v>
      </c>
      <c r="F63" s="52">
        <v>6</v>
      </c>
      <c r="G63" s="104">
        <v>315.28059921552119</v>
      </c>
    </row>
    <row r="64" spans="1:7" x14ac:dyDescent="0.3">
      <c r="B64" s="52">
        <v>7</v>
      </c>
      <c r="C64" s="33">
        <v>249.83307970955545</v>
      </c>
      <c r="D64" s="52">
        <v>7</v>
      </c>
      <c r="E64" s="33">
        <v>70.111544352585469</v>
      </c>
      <c r="F64" s="52">
        <v>7</v>
      </c>
      <c r="G64" s="104">
        <v>284.06149587867878</v>
      </c>
    </row>
    <row r="65" spans="2:7" x14ac:dyDescent="0.3">
      <c r="B65" s="52">
        <v>8</v>
      </c>
      <c r="C65" s="33">
        <v>297.15203288618062</v>
      </c>
      <c r="D65" s="52">
        <v>8</v>
      </c>
      <c r="E65" s="33">
        <v>36.243593011228768</v>
      </c>
      <c r="F65" s="52">
        <v>8</v>
      </c>
      <c r="G65" s="104">
        <v>284.95111185663353</v>
      </c>
    </row>
    <row r="66" spans="2:7" x14ac:dyDescent="0.3">
      <c r="B66" s="52">
        <v>9</v>
      </c>
      <c r="C66" s="33">
        <v>149.59814088895752</v>
      </c>
      <c r="D66" s="52">
        <v>9</v>
      </c>
      <c r="E66" s="33">
        <v>-15.350084893019613</v>
      </c>
      <c r="F66" s="52">
        <v>9</v>
      </c>
      <c r="G66" s="104">
        <v>119.32563557353457</v>
      </c>
    </row>
    <row r="67" spans="2:7" x14ac:dyDescent="0.3">
      <c r="B67" s="52">
        <v>10</v>
      </c>
      <c r="C67" s="33">
        <v>347.18286184565426</v>
      </c>
      <c r="D67" s="52">
        <v>10</v>
      </c>
      <c r="E67" s="33">
        <v>58.271009670936692</v>
      </c>
      <c r="F67" s="52">
        <v>10</v>
      </c>
      <c r="G67" s="104">
        <v>256.44249321251232</v>
      </c>
    </row>
    <row r="68" spans="2:7" x14ac:dyDescent="0.3">
      <c r="B68" s="52">
        <v>11</v>
      </c>
      <c r="C68" s="33">
        <v>165.70548735673844</v>
      </c>
      <c r="D68" s="52">
        <v>11</v>
      </c>
      <c r="E68" s="33">
        <v>70.940305014874113</v>
      </c>
      <c r="F68" s="52">
        <v>11</v>
      </c>
      <c r="G68" s="104">
        <v>180.61684283596617</v>
      </c>
    </row>
    <row r="69" spans="2:7" x14ac:dyDescent="0.3">
      <c r="B69" s="52">
        <v>12</v>
      </c>
      <c r="C69" s="33">
        <v>134.17833753222965</v>
      </c>
      <c r="D69" s="52">
        <v>12</v>
      </c>
      <c r="E69" s="33">
        <v>70.089645789400947</v>
      </c>
      <c r="F69" s="52">
        <v>12</v>
      </c>
      <c r="G69" s="104">
        <v>293.02273914582412</v>
      </c>
    </row>
    <row r="70" spans="2:7" x14ac:dyDescent="0.3">
      <c r="B70" s="52">
        <v>13</v>
      </c>
      <c r="C70" s="33">
        <v>312.11166842639085</v>
      </c>
      <c r="D70" s="52">
        <v>13</v>
      </c>
      <c r="E70" s="33">
        <v>27.434899570884014</v>
      </c>
      <c r="F70" s="52">
        <v>13</v>
      </c>
      <c r="G70" s="104">
        <v>251.00963609412076</v>
      </c>
    </row>
    <row r="71" spans="2:7" x14ac:dyDescent="0.3">
      <c r="B71" s="52">
        <v>14</v>
      </c>
      <c r="C71" s="33">
        <v>218.32344639262993</v>
      </c>
      <c r="D71" s="52">
        <v>14</v>
      </c>
      <c r="E71" s="33">
        <v>61.807024071246886</v>
      </c>
      <c r="F71" s="52">
        <v>14</v>
      </c>
      <c r="G71" s="104">
        <v>363.061396350672</v>
      </c>
    </row>
    <row r="72" spans="2:7" x14ac:dyDescent="0.3">
      <c r="B72" s="52">
        <v>15</v>
      </c>
      <c r="C72" s="33">
        <v>291.84537841152837</v>
      </c>
      <c r="D72" s="52">
        <v>15</v>
      </c>
      <c r="E72" s="33">
        <v>25.944253996448559</v>
      </c>
      <c r="F72" s="52">
        <v>15</v>
      </c>
      <c r="G72" s="104">
        <v>348.16084876072784</v>
      </c>
    </row>
    <row r="73" spans="2:7" x14ac:dyDescent="0.3">
      <c r="B73" s="52">
        <v>16</v>
      </c>
      <c r="C73" s="33">
        <v>316.86412044280706</v>
      </c>
      <c r="D73" s="52">
        <v>16</v>
      </c>
      <c r="E73" s="33">
        <v>91.910118741690951</v>
      </c>
      <c r="F73" s="52">
        <v>16</v>
      </c>
      <c r="G73" s="104">
        <v>229.37297661534848</v>
      </c>
    </row>
    <row r="74" spans="2:7" x14ac:dyDescent="0.3">
      <c r="B74" s="52">
        <v>17</v>
      </c>
      <c r="C74" s="33">
        <v>213.77730885022109</v>
      </c>
      <c r="D74" s="52">
        <v>17</v>
      </c>
      <c r="E74" s="33">
        <v>-18.689173057192342</v>
      </c>
      <c r="F74" s="52">
        <v>17</v>
      </c>
      <c r="G74" s="104">
        <v>340.00990936070485</v>
      </c>
    </row>
    <row r="75" spans="2:7" x14ac:dyDescent="0.3">
      <c r="B75" s="52">
        <v>18</v>
      </c>
      <c r="C75" s="33">
        <v>254.66790111448435</v>
      </c>
      <c r="D75" s="52">
        <v>18</v>
      </c>
      <c r="E75" s="33">
        <v>66.127208854642063</v>
      </c>
      <c r="F75" s="52">
        <v>18</v>
      </c>
      <c r="G75" s="104">
        <v>237.37999351549311</v>
      </c>
    </row>
    <row r="76" spans="2:7" x14ac:dyDescent="0.3">
      <c r="B76" s="52">
        <v>19</v>
      </c>
      <c r="C76" s="33">
        <v>182.68752727764991</v>
      </c>
      <c r="D76" s="52">
        <v>19</v>
      </c>
      <c r="E76" s="33">
        <v>9.4849756071288844</v>
      </c>
      <c r="F76" s="52">
        <v>19</v>
      </c>
      <c r="G76" s="104">
        <v>246.86530172258534</v>
      </c>
    </row>
    <row r="77" spans="2:7" x14ac:dyDescent="0.3">
      <c r="B77" s="52">
        <v>20</v>
      </c>
      <c r="C77" s="33">
        <v>171.31618329289063</v>
      </c>
      <c r="D77" s="52">
        <v>20</v>
      </c>
      <c r="E77" s="33">
        <v>32.371113715995378</v>
      </c>
      <c r="F77" s="52">
        <v>20</v>
      </c>
      <c r="G77" s="104">
        <v>225.93115375992699</v>
      </c>
    </row>
    <row r="78" spans="2:7" x14ac:dyDescent="0.3">
      <c r="B78" s="52">
        <v>21</v>
      </c>
      <c r="C78" s="33">
        <v>218.31099526715266</v>
      </c>
      <c r="D78" s="52">
        <v>21</v>
      </c>
      <c r="E78" s="33">
        <v>24.39610446847955</v>
      </c>
      <c r="F78" s="52">
        <v>21</v>
      </c>
      <c r="G78" s="104">
        <v>240.7085580644314</v>
      </c>
    </row>
    <row r="79" spans="2:7" x14ac:dyDescent="0.3">
      <c r="B79" s="52">
        <v>22</v>
      </c>
      <c r="C79" s="33">
        <v>218.4314910362001</v>
      </c>
      <c r="D79" s="52">
        <v>22</v>
      </c>
      <c r="E79" s="33">
        <v>56.096174699775176</v>
      </c>
      <c r="F79" s="52">
        <v>22</v>
      </c>
      <c r="G79" s="104">
        <v>260.28478101365772</v>
      </c>
    </row>
    <row r="80" spans="2:7" x14ac:dyDescent="0.3">
      <c r="B80" s="52">
        <v>23</v>
      </c>
      <c r="C80" s="33">
        <v>316.16760164321568</v>
      </c>
      <c r="D80" s="52">
        <v>23</v>
      </c>
      <c r="E80" s="33">
        <v>23.528074650913851</v>
      </c>
      <c r="F80" s="52">
        <v>23</v>
      </c>
      <c r="G80" s="104">
        <v>143.25170334290408</v>
      </c>
    </row>
    <row r="81" spans="2:7" x14ac:dyDescent="0.3">
      <c r="B81" s="52">
        <v>24</v>
      </c>
      <c r="C81" s="33">
        <v>123.21208935889722</v>
      </c>
      <c r="D81" s="52">
        <v>24</v>
      </c>
      <c r="E81" s="33">
        <v>9.5087971320413871</v>
      </c>
      <c r="F81" s="52">
        <v>24</v>
      </c>
      <c r="G81" s="104">
        <v>273.05807051913962</v>
      </c>
    </row>
    <row r="82" spans="2:7" x14ac:dyDescent="0.3">
      <c r="B82" s="52">
        <v>25</v>
      </c>
      <c r="C82" s="33">
        <v>359.07857871352297</v>
      </c>
      <c r="D82" s="52">
        <v>25</v>
      </c>
      <c r="E82" s="33">
        <v>85.615148599663172</v>
      </c>
      <c r="F82" s="52">
        <v>25</v>
      </c>
      <c r="G82" s="104">
        <v>135.77845807071867</v>
      </c>
    </row>
    <row r="83" spans="2:7" x14ac:dyDescent="0.3">
      <c r="B83" s="52">
        <v>26</v>
      </c>
      <c r="C83" s="33">
        <v>227.64297923582487</v>
      </c>
      <c r="D83" s="52">
        <v>26</v>
      </c>
      <c r="E83" s="33">
        <v>37.293847828991538</v>
      </c>
      <c r="F83" s="52">
        <v>26</v>
      </c>
      <c r="G83" s="104">
        <v>273.13028069383591</v>
      </c>
    </row>
    <row r="84" spans="2:7" x14ac:dyDescent="0.3">
      <c r="B84" s="52">
        <v>27</v>
      </c>
      <c r="C84" s="33">
        <v>230.13128686028654</v>
      </c>
      <c r="D84" s="52">
        <v>27</v>
      </c>
      <c r="E84" s="33">
        <v>51.827156350624122</v>
      </c>
      <c r="F84" s="52">
        <v>27</v>
      </c>
      <c r="G84" s="104">
        <v>198.41202485235675</v>
      </c>
    </row>
    <row r="85" spans="2:7" x14ac:dyDescent="0.3">
      <c r="B85" s="52">
        <v>28</v>
      </c>
      <c r="C85" s="33">
        <v>254.36309539560037</v>
      </c>
      <c r="D85" s="52">
        <v>28</v>
      </c>
      <c r="E85" s="33">
        <v>82.621738969001541</v>
      </c>
      <c r="F85" s="52">
        <v>28</v>
      </c>
      <c r="G85" s="104">
        <v>166.64152998394871</v>
      </c>
    </row>
    <row r="86" spans="2:7" x14ac:dyDescent="0.3">
      <c r="B86" s="52">
        <v>29</v>
      </c>
      <c r="C86" s="33">
        <v>352.93045929340582</v>
      </c>
      <c r="D86" s="52">
        <v>29</v>
      </c>
      <c r="E86" s="33">
        <v>57.979281110618807</v>
      </c>
      <c r="F86" s="52">
        <v>29</v>
      </c>
      <c r="G86" s="104">
        <v>135.46876599024759</v>
      </c>
    </row>
    <row r="87" spans="2:7" x14ac:dyDescent="0.3">
      <c r="B87" s="52">
        <v>30</v>
      </c>
      <c r="C87" s="33">
        <v>139.06508523156938</v>
      </c>
      <c r="D87" s="52">
        <v>30</v>
      </c>
      <c r="E87" s="33">
        <v>-8.4441987957541684</v>
      </c>
      <c r="F87" s="52">
        <v>30</v>
      </c>
      <c r="G87" s="104">
        <v>268.2154813184801</v>
      </c>
    </row>
    <row r="88" spans="2:7" x14ac:dyDescent="0.3">
      <c r="B88" s="52">
        <v>31</v>
      </c>
      <c r="C88" s="33">
        <v>79.846932864776903</v>
      </c>
      <c r="D88" s="52">
        <v>31</v>
      </c>
      <c r="E88" s="33">
        <v>58.917834267021178</v>
      </c>
      <c r="F88" s="52">
        <v>31</v>
      </c>
      <c r="G88" s="104">
        <v>248.02086319250415</v>
      </c>
    </row>
    <row r="89" spans="2:7" x14ac:dyDescent="0.3">
      <c r="B89" s="52">
        <v>32</v>
      </c>
      <c r="C89" s="33">
        <v>132.30671278231614</v>
      </c>
      <c r="D89" s="52">
        <v>32</v>
      </c>
      <c r="E89" s="33">
        <v>-3.9269863097744064</v>
      </c>
      <c r="F89" s="52">
        <v>32</v>
      </c>
      <c r="G89" s="104">
        <v>254.44101388884292</v>
      </c>
    </row>
    <row r="90" spans="2:7" x14ac:dyDescent="0.3">
      <c r="B90" s="52">
        <v>33</v>
      </c>
      <c r="C90" s="33">
        <v>53.780503641601541</v>
      </c>
      <c r="D90" s="52">
        <v>33</v>
      </c>
      <c r="E90" s="33">
        <v>69.598387644624964</v>
      </c>
      <c r="F90" s="52">
        <v>33</v>
      </c>
      <c r="G90" s="104">
        <v>107.58183299181218</v>
      </c>
    </row>
    <row r="91" spans="2:7" x14ac:dyDescent="0.3">
      <c r="B91" s="52">
        <v>34</v>
      </c>
      <c r="C91" s="33">
        <v>96.176070661990082</v>
      </c>
      <c r="D91" s="52">
        <v>34</v>
      </c>
      <c r="E91" s="33">
        <v>60.357632778686352</v>
      </c>
      <c r="F91" s="52">
        <v>34</v>
      </c>
      <c r="G91" s="104">
        <v>104.0380228698501</v>
      </c>
    </row>
    <row r="92" spans="2:7" x14ac:dyDescent="0.3">
      <c r="B92" s="52">
        <v>35</v>
      </c>
      <c r="C92" s="33">
        <v>163.2158520580457</v>
      </c>
      <c r="D92" s="52">
        <v>35</v>
      </c>
      <c r="E92" s="33">
        <v>64.657880174824854</v>
      </c>
      <c r="F92" s="52">
        <v>35</v>
      </c>
      <c r="G92" s="104">
        <v>347.62684802266813</v>
      </c>
    </row>
    <row r="93" spans="2:7" x14ac:dyDescent="0.3">
      <c r="B93" s="52">
        <v>36</v>
      </c>
      <c r="C93" s="33">
        <v>149.65903884245145</v>
      </c>
      <c r="D93" s="52">
        <v>36</v>
      </c>
      <c r="E93" s="33">
        <v>-41.568693011680736</v>
      </c>
      <c r="F93" s="52">
        <v>36</v>
      </c>
      <c r="G93" s="104">
        <v>165.96613534061828</v>
      </c>
    </row>
    <row r="94" spans="2:7" x14ac:dyDescent="0.3">
      <c r="B94" s="52">
        <v>37</v>
      </c>
      <c r="C94" s="33">
        <v>79.873854240811013</v>
      </c>
      <c r="D94" s="52">
        <v>37</v>
      </c>
      <c r="E94" s="33">
        <v>40.899533807668966</v>
      </c>
      <c r="F94" s="52">
        <v>37</v>
      </c>
      <c r="G94" s="104">
        <v>188.97219193568623</v>
      </c>
    </row>
    <row r="95" spans="2:7" x14ac:dyDescent="0.3">
      <c r="B95" s="52">
        <v>38</v>
      </c>
      <c r="C95" s="33">
        <v>292.88999007684708</v>
      </c>
      <c r="D95" s="52">
        <v>38</v>
      </c>
      <c r="E95" s="33">
        <v>57.567502445457059</v>
      </c>
      <c r="F95" s="52">
        <v>38</v>
      </c>
      <c r="G95" s="104">
        <v>425.26889075051997</v>
      </c>
    </row>
    <row r="96" spans="2:7" x14ac:dyDescent="0.3">
      <c r="B96" s="52">
        <v>39</v>
      </c>
      <c r="C96" s="33">
        <v>234.90424127965647</v>
      </c>
      <c r="D96" s="52">
        <v>39</v>
      </c>
      <c r="E96" s="33">
        <v>30.907830470683827</v>
      </c>
      <c r="F96" s="52">
        <v>39</v>
      </c>
      <c r="G96" s="104">
        <v>236.94245208081236</v>
      </c>
    </row>
    <row r="97" spans="2:7" x14ac:dyDescent="0.3">
      <c r="B97" s="52">
        <v>40</v>
      </c>
      <c r="C97" s="33">
        <v>161.46478298129546</v>
      </c>
      <c r="D97" s="52">
        <v>40</v>
      </c>
      <c r="E97" s="33">
        <v>61.429914451745411</v>
      </c>
      <c r="F97" s="52">
        <v>40</v>
      </c>
      <c r="G97" s="104">
        <v>195.10091881049908</v>
      </c>
    </row>
    <row r="98" spans="2:7" x14ac:dyDescent="0.3">
      <c r="B98" s="52">
        <v>41</v>
      </c>
      <c r="C98" s="33">
        <v>410.31512380616107</v>
      </c>
      <c r="D98" s="52">
        <v>41</v>
      </c>
      <c r="E98" s="33">
        <v>83.065418390336831</v>
      </c>
      <c r="F98" s="52">
        <v>41</v>
      </c>
      <c r="G98" s="104">
        <v>199.81517846344295</v>
      </c>
    </row>
    <row r="99" spans="2:7" x14ac:dyDescent="0.3">
      <c r="B99" s="52">
        <v>42</v>
      </c>
      <c r="C99" s="33">
        <v>130.27685091722708</v>
      </c>
      <c r="D99" s="52">
        <v>42</v>
      </c>
      <c r="E99" s="33">
        <v>64.275027653535048</v>
      </c>
      <c r="F99" s="52">
        <v>42</v>
      </c>
      <c r="G99" s="104">
        <v>177.01390104238655</v>
      </c>
    </row>
    <row r="100" spans="2:7" x14ac:dyDescent="0.3">
      <c r="B100" s="52">
        <v>43</v>
      </c>
      <c r="C100" s="33">
        <v>288.87589575734404</v>
      </c>
      <c r="D100" s="52">
        <v>43</v>
      </c>
      <c r="E100" s="33">
        <v>34.919923189383226</v>
      </c>
      <c r="F100" s="52">
        <v>43</v>
      </c>
      <c r="G100" s="104">
        <v>195.3246006182689</v>
      </c>
    </row>
    <row r="101" spans="2:7" x14ac:dyDescent="0.3">
      <c r="B101" s="52">
        <v>44</v>
      </c>
      <c r="C101" s="33">
        <v>221.01690831241589</v>
      </c>
      <c r="D101" s="52">
        <v>44</v>
      </c>
      <c r="E101" s="33">
        <v>-3.7972068164422197</v>
      </c>
      <c r="F101" s="52">
        <v>44</v>
      </c>
      <c r="G101" s="104">
        <v>247.15543876160945</v>
      </c>
    </row>
    <row r="102" spans="2:7" x14ac:dyDescent="0.3">
      <c r="B102" s="52">
        <v>45</v>
      </c>
      <c r="C102" s="33">
        <v>234.56305570668346</v>
      </c>
      <c r="D102" s="52">
        <v>45</v>
      </c>
      <c r="E102" s="33">
        <v>68.567619900531014</v>
      </c>
      <c r="F102" s="52">
        <v>45</v>
      </c>
      <c r="G102" s="104">
        <v>179.93072556508503</v>
      </c>
    </row>
    <row r="103" spans="2:7" x14ac:dyDescent="0.3">
      <c r="B103" s="52">
        <v>46</v>
      </c>
      <c r="C103" s="33">
        <v>219.18837977339888</v>
      </c>
      <c r="D103" s="52">
        <v>46</v>
      </c>
      <c r="E103" s="33">
        <v>54.592302786060209</v>
      </c>
      <c r="F103" s="52">
        <v>46</v>
      </c>
      <c r="G103" s="104">
        <v>205.79853651669447</v>
      </c>
    </row>
    <row r="104" spans="2:7" x14ac:dyDescent="0.3">
      <c r="B104" s="52">
        <v>47</v>
      </c>
      <c r="C104" s="33">
        <v>308.44964304370632</v>
      </c>
      <c r="D104" s="52">
        <v>47</v>
      </c>
      <c r="E104" s="33">
        <v>54.545260229992529</v>
      </c>
      <c r="F104" s="52">
        <v>47</v>
      </c>
      <c r="G104" s="104">
        <v>447.90167364456784</v>
      </c>
    </row>
    <row r="105" spans="2:7" x14ac:dyDescent="0.3">
      <c r="B105" s="52">
        <v>48</v>
      </c>
      <c r="C105" s="33">
        <v>269.46829298068383</v>
      </c>
      <c r="D105" s="52">
        <v>48</v>
      </c>
      <c r="E105" s="33">
        <v>30.62911290137405</v>
      </c>
      <c r="F105" s="52">
        <v>48</v>
      </c>
      <c r="G105" s="104">
        <v>336.61751257096375</v>
      </c>
    </row>
    <row r="106" spans="2:7" x14ac:dyDescent="0.3">
      <c r="B106" s="52">
        <v>49</v>
      </c>
      <c r="C106" s="33">
        <v>168.97518667503988</v>
      </c>
      <c r="D106" s="52">
        <v>49</v>
      </c>
      <c r="E106" s="33">
        <v>57.266259574577418</v>
      </c>
      <c r="F106" s="52">
        <v>49</v>
      </c>
      <c r="G106" s="104">
        <v>318.21596677838767</v>
      </c>
    </row>
    <row r="107" spans="2:7" x14ac:dyDescent="0.3">
      <c r="B107" s="52">
        <v>50</v>
      </c>
      <c r="C107" s="33">
        <v>314.18528174250878</v>
      </c>
      <c r="D107" s="52">
        <v>50</v>
      </c>
      <c r="E107" s="33">
        <v>32.062439343369327</v>
      </c>
      <c r="F107" s="52">
        <v>50</v>
      </c>
      <c r="G107" s="104">
        <v>290.4134697311606</v>
      </c>
    </row>
    <row r="108" spans="2:7" x14ac:dyDescent="0.3">
      <c r="B108" s="52">
        <v>51</v>
      </c>
      <c r="C108" s="33">
        <v>229.15505655315462</v>
      </c>
      <c r="D108" s="52">
        <v>51</v>
      </c>
      <c r="E108" s="33">
        <v>64.450831260066948</v>
      </c>
      <c r="F108" s="52">
        <v>51</v>
      </c>
      <c r="G108" s="104">
        <v>359.86383296854586</v>
      </c>
    </row>
    <row r="109" spans="2:7" x14ac:dyDescent="0.3">
      <c r="B109" s="52">
        <v>52</v>
      </c>
      <c r="C109" s="33">
        <v>226.3675461015371</v>
      </c>
      <c r="D109" s="52">
        <v>52</v>
      </c>
      <c r="E109" s="33">
        <v>30.709370599991754</v>
      </c>
      <c r="F109" s="52">
        <v>52</v>
      </c>
      <c r="G109" s="104">
        <v>251.75232757570296</v>
      </c>
    </row>
    <row r="110" spans="2:7" x14ac:dyDescent="0.3">
      <c r="B110" s="52">
        <v>53</v>
      </c>
      <c r="C110" s="33">
        <v>328.78668941668519</v>
      </c>
      <c r="D110" s="52">
        <v>53</v>
      </c>
      <c r="E110" s="33">
        <v>49.119116775805303</v>
      </c>
      <c r="F110" s="52">
        <v>53</v>
      </c>
      <c r="G110" s="104">
        <v>332.73595517051291</v>
      </c>
    </row>
    <row r="111" spans="2:7" x14ac:dyDescent="0.3">
      <c r="B111" s="52">
        <v>54</v>
      </c>
      <c r="C111" s="33">
        <v>330.63210706988372</v>
      </c>
      <c r="D111" s="52">
        <v>54</v>
      </c>
      <c r="E111" s="33">
        <v>48.143217993252975</v>
      </c>
      <c r="F111" s="52">
        <v>54</v>
      </c>
      <c r="G111" s="104">
        <v>218.35458357263948</v>
      </c>
    </row>
    <row r="112" spans="2:7" x14ac:dyDescent="0.3">
      <c r="B112" s="52">
        <v>55</v>
      </c>
      <c r="C112" s="33">
        <v>220.50597663407555</v>
      </c>
      <c r="D112" s="52">
        <v>55</v>
      </c>
      <c r="E112" s="33">
        <v>88.547219253357255</v>
      </c>
      <c r="F112" s="52">
        <v>55</v>
      </c>
      <c r="G112" s="104">
        <v>345.92406453036892</v>
      </c>
    </row>
    <row r="113" spans="2:7" x14ac:dyDescent="0.3">
      <c r="B113" s="52">
        <v>56</v>
      </c>
      <c r="C113" s="33">
        <v>276.99486496072046</v>
      </c>
      <c r="D113" s="52">
        <v>56</v>
      </c>
      <c r="E113" s="33">
        <v>87.276446679808316</v>
      </c>
      <c r="F113" s="52">
        <v>56</v>
      </c>
      <c r="G113" s="104">
        <v>311.92643020463498</v>
      </c>
    </row>
    <row r="114" spans="2:7" x14ac:dyDescent="0.3">
      <c r="B114" s="52">
        <v>57</v>
      </c>
      <c r="C114" s="33">
        <v>338.63888756128091</v>
      </c>
      <c r="D114" s="52">
        <v>57</v>
      </c>
      <c r="E114" s="33">
        <v>1.2081720071510205</v>
      </c>
      <c r="F114" s="52">
        <v>57</v>
      </c>
      <c r="G114" s="104">
        <v>121.44700135215183</v>
      </c>
    </row>
    <row r="115" spans="2:7" x14ac:dyDescent="0.3">
      <c r="B115" s="52">
        <v>58</v>
      </c>
      <c r="C115" s="33">
        <v>116.31603616681744</v>
      </c>
      <c r="D115" s="52">
        <v>58</v>
      </c>
      <c r="E115" s="33">
        <v>36.703151954868659</v>
      </c>
      <c r="F115" s="52">
        <v>58</v>
      </c>
      <c r="G115" s="104">
        <v>221.57872556480888</v>
      </c>
    </row>
    <row r="116" spans="2:7" x14ac:dyDescent="0.3">
      <c r="B116" s="52">
        <v>59</v>
      </c>
      <c r="C116" s="33">
        <v>202.35701435297011</v>
      </c>
      <c r="D116" s="52">
        <v>59</v>
      </c>
      <c r="E116" s="33">
        <v>53.474798555585203</v>
      </c>
      <c r="F116" s="52">
        <v>59</v>
      </c>
      <c r="G116" s="104">
        <v>261.62659505523504</v>
      </c>
    </row>
    <row r="117" spans="2:7" x14ac:dyDescent="0.3">
      <c r="B117" s="52">
        <v>60</v>
      </c>
      <c r="C117" s="33">
        <v>275.67257287982227</v>
      </c>
      <c r="D117" s="52">
        <v>60</v>
      </c>
      <c r="E117" s="33">
        <v>34.201177005219357</v>
      </c>
      <c r="F117" s="52">
        <v>60</v>
      </c>
      <c r="G117" s="104">
        <v>329.66511926137571</v>
      </c>
    </row>
    <row r="118" spans="2:7" x14ac:dyDescent="0.3">
      <c r="B118" s="52">
        <v>61</v>
      </c>
      <c r="C118" s="33">
        <v>82.025174402351851</v>
      </c>
      <c r="D118" s="52">
        <v>61</v>
      </c>
      <c r="E118" s="33">
        <v>13.986496001262388</v>
      </c>
      <c r="F118" s="52">
        <v>61</v>
      </c>
      <c r="G118" s="104">
        <v>341.56319507133423</v>
      </c>
    </row>
    <row r="119" spans="2:7" x14ac:dyDescent="0.3">
      <c r="B119" s="52">
        <v>62</v>
      </c>
      <c r="C119" s="33">
        <v>161.71590520667829</v>
      </c>
      <c r="D119" s="52">
        <v>62</v>
      </c>
      <c r="E119" s="33">
        <v>24.641660853592782</v>
      </c>
      <c r="F119" s="52">
        <v>62</v>
      </c>
      <c r="G119" s="104">
        <v>388.96181354496991</v>
      </c>
    </row>
    <row r="120" spans="2:7" x14ac:dyDescent="0.3">
      <c r="B120" s="52">
        <v>63</v>
      </c>
      <c r="C120" s="33">
        <v>260.3134266634741</v>
      </c>
      <c r="D120" s="52">
        <v>63</v>
      </c>
      <c r="E120" s="33">
        <v>21.493697322589252</v>
      </c>
      <c r="F120" s="52">
        <v>63</v>
      </c>
      <c r="G120" s="104">
        <v>187.72262993868605</v>
      </c>
    </row>
    <row r="121" spans="2:7" x14ac:dyDescent="0.3">
      <c r="B121" s="52">
        <v>64</v>
      </c>
      <c r="C121" s="33">
        <v>233.80774212045165</v>
      </c>
      <c r="D121" s="52">
        <v>64</v>
      </c>
      <c r="E121" s="33">
        <v>3.5939048426689837</v>
      </c>
      <c r="F121" s="52">
        <v>64</v>
      </c>
      <c r="G121" s="104">
        <v>263.19230306213115</v>
      </c>
    </row>
    <row r="122" spans="2:7" x14ac:dyDescent="0.3">
      <c r="B122" s="52">
        <v>65</v>
      </c>
      <c r="C122" s="33">
        <v>177.66076379441205</v>
      </c>
      <c r="D122" s="52">
        <v>65</v>
      </c>
      <c r="E122" s="33">
        <v>42.198554539799929</v>
      </c>
      <c r="F122" s="52">
        <v>65</v>
      </c>
      <c r="G122" s="104">
        <v>134.93186179121906</v>
      </c>
    </row>
    <row r="123" spans="2:7" x14ac:dyDescent="0.3">
      <c r="B123" s="52">
        <v>66</v>
      </c>
      <c r="C123" s="33">
        <v>107.98933182687912</v>
      </c>
      <c r="D123" s="52">
        <v>66</v>
      </c>
      <c r="E123" s="33">
        <v>16.208713519681652</v>
      </c>
      <c r="F123" s="52">
        <v>66</v>
      </c>
      <c r="G123" s="104">
        <v>233.31456591653802</v>
      </c>
    </row>
    <row r="124" spans="2:7" x14ac:dyDescent="0.3">
      <c r="B124" s="52">
        <v>67</v>
      </c>
      <c r="C124" s="33">
        <v>210.46360038928609</v>
      </c>
      <c r="D124" s="52">
        <v>67</v>
      </c>
      <c r="E124" s="33">
        <v>56.809659745489</v>
      </c>
      <c r="F124" s="52">
        <v>67</v>
      </c>
      <c r="G124" s="104">
        <v>230.24602908562917</v>
      </c>
    </row>
    <row r="125" spans="2:7" x14ac:dyDescent="0.3">
      <c r="B125" s="52">
        <v>68</v>
      </c>
      <c r="C125" s="33">
        <v>57.4006744872909</v>
      </c>
      <c r="D125" s="52">
        <v>68</v>
      </c>
      <c r="E125" s="33">
        <v>33.715081288535195</v>
      </c>
      <c r="F125" s="52">
        <v>68</v>
      </c>
      <c r="G125" s="104">
        <v>182.77644146594932</v>
      </c>
    </row>
    <row r="126" spans="2:7" x14ac:dyDescent="0.3">
      <c r="B126" s="52">
        <v>69</v>
      </c>
      <c r="C126" s="33">
        <v>216.69863344722086</v>
      </c>
      <c r="D126" s="52">
        <v>69</v>
      </c>
      <c r="E126" s="33">
        <v>-5.5463459073467476</v>
      </c>
      <c r="F126" s="52">
        <v>69</v>
      </c>
      <c r="G126" s="104">
        <v>253.59095400843876</v>
      </c>
    </row>
    <row r="127" spans="2:7" x14ac:dyDescent="0.3">
      <c r="B127" s="52">
        <v>70</v>
      </c>
      <c r="C127" s="33">
        <v>293.19417688425608</v>
      </c>
      <c r="D127" s="52">
        <v>70</v>
      </c>
      <c r="E127" s="33">
        <v>20.321961395914485</v>
      </c>
      <c r="F127" s="52">
        <v>70</v>
      </c>
      <c r="G127" s="104">
        <v>252.73760762471244</v>
      </c>
    </row>
    <row r="128" spans="2:7" x14ac:dyDescent="0.3">
      <c r="B128" s="52">
        <v>71</v>
      </c>
      <c r="C128" s="33">
        <v>303.33607443234325</v>
      </c>
      <c r="D128" s="52">
        <v>71</v>
      </c>
      <c r="E128" s="33">
        <v>67.022556746093642</v>
      </c>
      <c r="F128" s="52">
        <v>71</v>
      </c>
      <c r="G128" s="104">
        <v>279.6416171604514</v>
      </c>
    </row>
    <row r="129" spans="2:7" x14ac:dyDescent="0.3">
      <c r="B129" s="52">
        <v>72</v>
      </c>
      <c r="C129" s="33">
        <v>208.02161516974124</v>
      </c>
      <c r="D129" s="52">
        <v>72</v>
      </c>
      <c r="E129" s="33">
        <v>37.677906350874593</v>
      </c>
      <c r="F129" s="52">
        <v>72</v>
      </c>
      <c r="G129" s="104">
        <v>227.12796452220599</v>
      </c>
    </row>
    <row r="130" spans="2:7" x14ac:dyDescent="0.3">
      <c r="B130" s="52">
        <v>73</v>
      </c>
      <c r="C130" s="33">
        <v>253.8601595868663</v>
      </c>
      <c r="D130" s="52">
        <v>73</v>
      </c>
      <c r="E130" s="33">
        <v>73.067743522554977</v>
      </c>
      <c r="F130" s="52">
        <v>73</v>
      </c>
      <c r="G130" s="104">
        <v>237.77241212310273</v>
      </c>
    </row>
    <row r="131" spans="2:7" x14ac:dyDescent="0.3">
      <c r="B131" s="52">
        <v>74</v>
      </c>
      <c r="C131" s="33">
        <v>345.35579460059057</v>
      </c>
      <c r="D131" s="52">
        <v>74</v>
      </c>
      <c r="E131" s="33">
        <v>43.885683162243133</v>
      </c>
      <c r="F131" s="52">
        <v>74</v>
      </c>
      <c r="G131" s="104">
        <v>327.30465353092683</v>
      </c>
    </row>
    <row r="132" spans="2:7" x14ac:dyDescent="0.3">
      <c r="B132" s="52">
        <v>75</v>
      </c>
      <c r="C132" s="33">
        <v>274.59891342128174</v>
      </c>
      <c r="D132" s="52">
        <v>75</v>
      </c>
      <c r="E132" s="33">
        <v>79.171188730832142</v>
      </c>
      <c r="F132" s="52">
        <v>75</v>
      </c>
      <c r="G132" s="104">
        <v>229.66897411374347</v>
      </c>
    </row>
    <row r="133" spans="2:7" x14ac:dyDescent="0.3">
      <c r="B133" s="52">
        <v>76</v>
      </c>
      <c r="C133" s="33">
        <v>155.718302861089</v>
      </c>
      <c r="D133" s="52">
        <v>76</v>
      </c>
      <c r="E133" s="33">
        <v>39.815630102015533</v>
      </c>
      <c r="F133" s="52">
        <v>76</v>
      </c>
      <c r="G133" s="104">
        <v>253.76073188884601</v>
      </c>
    </row>
    <row r="134" spans="2:7" x14ac:dyDescent="0.3">
      <c r="B134" s="52">
        <v>77</v>
      </c>
      <c r="C134" s="33">
        <v>255.20792087580296</v>
      </c>
      <c r="D134" s="52">
        <v>77</v>
      </c>
      <c r="E134" s="33">
        <v>79.941210236463945</v>
      </c>
      <c r="F134" s="52">
        <v>77</v>
      </c>
      <c r="G134" s="104">
        <v>144.64311710485785</v>
      </c>
    </row>
    <row r="135" spans="2:7" x14ac:dyDescent="0.3">
      <c r="B135" s="52">
        <v>78</v>
      </c>
      <c r="C135" s="33">
        <v>140.09501532953632</v>
      </c>
      <c r="D135" s="52">
        <v>78</v>
      </c>
      <c r="E135" s="33">
        <v>70.049429175571447</v>
      </c>
      <c r="F135" s="52">
        <v>78</v>
      </c>
      <c r="G135" s="104">
        <v>132.70647434421295</v>
      </c>
    </row>
    <row r="136" spans="2:7" x14ac:dyDescent="0.3">
      <c r="B136" s="52">
        <v>79</v>
      </c>
      <c r="C136" s="33">
        <v>253.86909617894904</v>
      </c>
      <c r="D136" s="52">
        <v>79</v>
      </c>
      <c r="E136" s="33">
        <v>14.083384173387635</v>
      </c>
      <c r="F136" s="52">
        <v>79</v>
      </c>
      <c r="G136" s="104">
        <v>331.01960406116268</v>
      </c>
    </row>
    <row r="137" spans="2:7" x14ac:dyDescent="0.3">
      <c r="B137" s="52">
        <v>80</v>
      </c>
      <c r="C137" s="33">
        <v>406.30264349297784</v>
      </c>
      <c r="D137" s="52">
        <v>80</v>
      </c>
      <c r="E137" s="33">
        <v>-17.03271456195445</v>
      </c>
      <c r="F137" s="52">
        <v>80</v>
      </c>
      <c r="G137" s="104">
        <v>207.87542328627512</v>
      </c>
    </row>
    <row r="138" spans="2:7" x14ac:dyDescent="0.3">
      <c r="B138" s="52">
        <v>81</v>
      </c>
      <c r="C138" s="33">
        <v>335.71868074202985</v>
      </c>
      <c r="D138" s="52">
        <v>81</v>
      </c>
      <c r="E138" s="33">
        <v>58.133808245371</v>
      </c>
      <c r="F138" s="52">
        <v>81</v>
      </c>
      <c r="G138" s="104">
        <v>220.34372844372626</v>
      </c>
    </row>
    <row r="139" spans="2:7" x14ac:dyDescent="0.3">
      <c r="B139" s="52">
        <v>82</v>
      </c>
      <c r="C139" s="33">
        <v>152.87247881896968</v>
      </c>
      <c r="D139" s="52">
        <v>82</v>
      </c>
      <c r="E139" s="33">
        <v>35.737276260548533</v>
      </c>
      <c r="F139" s="52">
        <v>82</v>
      </c>
      <c r="G139" s="104">
        <v>163.48112066795295</v>
      </c>
    </row>
    <row r="140" spans="2:7" x14ac:dyDescent="0.3">
      <c r="B140" s="52">
        <v>83</v>
      </c>
      <c r="C140" s="33">
        <v>244.00892614636138</v>
      </c>
      <c r="D140" s="52">
        <v>83</v>
      </c>
      <c r="E140" s="33">
        <v>37.213963953924548</v>
      </c>
      <c r="F140" s="52">
        <v>83</v>
      </c>
      <c r="G140" s="104">
        <v>327.58909347797874</v>
      </c>
    </row>
    <row r="141" spans="2:7" x14ac:dyDescent="0.3">
      <c r="B141" s="52">
        <v>84</v>
      </c>
      <c r="C141" s="33">
        <v>242.72292138094383</v>
      </c>
      <c r="D141" s="52">
        <v>84</v>
      </c>
      <c r="E141" s="33">
        <v>-1.622643628948147</v>
      </c>
      <c r="F141" s="52">
        <v>84</v>
      </c>
      <c r="G141" s="104">
        <v>246.28368970910174</v>
      </c>
    </row>
    <row r="142" spans="2:7" x14ac:dyDescent="0.3">
      <c r="B142" s="52">
        <v>85</v>
      </c>
      <c r="C142" s="33">
        <v>320.59262534781067</v>
      </c>
      <c r="D142" s="52">
        <v>85</v>
      </c>
      <c r="E142" s="33">
        <v>29.906705918774904</v>
      </c>
      <c r="F142" s="52">
        <v>85</v>
      </c>
      <c r="G142" s="104">
        <v>200.5080040185791</v>
      </c>
    </row>
    <row r="143" spans="2:7" x14ac:dyDescent="0.3">
      <c r="B143" s="52">
        <v>86</v>
      </c>
      <c r="C143" s="33">
        <v>261.91248444161039</v>
      </c>
      <c r="D143" s="52">
        <v>86</v>
      </c>
      <c r="E143" s="33">
        <v>61.327174182969287</v>
      </c>
      <c r="F143" s="52">
        <v>86</v>
      </c>
      <c r="G143" s="104">
        <v>439.7977442235491</v>
      </c>
    </row>
    <row r="144" spans="2:7" x14ac:dyDescent="0.3">
      <c r="B144" s="52">
        <v>87</v>
      </c>
      <c r="C144" s="33">
        <v>232.68357787434729</v>
      </c>
      <c r="D144" s="52">
        <v>87</v>
      </c>
      <c r="E144" s="33">
        <v>37.444771473792827</v>
      </c>
      <c r="F144" s="52">
        <v>87</v>
      </c>
      <c r="G144" s="104">
        <v>292.49830849743529</v>
      </c>
    </row>
    <row r="145" spans="2:7" x14ac:dyDescent="0.3">
      <c r="B145" s="52">
        <v>88</v>
      </c>
      <c r="C145" s="33">
        <v>285.47167055785076</v>
      </c>
      <c r="D145" s="52">
        <v>88</v>
      </c>
      <c r="E145" s="33">
        <v>77.019019781070313</v>
      </c>
      <c r="F145" s="52">
        <v>88</v>
      </c>
      <c r="G145" s="104">
        <v>306.72201359546739</v>
      </c>
    </row>
    <row r="146" spans="2:7" x14ac:dyDescent="0.3">
      <c r="B146" s="52">
        <v>89</v>
      </c>
      <c r="C146" s="33">
        <v>354.44128038907479</v>
      </c>
      <c r="D146" s="52">
        <v>89</v>
      </c>
      <c r="E146" s="33">
        <v>38.558194409681313</v>
      </c>
      <c r="F146" s="52">
        <v>89</v>
      </c>
      <c r="G146" s="104">
        <v>174.49262142623397</v>
      </c>
    </row>
    <row r="147" spans="2:7" x14ac:dyDescent="0.3">
      <c r="B147" s="52">
        <v>90</v>
      </c>
      <c r="C147" s="33">
        <v>145.91682759276824</v>
      </c>
      <c r="D147" s="52">
        <v>90</v>
      </c>
      <c r="E147" s="33">
        <v>40.868725957804799</v>
      </c>
      <c r="F147" s="52">
        <v>90</v>
      </c>
      <c r="G147" s="104">
        <v>358.37508638733721</v>
      </c>
    </row>
    <row r="148" spans="2:7" x14ac:dyDescent="0.3">
      <c r="B148" s="52">
        <v>91</v>
      </c>
      <c r="C148" s="33">
        <v>141.54999678232679</v>
      </c>
      <c r="D148" s="52">
        <v>91</v>
      </c>
      <c r="E148" s="33">
        <v>16.438389900993577</v>
      </c>
      <c r="F148" s="52">
        <v>91</v>
      </c>
      <c r="G148" s="104">
        <v>258.42554633287568</v>
      </c>
    </row>
    <row r="149" spans="2:7" x14ac:dyDescent="0.3">
      <c r="B149" s="52">
        <v>92</v>
      </c>
      <c r="C149" s="33">
        <v>184.97308253174236</v>
      </c>
      <c r="D149" s="52">
        <v>92</v>
      </c>
      <c r="E149" s="33">
        <v>57.803207782616283</v>
      </c>
      <c r="F149" s="52">
        <v>92</v>
      </c>
      <c r="G149" s="104">
        <v>375.2184356082272</v>
      </c>
    </row>
    <row r="150" spans="2:7" x14ac:dyDescent="0.3">
      <c r="B150" s="52">
        <v>93</v>
      </c>
      <c r="C150" s="33">
        <v>268.80824720921754</v>
      </c>
      <c r="D150" s="52">
        <v>93</v>
      </c>
      <c r="E150" s="33">
        <v>32.124411223001829</v>
      </c>
      <c r="F150" s="52">
        <v>93</v>
      </c>
      <c r="G150" s="104">
        <v>269.42491852623647</v>
      </c>
    </row>
    <row r="151" spans="2:7" x14ac:dyDescent="0.3">
      <c r="B151" s="52">
        <v>94</v>
      </c>
      <c r="C151" s="33">
        <v>264.28003204765059</v>
      </c>
      <c r="D151" s="52">
        <v>94</v>
      </c>
      <c r="E151" s="33">
        <v>24.656321830146563</v>
      </c>
      <c r="F151" s="52">
        <v>94</v>
      </c>
      <c r="G151" s="104">
        <v>249.27710349370861</v>
      </c>
    </row>
    <row r="152" spans="2:7" x14ac:dyDescent="0.3">
      <c r="B152" s="52">
        <v>95</v>
      </c>
      <c r="C152" s="33">
        <v>234.36732906454762</v>
      </c>
      <c r="D152" s="52">
        <v>95</v>
      </c>
      <c r="E152" s="33">
        <v>67.734544463814615</v>
      </c>
      <c r="F152" s="52">
        <v>95</v>
      </c>
      <c r="G152" s="104">
        <v>272.83393540527476</v>
      </c>
    </row>
    <row r="153" spans="2:7" x14ac:dyDescent="0.3">
      <c r="B153" s="52">
        <v>96</v>
      </c>
      <c r="C153" s="33">
        <v>209.30394367890952</v>
      </c>
      <c r="D153" s="52">
        <v>96</v>
      </c>
      <c r="E153" s="33">
        <v>66.939907136978618</v>
      </c>
      <c r="F153" s="52">
        <v>96</v>
      </c>
      <c r="G153" s="104">
        <v>102.1379824375681</v>
      </c>
    </row>
    <row r="154" spans="2:7" x14ac:dyDescent="0.3">
      <c r="B154" s="52">
        <v>97</v>
      </c>
      <c r="C154" s="33">
        <v>240.5462207722876</v>
      </c>
      <c r="D154" s="52">
        <v>97</v>
      </c>
      <c r="E154" s="33">
        <v>68.068019436000029</v>
      </c>
      <c r="F154" s="52">
        <v>97</v>
      </c>
      <c r="G154" s="104">
        <v>155.86162107373116</v>
      </c>
    </row>
    <row r="155" spans="2:7" x14ac:dyDescent="0.3">
      <c r="B155" s="52">
        <v>98</v>
      </c>
      <c r="C155" s="33">
        <v>312.82309032421165</v>
      </c>
      <c r="D155" s="52">
        <v>98</v>
      </c>
      <c r="E155" s="33">
        <v>11.882376093850176</v>
      </c>
      <c r="F155" s="52">
        <v>98</v>
      </c>
      <c r="G155" s="104">
        <v>79.346869665855024</v>
      </c>
    </row>
    <row r="156" spans="2:7" x14ac:dyDescent="0.3">
      <c r="B156" s="52">
        <v>99</v>
      </c>
      <c r="C156" s="33">
        <v>321.86344684451228</v>
      </c>
      <c r="D156" s="52">
        <v>99</v>
      </c>
      <c r="E156" s="33">
        <v>67.846046957618057</v>
      </c>
      <c r="F156" s="52">
        <v>99</v>
      </c>
      <c r="G156" s="104">
        <v>233.21209857972542</v>
      </c>
    </row>
    <row r="157" spans="2:7" x14ac:dyDescent="0.3">
      <c r="B157" s="52">
        <v>100</v>
      </c>
      <c r="C157" s="33">
        <v>284.30686102715322</v>
      </c>
      <c r="D157" s="52">
        <v>100</v>
      </c>
      <c r="E157" s="33">
        <v>40.411113839644827</v>
      </c>
      <c r="F157" s="52">
        <v>100</v>
      </c>
      <c r="G157" s="104">
        <v>328.94656152683189</v>
      </c>
    </row>
    <row r="158" spans="2:7" x14ac:dyDescent="0.3">
      <c r="B158" s="52">
        <v>101</v>
      </c>
      <c r="C158" s="33">
        <v>159.32992297335858</v>
      </c>
      <c r="D158" s="52">
        <v>101</v>
      </c>
      <c r="E158" s="33">
        <v>30.107223365630958</v>
      </c>
      <c r="F158" s="52">
        <v>101</v>
      </c>
      <c r="G158" s="104">
        <v>108.55165696888326</v>
      </c>
    </row>
    <row r="159" spans="2:7" x14ac:dyDescent="0.3">
      <c r="B159" s="52">
        <v>102</v>
      </c>
      <c r="C159" s="33">
        <v>149.48026453199526</v>
      </c>
      <c r="D159" s="52">
        <v>102</v>
      </c>
      <c r="E159" s="33">
        <v>22.337103151093498</v>
      </c>
      <c r="F159" s="52">
        <v>102</v>
      </c>
      <c r="G159" s="104">
        <v>115.81864430125299</v>
      </c>
    </row>
    <row r="160" spans="2:7" x14ac:dyDescent="0.3">
      <c r="B160" s="52">
        <v>103</v>
      </c>
      <c r="C160" s="33">
        <v>220.6413202210947</v>
      </c>
      <c r="D160" s="52">
        <v>103</v>
      </c>
      <c r="E160" s="33">
        <v>7.5593448012782147</v>
      </c>
      <c r="F160" s="52">
        <v>103</v>
      </c>
      <c r="G160" s="104">
        <v>266.52040948491469</v>
      </c>
    </row>
    <row r="161" spans="2:7" x14ac:dyDescent="0.3">
      <c r="B161" s="52">
        <v>104</v>
      </c>
      <c r="C161" s="33">
        <v>346.9284613431019</v>
      </c>
      <c r="D161" s="52">
        <v>104</v>
      </c>
      <c r="E161" s="33">
        <v>59.868784206890098</v>
      </c>
      <c r="F161" s="52">
        <v>104</v>
      </c>
      <c r="G161" s="104">
        <v>243.52228695169475</v>
      </c>
    </row>
    <row r="162" spans="2:7" x14ac:dyDescent="0.3">
      <c r="B162" s="52">
        <v>105</v>
      </c>
      <c r="C162" s="33">
        <v>197.10534699051018</v>
      </c>
      <c r="D162" s="52">
        <v>105</v>
      </c>
      <c r="E162" s="33">
        <v>24.695560588312329</v>
      </c>
      <c r="F162" s="52">
        <v>105</v>
      </c>
      <c r="G162" s="104">
        <v>51.030980666978536</v>
      </c>
    </row>
    <row r="163" spans="2:7" x14ac:dyDescent="0.3">
      <c r="B163" s="52">
        <v>106</v>
      </c>
      <c r="C163" s="33">
        <v>223.05739480622586</v>
      </c>
      <c r="D163" s="52">
        <v>106</v>
      </c>
      <c r="E163" s="33">
        <v>62.574798565483796</v>
      </c>
      <c r="F163" s="52">
        <v>106</v>
      </c>
      <c r="G163" s="104">
        <v>217.51190816491172</v>
      </c>
    </row>
    <row r="164" spans="2:7" x14ac:dyDescent="0.3">
      <c r="B164" s="52">
        <v>107</v>
      </c>
      <c r="C164" s="33">
        <v>150.44441216669972</v>
      </c>
      <c r="D164" s="52">
        <v>107</v>
      </c>
      <c r="E164" s="33">
        <v>52.996767103024538</v>
      </c>
      <c r="F164" s="52">
        <v>107</v>
      </c>
      <c r="G164" s="104">
        <v>300.81543353839817</v>
      </c>
    </row>
    <row r="165" spans="2:7" x14ac:dyDescent="0.3">
      <c r="B165" s="52">
        <v>108</v>
      </c>
      <c r="C165" s="33">
        <v>295.97040965447434</v>
      </c>
      <c r="D165" s="52">
        <v>108</v>
      </c>
      <c r="E165" s="33">
        <v>8.9847677584450381</v>
      </c>
      <c r="F165" s="52">
        <v>108</v>
      </c>
      <c r="G165" s="104">
        <v>229.63994910333693</v>
      </c>
    </row>
    <row r="166" spans="2:7" x14ac:dyDescent="0.3">
      <c r="B166" s="52">
        <v>109</v>
      </c>
      <c r="C166" s="33">
        <v>330.70494538619096</v>
      </c>
      <c r="D166" s="52">
        <v>109</v>
      </c>
      <c r="E166" s="33">
        <v>82.303890709743698</v>
      </c>
      <c r="F166" s="52">
        <v>109</v>
      </c>
      <c r="G166" s="104">
        <v>145.02244902893392</v>
      </c>
    </row>
    <row r="167" spans="2:7" x14ac:dyDescent="0.3">
      <c r="B167" s="52">
        <v>110</v>
      </c>
      <c r="C167" s="33">
        <v>238.0993030742496</v>
      </c>
      <c r="D167" s="52">
        <v>110</v>
      </c>
      <c r="E167" s="33">
        <v>52.974087176010144</v>
      </c>
      <c r="F167" s="52">
        <v>110</v>
      </c>
      <c r="G167" s="104">
        <v>149.28414557356339</v>
      </c>
    </row>
    <row r="168" spans="2:7" x14ac:dyDescent="0.3">
      <c r="B168" s="52">
        <v>111</v>
      </c>
      <c r="C168" s="33">
        <v>130.15650063677566</v>
      </c>
      <c r="D168" s="52">
        <v>111</v>
      </c>
      <c r="E168" s="33">
        <v>40.937111400758589</v>
      </c>
      <c r="F168" s="52">
        <v>111</v>
      </c>
      <c r="G168" s="104">
        <v>197.23981231643299</v>
      </c>
    </row>
    <row r="169" spans="2:7" x14ac:dyDescent="0.3">
      <c r="B169" s="52">
        <v>112</v>
      </c>
      <c r="C169" s="33">
        <v>100.80098239559118</v>
      </c>
      <c r="D169" s="52">
        <v>112</v>
      </c>
      <c r="E169" s="33">
        <v>28.850746667489421</v>
      </c>
      <c r="F169" s="52">
        <v>112</v>
      </c>
      <c r="G169" s="104">
        <v>124.81893487866387</v>
      </c>
    </row>
    <row r="170" spans="2:7" x14ac:dyDescent="0.3">
      <c r="B170" s="52">
        <v>113</v>
      </c>
      <c r="C170" s="33">
        <v>320.41978339494585</v>
      </c>
      <c r="D170" s="52">
        <v>113</v>
      </c>
      <c r="E170" s="33">
        <v>-4.8014024587226984</v>
      </c>
      <c r="F170" s="52">
        <v>113</v>
      </c>
      <c r="G170" s="104">
        <v>211.27302061931815</v>
      </c>
    </row>
    <row r="171" spans="2:7" x14ac:dyDescent="0.3">
      <c r="B171" s="52">
        <v>114</v>
      </c>
      <c r="C171" s="33">
        <v>229.00330673173016</v>
      </c>
      <c r="D171" s="52">
        <v>114</v>
      </c>
      <c r="E171" s="33">
        <v>62.829953013061356</v>
      </c>
      <c r="F171" s="52">
        <v>114</v>
      </c>
      <c r="G171" s="104">
        <v>335.13929149850378</v>
      </c>
    </row>
    <row r="172" spans="2:7" x14ac:dyDescent="0.3">
      <c r="B172" s="52">
        <v>115</v>
      </c>
      <c r="C172" s="33">
        <v>180.69424452827681</v>
      </c>
      <c r="D172" s="52">
        <v>115</v>
      </c>
      <c r="E172" s="33">
        <v>66.581711643699748</v>
      </c>
      <c r="F172" s="52">
        <v>115</v>
      </c>
      <c r="G172" s="104">
        <v>320.56265136097676</v>
      </c>
    </row>
    <row r="173" spans="2:7" x14ac:dyDescent="0.3">
      <c r="B173" s="52">
        <v>116</v>
      </c>
      <c r="C173" s="33">
        <v>230.14807943242022</v>
      </c>
      <c r="D173" s="52">
        <v>116</v>
      </c>
      <c r="E173" s="33">
        <v>7.9205617602021334</v>
      </c>
      <c r="F173" s="52">
        <v>116</v>
      </c>
      <c r="G173" s="104">
        <v>198.31562189359556</v>
      </c>
    </row>
    <row r="174" spans="2:7" x14ac:dyDescent="0.3">
      <c r="B174" s="52">
        <v>117</v>
      </c>
      <c r="C174" s="33">
        <v>279.32610151700743</v>
      </c>
      <c r="D174" s="52">
        <v>117</v>
      </c>
      <c r="E174" s="33">
        <v>32.391494213010688</v>
      </c>
      <c r="F174" s="52">
        <v>117</v>
      </c>
      <c r="G174" s="104">
        <v>266.32324316642143</v>
      </c>
    </row>
    <row r="175" spans="2:7" x14ac:dyDescent="0.3">
      <c r="B175" s="52">
        <v>118</v>
      </c>
      <c r="C175" s="33">
        <v>265.47737640848584</v>
      </c>
      <c r="D175" s="52">
        <v>118</v>
      </c>
      <c r="E175" s="33">
        <v>39.675940407679832</v>
      </c>
      <c r="F175" s="52">
        <v>118</v>
      </c>
      <c r="G175" s="104">
        <v>276.40440178566121</v>
      </c>
    </row>
    <row r="176" spans="2:7" x14ac:dyDescent="0.3">
      <c r="B176" s="52">
        <v>119</v>
      </c>
      <c r="C176" s="33">
        <v>225.85199752672162</v>
      </c>
      <c r="D176" s="52">
        <v>119</v>
      </c>
      <c r="E176" s="33">
        <v>13.245914855179286</v>
      </c>
      <c r="F176" s="52">
        <v>119</v>
      </c>
      <c r="G176" s="104">
        <v>163.2103160310383</v>
      </c>
    </row>
    <row r="177" spans="2:7" x14ac:dyDescent="0.3">
      <c r="B177" s="52">
        <v>120</v>
      </c>
      <c r="C177" s="33">
        <v>285.62634691339139</v>
      </c>
      <c r="D177" s="52">
        <v>120</v>
      </c>
      <c r="E177" s="33">
        <v>1.3284564093135174</v>
      </c>
      <c r="F177" s="52">
        <v>120</v>
      </c>
      <c r="G177" s="104">
        <v>294.54766746353943</v>
      </c>
    </row>
    <row r="178" spans="2:7" x14ac:dyDescent="0.3">
      <c r="B178" s="52">
        <v>121</v>
      </c>
      <c r="C178" s="33">
        <v>100.39773527746398</v>
      </c>
      <c r="D178" s="52">
        <v>121</v>
      </c>
      <c r="E178" s="33">
        <v>59.188909743821256</v>
      </c>
      <c r="F178" s="52">
        <v>121</v>
      </c>
      <c r="G178" s="104">
        <v>309.92804350832972</v>
      </c>
    </row>
    <row r="179" spans="2:7" x14ac:dyDescent="0.3">
      <c r="B179" s="52">
        <v>122</v>
      </c>
      <c r="C179" s="33">
        <v>290.09778286845511</v>
      </c>
      <c r="D179" s="52">
        <v>122</v>
      </c>
      <c r="E179" s="33">
        <v>15.167456900813995</v>
      </c>
      <c r="F179" s="52">
        <v>122</v>
      </c>
      <c r="G179" s="104">
        <v>228.03336208766615</v>
      </c>
    </row>
    <row r="180" spans="2:7" x14ac:dyDescent="0.3">
      <c r="B180" s="52">
        <v>123</v>
      </c>
      <c r="C180" s="33">
        <v>420.83349298979499</v>
      </c>
      <c r="D180" s="52">
        <v>123</v>
      </c>
      <c r="E180" s="33">
        <v>67.201012955793999</v>
      </c>
      <c r="F180" s="52">
        <v>123</v>
      </c>
      <c r="G180" s="104">
        <v>217.29126959423289</v>
      </c>
    </row>
    <row r="181" spans="2:7" x14ac:dyDescent="0.3">
      <c r="B181" s="52">
        <v>124</v>
      </c>
      <c r="C181" s="33">
        <v>246.67671778338172</v>
      </c>
      <c r="D181" s="52">
        <v>124</v>
      </c>
      <c r="E181" s="33">
        <v>65.623302634148118</v>
      </c>
      <c r="F181" s="52">
        <v>124</v>
      </c>
      <c r="G181" s="104">
        <v>227.1340693410896</v>
      </c>
    </row>
    <row r="182" spans="2:7" x14ac:dyDescent="0.3">
      <c r="B182" s="52">
        <v>125</v>
      </c>
      <c r="C182" s="33">
        <v>306.56987551891586</v>
      </c>
      <c r="D182" s="52">
        <v>125</v>
      </c>
      <c r="E182" s="33">
        <v>14.440432679251284</v>
      </c>
      <c r="F182" s="52">
        <v>125</v>
      </c>
      <c r="G182" s="104">
        <v>257.78268150647642</v>
      </c>
    </row>
    <row r="183" spans="2:7" x14ac:dyDescent="0.3">
      <c r="B183" s="52">
        <v>126</v>
      </c>
      <c r="C183" s="33">
        <v>162.10222943106766</v>
      </c>
      <c r="D183" s="52">
        <v>126</v>
      </c>
      <c r="E183" s="33">
        <v>33.914172193250131</v>
      </c>
      <c r="F183" s="52">
        <v>126</v>
      </c>
      <c r="G183" s="104">
        <v>273.63581806600797</v>
      </c>
    </row>
    <row r="184" spans="2:7" x14ac:dyDescent="0.3">
      <c r="B184" s="52">
        <v>127</v>
      </c>
      <c r="C184" s="33">
        <v>329.84361578663754</v>
      </c>
      <c r="D184" s="52">
        <v>127</v>
      </c>
      <c r="E184" s="33">
        <v>47.721015764198917</v>
      </c>
      <c r="F184" s="52">
        <v>127</v>
      </c>
      <c r="G184" s="104">
        <v>263.5854647411594</v>
      </c>
    </row>
    <row r="185" spans="2:7" x14ac:dyDescent="0.3">
      <c r="B185" s="52">
        <v>128</v>
      </c>
      <c r="C185" s="33">
        <v>271.60614677801533</v>
      </c>
      <c r="D185" s="52">
        <v>128</v>
      </c>
      <c r="E185" s="33">
        <v>18.100429224624484</v>
      </c>
      <c r="F185" s="52">
        <v>128</v>
      </c>
      <c r="G185" s="104">
        <v>131.47288409324887</v>
      </c>
    </row>
    <row r="186" spans="2:7" x14ac:dyDescent="0.3">
      <c r="B186" s="52">
        <v>129</v>
      </c>
      <c r="C186" s="33">
        <v>200.66361957577672</v>
      </c>
      <c r="D186" s="52">
        <v>129</v>
      </c>
      <c r="E186" s="33">
        <v>45.136112324064719</v>
      </c>
      <c r="F186" s="52">
        <v>129</v>
      </c>
      <c r="G186" s="104">
        <v>213.43978907397337</v>
      </c>
    </row>
    <row r="187" spans="2:7" x14ac:dyDescent="0.3">
      <c r="B187" s="52">
        <v>130</v>
      </c>
      <c r="C187" s="33">
        <v>330.89314556692284</v>
      </c>
      <c r="D187" s="52">
        <v>130</v>
      </c>
      <c r="E187" s="33">
        <v>39.066757343391906</v>
      </c>
      <c r="F187" s="52">
        <v>130</v>
      </c>
      <c r="G187" s="104">
        <v>205.16017640827781</v>
      </c>
    </row>
    <row r="188" spans="2:7" x14ac:dyDescent="0.3">
      <c r="B188" s="52">
        <v>131</v>
      </c>
      <c r="C188" s="33">
        <v>96.328486151729038</v>
      </c>
      <c r="D188" s="52">
        <v>131</v>
      </c>
      <c r="E188" s="33">
        <v>56.924682555097675</v>
      </c>
      <c r="F188" s="52">
        <v>131</v>
      </c>
      <c r="G188" s="104">
        <v>186.89336638195783</v>
      </c>
    </row>
    <row r="189" spans="2:7" x14ac:dyDescent="0.3">
      <c r="B189" s="52">
        <v>132</v>
      </c>
      <c r="C189" s="33">
        <v>174.45578731695758</v>
      </c>
      <c r="D189" s="52">
        <v>132</v>
      </c>
      <c r="E189" s="33">
        <v>72.739490100308359</v>
      </c>
      <c r="F189" s="52">
        <v>132</v>
      </c>
      <c r="G189" s="104">
        <v>195.68745332655317</v>
      </c>
    </row>
    <row r="190" spans="2:7" x14ac:dyDescent="0.3">
      <c r="B190" s="52">
        <v>133</v>
      </c>
      <c r="C190" s="33">
        <v>137.30451181896876</v>
      </c>
      <c r="D190" s="52">
        <v>133</v>
      </c>
      <c r="E190" s="33">
        <v>53.941416819894357</v>
      </c>
      <c r="F190" s="52">
        <v>133</v>
      </c>
      <c r="G190" s="104">
        <v>150.7672938333038</v>
      </c>
    </row>
    <row r="191" spans="2:7" x14ac:dyDescent="0.3">
      <c r="B191" s="52">
        <v>134</v>
      </c>
      <c r="C191" s="33">
        <v>305.72317538511265</v>
      </c>
      <c r="D191" s="52">
        <v>134</v>
      </c>
      <c r="E191" s="33">
        <v>49.433823469362935</v>
      </c>
      <c r="F191" s="52">
        <v>134</v>
      </c>
      <c r="G191" s="104">
        <v>224.09993991136835</v>
      </c>
    </row>
    <row r="192" spans="2:7" x14ac:dyDescent="0.3">
      <c r="B192" s="52">
        <v>135</v>
      </c>
      <c r="C192" s="33">
        <v>224.81649944245711</v>
      </c>
      <c r="D192" s="52">
        <v>135</v>
      </c>
      <c r="E192" s="33">
        <v>16.621070787233187</v>
      </c>
      <c r="F192" s="52">
        <v>135</v>
      </c>
      <c r="G192" s="104">
        <v>225.37708389679881</v>
      </c>
    </row>
    <row r="193" spans="2:7" x14ac:dyDescent="0.3">
      <c r="B193" s="52">
        <v>136</v>
      </c>
      <c r="C193" s="33">
        <v>385.97502520010312</v>
      </c>
      <c r="D193" s="52">
        <v>136</v>
      </c>
      <c r="E193" s="33">
        <v>62.706656896953234</v>
      </c>
      <c r="F193" s="52">
        <v>136</v>
      </c>
      <c r="G193" s="104">
        <v>304.52475569489246</v>
      </c>
    </row>
    <row r="194" spans="2:7" x14ac:dyDescent="0.3">
      <c r="B194" s="52">
        <v>137</v>
      </c>
      <c r="C194" s="33">
        <v>227.48276705143331</v>
      </c>
      <c r="D194" s="52">
        <v>137</v>
      </c>
      <c r="E194" s="33">
        <v>30.309971603957163</v>
      </c>
      <c r="F194" s="52">
        <v>137</v>
      </c>
      <c r="G194" s="104">
        <v>283.51176121133796</v>
      </c>
    </row>
    <row r="195" spans="2:7" x14ac:dyDescent="0.3">
      <c r="B195" s="52">
        <v>138</v>
      </c>
      <c r="C195" s="33">
        <v>246.23044081808044</v>
      </c>
      <c r="D195" s="52">
        <v>138</v>
      </c>
      <c r="E195" s="33">
        <v>41.648952056288245</v>
      </c>
      <c r="F195" s="52">
        <v>138</v>
      </c>
      <c r="G195" s="104">
        <v>94.858842554546555</v>
      </c>
    </row>
    <row r="196" spans="2:7" x14ac:dyDescent="0.3">
      <c r="B196" s="52">
        <v>139</v>
      </c>
      <c r="C196" s="33">
        <v>22.040225193266025</v>
      </c>
      <c r="D196" s="52">
        <v>139</v>
      </c>
      <c r="E196" s="33">
        <v>33.948876759868682</v>
      </c>
      <c r="F196" s="52">
        <v>139</v>
      </c>
      <c r="G196" s="104">
        <v>180.93631139437139</v>
      </c>
    </row>
    <row r="197" spans="2:7" x14ac:dyDescent="0.3">
      <c r="B197" s="52">
        <v>140</v>
      </c>
      <c r="C197" s="33">
        <v>318.75765388135466</v>
      </c>
      <c r="D197" s="52">
        <v>140</v>
      </c>
      <c r="E197" s="33">
        <v>63.96244129831004</v>
      </c>
      <c r="F197" s="52">
        <v>140</v>
      </c>
      <c r="G197" s="104">
        <v>93.595734831435578</v>
      </c>
    </row>
    <row r="198" spans="2:7" x14ac:dyDescent="0.3">
      <c r="B198" s="52">
        <v>141</v>
      </c>
      <c r="C198" s="33">
        <v>242.64301529096116</v>
      </c>
      <c r="D198" s="52">
        <v>141</v>
      </c>
      <c r="E198" s="33">
        <v>11.862189804932754</v>
      </c>
      <c r="F198" s="52">
        <v>141</v>
      </c>
      <c r="G198" s="104">
        <v>218.4718103858323</v>
      </c>
    </row>
    <row r="199" spans="2:7" x14ac:dyDescent="0.3">
      <c r="B199" s="52">
        <v>142</v>
      </c>
      <c r="C199" s="33">
        <v>137.3142594560149</v>
      </c>
      <c r="D199" s="52">
        <v>142</v>
      </c>
      <c r="E199" s="33">
        <v>58.699793129336314</v>
      </c>
      <c r="F199" s="52">
        <v>142</v>
      </c>
      <c r="G199" s="104">
        <v>251.56974325213073</v>
      </c>
    </row>
    <row r="200" spans="2:7" x14ac:dyDescent="0.3">
      <c r="B200" s="52">
        <v>143</v>
      </c>
      <c r="C200" s="33">
        <v>274.4404836322222</v>
      </c>
      <c r="D200" s="52">
        <v>143</v>
      </c>
      <c r="E200" s="33">
        <v>33.304830875623182</v>
      </c>
      <c r="F200" s="52">
        <v>143</v>
      </c>
      <c r="G200" s="104">
        <v>199.94124285126986</v>
      </c>
    </row>
    <row r="201" spans="2:7" x14ac:dyDescent="0.3">
      <c r="B201" s="52">
        <v>144</v>
      </c>
      <c r="C201" s="33">
        <v>312.7330849560617</v>
      </c>
      <c r="D201" s="52">
        <v>144</v>
      </c>
      <c r="E201" s="33">
        <v>34.063810740887945</v>
      </c>
      <c r="F201" s="52">
        <v>144</v>
      </c>
      <c r="G201" s="104">
        <v>244.30328772510092</v>
      </c>
    </row>
    <row r="202" spans="2:7" x14ac:dyDescent="0.3">
      <c r="B202" s="52">
        <v>145</v>
      </c>
      <c r="C202" s="33">
        <v>229.42279941493769</v>
      </c>
      <c r="D202" s="52">
        <v>145</v>
      </c>
      <c r="E202" s="33">
        <v>25.088704449618771</v>
      </c>
      <c r="F202" s="52">
        <v>145</v>
      </c>
      <c r="G202" s="104">
        <v>313.85234943190324</v>
      </c>
    </row>
    <row r="203" spans="2:7" x14ac:dyDescent="0.3">
      <c r="B203" s="52">
        <v>146</v>
      </c>
      <c r="C203" s="33">
        <v>148.11834990066933</v>
      </c>
      <c r="D203" s="52">
        <v>146</v>
      </c>
      <c r="E203" s="33">
        <v>125.93341945674145</v>
      </c>
      <c r="F203" s="52">
        <v>146</v>
      </c>
      <c r="G203" s="104">
        <v>211.11928292256451</v>
      </c>
    </row>
    <row r="204" spans="2:7" x14ac:dyDescent="0.3">
      <c r="B204" s="52">
        <v>147</v>
      </c>
      <c r="C204" s="33">
        <v>249.37515649720896</v>
      </c>
      <c r="D204" s="52">
        <v>147</v>
      </c>
      <c r="E204" s="33">
        <v>26.765733267950779</v>
      </c>
      <c r="F204" s="52">
        <v>147</v>
      </c>
      <c r="G204" s="104">
        <v>199.23130392079676</v>
      </c>
    </row>
    <row r="205" spans="2:7" x14ac:dyDescent="0.3">
      <c r="B205" s="52">
        <v>148</v>
      </c>
      <c r="C205" s="33">
        <v>282.48221272232263</v>
      </c>
      <c r="D205" s="52">
        <v>148</v>
      </c>
      <c r="E205" s="33">
        <v>-55.785379236595432</v>
      </c>
      <c r="F205" s="52">
        <v>148</v>
      </c>
      <c r="G205" s="104">
        <v>117.63654033464499</v>
      </c>
    </row>
    <row r="206" spans="2:7" x14ac:dyDescent="0.3">
      <c r="B206" s="52">
        <v>149</v>
      </c>
      <c r="C206" s="33">
        <v>189.12647640465923</v>
      </c>
      <c r="D206" s="52">
        <v>149</v>
      </c>
      <c r="E206" s="33">
        <v>39.396310529595041</v>
      </c>
      <c r="F206" s="52">
        <v>149</v>
      </c>
      <c r="G206" s="104">
        <v>237.06013178003752</v>
      </c>
    </row>
    <row r="207" spans="2:7" x14ac:dyDescent="0.3">
      <c r="B207" s="52">
        <v>150</v>
      </c>
      <c r="C207" s="33">
        <v>211.40951560388712</v>
      </c>
      <c r="D207" s="52">
        <v>150</v>
      </c>
      <c r="E207" s="33">
        <v>71.654095182963502</v>
      </c>
      <c r="F207" s="52">
        <v>150</v>
      </c>
      <c r="G207" s="104">
        <v>270.97707749963121</v>
      </c>
    </row>
    <row r="208" spans="2:7" x14ac:dyDescent="0.3">
      <c r="B208" s="52">
        <v>151</v>
      </c>
      <c r="C208" s="33">
        <v>210.39578246351624</v>
      </c>
      <c r="D208" s="52">
        <v>151</v>
      </c>
      <c r="E208" s="33">
        <v>-2.0360245074036314</v>
      </c>
      <c r="F208" s="52">
        <v>151</v>
      </c>
      <c r="G208" s="104">
        <v>295.08636976713387</v>
      </c>
    </row>
    <row r="209" spans="2:7" x14ac:dyDescent="0.3">
      <c r="B209" s="52">
        <v>152</v>
      </c>
      <c r="C209" s="33">
        <v>238.84034993354396</v>
      </c>
      <c r="D209" s="52">
        <v>152</v>
      </c>
      <c r="E209" s="33">
        <v>63.144065407253436</v>
      </c>
      <c r="F209" s="52">
        <v>152</v>
      </c>
      <c r="G209" s="104">
        <v>269.16043856582576</v>
      </c>
    </row>
    <row r="210" spans="2:7" x14ac:dyDescent="0.3">
      <c r="B210" s="52">
        <v>153</v>
      </c>
      <c r="C210" s="33">
        <v>242.43314405247258</v>
      </c>
      <c r="D210" s="52">
        <v>153</v>
      </c>
      <c r="E210" s="33">
        <v>12.639934225234455</v>
      </c>
      <c r="F210" s="52">
        <v>153</v>
      </c>
      <c r="G210" s="104">
        <v>227.66303572757712</v>
      </c>
    </row>
    <row r="211" spans="2:7" x14ac:dyDescent="0.3">
      <c r="B211" s="52">
        <v>154</v>
      </c>
      <c r="C211" s="33">
        <v>260.45317780429667</v>
      </c>
      <c r="D211" s="52">
        <v>154</v>
      </c>
      <c r="E211" s="33">
        <v>59.706013383872175</v>
      </c>
      <c r="F211" s="52">
        <v>154</v>
      </c>
      <c r="G211" s="104">
        <v>148.34968445949553</v>
      </c>
    </row>
    <row r="212" spans="2:7" x14ac:dyDescent="0.3">
      <c r="B212" s="52">
        <v>155</v>
      </c>
      <c r="C212" s="33">
        <v>199.32630498487211</v>
      </c>
      <c r="D212" s="52">
        <v>155</v>
      </c>
      <c r="E212" s="33">
        <v>28.065894211798085</v>
      </c>
      <c r="F212" s="52">
        <v>155</v>
      </c>
      <c r="G212" s="104">
        <v>234.09853770040758</v>
      </c>
    </row>
    <row r="213" spans="2:7" x14ac:dyDescent="0.3">
      <c r="B213" s="52">
        <v>156</v>
      </c>
      <c r="C213" s="33">
        <v>98.747279547504178</v>
      </c>
      <c r="D213" s="52">
        <v>156</v>
      </c>
      <c r="E213" s="33">
        <v>71.830926613936555</v>
      </c>
      <c r="F213" s="52">
        <v>156</v>
      </c>
      <c r="G213" s="104">
        <v>375.59710121989895</v>
      </c>
    </row>
    <row r="214" spans="2:7" x14ac:dyDescent="0.3">
      <c r="B214" s="52">
        <v>157</v>
      </c>
      <c r="C214" s="33">
        <v>168.07911058076937</v>
      </c>
      <c r="D214" s="52">
        <v>157</v>
      </c>
      <c r="E214" s="33">
        <v>28.548956008120925</v>
      </c>
      <c r="F214" s="52">
        <v>157</v>
      </c>
      <c r="G214" s="104">
        <v>133.74536125904854</v>
      </c>
    </row>
    <row r="215" spans="2:7" x14ac:dyDescent="0.3">
      <c r="B215" s="52">
        <v>158</v>
      </c>
      <c r="C215" s="33">
        <v>188.44634075308784</v>
      </c>
      <c r="D215" s="52">
        <v>158</v>
      </c>
      <c r="E215" s="33">
        <v>74.603660215789944</v>
      </c>
      <c r="F215" s="52">
        <v>158</v>
      </c>
      <c r="G215" s="104">
        <v>426.50844221253664</v>
      </c>
    </row>
    <row r="216" spans="2:7" x14ac:dyDescent="0.3">
      <c r="B216" s="52">
        <v>159</v>
      </c>
      <c r="C216" s="33">
        <v>257.8069732617235</v>
      </c>
      <c r="D216" s="52">
        <v>159</v>
      </c>
      <c r="E216" s="33">
        <v>65.485337663700335</v>
      </c>
      <c r="F216" s="52">
        <v>159</v>
      </c>
      <c r="G216" s="104">
        <v>151.78714211829225</v>
      </c>
    </row>
    <row r="217" spans="2:7" x14ac:dyDescent="0.3">
      <c r="B217" s="52">
        <v>160</v>
      </c>
      <c r="C217" s="33">
        <v>207.98076669976251</v>
      </c>
      <c r="D217" s="52">
        <v>160</v>
      </c>
      <c r="E217" s="33">
        <v>43.195462520621504</v>
      </c>
      <c r="F217" s="52">
        <v>160</v>
      </c>
      <c r="G217" s="104">
        <v>151.52758145494144</v>
      </c>
    </row>
    <row r="218" spans="2:7" x14ac:dyDescent="0.3">
      <c r="B218" s="52">
        <v>161</v>
      </c>
      <c r="C218" s="33">
        <v>316.35415177892088</v>
      </c>
      <c r="D218" s="52">
        <v>161</v>
      </c>
      <c r="E218" s="33">
        <v>44.983015201721955</v>
      </c>
      <c r="F218" s="52">
        <v>161</v>
      </c>
      <c r="G218" s="104">
        <v>160.92057317858723</v>
      </c>
    </row>
    <row r="219" spans="2:7" x14ac:dyDescent="0.3">
      <c r="B219" s="52">
        <v>162</v>
      </c>
      <c r="C219" s="33">
        <v>209.09564510392633</v>
      </c>
      <c r="D219" s="52">
        <v>162</v>
      </c>
      <c r="E219" s="33">
        <v>36.721097047754107</v>
      </c>
      <c r="F219" s="52">
        <v>162</v>
      </c>
      <c r="G219" s="104">
        <v>242.78764485723477</v>
      </c>
    </row>
    <row r="220" spans="2:7" x14ac:dyDescent="0.3">
      <c r="B220" s="52">
        <v>163</v>
      </c>
      <c r="C220" s="33">
        <v>293.17502985389478</v>
      </c>
      <c r="D220" s="52">
        <v>163</v>
      </c>
      <c r="E220" s="33">
        <v>10.344821945982282</v>
      </c>
      <c r="F220" s="52">
        <v>163</v>
      </c>
      <c r="G220" s="104">
        <v>291.40495369286253</v>
      </c>
    </row>
    <row r="221" spans="2:7" x14ac:dyDescent="0.3">
      <c r="B221" s="52">
        <v>164</v>
      </c>
      <c r="C221" s="33">
        <v>65.199006368955907</v>
      </c>
      <c r="D221" s="52">
        <v>164</v>
      </c>
      <c r="E221" s="33">
        <v>45.836388437494804</v>
      </c>
      <c r="F221" s="52">
        <v>164</v>
      </c>
      <c r="G221" s="104">
        <v>258.83989460425693</v>
      </c>
    </row>
    <row r="222" spans="2:7" x14ac:dyDescent="0.3">
      <c r="B222" s="52">
        <v>165</v>
      </c>
      <c r="C222" s="33">
        <v>268.50513749137718</v>
      </c>
      <c r="D222" s="52">
        <v>165</v>
      </c>
      <c r="E222" s="33">
        <v>-16.250710768848428</v>
      </c>
      <c r="F222" s="52">
        <v>165</v>
      </c>
      <c r="G222" s="104">
        <v>290.82362606098019</v>
      </c>
    </row>
    <row r="223" spans="2:7" x14ac:dyDescent="0.3">
      <c r="B223" s="52">
        <v>166</v>
      </c>
      <c r="C223" s="33">
        <v>179.89392745655684</v>
      </c>
      <c r="D223" s="52">
        <v>166</v>
      </c>
      <c r="E223" s="33">
        <v>0.26071804642484864</v>
      </c>
      <c r="F223" s="52">
        <v>166</v>
      </c>
      <c r="G223" s="104">
        <v>168.4032391312742</v>
      </c>
    </row>
    <row r="224" spans="2:7" x14ac:dyDescent="0.3">
      <c r="B224" s="52">
        <v>167</v>
      </c>
      <c r="C224" s="33">
        <v>150.44754539275712</v>
      </c>
      <c r="D224" s="52">
        <v>167</v>
      </c>
      <c r="E224" s="33">
        <v>-17.998883967441827</v>
      </c>
      <c r="F224" s="52">
        <v>167</v>
      </c>
      <c r="G224" s="104">
        <v>190.99471144425982</v>
      </c>
    </row>
    <row r="225" spans="2:7" x14ac:dyDescent="0.3">
      <c r="B225" s="52">
        <v>168</v>
      </c>
      <c r="C225" s="33">
        <v>282.32480195250179</v>
      </c>
      <c r="D225" s="52">
        <v>168</v>
      </c>
      <c r="E225" s="33">
        <v>28.309893009699422</v>
      </c>
      <c r="F225" s="52">
        <v>168</v>
      </c>
      <c r="G225" s="104">
        <v>293.42808801349645</v>
      </c>
    </row>
    <row r="226" spans="2:7" x14ac:dyDescent="0.3">
      <c r="B226" s="52">
        <v>169</v>
      </c>
      <c r="C226" s="33">
        <v>192.2059890218504</v>
      </c>
      <c r="D226" s="52">
        <v>169</v>
      </c>
      <c r="E226" s="33">
        <v>44.024555770763861</v>
      </c>
      <c r="F226" s="52">
        <v>169</v>
      </c>
      <c r="G226" s="104">
        <v>309.59569893628469</v>
      </c>
    </row>
    <row r="227" spans="2:7" x14ac:dyDescent="0.3">
      <c r="B227" s="52">
        <v>170</v>
      </c>
      <c r="C227" s="33">
        <v>145.03198433769961</v>
      </c>
      <c r="D227" s="52">
        <v>170</v>
      </c>
      <c r="E227" s="33">
        <v>12.450177688538114</v>
      </c>
      <c r="F227" s="52">
        <v>170</v>
      </c>
      <c r="G227" s="104">
        <v>84.592702719712662</v>
      </c>
    </row>
    <row r="228" spans="2:7" x14ac:dyDescent="0.3">
      <c r="B228" s="52">
        <v>171</v>
      </c>
      <c r="C228" s="33">
        <v>181.9040331289618</v>
      </c>
      <c r="D228" s="52">
        <v>171</v>
      </c>
      <c r="E228" s="33">
        <v>67.170279130246882</v>
      </c>
      <c r="F228" s="52">
        <v>171</v>
      </c>
      <c r="G228" s="104">
        <v>269.82570817754527</v>
      </c>
    </row>
    <row r="229" spans="2:7" x14ac:dyDescent="0.3">
      <c r="B229" s="52">
        <v>172</v>
      </c>
      <c r="C229" s="33">
        <v>187.01267108321974</v>
      </c>
      <c r="D229" s="52">
        <v>172</v>
      </c>
      <c r="E229" s="33">
        <v>69.165083942395228</v>
      </c>
      <c r="F229" s="52">
        <v>172</v>
      </c>
      <c r="G229" s="104">
        <v>243.69201650632078</v>
      </c>
    </row>
    <row r="230" spans="2:7" x14ac:dyDescent="0.3">
      <c r="B230" s="52">
        <v>173</v>
      </c>
      <c r="C230" s="33">
        <v>226.31948755813971</v>
      </c>
      <c r="D230" s="52">
        <v>173</v>
      </c>
      <c r="E230" s="33">
        <v>38.088535192724805</v>
      </c>
      <c r="F230" s="52">
        <v>173</v>
      </c>
      <c r="G230" s="104">
        <v>282.0556127061264</v>
      </c>
    </row>
    <row r="231" spans="2:7" x14ac:dyDescent="0.3">
      <c r="B231" s="52">
        <v>174</v>
      </c>
      <c r="C231" s="33">
        <v>289.61416500992402</v>
      </c>
      <c r="D231" s="52">
        <v>174</v>
      </c>
      <c r="E231" s="33">
        <v>40.727192503611221</v>
      </c>
      <c r="F231" s="52">
        <v>174</v>
      </c>
      <c r="G231" s="104">
        <v>180.25732458760635</v>
      </c>
    </row>
    <row r="232" spans="2:7" x14ac:dyDescent="0.3">
      <c r="B232" s="52">
        <v>175</v>
      </c>
      <c r="C232" s="33">
        <v>308.62708608456137</v>
      </c>
      <c r="D232" s="52">
        <v>175</v>
      </c>
      <c r="E232" s="33">
        <v>18.082715402588441</v>
      </c>
      <c r="F232" s="52">
        <v>175</v>
      </c>
      <c r="G232" s="104">
        <v>250.63045539594549</v>
      </c>
    </row>
    <row r="233" spans="2:7" x14ac:dyDescent="0.3">
      <c r="B233" s="52">
        <v>176</v>
      </c>
      <c r="C233" s="33">
        <v>338.96592824717862</v>
      </c>
      <c r="D233" s="52">
        <v>176</v>
      </c>
      <c r="E233" s="33">
        <v>32.266472259749513</v>
      </c>
      <c r="F233" s="52">
        <v>176</v>
      </c>
      <c r="G233" s="104">
        <v>122.686712224627</v>
      </c>
    </row>
    <row r="234" spans="2:7" x14ac:dyDescent="0.3">
      <c r="B234" s="52">
        <v>177</v>
      </c>
      <c r="C234" s="33">
        <v>236.10591807845549</v>
      </c>
      <c r="D234" s="52">
        <v>177</v>
      </c>
      <c r="E234" s="33">
        <v>11.834426161245574</v>
      </c>
      <c r="F234" s="52">
        <v>177</v>
      </c>
      <c r="G234" s="104">
        <v>98.439571971618221</v>
      </c>
    </row>
    <row r="235" spans="2:7" x14ac:dyDescent="0.3">
      <c r="B235" s="52">
        <v>178</v>
      </c>
      <c r="C235" s="33">
        <v>134.46600201382182</v>
      </c>
      <c r="D235" s="52">
        <v>178</v>
      </c>
      <c r="E235" s="33">
        <v>56.869746296666158</v>
      </c>
      <c r="F235" s="52">
        <v>178</v>
      </c>
      <c r="G235" s="104">
        <v>220.15175440609943</v>
      </c>
    </row>
    <row r="236" spans="2:7" x14ac:dyDescent="0.3">
      <c r="B236" s="52">
        <v>179</v>
      </c>
      <c r="C236" s="33">
        <v>379.59428821529207</v>
      </c>
      <c r="D236" s="52">
        <v>179</v>
      </c>
      <c r="E236" s="33">
        <v>31.602312344312608</v>
      </c>
      <c r="F236" s="52">
        <v>179</v>
      </c>
      <c r="G236" s="104">
        <v>84.15802879615606</v>
      </c>
    </row>
    <row r="237" spans="2:7" x14ac:dyDescent="0.3">
      <c r="B237" s="52">
        <v>180</v>
      </c>
      <c r="C237" s="33">
        <v>64.565305625015554</v>
      </c>
      <c r="D237" s="52">
        <v>180</v>
      </c>
      <c r="E237" s="33">
        <v>7.2395042375188083</v>
      </c>
      <c r="F237" s="52">
        <v>180</v>
      </c>
      <c r="G237" s="104">
        <v>165.67292615750694</v>
      </c>
    </row>
    <row r="238" spans="2:7" x14ac:dyDescent="0.3">
      <c r="B238" s="52">
        <v>181</v>
      </c>
      <c r="C238" s="33">
        <v>240.96187022057296</v>
      </c>
      <c r="D238" s="52">
        <v>181</v>
      </c>
      <c r="E238" s="33">
        <v>107.98934495734794</v>
      </c>
      <c r="F238" s="52">
        <v>181</v>
      </c>
      <c r="G238" s="104">
        <v>297.2002579646628</v>
      </c>
    </row>
    <row r="239" spans="2:7" x14ac:dyDescent="0.3">
      <c r="B239" s="52">
        <v>182</v>
      </c>
      <c r="C239" s="33">
        <v>205.33611180721124</v>
      </c>
      <c r="D239" s="52">
        <v>182</v>
      </c>
      <c r="E239" s="33">
        <v>19.64226329949059</v>
      </c>
      <c r="F239" s="52">
        <v>182</v>
      </c>
      <c r="G239" s="104">
        <v>219.63333861020499</v>
      </c>
    </row>
    <row r="240" spans="2:7" x14ac:dyDescent="0.3">
      <c r="B240" s="52">
        <v>183</v>
      </c>
      <c r="C240" s="33">
        <v>108.69553771526625</v>
      </c>
      <c r="D240" s="52">
        <v>183</v>
      </c>
      <c r="E240" s="33">
        <v>53.504439102846327</v>
      </c>
      <c r="F240" s="52">
        <v>183</v>
      </c>
      <c r="G240" s="104">
        <v>251.2575505718647</v>
      </c>
    </row>
    <row r="241" spans="2:7" x14ac:dyDescent="0.3">
      <c r="B241" s="52">
        <v>184</v>
      </c>
      <c r="C241" s="33">
        <v>284.73619764548539</v>
      </c>
      <c r="D241" s="52">
        <v>184</v>
      </c>
      <c r="E241" s="33">
        <v>63.619710772693679</v>
      </c>
      <c r="F241" s="52">
        <v>184</v>
      </c>
      <c r="G241" s="104">
        <v>360.80614515683527</v>
      </c>
    </row>
    <row r="242" spans="2:7" x14ac:dyDescent="0.3">
      <c r="B242" s="52">
        <v>185</v>
      </c>
      <c r="C242" s="33">
        <v>216.56628224369601</v>
      </c>
      <c r="D242" s="52">
        <v>185</v>
      </c>
      <c r="E242" s="33">
        <v>20.289659135532091</v>
      </c>
      <c r="F242" s="52">
        <v>185</v>
      </c>
      <c r="G242" s="104">
        <v>212.43708211758189</v>
      </c>
    </row>
    <row r="243" spans="2:7" x14ac:dyDescent="0.3">
      <c r="B243" s="52">
        <v>186</v>
      </c>
      <c r="C243" s="33">
        <v>162.53844398731556</v>
      </c>
      <c r="D243" s="52">
        <v>186</v>
      </c>
      <c r="E243" s="33">
        <v>38.408855807908708</v>
      </c>
      <c r="F243" s="52">
        <v>186</v>
      </c>
      <c r="G243" s="104">
        <v>198.87653712680128</v>
      </c>
    </row>
    <row r="244" spans="2:7" x14ac:dyDescent="0.3">
      <c r="B244" s="52">
        <v>187</v>
      </c>
      <c r="C244" s="33">
        <v>328.40417216217986</v>
      </c>
      <c r="D244" s="52">
        <v>187</v>
      </c>
      <c r="E244" s="33">
        <v>74.296998786408025</v>
      </c>
      <c r="F244" s="52">
        <v>187</v>
      </c>
      <c r="G244" s="104">
        <v>93.794661922103302</v>
      </c>
    </row>
    <row r="245" spans="2:7" x14ac:dyDescent="0.3">
      <c r="B245" s="52">
        <v>188</v>
      </c>
      <c r="C245" s="33">
        <v>264.48965511521095</v>
      </c>
      <c r="D245" s="52">
        <v>188</v>
      </c>
      <c r="E245" s="33">
        <v>30.941778640565879</v>
      </c>
      <c r="F245" s="52">
        <v>188</v>
      </c>
      <c r="G245" s="104">
        <v>201.49263492443879</v>
      </c>
    </row>
    <row r="246" spans="2:7" x14ac:dyDescent="0.3">
      <c r="B246" s="52">
        <v>189</v>
      </c>
      <c r="C246" s="33">
        <v>382.21313654955907</v>
      </c>
      <c r="D246" s="52">
        <v>189</v>
      </c>
      <c r="E246" s="33">
        <v>17.785233238689841</v>
      </c>
      <c r="F246" s="52">
        <v>189</v>
      </c>
      <c r="G246" s="104">
        <v>216.73780257628536</v>
      </c>
    </row>
    <row r="247" spans="2:7" x14ac:dyDescent="0.3">
      <c r="B247" s="52">
        <v>190</v>
      </c>
      <c r="C247" s="33">
        <v>339.18411678034732</v>
      </c>
      <c r="D247" s="52">
        <v>190</v>
      </c>
      <c r="E247" s="33">
        <v>60.633417461469378</v>
      </c>
      <c r="F247" s="52">
        <v>190</v>
      </c>
      <c r="G247" s="104">
        <v>244.13427556298367</v>
      </c>
    </row>
    <row r="248" spans="2:7" x14ac:dyDescent="0.3">
      <c r="B248" s="52">
        <v>191</v>
      </c>
      <c r="C248" s="33">
        <v>232.30188730241719</v>
      </c>
      <c r="D248" s="52">
        <v>191</v>
      </c>
      <c r="E248" s="33">
        <v>27.139031890621851</v>
      </c>
      <c r="F248" s="52">
        <v>191</v>
      </c>
      <c r="G248" s="104">
        <v>155.94025376013252</v>
      </c>
    </row>
    <row r="249" spans="2:7" x14ac:dyDescent="0.3">
      <c r="B249" s="52">
        <v>192</v>
      </c>
      <c r="C249" s="33">
        <v>208.5722522870976</v>
      </c>
      <c r="D249" s="52">
        <v>192</v>
      </c>
      <c r="E249" s="33">
        <v>48.40303328530802</v>
      </c>
      <c r="F249" s="52">
        <v>192</v>
      </c>
      <c r="G249" s="104">
        <v>164.80707993278679</v>
      </c>
    </row>
    <row r="250" spans="2:7" x14ac:dyDescent="0.3">
      <c r="B250" s="52">
        <v>193</v>
      </c>
      <c r="C250" s="33">
        <v>62.761266716948256</v>
      </c>
      <c r="D250" s="52">
        <v>193</v>
      </c>
      <c r="E250" s="33">
        <v>40.978651938125736</v>
      </c>
      <c r="F250" s="52">
        <v>193</v>
      </c>
      <c r="G250" s="104">
        <v>164.73785943686585</v>
      </c>
    </row>
    <row r="251" spans="2:7" x14ac:dyDescent="0.3">
      <c r="B251" s="52">
        <v>194</v>
      </c>
      <c r="C251" s="33">
        <v>224.06388648905306</v>
      </c>
      <c r="D251" s="52">
        <v>194</v>
      </c>
      <c r="E251" s="33">
        <v>23.333303930719453</v>
      </c>
      <c r="F251" s="52">
        <v>194</v>
      </c>
      <c r="G251" s="104">
        <v>298.10224609386631</v>
      </c>
    </row>
    <row r="252" spans="2:7" x14ac:dyDescent="0.3">
      <c r="B252" s="52">
        <v>195</v>
      </c>
      <c r="C252" s="33">
        <v>169.93463673936796</v>
      </c>
      <c r="D252" s="52">
        <v>195</v>
      </c>
      <c r="E252" s="33">
        <v>62.676609407377605</v>
      </c>
      <c r="F252" s="52">
        <v>195</v>
      </c>
      <c r="G252" s="104">
        <v>336.19045208314594</v>
      </c>
    </row>
    <row r="253" spans="2:7" x14ac:dyDescent="0.3">
      <c r="B253" s="52">
        <v>196</v>
      </c>
      <c r="C253" s="33">
        <v>200.29305622560088</v>
      </c>
      <c r="D253" s="52">
        <v>196</v>
      </c>
      <c r="E253" s="33">
        <v>9.814729331745383</v>
      </c>
      <c r="F253" s="52">
        <v>196</v>
      </c>
      <c r="G253" s="104">
        <v>191.28860860963732</v>
      </c>
    </row>
    <row r="254" spans="2:7" x14ac:dyDescent="0.3">
      <c r="B254" s="52">
        <v>197</v>
      </c>
      <c r="C254" s="33">
        <v>266.57162246706775</v>
      </c>
      <c r="D254" s="52">
        <v>197</v>
      </c>
      <c r="E254" s="33">
        <v>84.929864722401533</v>
      </c>
      <c r="F254" s="52">
        <v>197</v>
      </c>
      <c r="G254" s="104">
        <v>268.7899930794797</v>
      </c>
    </row>
    <row r="255" spans="2:7" x14ac:dyDescent="0.3">
      <c r="B255" s="52">
        <v>198</v>
      </c>
      <c r="C255" s="33">
        <v>302.56011119585463</v>
      </c>
      <c r="D255" s="52">
        <v>198</v>
      </c>
      <c r="E255" s="33">
        <v>64.984046497576358</v>
      </c>
      <c r="F255" s="52">
        <v>198</v>
      </c>
      <c r="G255" s="104">
        <v>191.87231298502508</v>
      </c>
    </row>
    <row r="256" spans="2:7" x14ac:dyDescent="0.3">
      <c r="B256" s="52">
        <v>199</v>
      </c>
      <c r="C256" s="33">
        <v>277.44009484034439</v>
      </c>
      <c r="D256" s="52">
        <v>199</v>
      </c>
      <c r="E256" s="33">
        <v>72.073766371568766</v>
      </c>
      <c r="F256" s="52">
        <v>199</v>
      </c>
      <c r="G256" s="104">
        <v>237.45877303297152</v>
      </c>
    </row>
    <row r="257" spans="2:7" x14ac:dyDescent="0.3">
      <c r="B257" s="52">
        <v>200</v>
      </c>
      <c r="C257" s="33">
        <v>151.12350470340758</v>
      </c>
      <c r="D257" s="52">
        <v>200</v>
      </c>
      <c r="E257" s="33">
        <v>37.310991611214746</v>
      </c>
      <c r="F257" s="52">
        <v>200</v>
      </c>
      <c r="G257" s="104">
        <v>379.85386580149634</v>
      </c>
    </row>
    <row r="258" spans="2:7" x14ac:dyDescent="0.3">
      <c r="B258" s="52">
        <v>201</v>
      </c>
      <c r="C258" s="33">
        <v>235.20508843876706</v>
      </c>
      <c r="D258" s="52">
        <v>201</v>
      </c>
      <c r="E258" s="33">
        <v>5.605658264479608</v>
      </c>
      <c r="F258" s="52">
        <v>201</v>
      </c>
      <c r="G258" s="104">
        <v>293.65800161535901</v>
      </c>
    </row>
    <row r="259" spans="2:7" x14ac:dyDescent="0.3">
      <c r="B259" s="52">
        <v>202</v>
      </c>
      <c r="C259" s="33">
        <v>240.32060273978789</v>
      </c>
      <c r="D259" s="52">
        <v>202</v>
      </c>
      <c r="E259" s="33">
        <v>23.538096039103841</v>
      </c>
      <c r="F259" s="52">
        <v>202</v>
      </c>
      <c r="G259" s="104">
        <v>317.10209772818973</v>
      </c>
    </row>
    <row r="260" spans="2:7" x14ac:dyDescent="0.3">
      <c r="B260" s="52">
        <v>203</v>
      </c>
      <c r="C260" s="33">
        <v>349.3061799570861</v>
      </c>
      <c r="D260" s="52">
        <v>203</v>
      </c>
      <c r="E260" s="33">
        <v>42.437745266229953</v>
      </c>
      <c r="F260" s="52">
        <v>203</v>
      </c>
      <c r="G260" s="104">
        <v>212.60242980112776</v>
      </c>
    </row>
    <row r="261" spans="2:7" x14ac:dyDescent="0.3">
      <c r="B261" s="52">
        <v>204</v>
      </c>
      <c r="C261" s="33">
        <v>347.09479594714225</v>
      </c>
      <c r="D261" s="52">
        <v>204</v>
      </c>
      <c r="E261" s="33">
        <v>26.814691088942709</v>
      </c>
      <c r="F261" s="52">
        <v>204</v>
      </c>
      <c r="G261" s="104">
        <v>251.26161886241997</v>
      </c>
    </row>
    <row r="262" spans="2:7" x14ac:dyDescent="0.3">
      <c r="B262" s="52">
        <v>205</v>
      </c>
      <c r="C262" s="33">
        <v>236.64073898926813</v>
      </c>
      <c r="D262" s="52">
        <v>205</v>
      </c>
      <c r="E262" s="33">
        <v>74.41883363988623</v>
      </c>
      <c r="F262" s="52">
        <v>205</v>
      </c>
      <c r="G262" s="104">
        <v>170.87951930309129</v>
      </c>
    </row>
    <row r="263" spans="2:7" x14ac:dyDescent="0.3">
      <c r="B263" s="52">
        <v>206</v>
      </c>
      <c r="C263" s="33">
        <v>205.68985041171376</v>
      </c>
      <c r="D263" s="52">
        <v>206</v>
      </c>
      <c r="E263" s="33">
        <v>59.25181406435965</v>
      </c>
      <c r="F263" s="52">
        <v>206</v>
      </c>
      <c r="G263" s="104">
        <v>223.31071177366206</v>
      </c>
    </row>
    <row r="264" spans="2:7" x14ac:dyDescent="0.3">
      <c r="B264" s="52">
        <v>207</v>
      </c>
      <c r="C264" s="33">
        <v>177.41610225424955</v>
      </c>
      <c r="D264" s="52">
        <v>207</v>
      </c>
      <c r="E264" s="33">
        <v>32.447819187222045</v>
      </c>
      <c r="F264" s="52">
        <v>207</v>
      </c>
      <c r="G264" s="104">
        <v>281.57161264075467</v>
      </c>
    </row>
    <row r="265" spans="2:7" x14ac:dyDescent="0.3">
      <c r="B265" s="52">
        <v>208</v>
      </c>
      <c r="C265" s="33">
        <v>157.10365987263685</v>
      </c>
      <c r="D265" s="52">
        <v>208</v>
      </c>
      <c r="E265" s="33">
        <v>70.305293784174111</v>
      </c>
      <c r="F265" s="52">
        <v>208</v>
      </c>
      <c r="G265" s="104">
        <v>252.89800641553447</v>
      </c>
    </row>
    <row r="266" spans="2:7" x14ac:dyDescent="0.3">
      <c r="B266" s="52">
        <v>209</v>
      </c>
      <c r="C266" s="33">
        <v>320.55128060937892</v>
      </c>
      <c r="D266" s="52">
        <v>209</v>
      </c>
      <c r="E266" s="33">
        <v>31.687375331974476</v>
      </c>
      <c r="F266" s="52">
        <v>209</v>
      </c>
      <c r="G266" s="104">
        <v>202.51666049702777</v>
      </c>
    </row>
    <row r="267" spans="2:7" x14ac:dyDescent="0.3">
      <c r="B267" s="52">
        <v>210</v>
      </c>
      <c r="C267" s="33">
        <v>110.47991616840302</v>
      </c>
      <c r="D267" s="52">
        <v>210</v>
      </c>
      <c r="E267" s="33">
        <v>37.143337015429765</v>
      </c>
      <c r="F267" s="52">
        <v>210</v>
      </c>
      <c r="G267" s="104">
        <v>274.07320402801548</v>
      </c>
    </row>
    <row r="268" spans="2:7" x14ac:dyDescent="0.3">
      <c r="B268" s="52">
        <v>211</v>
      </c>
      <c r="C268" s="33">
        <v>198.02916795080159</v>
      </c>
      <c r="D268" s="52">
        <v>211</v>
      </c>
      <c r="E268" s="33">
        <v>28.498254400114469</v>
      </c>
      <c r="F268" s="52">
        <v>211</v>
      </c>
      <c r="G268" s="104">
        <v>292.30251702399363</v>
      </c>
    </row>
    <row r="269" spans="2:7" x14ac:dyDescent="0.3">
      <c r="B269" s="52">
        <v>212</v>
      </c>
      <c r="C269" s="33">
        <v>255.88471075363302</v>
      </c>
      <c r="D269" s="52">
        <v>212</v>
      </c>
      <c r="E269" s="33">
        <v>42.474520508984966</v>
      </c>
      <c r="F269" s="52">
        <v>212</v>
      </c>
      <c r="G269" s="104">
        <v>173.77635235177223</v>
      </c>
    </row>
    <row r="270" spans="2:7" x14ac:dyDescent="0.3">
      <c r="B270" s="52">
        <v>213</v>
      </c>
      <c r="C270" s="33">
        <v>386.83287078790443</v>
      </c>
      <c r="D270" s="52">
        <v>213</v>
      </c>
      <c r="E270" s="33">
        <v>27.610615859839321</v>
      </c>
      <c r="F270" s="52">
        <v>213</v>
      </c>
      <c r="G270" s="104">
        <v>243.96410195742419</v>
      </c>
    </row>
    <row r="271" spans="2:7" x14ac:dyDescent="0.3">
      <c r="B271" s="52">
        <v>214</v>
      </c>
      <c r="C271" s="33">
        <v>337.49664323799323</v>
      </c>
      <c r="D271" s="52">
        <v>214</v>
      </c>
      <c r="E271" s="33">
        <v>55.105783414483739</v>
      </c>
      <c r="F271" s="52">
        <v>214</v>
      </c>
      <c r="G271" s="104">
        <v>249.72608282035657</v>
      </c>
    </row>
    <row r="272" spans="2:7" x14ac:dyDescent="0.3">
      <c r="B272" s="52">
        <v>215</v>
      </c>
      <c r="C272" s="33">
        <v>194.9843117121095</v>
      </c>
      <c r="D272" s="52">
        <v>215</v>
      </c>
      <c r="E272" s="33">
        <v>35.180165068155581</v>
      </c>
      <c r="F272" s="52">
        <v>215</v>
      </c>
      <c r="G272" s="104">
        <v>203.95972586440632</v>
      </c>
    </row>
    <row r="273" spans="2:7" x14ac:dyDescent="0.3">
      <c r="B273" s="52">
        <v>216</v>
      </c>
      <c r="C273" s="33">
        <v>251.50388845110007</v>
      </c>
      <c r="D273" s="52">
        <v>216</v>
      </c>
      <c r="E273" s="33">
        <v>31.843882725419764</v>
      </c>
      <c r="F273" s="52">
        <v>216</v>
      </c>
      <c r="G273" s="104">
        <v>219.71263552540884</v>
      </c>
    </row>
    <row r="274" spans="2:7" x14ac:dyDescent="0.3">
      <c r="B274" s="52">
        <v>217</v>
      </c>
      <c r="C274" s="33">
        <v>180.69691920245074</v>
      </c>
      <c r="D274" s="52">
        <v>217</v>
      </c>
      <c r="E274" s="33">
        <v>52.493332581254521</v>
      </c>
      <c r="F274" s="52">
        <v>217</v>
      </c>
      <c r="G274" s="104">
        <v>162.0087446429099</v>
      </c>
    </row>
    <row r="275" spans="2:7" x14ac:dyDescent="0.3">
      <c r="B275" s="52">
        <v>218</v>
      </c>
      <c r="C275" s="33">
        <v>248.83984057261489</v>
      </c>
      <c r="D275" s="52">
        <v>218</v>
      </c>
      <c r="E275" s="33">
        <v>42.369605621454028</v>
      </c>
      <c r="F275" s="52">
        <v>218</v>
      </c>
      <c r="G275" s="104">
        <v>362.35665803061272</v>
      </c>
    </row>
    <row r="276" spans="2:7" x14ac:dyDescent="0.3">
      <c r="B276" s="52">
        <v>219</v>
      </c>
      <c r="C276" s="33">
        <v>176.85006833947011</v>
      </c>
      <c r="D276" s="52">
        <v>219</v>
      </c>
      <c r="E276" s="33">
        <v>43.298605335886236</v>
      </c>
      <c r="F276" s="52">
        <v>219</v>
      </c>
      <c r="G276" s="104">
        <v>273.57065595118496</v>
      </c>
    </row>
    <row r="277" spans="2:7" x14ac:dyDescent="0.3">
      <c r="B277" s="52">
        <v>220</v>
      </c>
      <c r="C277" s="33">
        <v>297.04734252314137</v>
      </c>
      <c r="D277" s="52">
        <v>220</v>
      </c>
      <c r="E277" s="33">
        <v>43.636248539958601</v>
      </c>
      <c r="F277" s="52">
        <v>220</v>
      </c>
      <c r="G277" s="104">
        <v>266.76241221316906</v>
      </c>
    </row>
    <row r="278" spans="2:7" x14ac:dyDescent="0.3">
      <c r="B278" s="52">
        <v>221</v>
      </c>
      <c r="C278" s="33">
        <v>212.95076198021974</v>
      </c>
      <c r="D278" s="52">
        <v>221</v>
      </c>
      <c r="E278" s="33">
        <v>19.91896058460696</v>
      </c>
      <c r="F278" s="52">
        <v>221</v>
      </c>
      <c r="G278" s="104">
        <v>113.9073897559976</v>
      </c>
    </row>
    <row r="279" spans="2:7" x14ac:dyDescent="0.3">
      <c r="B279" s="52">
        <v>222</v>
      </c>
      <c r="C279" s="33">
        <v>226.21016243751367</v>
      </c>
      <c r="D279" s="52">
        <v>222</v>
      </c>
      <c r="E279" s="33">
        <v>29.205156042249051</v>
      </c>
      <c r="F279" s="52">
        <v>222</v>
      </c>
      <c r="G279" s="104">
        <v>203.8989193276301</v>
      </c>
    </row>
    <row r="280" spans="2:7" x14ac:dyDescent="0.3">
      <c r="B280" s="52">
        <v>223</v>
      </c>
      <c r="C280" s="33">
        <v>246.15145818928696</v>
      </c>
      <c r="D280" s="52">
        <v>223</v>
      </c>
      <c r="E280" s="33">
        <v>35.560309389742372</v>
      </c>
      <c r="F280" s="52">
        <v>223</v>
      </c>
      <c r="G280" s="104">
        <v>196.71042731810786</v>
      </c>
    </row>
    <row r="281" spans="2:7" x14ac:dyDescent="0.3">
      <c r="B281" s="52">
        <v>224</v>
      </c>
      <c r="C281" s="33">
        <v>324.32321111952365</v>
      </c>
      <c r="D281" s="52">
        <v>224</v>
      </c>
      <c r="E281" s="33">
        <v>50.174233055688418</v>
      </c>
      <c r="F281" s="52">
        <v>224</v>
      </c>
      <c r="G281" s="104">
        <v>189.75659657112661</v>
      </c>
    </row>
    <row r="282" spans="2:7" x14ac:dyDescent="0.3">
      <c r="B282" s="52">
        <v>225</v>
      </c>
      <c r="C282" s="33">
        <v>251.1758457184489</v>
      </c>
      <c r="D282" s="52">
        <v>225</v>
      </c>
      <c r="E282" s="33">
        <v>33.543968647541568</v>
      </c>
      <c r="F282" s="52">
        <v>225</v>
      </c>
      <c r="G282" s="104">
        <v>215.95078065320308</v>
      </c>
    </row>
    <row r="283" spans="2:7" x14ac:dyDescent="0.3">
      <c r="B283" s="52">
        <v>226</v>
      </c>
      <c r="C283" s="33">
        <v>252.54802650738569</v>
      </c>
      <c r="D283" s="52">
        <v>226</v>
      </c>
      <c r="E283" s="33">
        <v>50.547022828760149</v>
      </c>
      <c r="F283" s="52">
        <v>226</v>
      </c>
      <c r="G283" s="104">
        <v>141.71342787403125</v>
      </c>
    </row>
    <row r="284" spans="2:7" x14ac:dyDescent="0.3">
      <c r="B284" s="52">
        <v>227</v>
      </c>
      <c r="C284" s="33">
        <v>267.94762321213631</v>
      </c>
      <c r="D284" s="52">
        <v>227</v>
      </c>
      <c r="E284" s="33">
        <v>86.867847884280394</v>
      </c>
      <c r="F284" s="52">
        <v>227</v>
      </c>
      <c r="G284" s="104">
        <v>234.41325218651323</v>
      </c>
    </row>
    <row r="285" spans="2:7" x14ac:dyDescent="0.3">
      <c r="B285" s="52">
        <v>228</v>
      </c>
      <c r="C285" s="33">
        <v>448.93979668715906</v>
      </c>
      <c r="D285" s="52">
        <v>228</v>
      </c>
      <c r="E285" s="33">
        <v>8.2097151005657096</v>
      </c>
      <c r="F285" s="52">
        <v>228</v>
      </c>
      <c r="G285" s="104">
        <v>302.07242213492088</v>
      </c>
    </row>
    <row r="286" spans="2:7" x14ac:dyDescent="0.3">
      <c r="B286" s="52">
        <v>229</v>
      </c>
      <c r="C286" s="33">
        <v>246.08541686227551</v>
      </c>
      <c r="D286" s="52">
        <v>229</v>
      </c>
      <c r="E286" s="33">
        <v>12.838933987352952</v>
      </c>
      <c r="F286" s="52">
        <v>229</v>
      </c>
      <c r="G286" s="104">
        <v>291.7784449332438</v>
      </c>
    </row>
    <row r="287" spans="2:7" x14ac:dyDescent="0.3">
      <c r="B287" s="52">
        <v>230</v>
      </c>
      <c r="C287" s="33">
        <v>213.89224766659305</v>
      </c>
      <c r="D287" s="52">
        <v>230</v>
      </c>
      <c r="E287" s="33">
        <v>61.387869390576576</v>
      </c>
      <c r="F287" s="52">
        <v>230</v>
      </c>
      <c r="G287" s="104">
        <v>166.95537351683055</v>
      </c>
    </row>
    <row r="288" spans="2:7" x14ac:dyDescent="0.3">
      <c r="B288" s="52">
        <v>231</v>
      </c>
      <c r="C288" s="33">
        <v>314.41333163741365</v>
      </c>
      <c r="D288" s="52">
        <v>231</v>
      </c>
      <c r="E288" s="33">
        <v>39.152029221916386</v>
      </c>
      <c r="F288" s="52">
        <v>231</v>
      </c>
      <c r="G288" s="104">
        <v>393.55274807349133</v>
      </c>
    </row>
    <row r="289" spans="2:7" x14ac:dyDescent="0.3">
      <c r="B289" s="52">
        <v>232</v>
      </c>
      <c r="C289" s="33">
        <v>183.27994135159639</v>
      </c>
      <c r="D289" s="52">
        <v>232</v>
      </c>
      <c r="E289" s="33">
        <v>33.431269226028995</v>
      </c>
      <c r="F289" s="52">
        <v>232</v>
      </c>
      <c r="G289" s="104">
        <v>287.82492570200662</v>
      </c>
    </row>
    <row r="290" spans="2:7" x14ac:dyDescent="0.3">
      <c r="B290" s="52">
        <v>233</v>
      </c>
      <c r="C290" s="33">
        <v>263.46850679661634</v>
      </c>
      <c r="D290" s="52">
        <v>233</v>
      </c>
      <c r="E290" s="33">
        <v>15.763879156615094</v>
      </c>
      <c r="F290" s="52">
        <v>233</v>
      </c>
      <c r="G290" s="104">
        <v>280.83200565186041</v>
      </c>
    </row>
    <row r="291" spans="2:7" x14ac:dyDescent="0.3">
      <c r="B291" s="52">
        <v>234</v>
      </c>
      <c r="C291" s="33">
        <v>186.81709266666491</v>
      </c>
      <c r="D291" s="52">
        <v>234</v>
      </c>
      <c r="E291" s="33">
        <v>71.328432550020864</v>
      </c>
      <c r="F291" s="52">
        <v>234</v>
      </c>
      <c r="G291" s="104">
        <v>164.59136644856665</v>
      </c>
    </row>
    <row r="292" spans="2:7" x14ac:dyDescent="0.3">
      <c r="B292" s="52">
        <v>235</v>
      </c>
      <c r="C292" s="33">
        <v>232.6202783611177</v>
      </c>
      <c r="D292" s="52">
        <v>235</v>
      </c>
      <c r="E292" s="33">
        <v>33.691662391634154</v>
      </c>
      <c r="F292" s="52">
        <v>235</v>
      </c>
      <c r="G292" s="104">
        <v>280.89452299686974</v>
      </c>
    </row>
    <row r="293" spans="2:7" x14ac:dyDescent="0.3">
      <c r="B293" s="52">
        <v>236</v>
      </c>
      <c r="C293" s="33">
        <v>245.94414979537257</v>
      </c>
      <c r="D293" s="52">
        <v>236</v>
      </c>
      <c r="E293" s="33">
        <v>82.50647408573559</v>
      </c>
      <c r="F293" s="52">
        <v>236</v>
      </c>
      <c r="G293" s="104">
        <v>160.19713552357945</v>
      </c>
    </row>
    <row r="294" spans="2:7" x14ac:dyDescent="0.3">
      <c r="B294" s="52">
        <v>237</v>
      </c>
      <c r="C294" s="33">
        <v>147.40801572818964</v>
      </c>
      <c r="D294" s="52">
        <v>237</v>
      </c>
      <c r="E294" s="33">
        <v>44.764742739759271</v>
      </c>
      <c r="F294" s="52">
        <v>237</v>
      </c>
      <c r="G294" s="104">
        <v>395.70196192926153</v>
      </c>
    </row>
    <row r="295" spans="2:7" x14ac:dyDescent="0.3">
      <c r="B295" s="52">
        <v>238</v>
      </c>
      <c r="C295" s="33">
        <v>308.88098879670099</v>
      </c>
      <c r="D295" s="52">
        <v>238</v>
      </c>
      <c r="E295" s="33">
        <v>5.7984684824980164</v>
      </c>
      <c r="F295" s="52">
        <v>238</v>
      </c>
      <c r="G295" s="104">
        <v>151.51708880287239</v>
      </c>
    </row>
    <row r="296" spans="2:7" x14ac:dyDescent="0.3">
      <c r="B296" s="52">
        <v>239</v>
      </c>
      <c r="C296" s="33">
        <v>278.36175736471438</v>
      </c>
      <c r="D296" s="52">
        <v>239</v>
      </c>
      <c r="E296" s="33">
        <v>80.38458142915367</v>
      </c>
      <c r="F296" s="52">
        <v>239</v>
      </c>
      <c r="G296" s="104">
        <v>322.92325532458085</v>
      </c>
    </row>
    <row r="297" spans="2:7" x14ac:dyDescent="0.3">
      <c r="B297" s="52">
        <v>240</v>
      </c>
      <c r="C297" s="33">
        <v>151.34738560421169</v>
      </c>
      <c r="D297" s="52">
        <v>240</v>
      </c>
      <c r="E297" s="33">
        <v>29.064948673220552</v>
      </c>
      <c r="F297" s="52">
        <v>240</v>
      </c>
      <c r="G297" s="104">
        <v>171.18204241149803</v>
      </c>
    </row>
    <row r="298" spans="2:7" x14ac:dyDescent="0.3">
      <c r="B298" s="52">
        <v>241</v>
      </c>
      <c r="C298" s="33">
        <v>282.08670458291022</v>
      </c>
      <c r="D298" s="52">
        <v>241</v>
      </c>
      <c r="E298" s="33">
        <v>90.78090074127752</v>
      </c>
      <c r="F298" s="52">
        <v>241</v>
      </c>
      <c r="G298" s="104">
        <v>317.43709279835821</v>
      </c>
    </row>
    <row r="299" spans="2:7" x14ac:dyDescent="0.3">
      <c r="B299" s="52">
        <v>242</v>
      </c>
      <c r="C299" s="33">
        <v>311.19793673976545</v>
      </c>
      <c r="D299" s="52">
        <v>242</v>
      </c>
      <c r="E299" s="33">
        <v>32.057638699917952</v>
      </c>
      <c r="F299" s="52">
        <v>242</v>
      </c>
      <c r="G299" s="104">
        <v>235.54360691635083</v>
      </c>
    </row>
    <row r="300" spans="2:7" x14ac:dyDescent="0.3">
      <c r="B300" s="52">
        <v>243</v>
      </c>
      <c r="C300" s="33">
        <v>199.29421068507867</v>
      </c>
      <c r="D300" s="52">
        <v>243</v>
      </c>
      <c r="E300" s="33">
        <v>51.438330923240407</v>
      </c>
      <c r="F300" s="52">
        <v>243</v>
      </c>
      <c r="G300" s="104">
        <v>222.82837518954136</v>
      </c>
    </row>
    <row r="301" spans="2:7" x14ac:dyDescent="0.3">
      <c r="B301" s="52">
        <v>244</v>
      </c>
      <c r="C301" s="33">
        <v>390.33493893041953</v>
      </c>
      <c r="D301" s="52">
        <v>244</v>
      </c>
      <c r="E301" s="33">
        <v>12.935462771941829</v>
      </c>
      <c r="F301" s="52">
        <v>244</v>
      </c>
      <c r="G301" s="104">
        <v>305.6593491536986</v>
      </c>
    </row>
    <row r="302" spans="2:7" x14ac:dyDescent="0.3">
      <c r="B302" s="52">
        <v>245</v>
      </c>
      <c r="C302" s="33">
        <v>247.91164800028287</v>
      </c>
      <c r="D302" s="52">
        <v>245</v>
      </c>
      <c r="E302" s="33">
        <v>29.0329572316518</v>
      </c>
      <c r="F302" s="52">
        <v>245</v>
      </c>
      <c r="G302" s="104">
        <v>171.98887099412474</v>
      </c>
    </row>
    <row r="303" spans="2:7" x14ac:dyDescent="0.3">
      <c r="B303" s="52">
        <v>246</v>
      </c>
      <c r="C303" s="33">
        <v>405.96115781785113</v>
      </c>
      <c r="D303" s="52">
        <v>246</v>
      </c>
      <c r="E303" s="33">
        <v>39.661288900389451</v>
      </c>
      <c r="F303" s="52">
        <v>246</v>
      </c>
      <c r="G303" s="104">
        <v>196.15582670203875</v>
      </c>
    </row>
    <row r="304" spans="2:7" x14ac:dyDescent="0.3">
      <c r="B304" s="52">
        <v>247</v>
      </c>
      <c r="C304" s="33">
        <v>286.62321966560501</v>
      </c>
      <c r="D304" s="52">
        <v>247</v>
      </c>
      <c r="E304" s="33">
        <v>29.191814678328413</v>
      </c>
      <c r="F304" s="52">
        <v>247</v>
      </c>
      <c r="G304" s="104">
        <v>165.60533462239059</v>
      </c>
    </row>
    <row r="305" spans="2:7" x14ac:dyDescent="0.3">
      <c r="B305" s="52">
        <v>248</v>
      </c>
      <c r="C305" s="33">
        <v>202.77479800904933</v>
      </c>
      <c r="D305" s="52">
        <v>248</v>
      </c>
      <c r="E305" s="33">
        <v>56.657529644165784</v>
      </c>
      <c r="F305" s="52">
        <v>248</v>
      </c>
      <c r="G305" s="104">
        <v>254.4213864467095</v>
      </c>
    </row>
    <row r="306" spans="2:7" x14ac:dyDescent="0.3">
      <c r="B306" s="52">
        <v>249</v>
      </c>
      <c r="C306" s="33">
        <v>173.32986479785748</v>
      </c>
      <c r="D306" s="52">
        <v>249</v>
      </c>
      <c r="E306" s="33">
        <v>49.557050366944793</v>
      </c>
      <c r="F306" s="52">
        <v>249</v>
      </c>
      <c r="G306" s="104">
        <v>144.67910935036963</v>
      </c>
    </row>
    <row r="307" spans="2:7" x14ac:dyDescent="0.3">
      <c r="B307" s="52">
        <v>250</v>
      </c>
      <c r="C307" s="33">
        <v>145.25213299282444</v>
      </c>
      <c r="D307" s="52">
        <v>250</v>
      </c>
      <c r="E307" s="33">
        <v>71.968578988816446</v>
      </c>
      <c r="F307" s="52">
        <v>250</v>
      </c>
      <c r="G307" s="104">
        <v>383.29287450833181</v>
      </c>
    </row>
    <row r="308" spans="2:7" x14ac:dyDescent="0.3">
      <c r="B308" s="52">
        <v>251</v>
      </c>
      <c r="C308" s="33">
        <v>233.17874024073095</v>
      </c>
      <c r="D308" s="52">
        <v>251</v>
      </c>
      <c r="E308" s="33">
        <v>29.451961782141282</v>
      </c>
      <c r="F308" s="52">
        <v>251</v>
      </c>
      <c r="G308" s="104">
        <v>334.3423426879715</v>
      </c>
    </row>
    <row r="309" spans="2:7" x14ac:dyDescent="0.3">
      <c r="B309" s="52">
        <v>252</v>
      </c>
      <c r="C309" s="33">
        <v>289.90250171551406</v>
      </c>
      <c r="D309" s="52">
        <v>252</v>
      </c>
      <c r="E309" s="33">
        <v>32.806994854654036</v>
      </c>
      <c r="F309" s="52">
        <v>252</v>
      </c>
      <c r="G309" s="104">
        <v>210.89743644372905</v>
      </c>
    </row>
    <row r="310" spans="2:7" x14ac:dyDescent="0.3">
      <c r="B310" s="52">
        <v>253</v>
      </c>
      <c r="C310" s="33">
        <v>272.33381509211659</v>
      </c>
      <c r="D310" s="52">
        <v>253</v>
      </c>
      <c r="E310" s="33">
        <v>54.171968749934891</v>
      </c>
      <c r="F310" s="52">
        <v>253</v>
      </c>
      <c r="G310" s="104">
        <v>189.20725208797472</v>
      </c>
    </row>
    <row r="311" spans="2:7" x14ac:dyDescent="0.3">
      <c r="B311" s="52">
        <v>254</v>
      </c>
      <c r="C311" s="33">
        <v>156.99261258965441</v>
      </c>
      <c r="D311" s="52">
        <v>254</v>
      </c>
      <c r="E311" s="33">
        <v>51.601405635801832</v>
      </c>
      <c r="F311" s="52">
        <v>254</v>
      </c>
      <c r="G311" s="104">
        <v>247.43608148454541</v>
      </c>
    </row>
    <row r="312" spans="2:7" x14ac:dyDescent="0.3">
      <c r="B312" s="52">
        <v>255</v>
      </c>
      <c r="C312" s="33">
        <v>153.42683381016036</v>
      </c>
      <c r="D312" s="52">
        <v>255</v>
      </c>
      <c r="E312" s="33">
        <v>65.596705242169577</v>
      </c>
      <c r="F312" s="52">
        <v>255</v>
      </c>
      <c r="G312" s="104">
        <v>298.78108197723236</v>
      </c>
    </row>
    <row r="313" spans="2:7" x14ac:dyDescent="0.3">
      <c r="B313" s="52">
        <v>256</v>
      </c>
      <c r="C313" s="33">
        <v>292.29478353576457</v>
      </c>
      <c r="D313" s="52">
        <v>256</v>
      </c>
      <c r="E313" s="33">
        <v>65.887792318840937</v>
      </c>
      <c r="F313" s="52">
        <v>256</v>
      </c>
      <c r="G313" s="104">
        <v>285.91240955539763</v>
      </c>
    </row>
    <row r="314" spans="2:7" x14ac:dyDescent="0.3">
      <c r="B314" s="52">
        <v>257</v>
      </c>
      <c r="C314" s="33">
        <v>239.06410419270156</v>
      </c>
      <c r="D314" s="52">
        <v>257</v>
      </c>
      <c r="E314" s="33">
        <v>61.944718280393367</v>
      </c>
      <c r="F314" s="52">
        <v>257</v>
      </c>
      <c r="G314" s="104">
        <v>328.35223718808368</v>
      </c>
    </row>
    <row r="315" spans="2:7" x14ac:dyDescent="0.3">
      <c r="B315" s="52">
        <v>258</v>
      </c>
      <c r="C315" s="33">
        <v>270.26512095477301</v>
      </c>
      <c r="D315" s="52">
        <v>258</v>
      </c>
      <c r="E315" s="33">
        <v>34.769912951639206</v>
      </c>
      <c r="F315" s="52">
        <v>258</v>
      </c>
      <c r="G315" s="104">
        <v>164.84738290149647</v>
      </c>
    </row>
    <row r="316" spans="2:7" x14ac:dyDescent="0.3">
      <c r="B316" s="52">
        <v>259</v>
      </c>
      <c r="C316" s="33">
        <v>169.48388802087803</v>
      </c>
      <c r="D316" s="52">
        <v>259</v>
      </c>
      <c r="E316" s="33">
        <v>47.803006598614957</v>
      </c>
      <c r="F316" s="52">
        <v>259</v>
      </c>
      <c r="G316" s="104">
        <v>169.42131990164717</v>
      </c>
    </row>
    <row r="317" spans="2:7" x14ac:dyDescent="0.3">
      <c r="B317" s="52">
        <v>260</v>
      </c>
      <c r="C317" s="33">
        <v>280.74271083719321</v>
      </c>
      <c r="D317" s="52">
        <v>260</v>
      </c>
      <c r="E317" s="33">
        <v>27.504972841875432</v>
      </c>
      <c r="F317" s="52">
        <v>260</v>
      </c>
      <c r="G317" s="104">
        <v>256.60208502612568</v>
      </c>
    </row>
    <row r="318" spans="2:7" x14ac:dyDescent="0.3">
      <c r="B318" s="52">
        <v>261</v>
      </c>
      <c r="C318" s="33">
        <v>258.34591442975147</v>
      </c>
      <c r="D318" s="52">
        <v>261</v>
      </c>
      <c r="E318" s="33">
        <v>61.070499377724396</v>
      </c>
      <c r="F318" s="52">
        <v>261</v>
      </c>
      <c r="G318" s="104">
        <v>193.32651162386659</v>
      </c>
    </row>
    <row r="319" spans="2:7" x14ac:dyDescent="0.3">
      <c r="B319" s="52">
        <v>262</v>
      </c>
      <c r="C319" s="33">
        <v>234.00908329292972</v>
      </c>
      <c r="D319" s="52">
        <v>262</v>
      </c>
      <c r="E319" s="33">
        <v>9.2391167653488111</v>
      </c>
      <c r="F319" s="52">
        <v>262</v>
      </c>
      <c r="G319" s="104">
        <v>75.514897626333067</v>
      </c>
    </row>
    <row r="320" spans="2:7" x14ac:dyDescent="0.3">
      <c r="B320" s="52">
        <v>263</v>
      </c>
      <c r="C320" s="33">
        <v>174.27646743739598</v>
      </c>
      <c r="D320" s="52">
        <v>263</v>
      </c>
      <c r="E320" s="33">
        <v>50.491776622521407</v>
      </c>
      <c r="F320" s="52">
        <v>263</v>
      </c>
      <c r="G320" s="104">
        <v>227.071032775574</v>
      </c>
    </row>
    <row r="321" spans="2:7" x14ac:dyDescent="0.3">
      <c r="B321" s="52">
        <v>264</v>
      </c>
      <c r="C321" s="33">
        <v>458.89215886965991</v>
      </c>
      <c r="D321" s="52">
        <v>264</v>
      </c>
      <c r="E321" s="33">
        <v>55.833500505651934</v>
      </c>
      <c r="F321" s="52">
        <v>264</v>
      </c>
      <c r="G321" s="104">
        <v>324.33386565522056</v>
      </c>
    </row>
    <row r="322" spans="2:7" x14ac:dyDescent="0.3">
      <c r="B322" s="52">
        <v>265</v>
      </c>
      <c r="C322" s="33">
        <v>185.94712387908567</v>
      </c>
      <c r="D322" s="52">
        <v>265</v>
      </c>
      <c r="E322" s="33">
        <v>73.484178115773716</v>
      </c>
      <c r="F322" s="52">
        <v>265</v>
      </c>
      <c r="G322" s="104">
        <v>202.75389238385793</v>
      </c>
    </row>
    <row r="323" spans="2:7" x14ac:dyDescent="0.3">
      <c r="B323" s="52">
        <v>266</v>
      </c>
      <c r="C323" s="33">
        <v>231.21118828786206</v>
      </c>
      <c r="D323" s="52">
        <v>266</v>
      </c>
      <c r="E323" s="33">
        <v>81.819480077884322</v>
      </c>
      <c r="F323" s="52">
        <v>266</v>
      </c>
      <c r="G323" s="104">
        <v>147.09608147577325</v>
      </c>
    </row>
    <row r="324" spans="2:7" x14ac:dyDescent="0.3">
      <c r="B324" s="52">
        <v>267</v>
      </c>
      <c r="C324" s="33">
        <v>172.28095800783763</v>
      </c>
      <c r="D324" s="52">
        <v>267</v>
      </c>
      <c r="E324" s="33">
        <v>10.114151552775986</v>
      </c>
      <c r="F324" s="52">
        <v>267</v>
      </c>
      <c r="G324" s="104">
        <v>334.11288167517421</v>
      </c>
    </row>
    <row r="325" spans="2:7" x14ac:dyDescent="0.3">
      <c r="B325" s="52">
        <v>268</v>
      </c>
      <c r="C325" s="33">
        <v>247.95595443990578</v>
      </c>
      <c r="D325" s="52">
        <v>268</v>
      </c>
      <c r="E325" s="33">
        <v>47.425035976518402</v>
      </c>
      <c r="F325" s="52">
        <v>268</v>
      </c>
      <c r="G325" s="104">
        <v>284.54437423688836</v>
      </c>
    </row>
    <row r="326" spans="2:7" x14ac:dyDescent="0.3">
      <c r="B326" s="52">
        <v>269</v>
      </c>
      <c r="C326" s="33">
        <v>204.39805941929697</v>
      </c>
      <c r="D326" s="52">
        <v>269</v>
      </c>
      <c r="E326" s="33">
        <v>-0.80644678478733312</v>
      </c>
      <c r="F326" s="52">
        <v>269</v>
      </c>
      <c r="G326" s="104">
        <v>22.022006370174836</v>
      </c>
    </row>
    <row r="327" spans="2:7" x14ac:dyDescent="0.3">
      <c r="B327" s="52">
        <v>270</v>
      </c>
      <c r="C327" s="33">
        <v>186.33498044772827</v>
      </c>
      <c r="D327" s="52">
        <v>270</v>
      </c>
      <c r="E327" s="33">
        <v>35.028535771236307</v>
      </c>
      <c r="F327" s="52">
        <v>270</v>
      </c>
      <c r="G327" s="104">
        <v>308.85786639654049</v>
      </c>
    </row>
    <row r="328" spans="2:7" x14ac:dyDescent="0.3">
      <c r="B328" s="52">
        <v>271</v>
      </c>
      <c r="C328" s="33">
        <v>228.11890535057012</v>
      </c>
      <c r="D328" s="52">
        <v>271</v>
      </c>
      <c r="E328" s="33">
        <v>50.579160964887066</v>
      </c>
      <c r="F328" s="52">
        <v>271</v>
      </c>
      <c r="G328" s="104">
        <v>242.56389674552378</v>
      </c>
    </row>
    <row r="329" spans="2:7" x14ac:dyDescent="0.3">
      <c r="B329" s="52">
        <v>272</v>
      </c>
      <c r="C329" s="33">
        <v>308.09281063798335</v>
      </c>
      <c r="D329" s="52">
        <v>272</v>
      </c>
      <c r="E329" s="33">
        <v>27.417216005512962</v>
      </c>
      <c r="F329" s="52">
        <v>272</v>
      </c>
      <c r="G329" s="104">
        <v>214.87325126719668</v>
      </c>
    </row>
    <row r="330" spans="2:7" x14ac:dyDescent="0.3">
      <c r="B330" s="52">
        <v>273</v>
      </c>
      <c r="C330" s="33">
        <v>249.90096191679834</v>
      </c>
      <c r="D330" s="52">
        <v>273</v>
      </c>
      <c r="E330" s="33">
        <v>59.699212933418714</v>
      </c>
      <c r="F330" s="52">
        <v>273</v>
      </c>
      <c r="G330" s="104">
        <v>171.86622198370046</v>
      </c>
    </row>
    <row r="331" spans="2:7" x14ac:dyDescent="0.3">
      <c r="B331" s="52">
        <v>274</v>
      </c>
      <c r="C331" s="33">
        <v>285.85848604816454</v>
      </c>
      <c r="D331" s="52">
        <v>274</v>
      </c>
      <c r="E331" s="33">
        <v>59.344240889987503</v>
      </c>
      <c r="F331" s="52">
        <v>274</v>
      </c>
      <c r="G331" s="104">
        <v>227.79532463107472</v>
      </c>
    </row>
    <row r="332" spans="2:7" x14ac:dyDescent="0.3">
      <c r="B332" s="52">
        <v>275</v>
      </c>
      <c r="C332" s="33">
        <v>195.80985722493546</v>
      </c>
      <c r="D332" s="52">
        <v>275</v>
      </c>
      <c r="E332" s="33">
        <v>65.98735925216873</v>
      </c>
      <c r="F332" s="52">
        <v>275</v>
      </c>
      <c r="G332" s="104">
        <v>121.66803194785888</v>
      </c>
    </row>
    <row r="333" spans="2:7" x14ac:dyDescent="0.3">
      <c r="B333" s="52">
        <v>276</v>
      </c>
      <c r="C333" s="33">
        <v>244.74700421740991</v>
      </c>
      <c r="D333" s="52">
        <v>276</v>
      </c>
      <c r="E333" s="33">
        <v>86.205467505372056</v>
      </c>
      <c r="F333" s="52">
        <v>276</v>
      </c>
      <c r="G333" s="104">
        <v>268.83679083451477</v>
      </c>
    </row>
    <row r="334" spans="2:7" x14ac:dyDescent="0.3">
      <c r="B334" s="52">
        <v>277</v>
      </c>
      <c r="C334" s="33">
        <v>279.64914687093835</v>
      </c>
      <c r="D334" s="52">
        <v>277</v>
      </c>
      <c r="E334" s="33">
        <v>58.96154633292128</v>
      </c>
      <c r="F334" s="52">
        <v>277</v>
      </c>
      <c r="G334" s="104">
        <v>278.81575906196321</v>
      </c>
    </row>
    <row r="335" spans="2:7" x14ac:dyDescent="0.3">
      <c r="B335" s="52">
        <v>278</v>
      </c>
      <c r="C335" s="33">
        <v>201.22753031046361</v>
      </c>
      <c r="D335" s="52">
        <v>278</v>
      </c>
      <c r="E335" s="33">
        <v>89.624762812830596</v>
      </c>
      <c r="F335" s="52">
        <v>278</v>
      </c>
      <c r="G335" s="104">
        <v>332.1028812715644</v>
      </c>
    </row>
    <row r="336" spans="2:7" x14ac:dyDescent="0.3">
      <c r="B336" s="52">
        <v>279</v>
      </c>
      <c r="C336" s="33">
        <v>289.03930310743863</v>
      </c>
      <c r="D336" s="52">
        <v>279</v>
      </c>
      <c r="E336" s="33">
        <v>80.196530596641523</v>
      </c>
      <c r="F336" s="52">
        <v>279</v>
      </c>
      <c r="G336" s="104">
        <v>252.22345780237748</v>
      </c>
    </row>
    <row r="337" spans="2:7" x14ac:dyDescent="0.3">
      <c r="B337" s="52">
        <v>280</v>
      </c>
      <c r="C337" s="33">
        <v>251.90020064877831</v>
      </c>
      <c r="D337" s="52">
        <v>280</v>
      </c>
      <c r="E337" s="33">
        <v>86.229322356475947</v>
      </c>
      <c r="F337" s="52">
        <v>280</v>
      </c>
      <c r="G337" s="104">
        <v>43.886509838380078</v>
      </c>
    </row>
    <row r="338" spans="2:7" x14ac:dyDescent="0.3">
      <c r="B338" s="52">
        <v>281</v>
      </c>
      <c r="C338" s="33">
        <v>299.80008149958059</v>
      </c>
      <c r="D338" s="52">
        <v>281</v>
      </c>
      <c r="E338" s="33">
        <v>47.164122762043213</v>
      </c>
      <c r="F338" s="52">
        <v>281</v>
      </c>
      <c r="G338" s="104">
        <v>187.92001499088394</v>
      </c>
    </row>
    <row r="339" spans="2:7" x14ac:dyDescent="0.3">
      <c r="B339" s="52">
        <v>282</v>
      </c>
      <c r="C339" s="33">
        <v>116.2415097287756</v>
      </c>
      <c r="D339" s="52">
        <v>282</v>
      </c>
      <c r="E339" s="33">
        <v>46.235753817162873</v>
      </c>
      <c r="F339" s="52">
        <v>282</v>
      </c>
      <c r="G339" s="104">
        <v>311.28587065734706</v>
      </c>
    </row>
    <row r="340" spans="2:7" x14ac:dyDescent="0.3">
      <c r="B340" s="52">
        <v>283</v>
      </c>
      <c r="C340" s="33">
        <v>325.74745820164623</v>
      </c>
      <c r="D340" s="52">
        <v>283</v>
      </c>
      <c r="E340" s="33">
        <v>39.759148391376527</v>
      </c>
      <c r="F340" s="52">
        <v>283</v>
      </c>
      <c r="G340" s="104">
        <v>345.78437086009836</v>
      </c>
    </row>
    <row r="341" spans="2:7" x14ac:dyDescent="0.3">
      <c r="B341" s="52">
        <v>284</v>
      </c>
      <c r="C341" s="33">
        <v>172.43382739011747</v>
      </c>
      <c r="D341" s="52">
        <v>284</v>
      </c>
      <c r="E341" s="33">
        <v>59.09589908578625</v>
      </c>
      <c r="F341" s="52">
        <v>284</v>
      </c>
      <c r="G341" s="104">
        <v>328.2561163321904</v>
      </c>
    </row>
    <row r="342" spans="2:7" x14ac:dyDescent="0.3">
      <c r="B342" s="52">
        <v>285</v>
      </c>
      <c r="C342" s="33">
        <v>223.19873832807849</v>
      </c>
      <c r="D342" s="52">
        <v>285</v>
      </c>
      <c r="E342" s="33">
        <v>33.76752381728339</v>
      </c>
      <c r="F342" s="52">
        <v>285</v>
      </c>
      <c r="G342" s="104">
        <v>344.94261459658048</v>
      </c>
    </row>
    <row r="343" spans="2:7" x14ac:dyDescent="0.3">
      <c r="B343" s="52">
        <v>286</v>
      </c>
      <c r="C343" s="33">
        <v>337.57103828657495</v>
      </c>
      <c r="D343" s="52">
        <v>286</v>
      </c>
      <c r="E343" s="33">
        <v>44.353360207335676</v>
      </c>
      <c r="F343" s="52">
        <v>286</v>
      </c>
      <c r="G343" s="104">
        <v>174.92259803897903</v>
      </c>
    </row>
    <row r="344" spans="2:7" x14ac:dyDescent="0.3">
      <c r="B344" s="52">
        <v>287</v>
      </c>
      <c r="C344" s="33">
        <v>203.88331170972759</v>
      </c>
      <c r="D344" s="52">
        <v>287</v>
      </c>
      <c r="E344" s="33">
        <v>38.068422827402287</v>
      </c>
      <c r="F344" s="52">
        <v>287</v>
      </c>
      <c r="G344" s="104">
        <v>190.28521686474531</v>
      </c>
    </row>
    <row r="345" spans="2:7" x14ac:dyDescent="0.3">
      <c r="B345" s="52">
        <v>288</v>
      </c>
      <c r="C345" s="33">
        <v>217.89590825728493</v>
      </c>
      <c r="D345" s="52">
        <v>288</v>
      </c>
      <c r="E345" s="33">
        <v>36.954258666740316</v>
      </c>
      <c r="F345" s="52">
        <v>288</v>
      </c>
      <c r="G345" s="104">
        <v>237.14368050266359</v>
      </c>
    </row>
    <row r="346" spans="2:7" x14ac:dyDescent="0.3">
      <c r="B346" s="52">
        <v>289</v>
      </c>
      <c r="C346" s="33">
        <v>78.886574735169063</v>
      </c>
      <c r="D346" s="52">
        <v>289</v>
      </c>
      <c r="E346" s="33">
        <v>111.93296904357018</v>
      </c>
      <c r="F346" s="52">
        <v>289</v>
      </c>
      <c r="G346" s="104">
        <v>174.53925317090417</v>
      </c>
    </row>
    <row r="347" spans="2:7" x14ac:dyDescent="0.3">
      <c r="B347" s="52">
        <v>290</v>
      </c>
      <c r="C347" s="33">
        <v>297.66106962120858</v>
      </c>
      <c r="D347" s="52">
        <v>290</v>
      </c>
      <c r="E347" s="33">
        <v>6.9468001318641051</v>
      </c>
      <c r="F347" s="52">
        <v>290</v>
      </c>
      <c r="G347" s="104">
        <v>342.88252811648749</v>
      </c>
    </row>
    <row r="348" spans="2:7" x14ac:dyDescent="0.3">
      <c r="B348" s="52">
        <v>291</v>
      </c>
      <c r="C348" s="33">
        <v>235.90329096302116</v>
      </c>
      <c r="D348" s="52">
        <v>291</v>
      </c>
      <c r="E348" s="33">
        <v>60.162452771568809</v>
      </c>
      <c r="F348" s="52">
        <v>291</v>
      </c>
      <c r="G348" s="104">
        <v>179.45281612316015</v>
      </c>
    </row>
    <row r="349" spans="2:7" x14ac:dyDescent="0.3">
      <c r="B349" s="52">
        <v>292</v>
      </c>
      <c r="C349" s="33">
        <v>172.93835668413271</v>
      </c>
      <c r="D349" s="52">
        <v>292</v>
      </c>
      <c r="E349" s="33">
        <v>5.0378699649878627</v>
      </c>
      <c r="F349" s="52">
        <v>292</v>
      </c>
      <c r="G349" s="104">
        <v>273.734248141705</v>
      </c>
    </row>
    <row r="350" spans="2:7" x14ac:dyDescent="0.3">
      <c r="B350" s="52">
        <v>293</v>
      </c>
      <c r="C350" s="33">
        <v>150.65220729678521</v>
      </c>
      <c r="D350" s="52">
        <v>293</v>
      </c>
      <c r="E350" s="33">
        <v>76.663773851551142</v>
      </c>
      <c r="F350" s="52">
        <v>293</v>
      </c>
      <c r="G350" s="104">
        <v>229.94631760508207</v>
      </c>
    </row>
    <row r="351" spans="2:7" x14ac:dyDescent="0.3">
      <c r="B351" s="52">
        <v>294</v>
      </c>
      <c r="C351" s="33">
        <v>341.18017650320945</v>
      </c>
      <c r="D351" s="52">
        <v>294</v>
      </c>
      <c r="E351" s="33">
        <v>-27.31392562473032</v>
      </c>
      <c r="F351" s="52">
        <v>294</v>
      </c>
      <c r="G351" s="104">
        <v>241.3452836895226</v>
      </c>
    </row>
    <row r="352" spans="2:7" x14ac:dyDescent="0.3">
      <c r="B352" s="52">
        <v>295</v>
      </c>
      <c r="C352" s="33">
        <v>249.39002409358645</v>
      </c>
      <c r="D352" s="52">
        <v>295</v>
      </c>
      <c r="E352" s="33">
        <v>45.178319889142088</v>
      </c>
      <c r="F352" s="52">
        <v>295</v>
      </c>
      <c r="G352" s="104">
        <v>218.26482896105796</v>
      </c>
    </row>
    <row r="353" spans="2:7" x14ac:dyDescent="0.3">
      <c r="B353" s="52">
        <v>296</v>
      </c>
      <c r="C353" s="33">
        <v>269.85309176220932</v>
      </c>
      <c r="D353" s="52">
        <v>296</v>
      </c>
      <c r="E353" s="33">
        <v>66.766479203927162</v>
      </c>
      <c r="F353" s="52">
        <v>296</v>
      </c>
      <c r="G353" s="104">
        <v>217.29832094550108</v>
      </c>
    </row>
    <row r="354" spans="2:7" x14ac:dyDescent="0.3">
      <c r="B354" s="52">
        <v>297</v>
      </c>
      <c r="C354" s="33">
        <v>134.40467305156051</v>
      </c>
      <c r="D354" s="52">
        <v>297</v>
      </c>
      <c r="E354" s="33">
        <v>59.077694710511423</v>
      </c>
      <c r="F354" s="52">
        <v>297</v>
      </c>
      <c r="G354" s="104">
        <v>158.77572793921726</v>
      </c>
    </row>
    <row r="355" spans="2:7" x14ac:dyDescent="0.3">
      <c r="B355" s="52">
        <v>298</v>
      </c>
      <c r="C355" s="33">
        <v>134.20239526035894</v>
      </c>
      <c r="D355" s="52">
        <v>298</v>
      </c>
      <c r="E355" s="33">
        <v>35.900556387959732</v>
      </c>
      <c r="F355" s="52">
        <v>298</v>
      </c>
      <c r="G355" s="104">
        <v>192.35861144444246</v>
      </c>
    </row>
    <row r="356" spans="2:7" x14ac:dyDescent="0.3">
      <c r="B356" s="52">
        <v>299</v>
      </c>
      <c r="C356" s="33">
        <v>192.00820563203783</v>
      </c>
      <c r="D356" s="52">
        <v>299</v>
      </c>
      <c r="E356" s="33">
        <v>50.034267702589887</v>
      </c>
      <c r="F356" s="52">
        <v>299</v>
      </c>
      <c r="G356" s="104">
        <v>156.70475058909818</v>
      </c>
    </row>
    <row r="357" spans="2:7" x14ac:dyDescent="0.3">
      <c r="B357" s="52">
        <v>300</v>
      </c>
      <c r="C357" s="33">
        <v>207.84906507296779</v>
      </c>
      <c r="D357" s="52">
        <v>300</v>
      </c>
      <c r="E357" s="33">
        <v>9.8599350201822489</v>
      </c>
      <c r="F357" s="52">
        <v>300</v>
      </c>
      <c r="G357" s="104">
        <v>38.69180794348523</v>
      </c>
    </row>
    <row r="358" spans="2:7" x14ac:dyDescent="0.3">
      <c r="B358" s="52">
        <v>301</v>
      </c>
      <c r="C358" s="33">
        <v>166.24883886357136</v>
      </c>
      <c r="D358" s="52">
        <v>301</v>
      </c>
      <c r="E358" s="33">
        <v>15.248468527608674</v>
      </c>
      <c r="F358" s="52">
        <v>301</v>
      </c>
      <c r="G358" s="104">
        <v>341.73753224961712</v>
      </c>
    </row>
    <row r="359" spans="2:7" x14ac:dyDescent="0.3">
      <c r="B359" s="52">
        <v>302</v>
      </c>
      <c r="C359" s="33">
        <v>119.9097322583023</v>
      </c>
      <c r="D359" s="52">
        <v>302</v>
      </c>
      <c r="E359" s="33">
        <v>80.338419798060443</v>
      </c>
      <c r="F359" s="52">
        <v>302</v>
      </c>
      <c r="G359" s="104">
        <v>188.4622084846504</v>
      </c>
    </row>
    <row r="360" spans="2:7" x14ac:dyDescent="0.3">
      <c r="B360" s="52">
        <v>303</v>
      </c>
      <c r="C360" s="33">
        <v>397.25221871102366</v>
      </c>
      <c r="D360" s="52">
        <v>303</v>
      </c>
      <c r="E360" s="33">
        <v>54.288711518708595</v>
      </c>
      <c r="F360" s="52">
        <v>303</v>
      </c>
      <c r="G360" s="104">
        <v>253.69118334043208</v>
      </c>
    </row>
    <row r="361" spans="2:7" x14ac:dyDescent="0.3">
      <c r="B361" s="52">
        <v>304</v>
      </c>
      <c r="C361" s="33">
        <v>287.81644826599478</v>
      </c>
      <c r="D361" s="52">
        <v>304</v>
      </c>
      <c r="E361" s="33">
        <v>28.795573302532354</v>
      </c>
      <c r="F361" s="52">
        <v>304</v>
      </c>
      <c r="G361" s="104">
        <v>137.03768962578269</v>
      </c>
    </row>
    <row r="362" spans="2:7" x14ac:dyDescent="0.3">
      <c r="B362" s="52">
        <v>305</v>
      </c>
      <c r="C362" s="33">
        <v>164.80536278358764</v>
      </c>
      <c r="D362" s="52">
        <v>305</v>
      </c>
      <c r="E362" s="33">
        <v>45.822281673972185</v>
      </c>
      <c r="F362" s="52">
        <v>305</v>
      </c>
      <c r="G362" s="104">
        <v>416.79103708246748</v>
      </c>
    </row>
    <row r="363" spans="2:7" x14ac:dyDescent="0.3">
      <c r="B363" s="52">
        <v>306</v>
      </c>
      <c r="C363" s="33">
        <v>250.0538936626798</v>
      </c>
      <c r="D363" s="52">
        <v>306</v>
      </c>
      <c r="E363" s="33">
        <v>87.493403474914174</v>
      </c>
      <c r="F363" s="52">
        <v>306</v>
      </c>
      <c r="G363" s="104">
        <v>208.44566802300852</v>
      </c>
    </row>
    <row r="364" spans="2:7" x14ac:dyDescent="0.3">
      <c r="B364" s="52">
        <v>307</v>
      </c>
      <c r="C364" s="33">
        <v>350.09527199642224</v>
      </c>
      <c r="D364" s="52">
        <v>307</v>
      </c>
      <c r="E364" s="33">
        <v>-3.8627976350465616</v>
      </c>
      <c r="F364" s="52">
        <v>307</v>
      </c>
      <c r="G364" s="104">
        <v>165.15875969920177</v>
      </c>
    </row>
    <row r="365" spans="2:7" x14ac:dyDescent="0.3">
      <c r="B365" s="52">
        <v>308</v>
      </c>
      <c r="C365" s="33">
        <v>87.884581577192108</v>
      </c>
      <c r="D365" s="52">
        <v>308</v>
      </c>
      <c r="E365" s="33">
        <v>23.217975448691334</v>
      </c>
      <c r="F365" s="52">
        <v>308</v>
      </c>
      <c r="G365" s="104">
        <v>224.65861024046086</v>
      </c>
    </row>
    <row r="366" spans="2:7" x14ac:dyDescent="0.3">
      <c r="B366" s="52">
        <v>309</v>
      </c>
      <c r="C366" s="33">
        <v>145.54034660680674</v>
      </c>
      <c r="D366" s="52">
        <v>309</v>
      </c>
      <c r="E366" s="33">
        <v>49.467675648233772</v>
      </c>
      <c r="F366" s="52">
        <v>309</v>
      </c>
      <c r="G366" s="104">
        <v>240.00626865049574</v>
      </c>
    </row>
    <row r="367" spans="2:7" x14ac:dyDescent="0.3">
      <c r="B367" s="52">
        <v>310</v>
      </c>
      <c r="C367" s="33">
        <v>284.16427215149918</v>
      </c>
      <c r="D367" s="52">
        <v>310</v>
      </c>
      <c r="E367" s="33">
        <v>42.620781157767354</v>
      </c>
      <c r="F367" s="52">
        <v>310</v>
      </c>
      <c r="G367" s="104">
        <v>306.06901371529739</v>
      </c>
    </row>
    <row r="368" spans="2:7" x14ac:dyDescent="0.3">
      <c r="B368" s="52">
        <v>311</v>
      </c>
      <c r="C368" s="33">
        <v>256.57468888896153</v>
      </c>
      <c r="D368" s="52">
        <v>311</v>
      </c>
      <c r="E368" s="33">
        <v>70.517673422879099</v>
      </c>
      <c r="F368" s="52">
        <v>311</v>
      </c>
      <c r="G368" s="104">
        <v>242.69409690600168</v>
      </c>
    </row>
    <row r="369" spans="2:7" x14ac:dyDescent="0.3">
      <c r="B369" s="52">
        <v>312</v>
      </c>
      <c r="C369" s="33">
        <v>257.26241036383487</v>
      </c>
      <c r="D369" s="52">
        <v>312</v>
      </c>
      <c r="E369" s="33">
        <v>0.55930723925108339</v>
      </c>
      <c r="F369" s="52">
        <v>312</v>
      </c>
      <c r="G369" s="104">
        <v>355.99531798628357</v>
      </c>
    </row>
    <row r="370" spans="2:7" x14ac:dyDescent="0.3">
      <c r="B370" s="52">
        <v>313</v>
      </c>
      <c r="C370" s="33">
        <v>281.02659405248835</v>
      </c>
      <c r="D370" s="52">
        <v>313</v>
      </c>
      <c r="E370" s="33">
        <v>-12.402878769688328</v>
      </c>
      <c r="F370" s="52">
        <v>313</v>
      </c>
      <c r="G370" s="104">
        <v>118.66573352438442</v>
      </c>
    </row>
    <row r="371" spans="2:7" x14ac:dyDescent="0.3">
      <c r="B371" s="52">
        <v>314</v>
      </c>
      <c r="C371" s="33">
        <v>168.82495047035502</v>
      </c>
      <c r="D371" s="52">
        <v>314</v>
      </c>
      <c r="E371" s="33">
        <v>66.652372260388958</v>
      </c>
      <c r="F371" s="52">
        <v>314</v>
      </c>
      <c r="G371" s="104">
        <v>63.296658576614448</v>
      </c>
    </row>
    <row r="372" spans="2:7" x14ac:dyDescent="0.3">
      <c r="B372" s="52">
        <v>315</v>
      </c>
      <c r="C372" s="33">
        <v>209.50905685530734</v>
      </c>
      <c r="D372" s="52">
        <v>315</v>
      </c>
      <c r="E372" s="33">
        <v>19.607872681045311</v>
      </c>
      <c r="F372" s="52">
        <v>315</v>
      </c>
      <c r="G372" s="104">
        <v>229.54833269167028</v>
      </c>
    </row>
    <row r="373" spans="2:7" x14ac:dyDescent="0.3">
      <c r="B373" s="52">
        <v>316</v>
      </c>
      <c r="C373" s="33">
        <v>201.27021720615167</v>
      </c>
      <c r="D373" s="52">
        <v>316</v>
      </c>
      <c r="E373" s="33">
        <v>1.3346249357324567</v>
      </c>
      <c r="F373" s="52">
        <v>316</v>
      </c>
      <c r="G373" s="104">
        <v>205.04285095929211</v>
      </c>
    </row>
    <row r="374" spans="2:7" x14ac:dyDescent="0.3">
      <c r="B374" s="52">
        <v>317</v>
      </c>
      <c r="C374" s="33">
        <v>206.45748530930555</v>
      </c>
      <c r="D374" s="52">
        <v>317</v>
      </c>
      <c r="E374" s="33">
        <v>-17.287394929404392</v>
      </c>
      <c r="F374" s="52">
        <v>317</v>
      </c>
      <c r="G374" s="104">
        <v>196.51140844764237</v>
      </c>
    </row>
    <row r="375" spans="2:7" x14ac:dyDescent="0.3">
      <c r="B375" s="52">
        <v>318</v>
      </c>
      <c r="C375" s="33">
        <v>216.61433350621184</v>
      </c>
      <c r="D375" s="52">
        <v>318</v>
      </c>
      <c r="E375" s="33">
        <v>78.327424142947336</v>
      </c>
      <c r="F375" s="52">
        <v>318</v>
      </c>
      <c r="G375" s="104">
        <v>203.52045985832669</v>
      </c>
    </row>
    <row r="376" spans="2:7" x14ac:dyDescent="0.3">
      <c r="B376" s="52">
        <v>319</v>
      </c>
      <c r="C376" s="33">
        <v>331.64588601170391</v>
      </c>
      <c r="D376" s="52">
        <v>319</v>
      </c>
      <c r="E376" s="33">
        <v>57.102931323326011</v>
      </c>
      <c r="F376" s="52">
        <v>319</v>
      </c>
      <c r="G376" s="104">
        <v>301.95482900961588</v>
      </c>
    </row>
    <row r="377" spans="2:7" x14ac:dyDescent="0.3">
      <c r="B377" s="52">
        <v>320</v>
      </c>
      <c r="C377" s="33">
        <v>227.79411413066879</v>
      </c>
      <c r="D377" s="52">
        <v>320</v>
      </c>
      <c r="E377" s="33">
        <v>58.961736258457684</v>
      </c>
      <c r="F377" s="52">
        <v>320</v>
      </c>
      <c r="G377" s="104">
        <v>137.30372050103227</v>
      </c>
    </row>
    <row r="378" spans="2:7" x14ac:dyDescent="0.3">
      <c r="B378" s="52">
        <v>321</v>
      </c>
      <c r="C378" s="33">
        <v>103.15033899936788</v>
      </c>
      <c r="D378" s="52">
        <v>321</v>
      </c>
      <c r="E378" s="33">
        <v>78.345118982436034</v>
      </c>
      <c r="F378" s="52">
        <v>321</v>
      </c>
      <c r="G378" s="104">
        <v>285.603346808212</v>
      </c>
    </row>
    <row r="379" spans="2:7" x14ac:dyDescent="0.3">
      <c r="B379" s="52">
        <v>322</v>
      </c>
      <c r="C379" s="33">
        <v>180.74773071842131</v>
      </c>
      <c r="D379" s="52">
        <v>322</v>
      </c>
      <c r="E379" s="33">
        <v>74.93373614112015</v>
      </c>
      <c r="F379" s="52">
        <v>322</v>
      </c>
      <c r="G379" s="104">
        <v>407.00688582584939</v>
      </c>
    </row>
    <row r="380" spans="2:7" x14ac:dyDescent="0.3">
      <c r="B380" s="52">
        <v>323</v>
      </c>
      <c r="C380" s="33">
        <v>187.09118123420933</v>
      </c>
      <c r="D380" s="52">
        <v>323</v>
      </c>
      <c r="E380" s="33">
        <v>51.914891038138826</v>
      </c>
      <c r="F380" s="52">
        <v>323</v>
      </c>
      <c r="G380" s="104">
        <v>57.284677844418894</v>
      </c>
    </row>
    <row r="381" spans="2:7" x14ac:dyDescent="0.3">
      <c r="B381" s="52">
        <v>324</v>
      </c>
      <c r="C381" s="33">
        <v>236.7241119634121</v>
      </c>
      <c r="D381" s="52">
        <v>324</v>
      </c>
      <c r="E381" s="33">
        <v>44.671027381974284</v>
      </c>
      <c r="F381" s="52">
        <v>324</v>
      </c>
      <c r="G381" s="104">
        <v>284.11534603201147</v>
      </c>
    </row>
    <row r="382" spans="2:7" x14ac:dyDescent="0.3">
      <c r="B382" s="52">
        <v>325</v>
      </c>
      <c r="C382" s="33">
        <v>208.54851367406826</v>
      </c>
      <c r="D382" s="52">
        <v>325</v>
      </c>
      <c r="E382" s="33">
        <v>61.715161300514175</v>
      </c>
      <c r="F382" s="52">
        <v>325</v>
      </c>
      <c r="G382" s="104">
        <v>95.094860383096346</v>
      </c>
    </row>
    <row r="383" spans="2:7" x14ac:dyDescent="0.3">
      <c r="B383" s="52">
        <v>326</v>
      </c>
      <c r="C383" s="33">
        <v>131.36238530305312</v>
      </c>
      <c r="D383" s="52">
        <v>326</v>
      </c>
      <c r="E383" s="33">
        <v>43.573569030686485</v>
      </c>
      <c r="F383" s="52">
        <v>326</v>
      </c>
      <c r="G383" s="104">
        <v>204.90855660376371</v>
      </c>
    </row>
    <row r="384" spans="2:7" x14ac:dyDescent="0.3">
      <c r="B384" s="52">
        <v>327</v>
      </c>
      <c r="C384" s="33">
        <v>238.41824870587547</v>
      </c>
      <c r="D384" s="52">
        <v>327</v>
      </c>
      <c r="E384" s="33">
        <v>67.449306096383992</v>
      </c>
      <c r="F384" s="52">
        <v>327</v>
      </c>
      <c r="G384" s="104">
        <v>107.64265051968101</v>
      </c>
    </row>
    <row r="385" spans="2:7" x14ac:dyDescent="0.3">
      <c r="B385" s="52">
        <v>328</v>
      </c>
      <c r="C385" s="33">
        <v>292.76418298050424</v>
      </c>
      <c r="D385" s="52">
        <v>328</v>
      </c>
      <c r="E385" s="33">
        <v>42.958622299513365</v>
      </c>
      <c r="F385" s="52">
        <v>328</v>
      </c>
      <c r="G385" s="104">
        <v>219.72857397630034</v>
      </c>
    </row>
    <row r="386" spans="2:7" x14ac:dyDescent="0.3">
      <c r="B386" s="52">
        <v>329</v>
      </c>
      <c r="C386" s="33">
        <v>187.17567990313341</v>
      </c>
      <c r="D386" s="52">
        <v>329</v>
      </c>
      <c r="E386" s="33">
        <v>31.762544469276172</v>
      </c>
      <c r="F386" s="52">
        <v>329</v>
      </c>
      <c r="G386" s="104">
        <v>239.31550809489448</v>
      </c>
    </row>
    <row r="387" spans="2:7" x14ac:dyDescent="0.3">
      <c r="B387" s="52">
        <v>330</v>
      </c>
      <c r="C387" s="33">
        <v>128.48951169927983</v>
      </c>
      <c r="D387" s="52">
        <v>330</v>
      </c>
      <c r="E387" s="33">
        <v>48.112425869703621</v>
      </c>
      <c r="F387" s="52">
        <v>330</v>
      </c>
      <c r="G387" s="104">
        <v>147.05693238172745</v>
      </c>
    </row>
    <row r="388" spans="2:7" x14ac:dyDescent="0.3">
      <c r="B388" s="52">
        <v>331</v>
      </c>
      <c r="C388" s="33">
        <v>174.26098538906786</v>
      </c>
      <c r="D388" s="52">
        <v>331</v>
      </c>
      <c r="E388" s="33">
        <v>22.494134398468429</v>
      </c>
      <c r="F388" s="52">
        <v>331</v>
      </c>
      <c r="G388" s="104">
        <v>210.58702949940698</v>
      </c>
    </row>
    <row r="389" spans="2:7" x14ac:dyDescent="0.3">
      <c r="B389" s="52">
        <v>332</v>
      </c>
      <c r="C389" s="33">
        <v>194.17451709511528</v>
      </c>
      <c r="D389" s="52">
        <v>332</v>
      </c>
      <c r="E389" s="33">
        <v>82.53732970085116</v>
      </c>
      <c r="F389" s="52">
        <v>332</v>
      </c>
      <c r="G389" s="104">
        <v>255.12958065525689</v>
      </c>
    </row>
    <row r="390" spans="2:7" x14ac:dyDescent="0.3">
      <c r="B390" s="52">
        <v>333</v>
      </c>
      <c r="C390" s="33">
        <v>155.64725532567078</v>
      </c>
      <c r="D390" s="52">
        <v>333</v>
      </c>
      <c r="E390" s="33">
        <v>-21.652601394219118</v>
      </c>
      <c r="F390" s="52">
        <v>333</v>
      </c>
      <c r="G390" s="104">
        <v>286.31920388491028</v>
      </c>
    </row>
    <row r="391" spans="2:7" x14ac:dyDescent="0.3">
      <c r="B391" s="52">
        <v>334</v>
      </c>
      <c r="C391" s="33">
        <v>165.68326152952068</v>
      </c>
      <c r="D391" s="52">
        <v>334</v>
      </c>
      <c r="E391" s="33">
        <v>24.74647890019833</v>
      </c>
      <c r="F391" s="52">
        <v>334</v>
      </c>
      <c r="G391" s="104">
        <v>170.83220787858471</v>
      </c>
    </row>
    <row r="392" spans="2:7" x14ac:dyDescent="0.3">
      <c r="B392" s="52">
        <v>335</v>
      </c>
      <c r="C392" s="33">
        <v>342.02258312692845</v>
      </c>
      <c r="D392" s="52">
        <v>335</v>
      </c>
      <c r="E392" s="33">
        <v>49.214488230788824</v>
      </c>
      <c r="F392" s="52">
        <v>335</v>
      </c>
      <c r="G392" s="104">
        <v>348.08627543774628</v>
      </c>
    </row>
    <row r="393" spans="2:7" x14ac:dyDescent="0.3">
      <c r="B393" s="52">
        <v>336</v>
      </c>
      <c r="C393" s="33">
        <v>199.72654378454928</v>
      </c>
      <c r="D393" s="52">
        <v>336</v>
      </c>
      <c r="E393" s="33">
        <v>93.953250409688991</v>
      </c>
      <c r="F393" s="52">
        <v>336</v>
      </c>
      <c r="G393" s="104">
        <v>320.76541455278533</v>
      </c>
    </row>
    <row r="394" spans="2:7" x14ac:dyDescent="0.3">
      <c r="B394" s="52">
        <v>337</v>
      </c>
      <c r="C394" s="33">
        <v>262.64873486912597</v>
      </c>
      <c r="D394" s="52">
        <v>337</v>
      </c>
      <c r="E394" s="33">
        <v>53.294464713712053</v>
      </c>
      <c r="F394" s="52">
        <v>337</v>
      </c>
      <c r="G394" s="104">
        <v>237.73832468874156</v>
      </c>
    </row>
    <row r="395" spans="2:7" x14ac:dyDescent="0.3">
      <c r="B395" s="52">
        <v>338</v>
      </c>
      <c r="C395" s="33">
        <v>239.89802492959731</v>
      </c>
      <c r="D395" s="52">
        <v>338</v>
      </c>
      <c r="E395" s="33">
        <v>-2.049579363384737</v>
      </c>
      <c r="F395" s="52">
        <v>338</v>
      </c>
      <c r="G395" s="104">
        <v>303.91148161226329</v>
      </c>
    </row>
    <row r="396" spans="2:7" x14ac:dyDescent="0.3">
      <c r="B396" s="52">
        <v>339</v>
      </c>
      <c r="C396" s="33">
        <v>206.98880892667665</v>
      </c>
      <c r="D396" s="52">
        <v>339</v>
      </c>
      <c r="E396" s="33">
        <v>87.723763018168526</v>
      </c>
      <c r="F396" s="52">
        <v>339</v>
      </c>
      <c r="G396" s="104">
        <v>148.65412535517461</v>
      </c>
    </row>
    <row r="397" spans="2:7" x14ac:dyDescent="0.3">
      <c r="B397" s="52">
        <v>340</v>
      </c>
      <c r="C397" s="33">
        <v>90.460372987198909</v>
      </c>
      <c r="D397" s="52">
        <v>340</v>
      </c>
      <c r="E397" s="33">
        <v>34.627835153466322</v>
      </c>
      <c r="F397" s="52">
        <v>340</v>
      </c>
      <c r="G397" s="104">
        <v>230.88779575835164</v>
      </c>
    </row>
    <row r="398" spans="2:7" x14ac:dyDescent="0.3">
      <c r="B398" s="52">
        <v>341</v>
      </c>
      <c r="C398" s="33">
        <v>238.7686477339162</v>
      </c>
      <c r="D398" s="52">
        <v>341</v>
      </c>
      <c r="E398" s="33">
        <v>42.314044410013963</v>
      </c>
      <c r="F398" s="52">
        <v>341</v>
      </c>
      <c r="G398" s="104">
        <v>433.15728896171521</v>
      </c>
    </row>
    <row r="399" spans="2:7" x14ac:dyDescent="0.3">
      <c r="B399" s="52">
        <v>342</v>
      </c>
      <c r="C399" s="33">
        <v>311.56104901818583</v>
      </c>
      <c r="D399" s="52">
        <v>342</v>
      </c>
      <c r="E399" s="33">
        <v>44.079474483399238</v>
      </c>
      <c r="F399" s="52">
        <v>342</v>
      </c>
      <c r="G399" s="104">
        <v>174.46885359421083</v>
      </c>
    </row>
    <row r="400" spans="2:7" x14ac:dyDescent="0.3">
      <c r="B400" s="52">
        <v>343</v>
      </c>
      <c r="C400" s="33">
        <v>331.7215168376855</v>
      </c>
      <c r="D400" s="52">
        <v>343</v>
      </c>
      <c r="E400" s="33">
        <v>57.974257877895703</v>
      </c>
      <c r="F400" s="52">
        <v>343</v>
      </c>
      <c r="G400" s="104">
        <v>91.158287187663433</v>
      </c>
    </row>
    <row r="401" spans="2:7" x14ac:dyDescent="0.3">
      <c r="B401" s="52">
        <v>344</v>
      </c>
      <c r="C401" s="33">
        <v>270.42668880764791</v>
      </c>
      <c r="D401" s="52">
        <v>344</v>
      </c>
      <c r="E401" s="33">
        <v>18.323773693976335</v>
      </c>
      <c r="F401" s="52">
        <v>344</v>
      </c>
      <c r="G401" s="104">
        <v>311.17883907803775</v>
      </c>
    </row>
    <row r="402" spans="2:7" x14ac:dyDescent="0.3">
      <c r="B402" s="52">
        <v>345</v>
      </c>
      <c r="C402" s="33">
        <v>161.88106995847713</v>
      </c>
      <c r="D402" s="52">
        <v>345</v>
      </c>
      <c r="E402" s="33">
        <v>59.946755747382035</v>
      </c>
      <c r="F402" s="52">
        <v>345</v>
      </c>
      <c r="G402" s="104">
        <v>226.5695731647607</v>
      </c>
    </row>
    <row r="403" spans="2:7" x14ac:dyDescent="0.3">
      <c r="B403" s="52">
        <v>346</v>
      </c>
      <c r="C403" s="33">
        <v>63.246193722759443</v>
      </c>
      <c r="D403" s="52">
        <v>346</v>
      </c>
      <c r="E403" s="33">
        <v>27.154759975482794</v>
      </c>
      <c r="F403" s="52">
        <v>346</v>
      </c>
      <c r="G403" s="104">
        <v>173.20318898672403</v>
      </c>
    </row>
    <row r="404" spans="2:7" x14ac:dyDescent="0.3">
      <c r="B404" s="52">
        <v>347</v>
      </c>
      <c r="C404" s="33">
        <v>214.64112315934068</v>
      </c>
      <c r="D404" s="52">
        <v>347</v>
      </c>
      <c r="E404" s="33">
        <v>51.810536671454926</v>
      </c>
      <c r="F404" s="52">
        <v>347</v>
      </c>
      <c r="G404" s="104">
        <v>138.25358194922617</v>
      </c>
    </row>
    <row r="405" spans="2:7" x14ac:dyDescent="0.3">
      <c r="B405" s="52">
        <v>348</v>
      </c>
      <c r="C405" s="33">
        <v>288.23960686753662</v>
      </c>
      <c r="D405" s="52">
        <v>348</v>
      </c>
      <c r="E405" s="33">
        <v>53.927793617230385</v>
      </c>
      <c r="F405" s="52">
        <v>348</v>
      </c>
      <c r="G405" s="104">
        <v>259.31357872249032</v>
      </c>
    </row>
    <row r="406" spans="2:7" x14ac:dyDescent="0.3">
      <c r="B406" s="52">
        <v>349</v>
      </c>
      <c r="C406" s="33">
        <v>223.99760950671299</v>
      </c>
      <c r="D406" s="52">
        <v>349</v>
      </c>
      <c r="E406" s="33">
        <v>56.982371866575306</v>
      </c>
      <c r="F406" s="52">
        <v>349</v>
      </c>
      <c r="G406" s="104">
        <v>381.5366282196851</v>
      </c>
    </row>
    <row r="407" spans="2:7" x14ac:dyDescent="0.3">
      <c r="B407" s="52">
        <v>350</v>
      </c>
      <c r="C407" s="33">
        <v>279.6259559188976</v>
      </c>
      <c r="D407" s="52">
        <v>350</v>
      </c>
      <c r="E407" s="33">
        <v>39.13764389376815</v>
      </c>
      <c r="F407" s="52">
        <v>350</v>
      </c>
      <c r="G407" s="104">
        <v>199.92457642783884</v>
      </c>
    </row>
    <row r="408" spans="2:7" x14ac:dyDescent="0.3">
      <c r="B408" s="52">
        <v>351</v>
      </c>
      <c r="C408" s="33">
        <v>118.2454379182264</v>
      </c>
      <c r="D408" s="52">
        <v>351</v>
      </c>
      <c r="E408" s="33">
        <v>51.951928840902838</v>
      </c>
      <c r="F408" s="52">
        <v>351</v>
      </c>
      <c r="G408" s="104">
        <v>197.41448648712253</v>
      </c>
    </row>
    <row r="409" spans="2:7" x14ac:dyDescent="0.3">
      <c r="B409" s="52">
        <v>352</v>
      </c>
      <c r="C409" s="33">
        <v>368.11803747945902</v>
      </c>
      <c r="D409" s="52">
        <v>352</v>
      </c>
      <c r="E409" s="33">
        <v>40.686766648636876</v>
      </c>
      <c r="F409" s="52">
        <v>352</v>
      </c>
      <c r="G409" s="104">
        <v>68.808428301299131</v>
      </c>
    </row>
    <row r="410" spans="2:7" x14ac:dyDescent="0.3">
      <c r="B410" s="52">
        <v>353</v>
      </c>
      <c r="C410" s="33">
        <v>243.7343640347097</v>
      </c>
      <c r="D410" s="52">
        <v>353</v>
      </c>
      <c r="E410" s="33">
        <v>37.476302143050056</v>
      </c>
      <c r="F410" s="52">
        <v>353</v>
      </c>
      <c r="G410" s="104">
        <v>149.23218436031556</v>
      </c>
    </row>
    <row r="411" spans="2:7" x14ac:dyDescent="0.3">
      <c r="B411" s="52">
        <v>354</v>
      </c>
      <c r="C411" s="33">
        <v>160.76159334766677</v>
      </c>
      <c r="D411" s="52">
        <v>354</v>
      </c>
      <c r="E411" s="33">
        <v>105.49540741669387</v>
      </c>
      <c r="F411" s="52">
        <v>354</v>
      </c>
      <c r="G411" s="104">
        <v>402.99267450835134</v>
      </c>
    </row>
    <row r="412" spans="2:7" x14ac:dyDescent="0.3">
      <c r="B412" s="52">
        <v>355</v>
      </c>
      <c r="C412" s="33">
        <v>234.67017072134189</v>
      </c>
      <c r="D412" s="52">
        <v>355</v>
      </c>
      <c r="E412" s="33">
        <v>61.830397463711222</v>
      </c>
      <c r="F412" s="52">
        <v>355</v>
      </c>
      <c r="G412" s="104">
        <v>233.95028750376969</v>
      </c>
    </row>
    <row r="413" spans="2:7" x14ac:dyDescent="0.3">
      <c r="B413" s="52">
        <v>356</v>
      </c>
      <c r="C413" s="33">
        <v>233.52918989619192</v>
      </c>
      <c r="D413" s="52">
        <v>356</v>
      </c>
      <c r="E413" s="33">
        <v>25.125097720906371</v>
      </c>
      <c r="F413" s="52">
        <v>356</v>
      </c>
      <c r="G413" s="104">
        <v>422.66170247322191</v>
      </c>
    </row>
    <row r="414" spans="2:7" x14ac:dyDescent="0.3">
      <c r="B414" s="52">
        <v>357</v>
      </c>
      <c r="C414" s="33">
        <v>236.90092586154853</v>
      </c>
      <c r="D414" s="52">
        <v>357</v>
      </c>
      <c r="E414" s="33">
        <v>57.593125714967783</v>
      </c>
      <c r="F414" s="52">
        <v>357</v>
      </c>
      <c r="G414" s="104">
        <v>272.83194320371979</v>
      </c>
    </row>
    <row r="415" spans="2:7" x14ac:dyDescent="0.3">
      <c r="B415" s="52">
        <v>358</v>
      </c>
      <c r="C415" s="33">
        <v>391.36082427953897</v>
      </c>
      <c r="D415" s="52">
        <v>358</v>
      </c>
      <c r="E415" s="33">
        <v>25.139725237982915</v>
      </c>
      <c r="F415" s="52">
        <v>358</v>
      </c>
      <c r="G415" s="104">
        <v>287.40544795329851</v>
      </c>
    </row>
    <row r="416" spans="2:7" x14ac:dyDescent="0.3">
      <c r="B416" s="52">
        <v>359</v>
      </c>
      <c r="C416" s="33">
        <v>311.63977781243335</v>
      </c>
      <c r="D416" s="52">
        <v>359</v>
      </c>
      <c r="E416" s="33">
        <v>126.65587933942743</v>
      </c>
      <c r="F416" s="52">
        <v>359</v>
      </c>
      <c r="G416" s="104">
        <v>266.85701580016178</v>
      </c>
    </row>
    <row r="417" spans="2:7" x14ac:dyDescent="0.3">
      <c r="B417" s="52">
        <v>360</v>
      </c>
      <c r="C417" s="33">
        <v>168.03026244679751</v>
      </c>
      <c r="D417" s="52">
        <v>360</v>
      </c>
      <c r="E417" s="33">
        <v>71.7776016578689</v>
      </c>
      <c r="F417" s="52">
        <v>360</v>
      </c>
      <c r="G417" s="104">
        <v>318.3315924541721</v>
      </c>
    </row>
    <row r="418" spans="2:7" x14ac:dyDescent="0.3">
      <c r="B418" s="52">
        <v>361</v>
      </c>
      <c r="C418" s="33">
        <v>242.07867883267963</v>
      </c>
      <c r="D418" s="52">
        <v>361</v>
      </c>
      <c r="E418" s="33">
        <v>-8.6432326488050109</v>
      </c>
      <c r="F418" s="52">
        <v>361</v>
      </c>
      <c r="G418" s="104">
        <v>177.69368187737976</v>
      </c>
    </row>
    <row r="419" spans="2:7" x14ac:dyDescent="0.3">
      <c r="B419" s="52">
        <v>362</v>
      </c>
      <c r="C419" s="33">
        <v>240.28767523466328</v>
      </c>
      <c r="D419" s="52">
        <v>362</v>
      </c>
      <c r="E419" s="33">
        <v>42.139801344331723</v>
      </c>
      <c r="F419" s="52">
        <v>362</v>
      </c>
      <c r="G419" s="104">
        <v>225.1389517785434</v>
      </c>
    </row>
    <row r="420" spans="2:7" x14ac:dyDescent="0.3">
      <c r="B420" s="52">
        <v>363</v>
      </c>
      <c r="C420" s="33">
        <v>314.34310494846</v>
      </c>
      <c r="D420" s="52">
        <v>363</v>
      </c>
      <c r="E420" s="33">
        <v>21.135233244640229</v>
      </c>
      <c r="F420" s="52">
        <v>363</v>
      </c>
      <c r="G420" s="104">
        <v>110.19572420168961</v>
      </c>
    </row>
    <row r="421" spans="2:7" x14ac:dyDescent="0.3">
      <c r="B421" s="52">
        <v>364</v>
      </c>
      <c r="C421" s="33">
        <v>194.18466731334212</v>
      </c>
      <c r="D421" s="52">
        <v>364</v>
      </c>
      <c r="E421" s="33">
        <v>55.481585617707779</v>
      </c>
      <c r="F421" s="52">
        <v>364</v>
      </c>
      <c r="G421" s="104">
        <v>362.61179972726239</v>
      </c>
    </row>
    <row r="422" spans="2:7" x14ac:dyDescent="0.3">
      <c r="B422" s="52">
        <v>365</v>
      </c>
      <c r="C422" s="33">
        <v>259.85454521927204</v>
      </c>
      <c r="D422" s="52">
        <v>365</v>
      </c>
      <c r="E422" s="33">
        <v>80.544025225907845</v>
      </c>
      <c r="F422" s="52">
        <v>365</v>
      </c>
      <c r="G422" s="104">
        <v>241.15526444269901</v>
      </c>
    </row>
    <row r="423" spans="2:7" x14ac:dyDescent="0.3">
      <c r="B423" s="52">
        <v>366</v>
      </c>
      <c r="C423" s="33">
        <v>336.66786654226615</v>
      </c>
      <c r="D423" s="52">
        <v>366</v>
      </c>
      <c r="E423" s="33">
        <v>53.863583925263953</v>
      </c>
      <c r="F423" s="52">
        <v>366</v>
      </c>
      <c r="G423" s="104">
        <v>311.86236212730478</v>
      </c>
    </row>
    <row r="424" spans="2:7" x14ac:dyDescent="0.3">
      <c r="B424" s="52">
        <v>367</v>
      </c>
      <c r="C424" s="33">
        <v>45.310345332085149</v>
      </c>
      <c r="D424" s="52">
        <v>367</v>
      </c>
      <c r="E424" s="33">
        <v>26.948856345586101</v>
      </c>
      <c r="F424" s="52">
        <v>367</v>
      </c>
      <c r="G424" s="104">
        <v>296.96529262619237</v>
      </c>
    </row>
    <row r="425" spans="2:7" x14ac:dyDescent="0.3">
      <c r="B425" s="52">
        <v>368</v>
      </c>
      <c r="C425" s="33">
        <v>304.88954602456522</v>
      </c>
      <c r="D425" s="52">
        <v>368</v>
      </c>
      <c r="E425" s="33">
        <v>33.539214199840913</v>
      </c>
      <c r="F425" s="52">
        <v>368</v>
      </c>
      <c r="G425" s="104">
        <v>381.11274327757815</v>
      </c>
    </row>
    <row r="426" spans="2:7" x14ac:dyDescent="0.3">
      <c r="B426" s="52">
        <v>369</v>
      </c>
      <c r="C426" s="33">
        <v>202.36319923411045</v>
      </c>
      <c r="D426" s="52">
        <v>369</v>
      </c>
      <c r="E426" s="33">
        <v>45.885602252265087</v>
      </c>
      <c r="F426" s="52">
        <v>369</v>
      </c>
      <c r="G426" s="104">
        <v>321.09675366668762</v>
      </c>
    </row>
    <row r="427" spans="2:7" x14ac:dyDescent="0.3">
      <c r="B427" s="52">
        <v>370</v>
      </c>
      <c r="C427" s="33">
        <v>171.327765561945</v>
      </c>
      <c r="D427" s="52">
        <v>370</v>
      </c>
      <c r="E427" s="33">
        <v>74.01822356228908</v>
      </c>
      <c r="F427" s="52">
        <v>370</v>
      </c>
      <c r="G427" s="104">
        <v>266.08128570503891</v>
      </c>
    </row>
    <row r="428" spans="2:7" x14ac:dyDescent="0.3">
      <c r="B428" s="52">
        <v>371</v>
      </c>
      <c r="C428" s="33">
        <v>285.31085535679927</v>
      </c>
      <c r="D428" s="52">
        <v>371</v>
      </c>
      <c r="E428" s="33">
        <v>74.933142671724994</v>
      </c>
      <c r="F428" s="52">
        <v>371</v>
      </c>
      <c r="G428" s="104">
        <v>144.69420672539755</v>
      </c>
    </row>
    <row r="429" spans="2:7" x14ac:dyDescent="0.3">
      <c r="B429" s="52">
        <v>372</v>
      </c>
      <c r="C429" s="33">
        <v>172.95946599683703</v>
      </c>
      <c r="D429" s="52">
        <v>372</v>
      </c>
      <c r="E429" s="33">
        <v>35.313311823209162</v>
      </c>
      <c r="F429" s="52">
        <v>372</v>
      </c>
      <c r="G429" s="104">
        <v>239.14672182453421</v>
      </c>
    </row>
    <row r="430" spans="2:7" x14ac:dyDescent="0.3">
      <c r="B430" s="52">
        <v>373</v>
      </c>
      <c r="C430" s="33">
        <v>275.93385502718894</v>
      </c>
      <c r="D430" s="52">
        <v>373</v>
      </c>
      <c r="E430" s="33">
        <v>28.033722388141172</v>
      </c>
      <c r="F430" s="52">
        <v>373</v>
      </c>
      <c r="G430" s="104">
        <v>243.03786261355231</v>
      </c>
    </row>
    <row r="431" spans="2:7" x14ac:dyDescent="0.3">
      <c r="B431" s="52">
        <v>374</v>
      </c>
      <c r="C431" s="33">
        <v>235.31121701657247</v>
      </c>
      <c r="D431" s="52">
        <v>374</v>
      </c>
      <c r="E431" s="33">
        <v>-2.5606836028716771</v>
      </c>
      <c r="F431" s="52">
        <v>374</v>
      </c>
      <c r="G431" s="104">
        <v>257.28562675169218</v>
      </c>
    </row>
    <row r="432" spans="2:7" x14ac:dyDescent="0.3">
      <c r="B432" s="52">
        <v>375</v>
      </c>
      <c r="C432" s="33">
        <v>134.80021582731459</v>
      </c>
      <c r="D432" s="52">
        <v>375</v>
      </c>
      <c r="E432" s="33">
        <v>29.680304347568409</v>
      </c>
      <c r="F432" s="52">
        <v>375</v>
      </c>
      <c r="G432" s="104">
        <v>248.02286267373168</v>
      </c>
    </row>
    <row r="433" spans="2:7" x14ac:dyDescent="0.3">
      <c r="B433" s="52">
        <v>376</v>
      </c>
      <c r="C433" s="33">
        <v>285.93618956029076</v>
      </c>
      <c r="D433" s="52">
        <v>376</v>
      </c>
      <c r="E433" s="33">
        <v>61.716352824557539</v>
      </c>
      <c r="F433" s="52">
        <v>376</v>
      </c>
      <c r="G433" s="104">
        <v>256.36553176178842</v>
      </c>
    </row>
    <row r="434" spans="2:7" x14ac:dyDescent="0.3">
      <c r="B434" s="52">
        <v>377</v>
      </c>
      <c r="C434" s="33">
        <v>223.65377160422582</v>
      </c>
      <c r="D434" s="52">
        <v>377</v>
      </c>
      <c r="E434" s="33">
        <v>0.43917812319173066</v>
      </c>
      <c r="F434" s="52">
        <v>377</v>
      </c>
      <c r="G434" s="104">
        <v>364.48277892564494</v>
      </c>
    </row>
    <row r="435" spans="2:7" x14ac:dyDescent="0.3">
      <c r="B435" s="52">
        <v>378</v>
      </c>
      <c r="C435" s="33">
        <v>167.62022610451731</v>
      </c>
      <c r="D435" s="52">
        <v>378</v>
      </c>
      <c r="E435" s="33">
        <v>15.88953077066774</v>
      </c>
      <c r="F435" s="52">
        <v>378</v>
      </c>
      <c r="G435" s="104">
        <v>234.69443280387873</v>
      </c>
    </row>
    <row r="436" spans="2:7" x14ac:dyDescent="0.3">
      <c r="B436" s="52">
        <v>379</v>
      </c>
      <c r="C436" s="33">
        <v>56.767613543251031</v>
      </c>
      <c r="D436" s="52">
        <v>379</v>
      </c>
      <c r="E436" s="33">
        <v>64.374865960980841</v>
      </c>
      <c r="F436" s="52">
        <v>379</v>
      </c>
      <c r="G436" s="104">
        <v>92.802912114048141</v>
      </c>
    </row>
    <row r="437" spans="2:7" x14ac:dyDescent="0.3">
      <c r="B437" s="52">
        <v>380</v>
      </c>
      <c r="C437" s="33">
        <v>155.36497716008554</v>
      </c>
      <c r="D437" s="52">
        <v>380</v>
      </c>
      <c r="E437" s="33">
        <v>57.504553694226921</v>
      </c>
      <c r="F437" s="52">
        <v>380</v>
      </c>
      <c r="G437" s="104">
        <v>300.7887361023146</v>
      </c>
    </row>
    <row r="438" spans="2:7" x14ac:dyDescent="0.3">
      <c r="B438" s="52">
        <v>381</v>
      </c>
      <c r="C438" s="33">
        <v>272.45993596379543</v>
      </c>
      <c r="D438" s="52">
        <v>381</v>
      </c>
      <c r="E438" s="33">
        <v>37.039570513319759</v>
      </c>
      <c r="F438" s="52">
        <v>381</v>
      </c>
      <c r="G438" s="104">
        <v>251.30289999123352</v>
      </c>
    </row>
    <row r="439" spans="2:7" x14ac:dyDescent="0.3">
      <c r="B439" s="52">
        <v>382</v>
      </c>
      <c r="C439" s="33">
        <v>160.20101513732141</v>
      </c>
      <c r="D439" s="52">
        <v>382</v>
      </c>
      <c r="E439" s="33">
        <v>33.894824156204109</v>
      </c>
      <c r="F439" s="52">
        <v>382</v>
      </c>
      <c r="G439" s="104">
        <v>252.10991533473651</v>
      </c>
    </row>
    <row r="440" spans="2:7" x14ac:dyDescent="0.3">
      <c r="B440" s="52">
        <v>383</v>
      </c>
      <c r="C440" s="33">
        <v>226.85011823770486</v>
      </c>
      <c r="D440" s="52">
        <v>383</v>
      </c>
      <c r="E440" s="33">
        <v>-21.723099007157629</v>
      </c>
      <c r="F440" s="52">
        <v>383</v>
      </c>
      <c r="G440" s="104">
        <v>184.75938798871795</v>
      </c>
    </row>
    <row r="441" spans="2:7" x14ac:dyDescent="0.3">
      <c r="B441" s="52">
        <v>384</v>
      </c>
      <c r="C441" s="33">
        <v>272.41725211288781</v>
      </c>
      <c r="D441" s="52">
        <v>384</v>
      </c>
      <c r="E441" s="33">
        <v>16.221591104535058</v>
      </c>
      <c r="F441" s="52">
        <v>384</v>
      </c>
      <c r="G441" s="104">
        <v>166.85090599331716</v>
      </c>
    </row>
    <row r="442" spans="2:7" x14ac:dyDescent="0.3">
      <c r="B442" s="52">
        <v>385</v>
      </c>
      <c r="C442" s="33">
        <v>321.15728659803347</v>
      </c>
      <c r="D442" s="52">
        <v>385</v>
      </c>
      <c r="E442" s="33">
        <v>63.750257991956651</v>
      </c>
      <c r="F442" s="52">
        <v>385</v>
      </c>
      <c r="G442" s="104">
        <v>341.95972760763584</v>
      </c>
    </row>
    <row r="443" spans="2:7" x14ac:dyDescent="0.3">
      <c r="B443" s="52">
        <v>386</v>
      </c>
      <c r="C443" s="33">
        <v>81.578535908332384</v>
      </c>
      <c r="D443" s="52">
        <v>386</v>
      </c>
      <c r="E443" s="33">
        <v>11.778791643946281</v>
      </c>
      <c r="F443" s="52">
        <v>386</v>
      </c>
      <c r="G443" s="104">
        <v>145.85358262550005</v>
      </c>
    </row>
    <row r="444" spans="2:7" x14ac:dyDescent="0.3">
      <c r="B444" s="52">
        <v>387</v>
      </c>
      <c r="C444" s="33">
        <v>216.88145003262272</v>
      </c>
      <c r="D444" s="52">
        <v>387</v>
      </c>
      <c r="E444" s="33">
        <v>42.57272594930037</v>
      </c>
      <c r="F444" s="52">
        <v>387</v>
      </c>
      <c r="G444" s="104">
        <v>252.44523008182529</v>
      </c>
    </row>
    <row r="445" spans="2:7" x14ac:dyDescent="0.3">
      <c r="B445" s="52">
        <v>388</v>
      </c>
      <c r="C445" s="33">
        <v>151.74194779085741</v>
      </c>
      <c r="D445" s="52">
        <v>388</v>
      </c>
      <c r="E445" s="33">
        <v>52.149484975389086</v>
      </c>
      <c r="F445" s="52">
        <v>388</v>
      </c>
      <c r="G445" s="104">
        <v>183.43860639635807</v>
      </c>
    </row>
    <row r="446" spans="2:7" x14ac:dyDescent="0.3">
      <c r="B446" s="52">
        <v>389</v>
      </c>
      <c r="C446" s="33">
        <v>280.1594861082072</v>
      </c>
      <c r="D446" s="52">
        <v>389</v>
      </c>
      <c r="E446" s="33">
        <v>22.503878810955793</v>
      </c>
      <c r="F446" s="52">
        <v>389</v>
      </c>
      <c r="G446" s="104">
        <v>258.23330895744147</v>
      </c>
    </row>
    <row r="447" spans="2:7" x14ac:dyDescent="0.3">
      <c r="B447" s="52">
        <v>390</v>
      </c>
      <c r="C447" s="33">
        <v>190.01139575318075</v>
      </c>
      <c r="D447" s="52">
        <v>390</v>
      </c>
      <c r="E447" s="33">
        <v>49.953367783386881</v>
      </c>
      <c r="F447" s="52">
        <v>390</v>
      </c>
      <c r="G447" s="104">
        <v>264.41209806804403</v>
      </c>
    </row>
    <row r="448" spans="2:7" x14ac:dyDescent="0.3">
      <c r="B448" s="52">
        <v>391</v>
      </c>
      <c r="C448" s="33">
        <v>188.23901586436207</v>
      </c>
      <c r="D448" s="52">
        <v>391</v>
      </c>
      <c r="E448" s="33">
        <v>60.880236190867997</v>
      </c>
      <c r="F448" s="52">
        <v>391</v>
      </c>
      <c r="G448" s="104">
        <v>239.96131198001672</v>
      </c>
    </row>
    <row r="449" spans="2:7" x14ac:dyDescent="0.3">
      <c r="B449" s="52">
        <v>392</v>
      </c>
      <c r="C449" s="33">
        <v>159.40575797405742</v>
      </c>
      <c r="D449" s="52">
        <v>392</v>
      </c>
      <c r="E449" s="33">
        <v>90.310584973086677</v>
      </c>
      <c r="F449" s="52">
        <v>392</v>
      </c>
      <c r="G449" s="104">
        <v>300.69517363009561</v>
      </c>
    </row>
    <row r="450" spans="2:7" x14ac:dyDescent="0.3">
      <c r="B450" s="52">
        <v>393</v>
      </c>
      <c r="C450" s="33">
        <v>30.693949124960881</v>
      </c>
      <c r="D450" s="52">
        <v>393</v>
      </c>
      <c r="E450" s="33">
        <v>97.723758964836207</v>
      </c>
      <c r="F450" s="52">
        <v>393</v>
      </c>
      <c r="G450" s="104">
        <v>231.64082215294229</v>
      </c>
    </row>
    <row r="451" spans="2:7" x14ac:dyDescent="0.3">
      <c r="B451" s="52">
        <v>394</v>
      </c>
      <c r="C451" s="33">
        <v>91.189006435303696</v>
      </c>
      <c r="D451" s="52">
        <v>394</v>
      </c>
      <c r="E451" s="33">
        <v>81.139870010116596</v>
      </c>
      <c r="F451" s="52">
        <v>394</v>
      </c>
      <c r="G451" s="104">
        <v>171.26698828007062</v>
      </c>
    </row>
    <row r="452" spans="2:7" x14ac:dyDescent="0.3">
      <c r="B452" s="52">
        <v>395</v>
      </c>
      <c r="C452" s="33">
        <v>231.24768837006238</v>
      </c>
      <c r="D452" s="52">
        <v>395</v>
      </c>
      <c r="E452" s="33">
        <v>41.972539179480101</v>
      </c>
      <c r="F452" s="52">
        <v>395</v>
      </c>
      <c r="G452" s="104">
        <v>110.97631633227198</v>
      </c>
    </row>
    <row r="453" spans="2:7" x14ac:dyDescent="0.3">
      <c r="B453" s="52">
        <v>396</v>
      </c>
      <c r="C453" s="33">
        <v>356.93910544856806</v>
      </c>
      <c r="D453" s="52">
        <v>396</v>
      </c>
      <c r="E453" s="33">
        <v>39.561054496624919</v>
      </c>
      <c r="F453" s="52">
        <v>396</v>
      </c>
      <c r="G453" s="104">
        <v>115.21333291823152</v>
      </c>
    </row>
    <row r="454" spans="2:7" x14ac:dyDescent="0.3">
      <c r="B454" s="52">
        <v>397</v>
      </c>
      <c r="C454" s="33">
        <v>238.69196054479218</v>
      </c>
      <c r="D454" s="52">
        <v>397</v>
      </c>
      <c r="E454" s="33">
        <v>6.7353252748774395</v>
      </c>
      <c r="F454" s="52">
        <v>397</v>
      </c>
      <c r="G454" s="104">
        <v>224.39676769307346</v>
      </c>
    </row>
    <row r="455" spans="2:7" x14ac:dyDescent="0.3">
      <c r="B455" s="52">
        <v>398</v>
      </c>
      <c r="C455" s="33">
        <v>190.92787027304985</v>
      </c>
      <c r="D455" s="52">
        <v>398</v>
      </c>
      <c r="E455" s="33">
        <v>34.95651432729526</v>
      </c>
      <c r="F455" s="52">
        <v>398</v>
      </c>
      <c r="G455" s="104">
        <v>280.42065201538998</v>
      </c>
    </row>
    <row r="456" spans="2:7" x14ac:dyDescent="0.3">
      <c r="B456" s="52">
        <v>399</v>
      </c>
      <c r="C456" s="33">
        <v>295.20950396208775</v>
      </c>
      <c r="D456" s="52">
        <v>399</v>
      </c>
      <c r="E456" s="33">
        <v>61.369730900864752</v>
      </c>
      <c r="F456" s="52">
        <v>399</v>
      </c>
      <c r="G456" s="104">
        <v>163.07211418636933</v>
      </c>
    </row>
    <row r="457" spans="2:7" x14ac:dyDescent="0.3">
      <c r="B457" s="52">
        <v>400</v>
      </c>
      <c r="C457" s="33">
        <v>303.31233742077319</v>
      </c>
      <c r="D457" s="52">
        <v>400</v>
      </c>
      <c r="E457" s="33">
        <v>14.125069358302945</v>
      </c>
      <c r="F457" s="52">
        <v>400</v>
      </c>
      <c r="G457" s="104">
        <v>200.67140530108313</v>
      </c>
    </row>
    <row r="458" spans="2:7" x14ac:dyDescent="0.3">
      <c r="B458" s="52">
        <v>401</v>
      </c>
      <c r="C458" s="33">
        <v>248.88976928033222</v>
      </c>
      <c r="D458" s="52">
        <v>401</v>
      </c>
      <c r="E458" s="33">
        <v>44.638573969271341</v>
      </c>
      <c r="F458" s="52">
        <v>401</v>
      </c>
      <c r="G458" s="104">
        <v>324.00193803977851</v>
      </c>
    </row>
    <row r="459" spans="2:7" x14ac:dyDescent="0.3">
      <c r="B459" s="52">
        <v>402</v>
      </c>
      <c r="C459" s="33">
        <v>201.04015828858502</v>
      </c>
      <c r="D459" s="52">
        <v>402</v>
      </c>
      <c r="E459" s="33">
        <v>-14.185220372389168</v>
      </c>
      <c r="F459" s="52">
        <v>402</v>
      </c>
      <c r="G459" s="104">
        <v>286.59121219295196</v>
      </c>
    </row>
    <row r="460" spans="2:7" x14ac:dyDescent="0.3">
      <c r="B460" s="52">
        <v>403</v>
      </c>
      <c r="C460" s="33">
        <v>374.55389263387565</v>
      </c>
      <c r="D460" s="52">
        <v>403</v>
      </c>
      <c r="E460" s="33">
        <v>36.511276498698891</v>
      </c>
      <c r="F460" s="52">
        <v>403</v>
      </c>
      <c r="G460" s="104">
        <v>260.64122511632661</v>
      </c>
    </row>
    <row r="461" spans="2:7" x14ac:dyDescent="0.3">
      <c r="B461" s="52">
        <v>404</v>
      </c>
      <c r="C461" s="33">
        <v>224.1323100578675</v>
      </c>
      <c r="D461" s="52">
        <v>404</v>
      </c>
      <c r="E461" s="33">
        <v>32.554836415922352</v>
      </c>
      <c r="F461" s="52">
        <v>404</v>
      </c>
      <c r="G461" s="104">
        <v>211.28790482208282</v>
      </c>
    </row>
    <row r="462" spans="2:7" x14ac:dyDescent="0.3">
      <c r="B462" s="52">
        <v>405</v>
      </c>
      <c r="C462" s="33">
        <v>305.91019815239162</v>
      </c>
      <c r="D462" s="52">
        <v>405</v>
      </c>
      <c r="E462" s="33">
        <v>15.797625929080603</v>
      </c>
      <c r="F462" s="52">
        <v>405</v>
      </c>
      <c r="G462" s="104">
        <v>232.53714540851126</v>
      </c>
    </row>
    <row r="463" spans="2:7" x14ac:dyDescent="0.3">
      <c r="B463" s="52">
        <v>406</v>
      </c>
      <c r="C463" s="33">
        <v>257.78209521566043</v>
      </c>
      <c r="D463" s="52">
        <v>406</v>
      </c>
      <c r="E463" s="33">
        <v>63.980594466849723</v>
      </c>
      <c r="F463" s="52">
        <v>406</v>
      </c>
      <c r="G463" s="104">
        <v>127.37885342591524</v>
      </c>
    </row>
    <row r="464" spans="2:7" x14ac:dyDescent="0.3">
      <c r="B464" s="52">
        <v>407</v>
      </c>
      <c r="C464" s="33">
        <v>335.8146995970306</v>
      </c>
      <c r="D464" s="52">
        <v>407</v>
      </c>
      <c r="E464" s="33">
        <v>4.8745953493299012</v>
      </c>
      <c r="F464" s="52">
        <v>407</v>
      </c>
      <c r="G464" s="104">
        <v>278.0625932216048</v>
      </c>
    </row>
    <row r="465" spans="2:7" x14ac:dyDescent="0.3">
      <c r="B465" s="52">
        <v>408</v>
      </c>
      <c r="C465" s="33">
        <v>89.152127425534061</v>
      </c>
      <c r="D465" s="52">
        <v>408</v>
      </c>
      <c r="E465" s="33">
        <v>54.367837804569682</v>
      </c>
      <c r="F465" s="52">
        <v>408</v>
      </c>
      <c r="G465" s="104">
        <v>213.05575556771521</v>
      </c>
    </row>
    <row r="466" spans="2:7" x14ac:dyDescent="0.3">
      <c r="B466" s="52">
        <v>409</v>
      </c>
      <c r="C466" s="33">
        <v>142.61606577393351</v>
      </c>
      <c r="D466" s="52">
        <v>409</v>
      </c>
      <c r="E466" s="33">
        <v>75.599440998016675</v>
      </c>
      <c r="F466" s="52">
        <v>409</v>
      </c>
      <c r="G466" s="104">
        <v>199.32358356646233</v>
      </c>
    </row>
    <row r="467" spans="2:7" x14ac:dyDescent="0.3">
      <c r="B467" s="52">
        <v>410</v>
      </c>
      <c r="C467" s="33">
        <v>272.25556669507813</v>
      </c>
      <c r="D467" s="52">
        <v>410</v>
      </c>
      <c r="E467" s="33">
        <v>64.030628929964976</v>
      </c>
      <c r="F467" s="52">
        <v>410</v>
      </c>
      <c r="G467" s="104">
        <v>219.69792656109342</v>
      </c>
    </row>
    <row r="468" spans="2:7" x14ac:dyDescent="0.3">
      <c r="B468" s="52">
        <v>411</v>
      </c>
      <c r="C468" s="33">
        <v>261.87679049267666</v>
      </c>
      <c r="D468" s="52">
        <v>411</v>
      </c>
      <c r="E468" s="33">
        <v>37.985408603837122</v>
      </c>
      <c r="F468" s="52">
        <v>411</v>
      </c>
      <c r="G468" s="104">
        <v>245.41763918683819</v>
      </c>
    </row>
    <row r="469" spans="2:7" x14ac:dyDescent="0.3">
      <c r="B469" s="52">
        <v>412</v>
      </c>
      <c r="C469" s="33">
        <v>243.32642477633192</v>
      </c>
      <c r="D469" s="52">
        <v>412</v>
      </c>
      <c r="E469" s="33">
        <v>44.100891907485675</v>
      </c>
      <c r="F469" s="52">
        <v>412</v>
      </c>
      <c r="G469" s="104">
        <v>202.81165046174777</v>
      </c>
    </row>
    <row r="470" spans="2:7" x14ac:dyDescent="0.3">
      <c r="B470" s="52">
        <v>413</v>
      </c>
      <c r="C470" s="33">
        <v>312.75130428771342</v>
      </c>
      <c r="D470" s="52">
        <v>413</v>
      </c>
      <c r="E470" s="33">
        <v>-12.678313353755009</v>
      </c>
      <c r="F470" s="52">
        <v>413</v>
      </c>
      <c r="G470" s="104">
        <v>149.25901328908822</v>
      </c>
    </row>
    <row r="471" spans="2:7" x14ac:dyDescent="0.3">
      <c r="B471" s="52">
        <v>414</v>
      </c>
      <c r="C471" s="33">
        <v>420.26511129140908</v>
      </c>
      <c r="D471" s="52">
        <v>414</v>
      </c>
      <c r="E471" s="33">
        <v>23.473853575002842</v>
      </c>
      <c r="F471" s="52">
        <v>414</v>
      </c>
      <c r="G471" s="104">
        <v>223.86382352519536</v>
      </c>
    </row>
    <row r="472" spans="2:7" x14ac:dyDescent="0.3">
      <c r="B472" s="52">
        <v>415</v>
      </c>
      <c r="C472" s="33">
        <v>91.11556422071979</v>
      </c>
      <c r="D472" s="52">
        <v>415</v>
      </c>
      <c r="E472" s="33">
        <v>42.792584863825851</v>
      </c>
      <c r="F472" s="52">
        <v>415</v>
      </c>
      <c r="G472" s="104">
        <v>269.85588423129832</v>
      </c>
    </row>
    <row r="473" spans="2:7" x14ac:dyDescent="0.3">
      <c r="B473" s="52">
        <v>416</v>
      </c>
      <c r="C473" s="33">
        <v>248.37016264943253</v>
      </c>
      <c r="D473" s="52">
        <v>416</v>
      </c>
      <c r="E473" s="33">
        <v>42.010325149665562</v>
      </c>
      <c r="F473" s="52">
        <v>416</v>
      </c>
      <c r="G473" s="104">
        <v>319.2254982430677</v>
      </c>
    </row>
    <row r="474" spans="2:7" x14ac:dyDescent="0.3">
      <c r="B474" s="52">
        <v>417</v>
      </c>
      <c r="C474" s="33">
        <v>328.3547401930399</v>
      </c>
      <c r="D474" s="52">
        <v>417</v>
      </c>
      <c r="E474" s="33">
        <v>76.92392135953007</v>
      </c>
      <c r="F474" s="52">
        <v>417</v>
      </c>
      <c r="G474" s="104">
        <v>259.78085957276505</v>
      </c>
    </row>
    <row r="475" spans="2:7" x14ac:dyDescent="0.3">
      <c r="B475" s="52">
        <v>418</v>
      </c>
      <c r="C475" s="33">
        <v>182.09199215192808</v>
      </c>
      <c r="D475" s="52">
        <v>418</v>
      </c>
      <c r="E475" s="33">
        <v>10.224839172053983</v>
      </c>
      <c r="F475" s="52">
        <v>418</v>
      </c>
      <c r="G475" s="104">
        <v>326.76184773978355</v>
      </c>
    </row>
    <row r="476" spans="2:7" x14ac:dyDescent="0.3">
      <c r="B476" s="52">
        <v>419</v>
      </c>
      <c r="C476" s="33">
        <v>185.30933470698045</v>
      </c>
      <c r="D476" s="52">
        <v>419</v>
      </c>
      <c r="E476" s="33">
        <v>76.866878462578086</v>
      </c>
      <c r="F476" s="52">
        <v>419</v>
      </c>
      <c r="G476" s="104">
        <v>165.20997170734347</v>
      </c>
    </row>
    <row r="477" spans="2:7" x14ac:dyDescent="0.3">
      <c r="B477" s="52">
        <v>420</v>
      </c>
      <c r="C477" s="33">
        <v>268.0855815089904</v>
      </c>
      <c r="D477" s="52">
        <v>420</v>
      </c>
      <c r="E477" s="33">
        <v>24.201519622942644</v>
      </c>
      <c r="F477" s="52">
        <v>420</v>
      </c>
      <c r="G477" s="104">
        <v>359.10774580854633</v>
      </c>
    </row>
    <row r="478" spans="2:7" x14ac:dyDescent="0.3">
      <c r="B478" s="52">
        <v>421</v>
      </c>
      <c r="C478" s="33">
        <v>256.17218184582612</v>
      </c>
      <c r="D478" s="52">
        <v>421</v>
      </c>
      <c r="E478" s="33">
        <v>47.063220506057903</v>
      </c>
      <c r="F478" s="52">
        <v>421</v>
      </c>
      <c r="G478" s="104">
        <v>135.30621059133222</v>
      </c>
    </row>
    <row r="479" spans="2:7" x14ac:dyDescent="0.3">
      <c r="B479" s="52">
        <v>422</v>
      </c>
      <c r="C479" s="33">
        <v>268.04956211708776</v>
      </c>
      <c r="D479" s="52">
        <v>422</v>
      </c>
      <c r="E479" s="33">
        <v>60.055674923945787</v>
      </c>
      <c r="F479" s="52">
        <v>422</v>
      </c>
      <c r="G479" s="104">
        <v>260.58074018032295</v>
      </c>
    </row>
    <row r="480" spans="2:7" x14ac:dyDescent="0.3">
      <c r="B480" s="52">
        <v>423</v>
      </c>
      <c r="C480" s="33">
        <v>139.4971296535179</v>
      </c>
      <c r="D480" s="52">
        <v>423</v>
      </c>
      <c r="E480" s="33">
        <v>94.680217023035468</v>
      </c>
      <c r="F480" s="52">
        <v>423</v>
      </c>
      <c r="G480" s="104">
        <v>300.895847738729</v>
      </c>
    </row>
    <row r="481" spans="2:7" x14ac:dyDescent="0.3">
      <c r="B481" s="52">
        <v>424</v>
      </c>
      <c r="C481" s="33">
        <v>127.3631816813902</v>
      </c>
      <c r="D481" s="52">
        <v>424</v>
      </c>
      <c r="E481" s="33">
        <v>11.177429181224397</v>
      </c>
      <c r="F481" s="52">
        <v>424</v>
      </c>
      <c r="G481" s="104">
        <v>241.17915958892129</v>
      </c>
    </row>
    <row r="482" spans="2:7" x14ac:dyDescent="0.3">
      <c r="B482" s="52">
        <v>425</v>
      </c>
      <c r="C482" s="33">
        <v>204.24587566917219</v>
      </c>
      <c r="D482" s="52">
        <v>425</v>
      </c>
      <c r="E482" s="33">
        <v>77.937312901122951</v>
      </c>
      <c r="F482" s="52">
        <v>425</v>
      </c>
      <c r="G482" s="104">
        <v>349.6722343355932</v>
      </c>
    </row>
    <row r="483" spans="2:7" x14ac:dyDescent="0.3">
      <c r="B483" s="52">
        <v>426</v>
      </c>
      <c r="C483" s="33">
        <v>192.69715088494331</v>
      </c>
      <c r="D483" s="52">
        <v>426</v>
      </c>
      <c r="E483" s="33">
        <v>89.516194478803641</v>
      </c>
      <c r="F483" s="52">
        <v>426</v>
      </c>
      <c r="G483" s="104">
        <v>271.82350271157264</v>
      </c>
    </row>
    <row r="484" spans="2:7" x14ac:dyDescent="0.3">
      <c r="B484" s="52">
        <v>427</v>
      </c>
      <c r="C484" s="33">
        <v>206.28558837748207</v>
      </c>
      <c r="D484" s="52">
        <v>427</v>
      </c>
      <c r="E484" s="33">
        <v>33.359756612223677</v>
      </c>
      <c r="F484" s="52">
        <v>427</v>
      </c>
      <c r="G484" s="104">
        <v>181.58717477226887</v>
      </c>
    </row>
    <row r="485" spans="2:7" x14ac:dyDescent="0.3">
      <c r="B485" s="52">
        <v>428</v>
      </c>
      <c r="C485" s="33">
        <v>114.4913044253193</v>
      </c>
      <c r="D485" s="52">
        <v>428</v>
      </c>
      <c r="E485" s="33">
        <v>15.072777636517401</v>
      </c>
      <c r="F485" s="52">
        <v>428</v>
      </c>
      <c r="G485" s="104">
        <v>345.99354777935446</v>
      </c>
    </row>
    <row r="486" spans="2:7" x14ac:dyDescent="0.3">
      <c r="B486" s="52">
        <v>429</v>
      </c>
      <c r="C486" s="33">
        <v>197.67619798745233</v>
      </c>
      <c r="D486" s="52">
        <v>429</v>
      </c>
      <c r="E486" s="33">
        <v>1.6918974922096552</v>
      </c>
      <c r="F486" s="52">
        <v>429</v>
      </c>
      <c r="G486" s="104">
        <v>223.33557411060326</v>
      </c>
    </row>
    <row r="487" spans="2:7" x14ac:dyDescent="0.3">
      <c r="B487" s="52">
        <v>430</v>
      </c>
      <c r="C487" s="33">
        <v>244.05445619714448</v>
      </c>
      <c r="D487" s="52">
        <v>430</v>
      </c>
      <c r="E487" s="33">
        <v>52.378693438655908</v>
      </c>
      <c r="F487" s="52">
        <v>430</v>
      </c>
      <c r="G487" s="104">
        <v>369.54210124788654</v>
      </c>
    </row>
    <row r="488" spans="2:7" x14ac:dyDescent="0.3">
      <c r="B488" s="52">
        <v>431</v>
      </c>
      <c r="C488" s="33">
        <v>203.92599240657339</v>
      </c>
      <c r="D488" s="52">
        <v>431</v>
      </c>
      <c r="E488" s="33">
        <v>16.913774812654083</v>
      </c>
      <c r="F488" s="52">
        <v>431</v>
      </c>
      <c r="G488" s="104">
        <v>73.893441233742891</v>
      </c>
    </row>
    <row r="489" spans="2:7" x14ac:dyDescent="0.3">
      <c r="B489" s="52">
        <v>432</v>
      </c>
      <c r="C489" s="33">
        <v>285.69790786982344</v>
      </c>
      <c r="D489" s="52">
        <v>432</v>
      </c>
      <c r="E489" s="33">
        <v>43.013309468453315</v>
      </c>
      <c r="F489" s="52">
        <v>432</v>
      </c>
      <c r="G489" s="104">
        <v>156.88192358875554</v>
      </c>
    </row>
    <row r="490" spans="2:7" x14ac:dyDescent="0.3">
      <c r="B490" s="52">
        <v>433</v>
      </c>
      <c r="C490" s="33">
        <v>238.06894204039168</v>
      </c>
      <c r="D490" s="52">
        <v>433</v>
      </c>
      <c r="E490" s="33">
        <v>65.475788716551079</v>
      </c>
      <c r="F490" s="52">
        <v>433</v>
      </c>
      <c r="G490" s="104">
        <v>218.45970251286454</v>
      </c>
    </row>
    <row r="491" spans="2:7" x14ac:dyDescent="0.3">
      <c r="B491" s="52">
        <v>434</v>
      </c>
      <c r="C491" s="33">
        <v>160.61496005069466</v>
      </c>
      <c r="D491" s="52">
        <v>434</v>
      </c>
      <c r="E491" s="33">
        <v>26.969684431980518</v>
      </c>
      <c r="F491" s="52">
        <v>434</v>
      </c>
      <c r="G491" s="104">
        <v>169.07777023787102</v>
      </c>
    </row>
    <row r="492" spans="2:7" x14ac:dyDescent="0.3">
      <c r="B492" s="52">
        <v>435</v>
      </c>
      <c r="C492" s="33">
        <v>351.30892837281789</v>
      </c>
      <c r="D492" s="52">
        <v>435</v>
      </c>
      <c r="E492" s="33">
        <v>16.999564935954403</v>
      </c>
      <c r="F492" s="52">
        <v>435</v>
      </c>
      <c r="G492" s="104">
        <v>199.54021477616197</v>
      </c>
    </row>
    <row r="493" spans="2:7" x14ac:dyDescent="0.3">
      <c r="B493" s="52">
        <v>436</v>
      </c>
      <c r="C493" s="33">
        <v>278.21375645459534</v>
      </c>
      <c r="D493" s="52">
        <v>436</v>
      </c>
      <c r="E493" s="33">
        <v>37.258629796202399</v>
      </c>
      <c r="F493" s="52">
        <v>436</v>
      </c>
      <c r="G493" s="104">
        <v>123.49167431359872</v>
      </c>
    </row>
    <row r="494" spans="2:7" x14ac:dyDescent="0.3">
      <c r="B494" s="52">
        <v>437</v>
      </c>
      <c r="C494" s="33">
        <v>367.36487979549406</v>
      </c>
      <c r="D494" s="52">
        <v>437</v>
      </c>
      <c r="E494" s="33">
        <v>39.646326353661401</v>
      </c>
      <c r="F494" s="52">
        <v>437</v>
      </c>
      <c r="G494" s="104">
        <v>212.26447330949838</v>
      </c>
    </row>
    <row r="495" spans="2:7" x14ac:dyDescent="0.3">
      <c r="B495" s="52">
        <v>438</v>
      </c>
      <c r="C495" s="33">
        <v>236.69138678816077</v>
      </c>
      <c r="D495" s="52">
        <v>438</v>
      </c>
      <c r="E495" s="33">
        <v>30.832461322350792</v>
      </c>
      <c r="F495" s="52">
        <v>438</v>
      </c>
      <c r="G495" s="104">
        <v>187.90800782621579</v>
      </c>
    </row>
    <row r="496" spans="2:7" x14ac:dyDescent="0.3">
      <c r="B496" s="52">
        <v>439</v>
      </c>
      <c r="C496" s="33">
        <v>350.96193528136331</v>
      </c>
      <c r="D496" s="52">
        <v>439</v>
      </c>
      <c r="E496" s="33">
        <v>43.0408512516047</v>
      </c>
      <c r="F496" s="52">
        <v>439</v>
      </c>
      <c r="G496" s="104">
        <v>284.42199890096521</v>
      </c>
    </row>
    <row r="497" spans="2:7" x14ac:dyDescent="0.3">
      <c r="B497" s="52">
        <v>440</v>
      </c>
      <c r="C497" s="33">
        <v>175.89314401303801</v>
      </c>
      <c r="D497" s="52">
        <v>440</v>
      </c>
      <c r="E497" s="33">
        <v>54.083651682410796</v>
      </c>
      <c r="F497" s="52">
        <v>440</v>
      </c>
      <c r="G497" s="104">
        <v>294.95912478797732</v>
      </c>
    </row>
    <row r="498" spans="2:7" x14ac:dyDescent="0.3">
      <c r="B498" s="52">
        <v>441</v>
      </c>
      <c r="C498" s="33">
        <v>177.83178456157592</v>
      </c>
      <c r="D498" s="52">
        <v>441</v>
      </c>
      <c r="E498" s="33">
        <v>11.292204142774629</v>
      </c>
      <c r="F498" s="52">
        <v>441</v>
      </c>
      <c r="G498" s="104">
        <v>250.02641659956274</v>
      </c>
    </row>
    <row r="499" spans="2:7" x14ac:dyDescent="0.3">
      <c r="B499" s="52">
        <v>442</v>
      </c>
      <c r="C499" s="33">
        <v>324.70448822027794</v>
      </c>
      <c r="D499" s="52">
        <v>442</v>
      </c>
      <c r="E499" s="33">
        <v>76.243185133785289</v>
      </c>
      <c r="F499" s="52">
        <v>442</v>
      </c>
      <c r="G499" s="104">
        <v>341.72497298765541</v>
      </c>
    </row>
    <row r="500" spans="2:7" x14ac:dyDescent="0.3">
      <c r="B500" s="52">
        <v>443</v>
      </c>
      <c r="C500" s="33">
        <v>279.01143709585097</v>
      </c>
      <c r="D500" s="52">
        <v>443</v>
      </c>
      <c r="E500" s="33">
        <v>17.620646028492594</v>
      </c>
      <c r="F500" s="52">
        <v>443</v>
      </c>
      <c r="G500" s="104">
        <v>274.88521088718085</v>
      </c>
    </row>
    <row r="501" spans="2:7" x14ac:dyDescent="0.3">
      <c r="B501" s="52">
        <v>444</v>
      </c>
      <c r="C501" s="33">
        <v>275.72962391405264</v>
      </c>
      <c r="D501" s="52">
        <v>444</v>
      </c>
      <c r="E501" s="33">
        <v>64.207006744992981</v>
      </c>
      <c r="F501" s="52">
        <v>444</v>
      </c>
      <c r="G501" s="104">
        <v>113.28299463586958</v>
      </c>
    </row>
    <row r="502" spans="2:7" x14ac:dyDescent="0.3">
      <c r="B502" s="52">
        <v>445</v>
      </c>
      <c r="C502" s="33">
        <v>320.7031987327556</v>
      </c>
      <c r="D502" s="52">
        <v>445</v>
      </c>
      <c r="E502" s="33">
        <v>15.901415158674496</v>
      </c>
      <c r="F502" s="52">
        <v>445</v>
      </c>
      <c r="G502" s="104">
        <v>158.83282914251382</v>
      </c>
    </row>
    <row r="503" spans="2:7" x14ac:dyDescent="0.3">
      <c r="B503" s="52">
        <v>446</v>
      </c>
      <c r="C503" s="33">
        <v>304.86336672193409</v>
      </c>
      <c r="D503" s="52">
        <v>446</v>
      </c>
      <c r="E503" s="33">
        <v>89.639862630366082</v>
      </c>
      <c r="F503" s="52">
        <v>446</v>
      </c>
      <c r="G503" s="104">
        <v>290.0368375141158</v>
      </c>
    </row>
    <row r="504" spans="2:7" x14ac:dyDescent="0.3">
      <c r="B504" s="52">
        <v>447</v>
      </c>
      <c r="C504" s="33">
        <v>219.58414107586816</v>
      </c>
      <c r="D504" s="52">
        <v>447</v>
      </c>
      <c r="E504" s="33">
        <v>29.716939672713888</v>
      </c>
      <c r="F504" s="52">
        <v>447</v>
      </c>
      <c r="G504" s="104">
        <v>138.24753310226055</v>
      </c>
    </row>
    <row r="505" spans="2:7" x14ac:dyDescent="0.3">
      <c r="B505" s="52">
        <v>448</v>
      </c>
      <c r="C505" s="33">
        <v>200.08591444954834</v>
      </c>
      <c r="D505" s="52">
        <v>448</v>
      </c>
      <c r="E505" s="33">
        <v>45.043432922669083</v>
      </c>
      <c r="F505" s="52">
        <v>448</v>
      </c>
      <c r="G505" s="104">
        <v>244.61893294616533</v>
      </c>
    </row>
    <row r="506" spans="2:7" x14ac:dyDescent="0.3">
      <c r="B506" s="52">
        <v>449</v>
      </c>
      <c r="C506" s="33">
        <v>289.984477242396</v>
      </c>
      <c r="D506" s="52">
        <v>449</v>
      </c>
      <c r="E506" s="33">
        <v>-1.4193698131301744</v>
      </c>
      <c r="F506" s="52">
        <v>449</v>
      </c>
      <c r="G506" s="104">
        <v>225.45711665147547</v>
      </c>
    </row>
    <row r="507" spans="2:7" x14ac:dyDescent="0.3">
      <c r="B507" s="52">
        <v>450</v>
      </c>
      <c r="C507" s="33">
        <v>243.99487109741014</v>
      </c>
      <c r="D507" s="52">
        <v>450</v>
      </c>
      <c r="E507" s="33">
        <v>12.873907064764808</v>
      </c>
      <c r="F507" s="52">
        <v>450</v>
      </c>
      <c r="G507" s="104">
        <v>217.69041331401667</v>
      </c>
    </row>
    <row r="508" spans="2:7" x14ac:dyDescent="0.3">
      <c r="B508" s="52">
        <v>451</v>
      </c>
      <c r="C508" s="33">
        <v>173.99302834330646</v>
      </c>
      <c r="D508" s="52">
        <v>451</v>
      </c>
      <c r="E508" s="33">
        <v>21.292964834800181</v>
      </c>
      <c r="F508" s="52">
        <v>451</v>
      </c>
      <c r="G508" s="104">
        <v>215.23879613862061</v>
      </c>
    </row>
    <row r="509" spans="2:7" x14ac:dyDescent="0.3">
      <c r="B509" s="52">
        <v>452</v>
      </c>
      <c r="C509" s="33">
        <v>200.48672494906367</v>
      </c>
      <c r="D509" s="52">
        <v>452</v>
      </c>
      <c r="E509" s="33">
        <v>57.979154950179577</v>
      </c>
      <c r="F509" s="52">
        <v>452</v>
      </c>
      <c r="G509" s="104">
        <v>395.900584562696</v>
      </c>
    </row>
    <row r="510" spans="2:7" x14ac:dyDescent="0.3">
      <c r="B510" s="52">
        <v>453</v>
      </c>
      <c r="C510" s="33">
        <v>125.74992742675202</v>
      </c>
      <c r="D510" s="52">
        <v>453</v>
      </c>
      <c r="E510" s="33">
        <v>79.051843419782671</v>
      </c>
      <c r="F510" s="52">
        <v>453</v>
      </c>
      <c r="G510" s="104">
        <v>340.50028208586525</v>
      </c>
    </row>
    <row r="511" spans="2:7" x14ac:dyDescent="0.3">
      <c r="B511" s="52">
        <v>454</v>
      </c>
      <c r="C511" s="33">
        <v>252.57289620818756</v>
      </c>
      <c r="D511" s="52">
        <v>454</v>
      </c>
      <c r="E511" s="33">
        <v>59.723043907177967</v>
      </c>
      <c r="F511" s="52">
        <v>454</v>
      </c>
      <c r="G511" s="104">
        <v>196.03988440269393</v>
      </c>
    </row>
    <row r="512" spans="2:7" x14ac:dyDescent="0.3">
      <c r="B512" s="52">
        <v>455</v>
      </c>
      <c r="C512" s="33">
        <v>286.18230041151241</v>
      </c>
      <c r="D512" s="52">
        <v>455</v>
      </c>
      <c r="E512" s="33">
        <v>10.313213656734247</v>
      </c>
      <c r="F512" s="52">
        <v>455</v>
      </c>
      <c r="G512" s="104">
        <v>201.69730414145292</v>
      </c>
    </row>
    <row r="513" spans="2:7" x14ac:dyDescent="0.3">
      <c r="B513" s="52">
        <v>456</v>
      </c>
      <c r="C513" s="33">
        <v>204.47181851649356</v>
      </c>
      <c r="D513" s="52">
        <v>456</v>
      </c>
      <c r="E513" s="33">
        <v>72.243672739315699</v>
      </c>
      <c r="F513" s="52">
        <v>456</v>
      </c>
      <c r="G513" s="104">
        <v>233.023389640722</v>
      </c>
    </row>
    <row r="514" spans="2:7" x14ac:dyDescent="0.3">
      <c r="B514" s="52">
        <v>457</v>
      </c>
      <c r="C514" s="33">
        <v>309.52201891531246</v>
      </c>
      <c r="D514" s="52">
        <v>457</v>
      </c>
      <c r="E514" s="33">
        <v>49.878580583843032</v>
      </c>
      <c r="F514" s="52">
        <v>457</v>
      </c>
      <c r="G514" s="104">
        <v>103.06031181916478</v>
      </c>
    </row>
    <row r="515" spans="2:7" x14ac:dyDescent="0.3">
      <c r="B515" s="52">
        <v>458</v>
      </c>
      <c r="C515" s="33">
        <v>230.39739592974288</v>
      </c>
      <c r="D515" s="52">
        <v>458</v>
      </c>
      <c r="E515" s="33">
        <v>14.406039554042003</v>
      </c>
      <c r="F515" s="52">
        <v>458</v>
      </c>
      <c r="G515" s="104">
        <v>112.97203175749122</v>
      </c>
    </row>
    <row r="516" spans="2:7" x14ac:dyDescent="0.3">
      <c r="B516" s="52">
        <v>459</v>
      </c>
      <c r="C516" s="33">
        <v>265.95653614120209</v>
      </c>
      <c r="D516" s="52">
        <v>459</v>
      </c>
      <c r="E516" s="33">
        <v>26.488144170701361</v>
      </c>
      <c r="F516" s="52">
        <v>459</v>
      </c>
      <c r="G516" s="104">
        <v>338.85513147094406</v>
      </c>
    </row>
    <row r="517" spans="2:7" x14ac:dyDescent="0.3">
      <c r="B517" s="52">
        <v>460</v>
      </c>
      <c r="C517" s="33">
        <v>281.7472162027434</v>
      </c>
      <c r="D517" s="52">
        <v>460</v>
      </c>
      <c r="E517" s="33">
        <v>64.424844003240139</v>
      </c>
      <c r="F517" s="52">
        <v>460</v>
      </c>
      <c r="G517" s="104">
        <v>167.37171304403194</v>
      </c>
    </row>
    <row r="518" spans="2:7" x14ac:dyDescent="0.3">
      <c r="B518" s="52">
        <v>461</v>
      </c>
      <c r="C518" s="33">
        <v>230.20932362384343</v>
      </c>
      <c r="D518" s="52">
        <v>461</v>
      </c>
      <c r="E518" s="33">
        <v>61.809877693192981</v>
      </c>
      <c r="F518" s="52">
        <v>461</v>
      </c>
      <c r="G518" s="104">
        <v>273.70656597599753</v>
      </c>
    </row>
    <row r="519" spans="2:7" x14ac:dyDescent="0.3">
      <c r="B519" s="52">
        <v>462</v>
      </c>
      <c r="C519" s="33">
        <v>162.67460066766219</v>
      </c>
      <c r="D519" s="52">
        <v>462</v>
      </c>
      <c r="E519" s="33">
        <v>72.53473716541059</v>
      </c>
      <c r="F519" s="52">
        <v>462</v>
      </c>
      <c r="G519" s="104">
        <v>158.50669675493771</v>
      </c>
    </row>
    <row r="520" spans="2:7" x14ac:dyDescent="0.3">
      <c r="B520" s="52">
        <v>463</v>
      </c>
      <c r="C520" s="33">
        <v>159.15862482547186</v>
      </c>
      <c r="D520" s="52">
        <v>463</v>
      </c>
      <c r="E520" s="33">
        <v>12.695732713939144</v>
      </c>
      <c r="F520" s="52">
        <v>463</v>
      </c>
      <c r="G520" s="104">
        <v>57.19315971958477</v>
      </c>
    </row>
    <row r="521" spans="2:7" x14ac:dyDescent="0.3">
      <c r="B521" s="52">
        <v>464</v>
      </c>
      <c r="C521" s="33">
        <v>287.22772796165907</v>
      </c>
      <c r="D521" s="52">
        <v>464</v>
      </c>
      <c r="E521" s="33">
        <v>51.343120370551219</v>
      </c>
      <c r="F521" s="52">
        <v>464</v>
      </c>
      <c r="G521" s="104">
        <v>239.28606485406351</v>
      </c>
    </row>
    <row r="522" spans="2:7" x14ac:dyDescent="0.3">
      <c r="B522" s="52">
        <v>465</v>
      </c>
      <c r="C522" s="33">
        <v>361.08101837418866</v>
      </c>
      <c r="D522" s="52">
        <v>465</v>
      </c>
      <c r="E522" s="33">
        <v>52.077229814422665</v>
      </c>
      <c r="F522" s="52">
        <v>465</v>
      </c>
      <c r="G522" s="104">
        <v>148.24565127190999</v>
      </c>
    </row>
    <row r="523" spans="2:7" x14ac:dyDescent="0.3">
      <c r="B523" s="52">
        <v>466</v>
      </c>
      <c r="C523" s="33">
        <v>138.72871316836896</v>
      </c>
      <c r="D523" s="52">
        <v>466</v>
      </c>
      <c r="E523" s="33">
        <v>65.648442571706994</v>
      </c>
      <c r="F523" s="52">
        <v>466</v>
      </c>
      <c r="G523" s="104">
        <v>96.148115485304359</v>
      </c>
    </row>
    <row r="524" spans="2:7" x14ac:dyDescent="0.3">
      <c r="B524" s="52">
        <v>467</v>
      </c>
      <c r="C524" s="33">
        <v>224.43797112544848</v>
      </c>
      <c r="D524" s="52">
        <v>467</v>
      </c>
      <c r="E524" s="33">
        <v>90.618428827312499</v>
      </c>
      <c r="F524" s="52">
        <v>467</v>
      </c>
      <c r="G524" s="104">
        <v>242.2892452743956</v>
      </c>
    </row>
    <row r="525" spans="2:7" x14ac:dyDescent="0.3">
      <c r="B525" s="52">
        <v>468</v>
      </c>
      <c r="C525" s="33">
        <v>80.704945771237959</v>
      </c>
      <c r="D525" s="52">
        <v>468</v>
      </c>
      <c r="E525" s="33">
        <v>33.565258393934982</v>
      </c>
      <c r="F525" s="52">
        <v>468</v>
      </c>
      <c r="G525" s="104">
        <v>302.71291333915582</v>
      </c>
    </row>
    <row r="526" spans="2:7" x14ac:dyDescent="0.3">
      <c r="B526" s="52">
        <v>469</v>
      </c>
      <c r="C526" s="33">
        <v>104.81002116800568</v>
      </c>
      <c r="D526" s="52">
        <v>469</v>
      </c>
      <c r="E526" s="33">
        <v>67.742240209881487</v>
      </c>
      <c r="F526" s="52">
        <v>469</v>
      </c>
      <c r="G526" s="104">
        <v>125.86602125696753</v>
      </c>
    </row>
    <row r="527" spans="2:7" x14ac:dyDescent="0.3">
      <c r="B527" s="52">
        <v>470</v>
      </c>
      <c r="C527" s="33">
        <v>138.62760516075912</v>
      </c>
      <c r="D527" s="52">
        <v>470</v>
      </c>
      <c r="E527" s="33">
        <v>21.981129673468327</v>
      </c>
      <c r="F527" s="52">
        <v>470</v>
      </c>
      <c r="G527" s="104">
        <v>163.6802856650871</v>
      </c>
    </row>
    <row r="528" spans="2:7" x14ac:dyDescent="0.3">
      <c r="B528" s="52">
        <v>471</v>
      </c>
      <c r="C528" s="33">
        <v>195.12733728570134</v>
      </c>
      <c r="D528" s="52">
        <v>471</v>
      </c>
      <c r="E528" s="33">
        <v>74.726485684565048</v>
      </c>
      <c r="F528" s="52">
        <v>471</v>
      </c>
      <c r="G528" s="104">
        <v>216.69843565304021</v>
      </c>
    </row>
    <row r="529" spans="2:7" x14ac:dyDescent="0.3">
      <c r="B529" s="52">
        <v>472</v>
      </c>
      <c r="C529" s="33">
        <v>160.26825824058733</v>
      </c>
      <c r="D529" s="52">
        <v>472</v>
      </c>
      <c r="E529" s="33">
        <v>46.815072080458137</v>
      </c>
      <c r="F529" s="52">
        <v>472</v>
      </c>
      <c r="G529" s="104">
        <v>277.84917764685321</v>
      </c>
    </row>
    <row r="530" spans="2:7" x14ac:dyDescent="0.3">
      <c r="B530" s="52">
        <v>473</v>
      </c>
      <c r="C530" s="33">
        <v>313.74281358523001</v>
      </c>
      <c r="D530" s="52">
        <v>473</v>
      </c>
      <c r="E530" s="33">
        <v>16.46652261204515</v>
      </c>
      <c r="F530" s="52">
        <v>473</v>
      </c>
      <c r="G530" s="104">
        <v>109.48547569895713</v>
      </c>
    </row>
    <row r="531" spans="2:7" x14ac:dyDescent="0.3">
      <c r="B531" s="52">
        <v>474</v>
      </c>
      <c r="C531" s="33">
        <v>217.63297315506995</v>
      </c>
      <c r="D531" s="52">
        <v>474</v>
      </c>
      <c r="E531" s="33">
        <v>53.967448953714126</v>
      </c>
      <c r="F531" s="52">
        <v>474</v>
      </c>
      <c r="G531" s="104">
        <v>190.95249290912903</v>
      </c>
    </row>
    <row r="532" spans="2:7" x14ac:dyDescent="0.3">
      <c r="B532" s="52">
        <v>475</v>
      </c>
      <c r="C532" s="33">
        <v>270.79834638378827</v>
      </c>
      <c r="D532" s="52">
        <v>475</v>
      </c>
      <c r="E532" s="33">
        <v>9.5802182319747828</v>
      </c>
      <c r="F532" s="52">
        <v>475</v>
      </c>
      <c r="G532" s="104">
        <v>177.19997466237595</v>
      </c>
    </row>
    <row r="533" spans="2:7" x14ac:dyDescent="0.3">
      <c r="B533" s="52">
        <v>476</v>
      </c>
      <c r="C533" s="33">
        <v>295.34616348113371</v>
      </c>
      <c r="D533" s="52">
        <v>476</v>
      </c>
      <c r="E533" s="33">
        <v>81.831295087747066</v>
      </c>
      <c r="F533" s="52">
        <v>476</v>
      </c>
      <c r="G533" s="104">
        <v>262.01697817860719</v>
      </c>
    </row>
    <row r="534" spans="2:7" x14ac:dyDescent="0.3">
      <c r="B534" s="52">
        <v>477</v>
      </c>
      <c r="C534" s="33">
        <v>266.93563569899925</v>
      </c>
      <c r="D534" s="52">
        <v>477</v>
      </c>
      <c r="E534" s="33">
        <v>26.308047493048356</v>
      </c>
      <c r="F534" s="52">
        <v>477</v>
      </c>
      <c r="G534" s="104">
        <v>254.84698809683448</v>
      </c>
    </row>
    <row r="535" spans="2:7" x14ac:dyDescent="0.3">
      <c r="B535" s="52">
        <v>478</v>
      </c>
      <c r="C535" s="33">
        <v>120.88459613357222</v>
      </c>
      <c r="D535" s="52">
        <v>478</v>
      </c>
      <c r="E535" s="33">
        <v>41.608248239062505</v>
      </c>
      <c r="F535" s="52">
        <v>478</v>
      </c>
      <c r="G535" s="104">
        <v>263.75089290828976</v>
      </c>
    </row>
    <row r="536" spans="2:7" x14ac:dyDescent="0.3">
      <c r="B536" s="52">
        <v>479</v>
      </c>
      <c r="C536" s="33">
        <v>270.79327339246078</v>
      </c>
      <c r="D536" s="52">
        <v>479</v>
      </c>
      <c r="E536" s="33">
        <v>-3.898410031060898</v>
      </c>
      <c r="F536" s="52">
        <v>479</v>
      </c>
      <c r="G536" s="104">
        <v>366.7735452102375</v>
      </c>
    </row>
    <row r="537" spans="2:7" x14ac:dyDescent="0.3">
      <c r="B537" s="52">
        <v>480</v>
      </c>
      <c r="C537" s="33">
        <v>285.94204888271241</v>
      </c>
      <c r="D537" s="52">
        <v>480</v>
      </c>
      <c r="E537" s="33">
        <v>52.239558844733985</v>
      </c>
      <c r="F537" s="52">
        <v>480</v>
      </c>
      <c r="G537" s="104">
        <v>154.37659489667496</v>
      </c>
    </row>
    <row r="538" spans="2:7" x14ac:dyDescent="0.3">
      <c r="B538" s="52">
        <v>481</v>
      </c>
      <c r="C538" s="33">
        <v>349.19067683860033</v>
      </c>
      <c r="D538" s="52">
        <v>481</v>
      </c>
      <c r="E538" s="33">
        <v>29.291660424123158</v>
      </c>
      <c r="F538" s="52">
        <v>481</v>
      </c>
      <c r="G538" s="104">
        <v>281.28424456251696</v>
      </c>
    </row>
    <row r="539" spans="2:7" x14ac:dyDescent="0.3">
      <c r="B539" s="52">
        <v>482</v>
      </c>
      <c r="C539" s="33">
        <v>278.99799085078439</v>
      </c>
      <c r="D539" s="52">
        <v>482</v>
      </c>
      <c r="E539" s="33">
        <v>7.4198182544779101</v>
      </c>
      <c r="F539" s="52">
        <v>482</v>
      </c>
      <c r="G539" s="104">
        <v>277.62932889520908</v>
      </c>
    </row>
    <row r="540" spans="2:7" x14ac:dyDescent="0.3">
      <c r="B540" s="52">
        <v>483</v>
      </c>
      <c r="C540" s="33">
        <v>178.1542653305047</v>
      </c>
      <c r="D540" s="52">
        <v>483</v>
      </c>
      <c r="E540" s="33">
        <v>-24.466229218934522</v>
      </c>
      <c r="F540" s="52">
        <v>483</v>
      </c>
      <c r="G540" s="104">
        <v>126.26254481759156</v>
      </c>
    </row>
    <row r="541" spans="2:7" x14ac:dyDescent="0.3">
      <c r="B541" s="52">
        <v>484</v>
      </c>
      <c r="C541" s="33">
        <v>234.54212782484845</v>
      </c>
      <c r="D541" s="52">
        <v>484</v>
      </c>
      <c r="E541" s="33">
        <v>40.463945297161615</v>
      </c>
      <c r="F541" s="52">
        <v>484</v>
      </c>
      <c r="G541" s="104">
        <v>238.57962898274073</v>
      </c>
    </row>
    <row r="542" spans="2:7" x14ac:dyDescent="0.3">
      <c r="B542" s="52">
        <v>485</v>
      </c>
      <c r="C542" s="33">
        <v>195.72008895361637</v>
      </c>
      <c r="D542" s="52">
        <v>485</v>
      </c>
      <c r="E542" s="33">
        <v>67.967995804249568</v>
      </c>
      <c r="F542" s="52">
        <v>485</v>
      </c>
      <c r="G542" s="104">
        <v>207.3180254620865</v>
      </c>
    </row>
    <row r="543" spans="2:7" x14ac:dyDescent="0.3">
      <c r="B543" s="52">
        <v>486</v>
      </c>
      <c r="C543" s="33">
        <v>315.73634687618102</v>
      </c>
      <c r="D543" s="52">
        <v>486</v>
      </c>
      <c r="E543" s="33">
        <v>58.145576647967346</v>
      </c>
      <c r="F543" s="52">
        <v>486</v>
      </c>
      <c r="G543" s="104">
        <v>201.45328521453561</v>
      </c>
    </row>
    <row r="544" spans="2:7" x14ac:dyDescent="0.3">
      <c r="B544" s="52">
        <v>487</v>
      </c>
      <c r="C544" s="33">
        <v>147.08742820357813</v>
      </c>
      <c r="D544" s="52">
        <v>487</v>
      </c>
      <c r="E544" s="33">
        <v>74.020864368760328</v>
      </c>
      <c r="F544" s="52">
        <v>487</v>
      </c>
      <c r="G544" s="104">
        <v>321.19925998168554</v>
      </c>
    </row>
    <row r="545" spans="2:7" x14ac:dyDescent="0.3">
      <c r="B545" s="52">
        <v>488</v>
      </c>
      <c r="C545" s="33">
        <v>265.28340960675945</v>
      </c>
      <c r="D545" s="52">
        <v>488</v>
      </c>
      <c r="E545" s="33">
        <v>67.919721789038988</v>
      </c>
      <c r="F545" s="52">
        <v>488</v>
      </c>
      <c r="G545" s="104">
        <v>283.63691845169387</v>
      </c>
    </row>
    <row r="546" spans="2:7" x14ac:dyDescent="0.3">
      <c r="B546" s="52">
        <v>489</v>
      </c>
      <c r="C546" s="33">
        <v>422.4450346719741</v>
      </c>
      <c r="D546" s="52">
        <v>489</v>
      </c>
      <c r="E546" s="33">
        <v>97.553308224975581</v>
      </c>
      <c r="F546" s="52">
        <v>489</v>
      </c>
      <c r="G546" s="104">
        <v>325.88059013459025</v>
      </c>
    </row>
    <row r="547" spans="2:7" x14ac:dyDescent="0.3">
      <c r="B547" s="52">
        <v>490</v>
      </c>
      <c r="C547" s="33">
        <v>288.26352020192229</v>
      </c>
      <c r="D547" s="52">
        <v>490</v>
      </c>
      <c r="E547" s="33">
        <v>25.816454189770404</v>
      </c>
      <c r="F547" s="52">
        <v>490</v>
      </c>
      <c r="G547" s="104">
        <v>241.47064712788796</v>
      </c>
    </row>
    <row r="548" spans="2:7" x14ac:dyDescent="0.3">
      <c r="B548" s="52">
        <v>491</v>
      </c>
      <c r="C548" s="33">
        <v>169.84463929825063</v>
      </c>
      <c r="D548" s="52">
        <v>491</v>
      </c>
      <c r="E548" s="33">
        <v>62.12414465706599</v>
      </c>
      <c r="F548" s="52">
        <v>491</v>
      </c>
      <c r="G548" s="104">
        <v>119.10177748126792</v>
      </c>
    </row>
    <row r="549" spans="2:7" x14ac:dyDescent="0.3">
      <c r="B549" s="52">
        <v>492</v>
      </c>
      <c r="C549" s="33">
        <v>346.53300623886992</v>
      </c>
      <c r="D549" s="52">
        <v>492</v>
      </c>
      <c r="E549" s="33">
        <v>39.876808748599082</v>
      </c>
      <c r="F549" s="52">
        <v>492</v>
      </c>
      <c r="G549" s="104">
        <v>346.20065144082412</v>
      </c>
    </row>
    <row r="550" spans="2:7" x14ac:dyDescent="0.3">
      <c r="B550" s="52">
        <v>493</v>
      </c>
      <c r="C550" s="33">
        <v>253.33679840739273</v>
      </c>
      <c r="D550" s="52">
        <v>493</v>
      </c>
      <c r="E550" s="33">
        <v>25.525016386450464</v>
      </c>
      <c r="F550" s="52">
        <v>493</v>
      </c>
      <c r="G550" s="104">
        <v>252.90405833905439</v>
      </c>
    </row>
    <row r="551" spans="2:7" x14ac:dyDescent="0.3">
      <c r="B551" s="52">
        <v>494</v>
      </c>
      <c r="C551" s="33">
        <v>182.68650607186882</v>
      </c>
      <c r="D551" s="52">
        <v>494</v>
      </c>
      <c r="E551" s="33">
        <v>82.918516541646341</v>
      </c>
      <c r="F551" s="52">
        <v>494</v>
      </c>
      <c r="G551" s="104">
        <v>307.76991312311873</v>
      </c>
    </row>
    <row r="552" spans="2:7" x14ac:dyDescent="0.3">
      <c r="B552" s="52">
        <v>495</v>
      </c>
      <c r="C552" s="33">
        <v>374.32919982607098</v>
      </c>
      <c r="D552" s="52">
        <v>495</v>
      </c>
      <c r="E552" s="33">
        <v>36.058329053878737</v>
      </c>
      <c r="F552" s="52">
        <v>495</v>
      </c>
      <c r="G552" s="104">
        <v>235.40691759816505</v>
      </c>
    </row>
    <row r="553" spans="2:7" x14ac:dyDescent="0.3">
      <c r="B553" s="52">
        <v>496</v>
      </c>
      <c r="C553" s="33">
        <v>116.84018605920446</v>
      </c>
      <c r="D553" s="52">
        <v>496</v>
      </c>
      <c r="E553" s="33">
        <v>9.9373561450083088</v>
      </c>
      <c r="F553" s="52">
        <v>496</v>
      </c>
      <c r="G553" s="104">
        <v>157.51990978956502</v>
      </c>
    </row>
    <row r="554" spans="2:7" x14ac:dyDescent="0.3">
      <c r="B554" s="52">
        <v>497</v>
      </c>
      <c r="C554" s="33">
        <v>352.33015235603472</v>
      </c>
      <c r="D554" s="52">
        <v>497</v>
      </c>
      <c r="E554" s="33">
        <v>43.570864240948893</v>
      </c>
      <c r="F554" s="52">
        <v>497</v>
      </c>
      <c r="G554" s="104">
        <v>250.63227723939789</v>
      </c>
    </row>
    <row r="555" spans="2:7" x14ac:dyDescent="0.3">
      <c r="B555" s="52">
        <v>498</v>
      </c>
      <c r="C555" s="33">
        <v>221.32888430978943</v>
      </c>
      <c r="D555" s="52">
        <v>498</v>
      </c>
      <c r="E555" s="33">
        <v>23.121914466058904</v>
      </c>
      <c r="F555" s="52">
        <v>498</v>
      </c>
      <c r="G555" s="104">
        <v>343.84319412500349</v>
      </c>
    </row>
    <row r="556" spans="2:7" x14ac:dyDescent="0.3">
      <c r="B556" s="52">
        <v>499</v>
      </c>
      <c r="C556" s="33">
        <v>241.42266736184951</v>
      </c>
      <c r="D556" s="52">
        <v>499</v>
      </c>
      <c r="E556" s="33">
        <v>70.237793301900567</v>
      </c>
      <c r="F556" s="52">
        <v>499</v>
      </c>
      <c r="G556" s="104">
        <v>155.76812613920254</v>
      </c>
    </row>
    <row r="557" spans="2:7" x14ac:dyDescent="0.3">
      <c r="B557" s="52">
        <v>500</v>
      </c>
      <c r="C557" s="33">
        <v>234.42364094811839</v>
      </c>
      <c r="D557" s="52">
        <v>500</v>
      </c>
      <c r="E557" s="33">
        <v>8.1445233353890814</v>
      </c>
      <c r="F557" s="52">
        <v>500</v>
      </c>
      <c r="G557" s="104">
        <v>215.76457592562082</v>
      </c>
    </row>
    <row r="558" spans="2:7" x14ac:dyDescent="0.3">
      <c r="C558" s="33"/>
      <c r="E558" s="33"/>
      <c r="G558" s="104"/>
    </row>
    <row r="559" spans="2:7" x14ac:dyDescent="0.3">
      <c r="C559" s="33"/>
      <c r="E559" s="33"/>
      <c r="G559" s="104"/>
    </row>
    <row r="560" spans="2:7" x14ac:dyDescent="0.3">
      <c r="C560" s="33"/>
      <c r="E560" s="33"/>
      <c r="G560" s="104"/>
    </row>
    <row r="561" spans="3:7" x14ac:dyDescent="0.3">
      <c r="C561" s="33"/>
      <c r="E561" s="33"/>
      <c r="G561" s="104"/>
    </row>
    <row r="562" spans="3:7" x14ac:dyDescent="0.3">
      <c r="C562" s="33"/>
      <c r="E562" s="33"/>
      <c r="G562" s="104"/>
    </row>
    <row r="563" spans="3:7" x14ac:dyDescent="0.3">
      <c r="C563" s="33"/>
      <c r="E563" s="33"/>
      <c r="G563" s="104"/>
    </row>
    <row r="564" spans="3:7" x14ac:dyDescent="0.3">
      <c r="C564" s="33"/>
      <c r="E564" s="33"/>
      <c r="G564" s="104"/>
    </row>
    <row r="565" spans="3:7" x14ac:dyDescent="0.3">
      <c r="C565" s="33"/>
      <c r="E565" s="33"/>
      <c r="G565" s="104"/>
    </row>
    <row r="566" spans="3:7" x14ac:dyDescent="0.3">
      <c r="C566" s="33"/>
      <c r="E566" s="33"/>
      <c r="G566" s="104"/>
    </row>
    <row r="567" spans="3:7" x14ac:dyDescent="0.3">
      <c r="C567" s="33"/>
      <c r="E567" s="33"/>
      <c r="G567" s="104"/>
    </row>
    <row r="568" spans="3:7" x14ac:dyDescent="0.3">
      <c r="C568" s="33"/>
      <c r="E568" s="33"/>
      <c r="G568" s="104"/>
    </row>
    <row r="569" spans="3:7" x14ac:dyDescent="0.3">
      <c r="C569" s="33"/>
      <c r="E569" s="33"/>
      <c r="G569" s="104"/>
    </row>
    <row r="570" spans="3:7" x14ac:dyDescent="0.3">
      <c r="C570" s="33"/>
      <c r="E570" s="33"/>
      <c r="G570" s="104"/>
    </row>
    <row r="571" spans="3:7" x14ac:dyDescent="0.3">
      <c r="C571" s="33"/>
      <c r="E571" s="33"/>
      <c r="G571" s="104"/>
    </row>
    <row r="572" spans="3:7" x14ac:dyDescent="0.3">
      <c r="C572" s="33"/>
      <c r="E572" s="33"/>
      <c r="G572" s="104"/>
    </row>
    <row r="573" spans="3:7" x14ac:dyDescent="0.3">
      <c r="C573" s="33"/>
      <c r="E573" s="33"/>
      <c r="G573" s="104"/>
    </row>
    <row r="574" spans="3:7" x14ac:dyDescent="0.3">
      <c r="C574" s="33"/>
      <c r="E574" s="33"/>
      <c r="G574" s="104"/>
    </row>
    <row r="575" spans="3:7" x14ac:dyDescent="0.3">
      <c r="C575" s="33"/>
      <c r="E575" s="33"/>
      <c r="G575" s="104"/>
    </row>
    <row r="576" spans="3:7" x14ac:dyDescent="0.3">
      <c r="C576" s="33"/>
      <c r="E576" s="33"/>
      <c r="G576" s="104"/>
    </row>
    <row r="577" spans="3:7" x14ac:dyDescent="0.3">
      <c r="C577" s="33"/>
      <c r="E577" s="33"/>
      <c r="G577" s="104"/>
    </row>
    <row r="578" spans="3:7" x14ac:dyDescent="0.3">
      <c r="C578" s="33"/>
      <c r="E578" s="33"/>
      <c r="G578" s="104"/>
    </row>
    <row r="579" spans="3:7" x14ac:dyDescent="0.3">
      <c r="C579" s="33"/>
      <c r="E579" s="33"/>
      <c r="G579" s="104"/>
    </row>
    <row r="580" spans="3:7" x14ac:dyDescent="0.3">
      <c r="C580" s="33"/>
      <c r="E580" s="33"/>
      <c r="G580" s="104"/>
    </row>
    <row r="581" spans="3:7" x14ac:dyDescent="0.3">
      <c r="C581" s="33"/>
      <c r="E581" s="33"/>
      <c r="G581" s="104"/>
    </row>
    <row r="582" spans="3:7" x14ac:dyDescent="0.3">
      <c r="C582" s="33"/>
      <c r="E582" s="33"/>
      <c r="G582" s="104"/>
    </row>
    <row r="583" spans="3:7" x14ac:dyDescent="0.3">
      <c r="C583" s="33"/>
      <c r="E583" s="33"/>
      <c r="G583" s="104"/>
    </row>
    <row r="584" spans="3:7" x14ac:dyDescent="0.3">
      <c r="C584" s="33"/>
      <c r="E584" s="33"/>
      <c r="G584" s="104"/>
    </row>
    <row r="585" spans="3:7" x14ac:dyDescent="0.3">
      <c r="C585" s="33"/>
      <c r="E585" s="33"/>
      <c r="G585" s="104"/>
    </row>
    <row r="586" spans="3:7" x14ac:dyDescent="0.3">
      <c r="C586" s="33"/>
      <c r="E586" s="33"/>
      <c r="G586" s="104"/>
    </row>
    <row r="587" spans="3:7" x14ac:dyDescent="0.3">
      <c r="C587" s="33"/>
      <c r="E587" s="33"/>
      <c r="G587" s="104"/>
    </row>
    <row r="588" spans="3:7" x14ac:dyDescent="0.3">
      <c r="C588" s="33"/>
      <c r="E588" s="33"/>
      <c r="G588" s="104"/>
    </row>
    <row r="589" spans="3:7" x14ac:dyDescent="0.3">
      <c r="C589" s="33"/>
      <c r="E589" s="33"/>
      <c r="G589" s="104"/>
    </row>
    <row r="590" spans="3:7" x14ac:dyDescent="0.3">
      <c r="C590" s="33"/>
      <c r="E590" s="33"/>
      <c r="G590" s="104"/>
    </row>
    <row r="591" spans="3:7" x14ac:dyDescent="0.3">
      <c r="C591" s="33"/>
      <c r="E591" s="33"/>
      <c r="G591" s="104"/>
    </row>
    <row r="592" spans="3:7" x14ac:dyDescent="0.3">
      <c r="C592" s="33"/>
      <c r="E592" s="33"/>
      <c r="G592" s="104"/>
    </row>
    <row r="593" spans="3:7" x14ac:dyDescent="0.3">
      <c r="C593" s="33"/>
      <c r="E593" s="33"/>
      <c r="G593" s="104"/>
    </row>
    <row r="594" spans="3:7" x14ac:dyDescent="0.3">
      <c r="C594" s="33"/>
      <c r="E594" s="33"/>
      <c r="G594" s="104"/>
    </row>
    <row r="595" spans="3:7" x14ac:dyDescent="0.3">
      <c r="C595" s="33"/>
      <c r="E595" s="33"/>
      <c r="G595" s="104"/>
    </row>
    <row r="596" spans="3:7" x14ac:dyDescent="0.3">
      <c r="C596" s="33"/>
      <c r="E596" s="33"/>
      <c r="G596" s="104"/>
    </row>
    <row r="597" spans="3:7" x14ac:dyDescent="0.3">
      <c r="C597" s="33"/>
      <c r="E597" s="33"/>
      <c r="G597" s="104"/>
    </row>
    <row r="598" spans="3:7" x14ac:dyDescent="0.3">
      <c r="C598" s="33"/>
      <c r="E598" s="33"/>
      <c r="G598" s="104"/>
    </row>
    <row r="599" spans="3:7" x14ac:dyDescent="0.3">
      <c r="C599" s="33"/>
      <c r="E599" s="33"/>
      <c r="G599" s="104"/>
    </row>
    <row r="600" spans="3:7" x14ac:dyDescent="0.3">
      <c r="C600" s="33"/>
      <c r="E600" s="33"/>
      <c r="G600" s="104"/>
    </row>
    <row r="601" spans="3:7" x14ac:dyDescent="0.3">
      <c r="C601" s="33"/>
      <c r="E601" s="33"/>
      <c r="G601" s="104"/>
    </row>
    <row r="602" spans="3:7" x14ac:dyDescent="0.3">
      <c r="C602" s="33"/>
      <c r="E602" s="33"/>
      <c r="G602" s="104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562"/>
  <sheetViews>
    <sheetView tabSelected="1" topLeftCell="A22" zoomScaleNormal="100" workbookViewId="0">
      <selection activeCell="A19" sqref="A19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7" t="s">
        <v>87</v>
      </c>
      <c r="C1" s="127"/>
      <c r="D1" s="127"/>
      <c r="E1" s="127"/>
    </row>
    <row r="2" spans="1:12" x14ac:dyDescent="0.3">
      <c r="A2" s="2" t="s">
        <v>63</v>
      </c>
      <c r="B2" s="134" t="s">
        <v>101</v>
      </c>
      <c r="C2" s="134"/>
      <c r="D2" s="134" t="s">
        <v>102</v>
      </c>
      <c r="E2" s="134"/>
    </row>
    <row r="3" spans="1:12" x14ac:dyDescent="0.3">
      <c r="A3" t="s">
        <v>15</v>
      </c>
      <c r="B3" s="125">
        <f>[1]All!$L$12*L17</f>
        <v>0.48314833998105799</v>
      </c>
      <c r="C3" s="125"/>
      <c r="D3" s="125">
        <f>[1]All!$L$13*L17</f>
        <v>0.5946441107459175</v>
      </c>
      <c r="E3" s="125"/>
    </row>
    <row r="4" spans="1:12" x14ac:dyDescent="0.3">
      <c r="A4" t="s">
        <v>16</v>
      </c>
      <c r="B4" s="125">
        <f>[2]prod_herd_data!J17</f>
        <v>367.30829304581511</v>
      </c>
      <c r="C4" s="125"/>
      <c r="D4" s="125">
        <f>[2]prod_herd_data!J18</f>
        <v>1424.0802472278533</v>
      </c>
      <c r="E4" s="125"/>
      <c r="K4" s="56"/>
    </row>
    <row r="5" spans="1:12" ht="15.6" x14ac:dyDescent="0.3">
      <c r="A5" t="s">
        <v>4</v>
      </c>
      <c r="B5" s="125">
        <f>B4*B3</f>
        <v>177.46439204636155</v>
      </c>
      <c r="C5" s="125"/>
      <c r="D5" s="125">
        <f>D4*D3</f>
        <v>846.82093224363314</v>
      </c>
      <c r="E5" s="125"/>
      <c r="K5" s="55"/>
    </row>
    <row r="6" spans="1:12" s="56" customFormat="1" ht="15.6" x14ac:dyDescent="0.3">
      <c r="B6" s="126"/>
      <c r="C6" s="126"/>
      <c r="D6" s="125"/>
      <c r="E6" s="125"/>
      <c r="K6" s="55"/>
    </row>
    <row r="7" spans="1:12" x14ac:dyDescent="0.3">
      <c r="A7" s="2" t="s">
        <v>59</v>
      </c>
      <c r="B7" s="125"/>
      <c r="C7" s="125"/>
      <c r="D7" s="125"/>
      <c r="E7" s="125"/>
    </row>
    <row r="8" spans="1:12" x14ac:dyDescent="0.3">
      <c r="A8" s="56" t="s">
        <v>29</v>
      </c>
      <c r="B8" s="125">
        <f xml:space="preserve"> (([2]FEEDING_base!$J$17*L30)+([2]FEEDING_base!$J$18*L31))</f>
        <v>79.444873766804676</v>
      </c>
      <c r="C8" s="125"/>
      <c r="D8" s="125">
        <f>(([2]FEEDING_base!$J$23*L30)+([2]FEEDING_base!$J$24*L31))</f>
        <v>241.16030694690787</v>
      </c>
      <c r="E8" s="125"/>
    </row>
    <row r="9" spans="1:12" x14ac:dyDescent="0.3">
      <c r="A9" s="56" t="s">
        <v>1</v>
      </c>
      <c r="B9" s="125">
        <f>[1]All!$P$12*L17</f>
        <v>3.7037541262095375</v>
      </c>
      <c r="C9" s="125"/>
      <c r="D9" s="125">
        <f>[1]All!$P$13*L17</f>
        <v>9.9618214429084109</v>
      </c>
      <c r="E9" s="125"/>
    </row>
    <row r="10" spans="1:12" x14ac:dyDescent="0.3">
      <c r="A10" s="56" t="s">
        <v>60</v>
      </c>
      <c r="B10" s="125">
        <f>[1]All!$Q$12*L17</f>
        <v>9.4509588048105453</v>
      </c>
      <c r="C10" s="125"/>
      <c r="D10" s="125">
        <f>[1]All!$Q$13*L17</f>
        <v>8.9400961667126779</v>
      </c>
      <c r="E10" s="125"/>
      <c r="K10" s="2" t="str">
        <f>Dairy_Income_Roadmap!K10</f>
        <v>Basic income parameters</v>
      </c>
      <c r="L10" s="2"/>
    </row>
    <row r="11" spans="1:12" x14ac:dyDescent="0.3">
      <c r="A11" s="56" t="s">
        <v>61</v>
      </c>
      <c r="B11" s="125">
        <f>[1]All!$R$12*L17</f>
        <v>0.12771565952446681</v>
      </c>
      <c r="C11" s="125"/>
      <c r="D11" s="125">
        <f>[1]All!$R$13*L17</f>
        <v>1.0217252761957345</v>
      </c>
      <c r="E11" s="125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62</v>
      </c>
      <c r="B12" s="125">
        <f>0*L17</f>
        <v>0</v>
      </c>
      <c r="C12" s="125"/>
      <c r="D12" s="125">
        <f>0*L17</f>
        <v>0</v>
      </c>
      <c r="E12" s="125"/>
      <c r="K12" s="54"/>
      <c r="L12" s="54"/>
    </row>
    <row r="13" spans="1:12" s="56" customFormat="1" x14ac:dyDescent="0.3">
      <c r="B13" s="126"/>
      <c r="C13" s="126"/>
      <c r="D13" s="125"/>
      <c r="E13" s="125"/>
      <c r="K13" s="54"/>
      <c r="L13" s="54"/>
    </row>
    <row r="14" spans="1:12" x14ac:dyDescent="0.3">
      <c r="A14" s="2" t="s">
        <v>93</v>
      </c>
      <c r="B14" s="125">
        <f>SUM(B8:B12)</f>
        <v>92.727302357349217</v>
      </c>
      <c r="C14" s="125"/>
      <c r="D14" s="125">
        <f>SUM(D8:D12)</f>
        <v>261.08394983272473</v>
      </c>
      <c r="E14" s="125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26"/>
      <c r="C15" s="126"/>
      <c r="D15" s="125"/>
      <c r="E15" s="125"/>
      <c r="K15" s="54"/>
      <c r="L15" s="54"/>
    </row>
    <row r="16" spans="1:12" x14ac:dyDescent="0.3">
      <c r="B16" s="126"/>
      <c r="C16" s="126"/>
      <c r="D16" s="125"/>
      <c r="E16" s="125"/>
      <c r="K16" s="54"/>
      <c r="L16" s="54"/>
    </row>
    <row r="17" spans="1:12" x14ac:dyDescent="0.3">
      <c r="A17" s="56"/>
      <c r="B17" s="125"/>
      <c r="C17" s="125"/>
      <c r="D17" s="125"/>
      <c r="E17" s="125"/>
      <c r="K17" s="54" t="str">
        <f>Dairy_Income_Roadmap!K16</f>
        <v>Price deflator</v>
      </c>
      <c r="L17" s="61">
        <f>Dairy_Income_Roadmap!L16</f>
        <v>1.2771565952446682</v>
      </c>
    </row>
    <row r="18" spans="1:12" x14ac:dyDescent="0.3">
      <c r="B18" s="73" t="s">
        <v>75</v>
      </c>
      <c r="C18" s="73"/>
      <c r="D18" s="132"/>
      <c r="E18" s="132"/>
      <c r="K18" s="54"/>
      <c r="L18" s="54"/>
    </row>
    <row r="19" spans="1:12" x14ac:dyDescent="0.3">
      <c r="A19" t="s">
        <v>7</v>
      </c>
      <c r="B19" s="125">
        <f>L36*L17</f>
        <v>473.19051384219415</v>
      </c>
      <c r="C19" s="125"/>
      <c r="D19" s="125">
        <f>L38*L17</f>
        <v>626.19041111347224</v>
      </c>
      <c r="E19" s="125"/>
      <c r="K19" s="2"/>
      <c r="L19" s="54"/>
    </row>
    <row r="20" spans="1:12" x14ac:dyDescent="0.3">
      <c r="A20" t="s">
        <v>76</v>
      </c>
      <c r="B20" s="125">
        <f>( [5]Sheet1!$QH$65*[2]feeding_change_data!$J$4+      [5]Sheet1!$QH$56*[2]feeding_change_data!$K$4)/([2]feeding_change_data!$J$4+[2]feeding_change_data!$K$4)</f>
        <v>146.80537326217234</v>
      </c>
      <c r="C20" s="125"/>
      <c r="D20" s="125">
        <f>( [5]Sheet1!$QG$65*[2]feeding_change_data!$J$4+      [5]Sheet1!$QG$56*[2]feeding_change_data!$K$4)/([2]feeding_change_data!$J$4+[2]feeding_change_data!$K$4)</f>
        <v>410.46318105569441</v>
      </c>
      <c r="E20" s="125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77</v>
      </c>
      <c r="B21" s="125">
        <f>(((1/1000)*(1/L23)/L33))*B20</f>
        <v>1.5056961360222804E-2</v>
      </c>
      <c r="C21" s="125"/>
      <c r="D21" s="125">
        <f>(((1/1000)*(1/L23)/L33))*D20</f>
        <v>4.2098787800584042E-2</v>
      </c>
      <c r="E21" s="125"/>
      <c r="K21" s="54"/>
      <c r="L21" s="54"/>
    </row>
    <row r="22" spans="1:12" x14ac:dyDescent="0.3">
      <c r="A22" t="s">
        <v>78</v>
      </c>
      <c r="B22" s="125">
        <f>( [5]Sheet1!$QP$65*[2]feeding_change_data_pasture!$J$4+      [5]Sheet1!$QP$56*[2]feeding_change_data_pasture!$K$4)/([2]feeding_change_data_pasture!$J$4+[2]feeding_change_data_pasture!$K$4)</f>
        <v>96.509350562910655</v>
      </c>
      <c r="C22" s="125"/>
      <c r="D22" s="125">
        <f>( [5]Sheet1!$QO$65*[2]feeding_change_data_pasture!$J$4+      [5]Sheet1!$QO$56*[2]feeding_change_data_pasture!$K$4)/([2]feeding_change_data_pasture!$J$4+[2]feeding_change_data_pasture!$K$4)</f>
        <v>300.37899968817578</v>
      </c>
      <c r="E22" s="125"/>
      <c r="K22" s="54"/>
      <c r="L22" s="54"/>
    </row>
    <row r="23" spans="1:12" x14ac:dyDescent="0.3">
      <c r="A23" t="s">
        <v>79</v>
      </c>
      <c r="B23" s="125">
        <f>(((1/1000)*(1/L25)/L34))*B22</f>
        <v>3.8603740225164267E-2</v>
      </c>
      <c r="C23" s="125"/>
      <c r="D23" s="125">
        <f>(((1/1000)*(1/L25)/L34))*D22</f>
        <v>0.12015159987527031</v>
      </c>
      <c r="E23" s="125"/>
      <c r="K23" s="54" t="str">
        <f>Dairy_Income_Roadmap!K23</f>
        <v>Use efficiency napier</v>
      </c>
      <c r="L23" s="54">
        <f>Dairy_Income_Roadmap!L23</f>
        <v>0.75</v>
      </c>
    </row>
    <row r="24" spans="1:12" s="70" customFormat="1" x14ac:dyDescent="0.3">
      <c r="A24" s="70" t="s">
        <v>81</v>
      </c>
      <c r="B24" s="125">
        <f>B21+B23</f>
        <v>5.366070158538707E-2</v>
      </c>
      <c r="C24" s="125"/>
      <c r="D24" s="125">
        <f>D21+D23</f>
        <v>0.16225038767585437</v>
      </c>
      <c r="E24" s="125"/>
      <c r="K24" s="54"/>
      <c r="L24" s="54"/>
    </row>
    <row r="25" spans="1:12" x14ac:dyDescent="0.3">
      <c r="A25" t="s">
        <v>70</v>
      </c>
      <c r="B25" s="125">
        <f>(B21+B23)*L17*L20</f>
        <v>1.9189273301865273</v>
      </c>
      <c r="C25" s="125"/>
      <c r="D25" s="125">
        <f>(D21+D23)*L17*L20</f>
        <v>5.8021362756342052</v>
      </c>
      <c r="E25" s="125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25">
        <f>(B21+B23)*B19+B25</f>
        <v>27.310662286508478</v>
      </c>
      <c r="C26" s="125"/>
      <c r="D26" s="125">
        <f>(D21+D23)*D19+D25</f>
        <v>107.40177323769771</v>
      </c>
      <c r="E26" s="125"/>
      <c r="K26" s="54"/>
      <c r="L26" s="54"/>
    </row>
    <row r="27" spans="1:12" x14ac:dyDescent="0.3">
      <c r="B27" s="126"/>
      <c r="C27" s="126"/>
      <c r="D27" s="125"/>
      <c r="E27" s="125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47</v>
      </c>
      <c r="B28" s="125">
        <f>B5-B14</f>
        <v>84.737089689012336</v>
      </c>
      <c r="C28" s="125"/>
      <c r="D28" s="125">
        <f>D5-D14</f>
        <v>585.73698241090847</v>
      </c>
      <c r="E28" s="125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33"/>
      <c r="C29" s="133"/>
      <c r="D29" s="57"/>
      <c r="E29" s="57"/>
      <c r="K29" s="54"/>
      <c r="L29" s="54"/>
    </row>
    <row r="30" spans="1:12" x14ac:dyDescent="0.3">
      <c r="B30" s="126"/>
      <c r="C30" s="126"/>
      <c r="D30" s="21"/>
      <c r="E30" s="21"/>
      <c r="K30" s="54" t="str">
        <f>Dairy_Income_Roadmap!K29</f>
        <v>Market price Sunflower cake (USD/kg)</v>
      </c>
      <c r="L30" s="61">
        <f>Dairy_Income_Roadmap!L29</f>
        <v>0.31928914881116705</v>
      </c>
    </row>
    <row r="31" spans="1:12" x14ac:dyDescent="0.3">
      <c r="B31" s="126"/>
      <c r="C31" s="126"/>
      <c r="D31" s="21"/>
      <c r="E31" s="21"/>
      <c r="K31" s="54" t="str">
        <f>Dairy_Income_Roadmap!K30</f>
        <v>Market price Maize bran (USD/kg)</v>
      </c>
      <c r="L31" s="61">
        <f>Dairy_Income_Roadmap!L30</f>
        <v>0.26820288500138029</v>
      </c>
    </row>
    <row r="32" spans="1:12" x14ac:dyDescent="0.3">
      <c r="B32" s="126"/>
      <c r="C32" s="126"/>
      <c r="D32" s="21"/>
      <c r="E32" s="21"/>
      <c r="K32" s="54"/>
      <c r="L32" s="54"/>
    </row>
    <row r="33" spans="1:12" x14ac:dyDescent="0.3">
      <c r="B33" s="126"/>
      <c r="C33" s="126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7" t="s">
        <v>55</v>
      </c>
      <c r="B34" s="126"/>
      <c r="C34" s="126"/>
      <c r="D34" s="126"/>
      <c r="E34" s="126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26" t="s">
        <v>53</v>
      </c>
      <c r="B35" s="126"/>
      <c r="C35" s="126"/>
      <c r="D35" s="126"/>
      <c r="E35" s="126"/>
      <c r="F35" s="58"/>
      <c r="G35" s="58"/>
      <c r="K35" s="54"/>
      <c r="L35" s="54"/>
    </row>
    <row r="36" spans="1:12" x14ac:dyDescent="0.3">
      <c r="A36" t="s">
        <v>17</v>
      </c>
      <c r="B36" s="125">
        <f>[1]All!$S$12*L17</f>
        <v>0.11494409357202014</v>
      </c>
      <c r="C36" s="125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1">
        <f>[1]All!$N$12*L17</f>
        <v>370.50312828047828</v>
      </c>
    </row>
    <row r="37" spans="1:12" x14ac:dyDescent="0.3">
      <c r="B37" s="126"/>
      <c r="C37" s="126"/>
      <c r="D37" s="21"/>
      <c r="E37" s="57"/>
      <c r="K37" s="54" t="str">
        <f>Dairy_Income_Roadmap!K36</f>
        <v>SE (fraction)</v>
      </c>
      <c r="L37" s="61">
        <f>[1]All!$U$12*L17/L36</f>
        <v>0.53119613926232334</v>
      </c>
    </row>
    <row r="38" spans="1:12" x14ac:dyDescent="0.3">
      <c r="A38" t="s">
        <v>0</v>
      </c>
      <c r="B38" s="125">
        <f>[1]All!$V$12*L17</f>
        <v>169.09553321039408</v>
      </c>
      <c r="C38" s="125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1">
        <f>[1]All!$N$13*L17</f>
        <v>490.30041691442807</v>
      </c>
    </row>
    <row r="39" spans="1:12" x14ac:dyDescent="0.3">
      <c r="A39" t="s">
        <v>1</v>
      </c>
      <c r="B39" s="125">
        <f>[1]All!$W$12*L17</f>
        <v>22.09480909773276</v>
      </c>
      <c r="C39" s="125"/>
      <c r="D39" s="21"/>
      <c r="E39" s="57">
        <f>[1]All!$W$13*L17</f>
        <v>64.36869240033127</v>
      </c>
      <c r="K39" s="54" t="str">
        <f>Dairy_Income_Roadmap!K38</f>
        <v>SE (fraction)</v>
      </c>
      <c r="L39" s="61">
        <f>[1]All!$U$13*L17/L38</f>
        <v>0.4540244855431102</v>
      </c>
    </row>
    <row r="40" spans="1:12" x14ac:dyDescent="0.3">
      <c r="A40" t="s">
        <v>2</v>
      </c>
      <c r="B40" s="125">
        <f>[1]All!$X$12*L17</f>
        <v>11.62212501672648</v>
      </c>
      <c r="C40" s="125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25">
        <f>[1]All!$Y$12*L17</f>
        <v>0.89400961667126766</v>
      </c>
      <c r="C41" s="125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25">
        <f>B12*L17</f>
        <v>0</v>
      </c>
      <c r="C42" s="125"/>
      <c r="D42" s="57"/>
      <c r="E42" s="57">
        <f>D12*L17</f>
        <v>0</v>
      </c>
      <c r="K42" s="54"/>
      <c r="L42" s="54"/>
    </row>
    <row r="43" spans="1:12" x14ac:dyDescent="0.3">
      <c r="B43" s="126"/>
      <c r="C43" s="126"/>
      <c r="D43" s="21"/>
      <c r="E43" s="21"/>
      <c r="K43" s="54"/>
      <c r="L43" s="54"/>
    </row>
    <row r="44" spans="1:12" s="58" customFormat="1" x14ac:dyDescent="0.3">
      <c r="B44" s="126"/>
      <c r="C44" s="126"/>
      <c r="D44" s="21"/>
      <c r="E44" s="21"/>
      <c r="K44" s="54"/>
      <c r="L44" s="54"/>
    </row>
    <row r="45" spans="1:12" x14ac:dyDescent="0.3">
      <c r="B45" s="132" t="s">
        <v>54</v>
      </c>
      <c r="C45" s="132"/>
      <c r="D45" s="132"/>
      <c r="E45" s="132"/>
      <c r="K45" s="54"/>
      <c r="L45" s="54"/>
    </row>
    <row r="46" spans="1:12" x14ac:dyDescent="0.3">
      <c r="A46" t="s">
        <v>9</v>
      </c>
      <c r="B46" s="125">
        <f ca="1">_xlfn.NORM.INV(RAND(),B3,B36)</f>
        <v>0.43615676825890953</v>
      </c>
      <c r="C46" s="125"/>
      <c r="D46" s="57"/>
      <c r="E46" s="57">
        <f ca="1">_xlfn.NORM.INV(RAND(),D3,E36)</f>
        <v>0.5774008376583929</v>
      </c>
      <c r="K46" s="54"/>
      <c r="L46" s="54"/>
    </row>
    <row r="47" spans="1:12" s="107" customFormat="1" x14ac:dyDescent="0.3">
      <c r="A47" s="107" t="s">
        <v>97</v>
      </c>
      <c r="B47" s="125">
        <f>Dairy_Income_Baseline!B4*Dairy_Income_Roadmap!L21</f>
        <v>55.096243956872264</v>
      </c>
      <c r="C47" s="125"/>
      <c r="D47" s="106"/>
      <c r="E47" s="106">
        <f>D4*Dairy_Income_Roadmap!L21</f>
        <v>213.61203708417798</v>
      </c>
      <c r="K47" s="54"/>
      <c r="L47" s="54"/>
    </row>
    <row r="48" spans="1:12" x14ac:dyDescent="0.3">
      <c r="B48" s="126"/>
      <c r="C48" s="126"/>
      <c r="D48" s="57"/>
      <c r="E48" s="57"/>
      <c r="K48" s="54"/>
      <c r="L48" s="54"/>
    </row>
    <row r="49" spans="1:12" x14ac:dyDescent="0.3">
      <c r="A49" t="s">
        <v>10</v>
      </c>
      <c r="B49" s="125">
        <f ca="1">_xlfn.NORM.INV(RAND(),B8,B38)</f>
        <v>25.00688589676853</v>
      </c>
      <c r="C49" s="125"/>
      <c r="D49" s="57"/>
      <c r="E49" s="57">
        <f ca="1">_xlfn.NORM.INV(RAND(),D8,E38)</f>
        <v>194.64787547987427</v>
      </c>
      <c r="K49" s="54"/>
      <c r="L49" s="54"/>
    </row>
    <row r="50" spans="1:12" x14ac:dyDescent="0.3">
      <c r="A50" t="s">
        <v>1</v>
      </c>
      <c r="B50" s="125">
        <f ca="1">_xlfn.NORM.INV(RAND(),B9,B39)</f>
        <v>36.786037561773476</v>
      </c>
      <c r="C50" s="125"/>
      <c r="D50" s="57"/>
      <c r="E50" s="57">
        <f ca="1">_xlfn.NORM.INV(RAND(),D9,E39)</f>
        <v>41.695825134397069</v>
      </c>
      <c r="K50" s="54"/>
      <c r="L50" s="54"/>
    </row>
    <row r="51" spans="1:12" x14ac:dyDescent="0.3">
      <c r="A51" t="s">
        <v>2</v>
      </c>
      <c r="B51" s="125">
        <f ca="1">_xlfn.NORM.INV(RAND(),B10,B40)</f>
        <v>5.2318487030013774</v>
      </c>
      <c r="C51" s="125"/>
      <c r="D51" s="57"/>
      <c r="E51" s="57">
        <f ca="1">_xlfn.NORM.INV(RAND(),D10,E40)</f>
        <v>4.9852253546252854</v>
      </c>
      <c r="K51" s="54"/>
      <c r="L51" s="54"/>
    </row>
    <row r="52" spans="1:12" x14ac:dyDescent="0.3">
      <c r="A52" t="s">
        <v>12</v>
      </c>
      <c r="B52" s="125">
        <f ca="1">_xlfn.NORM.INV(RAND(),B11,B41)</f>
        <v>-0.11195703594698403</v>
      </c>
      <c r="C52" s="125"/>
      <c r="D52" s="57"/>
      <c r="E52" s="57">
        <f ca="1">_xlfn.NORM.INV(RAND(),D11,E41)</f>
        <v>2.1500334380105937</v>
      </c>
      <c r="K52" s="54"/>
      <c r="L52" s="54"/>
    </row>
    <row r="53" spans="1:12" x14ac:dyDescent="0.3">
      <c r="A53" t="s">
        <v>3</v>
      </c>
      <c r="B53" s="125">
        <v>1E-4</v>
      </c>
      <c r="C53" s="125"/>
      <c r="D53" s="57"/>
      <c r="E53" s="57">
        <v>1E-4</v>
      </c>
      <c r="K53" s="54"/>
      <c r="L53" s="54"/>
    </row>
    <row r="54" spans="1:12" x14ac:dyDescent="0.3">
      <c r="B54" s="126"/>
      <c r="C54" s="126"/>
      <c r="D54" s="57"/>
      <c r="E54" s="57"/>
      <c r="K54" s="54"/>
      <c r="L54" s="54"/>
    </row>
    <row r="55" spans="1:12" x14ac:dyDescent="0.3">
      <c r="A55" s="2" t="s">
        <v>73</v>
      </c>
      <c r="B55" s="125">
        <f ca="1">SUM(B49:B53)</f>
        <v>66.912915125596399</v>
      </c>
      <c r="C55" s="125"/>
      <c r="D55" s="57"/>
      <c r="E55" s="57">
        <f ca="1">SUM(E49:E53)</f>
        <v>243.4790594069072</v>
      </c>
      <c r="K55" s="54"/>
      <c r="L55" s="54"/>
    </row>
    <row r="56" spans="1:12" x14ac:dyDescent="0.3">
      <c r="A56" s="2"/>
      <c r="B56" s="126"/>
      <c r="C56" s="126"/>
      <c r="D56" s="57"/>
      <c r="E56" s="57"/>
      <c r="K56" s="54"/>
      <c r="L56" s="54"/>
    </row>
    <row r="57" spans="1:12" x14ac:dyDescent="0.3">
      <c r="A57" s="2" t="s">
        <v>47</v>
      </c>
      <c r="B57" s="125">
        <f ca="1">B46*B47-B55</f>
        <v>-42.88231541816252</v>
      </c>
      <c r="C57" s="125"/>
      <c r="D57" s="57"/>
      <c r="E57" s="57">
        <f ca="1">E46*E47-E55</f>
        <v>-120.13929026058715</v>
      </c>
      <c r="K57" s="54"/>
      <c r="L57" s="54"/>
    </row>
    <row r="58" spans="1:12" x14ac:dyDescent="0.3">
      <c r="A58" s="2"/>
      <c r="B58" s="126"/>
      <c r="C58" s="126"/>
      <c r="D58" s="57"/>
      <c r="E58" s="57"/>
      <c r="K58" s="54"/>
      <c r="L58" s="54"/>
    </row>
    <row r="59" spans="1:12" x14ac:dyDescent="0.3">
      <c r="A59" s="2" t="s">
        <v>13</v>
      </c>
      <c r="B59" s="125">
        <f ca="1">AVERAGE(C63:C562)</f>
        <v>-69.729277038466734</v>
      </c>
      <c r="C59" s="125"/>
      <c r="D59" s="57"/>
      <c r="E59" s="57">
        <f ca="1">AVERAGE(E63:E562)</f>
        <v>-127.22377126242368</v>
      </c>
      <c r="K59" s="54"/>
      <c r="L59" s="54"/>
    </row>
    <row r="60" spans="1:12" x14ac:dyDescent="0.3">
      <c r="A60" s="2" t="s">
        <v>11</v>
      </c>
      <c r="B60" s="125">
        <f ca="1">STDEVA(C63:C562)</f>
        <v>166.85407357854743</v>
      </c>
      <c r="C60" s="125"/>
      <c r="D60" s="57"/>
      <c r="E60" s="57">
        <f t="shared" ref="E60" ca="1" si="0">STDEVA(E63:E562)</f>
        <v>128.8364097395131</v>
      </c>
      <c r="K60" s="54"/>
      <c r="L60" s="54"/>
    </row>
    <row r="61" spans="1:12" x14ac:dyDescent="0.3">
      <c r="B61" s="126"/>
      <c r="C61" s="126"/>
      <c r="K61" s="54"/>
      <c r="L61" s="54"/>
    </row>
    <row r="62" spans="1:12" x14ac:dyDescent="0.3">
      <c r="A62" s="2" t="s">
        <v>69</v>
      </c>
      <c r="B62" s="126"/>
      <c r="C62" s="126"/>
      <c r="K62" s="54"/>
      <c r="L62" s="54"/>
    </row>
    <row r="63" spans="1:12" x14ac:dyDescent="0.3">
      <c r="B63">
        <v>1</v>
      </c>
      <c r="C63" s="33">
        <f ca="1">B57</f>
        <v>-42.88231541816252</v>
      </c>
      <c r="D63">
        <f>B63</f>
        <v>1</v>
      </c>
      <c r="E63" s="33">
        <f ca="1">E57</f>
        <v>-120.13929026058715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-114.84784826130804</v>
      </c>
      <c r="D64" s="56">
        <f>B64</f>
        <v>2</v>
      </c>
      <c r="E64" s="33">
        <f t="dataTable" ref="E64:E562" dt2D="0" dtr="0" r1="E62" ca="1"/>
        <v>-44.301145733990708</v>
      </c>
      <c r="K64" s="54"/>
      <c r="L64" s="54"/>
    </row>
    <row r="65" spans="2:12" x14ac:dyDescent="0.3">
      <c r="B65" s="56">
        <v>3</v>
      </c>
      <c r="C65" s="33">
        <v>202.99438481508466</v>
      </c>
      <c r="D65" s="56">
        <f t="shared" ref="D65:D128" si="1">B65</f>
        <v>3</v>
      </c>
      <c r="E65" s="33">
        <v>30.611010841860107</v>
      </c>
      <c r="K65" s="54"/>
      <c r="L65" s="54"/>
    </row>
    <row r="66" spans="2:12" x14ac:dyDescent="0.3">
      <c r="B66" s="56">
        <v>4</v>
      </c>
      <c r="C66" s="33">
        <v>43.14561321399465</v>
      </c>
      <c r="D66" s="56">
        <f t="shared" si="1"/>
        <v>4</v>
      </c>
      <c r="E66" s="33">
        <v>-38.39479780907908</v>
      </c>
      <c r="K66" s="54"/>
      <c r="L66" s="54"/>
    </row>
    <row r="67" spans="2:12" x14ac:dyDescent="0.3">
      <c r="B67" s="56">
        <v>5</v>
      </c>
      <c r="C67" s="33">
        <v>-10.863544450455894</v>
      </c>
      <c r="D67" s="56">
        <f t="shared" si="1"/>
        <v>5</v>
      </c>
      <c r="E67" s="33">
        <v>-450.36002895743695</v>
      </c>
      <c r="K67" s="54"/>
      <c r="L67" s="54"/>
    </row>
    <row r="68" spans="2:12" x14ac:dyDescent="0.3">
      <c r="B68" s="56">
        <v>6</v>
      </c>
      <c r="C68" s="33">
        <v>-17.959977253481046</v>
      </c>
      <c r="D68" s="56">
        <f t="shared" si="1"/>
        <v>6</v>
      </c>
      <c r="E68" s="33">
        <v>-168.07616408953038</v>
      </c>
      <c r="K68" s="54"/>
      <c r="L68" s="54"/>
    </row>
    <row r="69" spans="2:12" x14ac:dyDescent="0.3">
      <c r="B69" s="56">
        <v>7</v>
      </c>
      <c r="C69" s="33">
        <v>192.30555602616263</v>
      </c>
      <c r="D69" s="56">
        <f t="shared" si="1"/>
        <v>7</v>
      </c>
      <c r="E69" s="33">
        <v>-175.51772325366116</v>
      </c>
      <c r="K69" s="54"/>
      <c r="L69" s="54"/>
    </row>
    <row r="70" spans="2:12" x14ac:dyDescent="0.3">
      <c r="B70" s="56">
        <v>8</v>
      </c>
      <c r="C70" s="33">
        <v>-7.4196900809319644</v>
      </c>
      <c r="D70" s="56">
        <f t="shared" si="1"/>
        <v>8</v>
      </c>
      <c r="E70" s="33">
        <v>-137.81665959449737</v>
      </c>
      <c r="K70" s="54"/>
      <c r="L70" s="54"/>
    </row>
    <row r="71" spans="2:12" x14ac:dyDescent="0.3">
      <c r="B71" s="56">
        <v>9</v>
      </c>
      <c r="C71" s="33">
        <v>111.43228687985018</v>
      </c>
      <c r="D71" s="56">
        <f t="shared" si="1"/>
        <v>9</v>
      </c>
      <c r="E71" s="33">
        <v>-299.05541323854857</v>
      </c>
      <c r="K71" s="54"/>
      <c r="L71" s="54"/>
    </row>
    <row r="72" spans="2:12" x14ac:dyDescent="0.3">
      <c r="B72" s="56">
        <v>10</v>
      </c>
      <c r="C72" s="33">
        <v>5.1402851158304692</v>
      </c>
      <c r="D72" s="56">
        <f t="shared" si="1"/>
        <v>10</v>
      </c>
      <c r="E72" s="33">
        <v>19.280998000660801</v>
      </c>
      <c r="K72" s="54"/>
      <c r="L72" s="54"/>
    </row>
    <row r="73" spans="2:12" x14ac:dyDescent="0.3">
      <c r="B73" s="56">
        <v>11</v>
      </c>
      <c r="C73" s="33">
        <v>96.439221962855441</v>
      </c>
      <c r="D73" s="56">
        <f t="shared" si="1"/>
        <v>11</v>
      </c>
      <c r="E73" s="33">
        <v>-201.66282775719469</v>
      </c>
      <c r="K73" s="54"/>
      <c r="L73" s="54"/>
    </row>
    <row r="74" spans="2:12" x14ac:dyDescent="0.3">
      <c r="B74" s="56">
        <v>12</v>
      </c>
      <c r="C74" s="33">
        <v>-170.02162463767763</v>
      </c>
      <c r="D74" s="56">
        <f t="shared" si="1"/>
        <v>12</v>
      </c>
      <c r="E74" s="33">
        <v>-42.056351684808618</v>
      </c>
      <c r="K74" s="54"/>
      <c r="L74" s="54"/>
    </row>
    <row r="75" spans="2:12" x14ac:dyDescent="0.3">
      <c r="B75" s="56">
        <v>13</v>
      </c>
      <c r="C75" s="33">
        <v>-176.01073440861316</v>
      </c>
      <c r="D75" s="56">
        <f t="shared" si="1"/>
        <v>13</v>
      </c>
      <c r="E75" s="33">
        <v>-29.167353389622207</v>
      </c>
      <c r="K75" s="54"/>
      <c r="L75" s="54"/>
    </row>
    <row r="76" spans="2:12" x14ac:dyDescent="0.3">
      <c r="B76" s="56">
        <v>14</v>
      </c>
      <c r="C76" s="33">
        <v>24.068429503329568</v>
      </c>
      <c r="D76" s="56">
        <f t="shared" si="1"/>
        <v>14</v>
      </c>
      <c r="E76" s="33">
        <v>-37.384333011867923</v>
      </c>
      <c r="K76" s="54"/>
      <c r="L76" s="54"/>
    </row>
    <row r="77" spans="2:12" x14ac:dyDescent="0.3">
      <c r="B77" s="56">
        <v>15</v>
      </c>
      <c r="C77" s="33">
        <v>30.69269849275971</v>
      </c>
      <c r="D77" s="56">
        <f t="shared" si="1"/>
        <v>15</v>
      </c>
      <c r="E77" s="33">
        <v>-98.273752314680621</v>
      </c>
      <c r="K77" s="54"/>
      <c r="L77" s="54"/>
    </row>
    <row r="78" spans="2:12" x14ac:dyDescent="0.3">
      <c r="B78" s="56">
        <v>16</v>
      </c>
      <c r="C78" s="33">
        <v>78.419711719884589</v>
      </c>
      <c r="D78" s="56">
        <f t="shared" si="1"/>
        <v>16</v>
      </c>
      <c r="E78" s="33">
        <v>-323.86269891114597</v>
      </c>
      <c r="K78" s="54"/>
      <c r="L78" s="54"/>
    </row>
    <row r="79" spans="2:12" x14ac:dyDescent="0.3">
      <c r="B79" s="56">
        <v>17</v>
      </c>
      <c r="C79" s="33">
        <v>-34.432400910319345</v>
      </c>
      <c r="D79" s="56">
        <f t="shared" si="1"/>
        <v>17</v>
      </c>
      <c r="E79" s="33">
        <v>-77.812706521139859</v>
      </c>
      <c r="K79" s="54"/>
      <c r="L79" s="54"/>
    </row>
    <row r="80" spans="2:12" x14ac:dyDescent="0.3">
      <c r="B80" s="56">
        <v>18</v>
      </c>
      <c r="C80" s="33">
        <v>0.77328314160058298</v>
      </c>
      <c r="D80" s="56">
        <f t="shared" si="1"/>
        <v>18</v>
      </c>
      <c r="E80" s="33">
        <v>-97.196035898275838</v>
      </c>
      <c r="K80" s="54"/>
      <c r="L80" s="54"/>
    </row>
    <row r="81" spans="2:12" x14ac:dyDescent="0.3">
      <c r="B81" s="56">
        <v>19</v>
      </c>
      <c r="C81" s="33">
        <v>-107.4383561253163</v>
      </c>
      <c r="D81" s="56">
        <f t="shared" si="1"/>
        <v>19</v>
      </c>
      <c r="E81" s="33">
        <v>-163.87662594450444</v>
      </c>
      <c r="K81" s="54"/>
      <c r="L81" s="54"/>
    </row>
    <row r="82" spans="2:12" x14ac:dyDescent="0.3">
      <c r="B82" s="56">
        <v>20</v>
      </c>
      <c r="C82" s="33">
        <v>157.50092869597509</v>
      </c>
      <c r="D82" s="56">
        <f t="shared" si="1"/>
        <v>20</v>
      </c>
      <c r="E82" s="33">
        <v>-285.06116346266788</v>
      </c>
      <c r="K82" s="54"/>
      <c r="L82" s="54"/>
    </row>
    <row r="83" spans="2:12" x14ac:dyDescent="0.3">
      <c r="B83" s="56">
        <v>21</v>
      </c>
      <c r="C83" s="33">
        <v>-219.32558174519454</v>
      </c>
      <c r="D83" s="56">
        <f t="shared" si="1"/>
        <v>21</v>
      </c>
      <c r="E83" s="33">
        <v>-65.705734501117419</v>
      </c>
      <c r="K83" s="54"/>
      <c r="L83" s="54"/>
    </row>
    <row r="84" spans="2:12" x14ac:dyDescent="0.3">
      <c r="B84" s="56">
        <v>22</v>
      </c>
      <c r="C84" s="33">
        <v>-58.167978989488489</v>
      </c>
      <c r="D84" s="56">
        <f t="shared" si="1"/>
        <v>22</v>
      </c>
      <c r="E84" s="33">
        <v>-61.63515734395682</v>
      </c>
      <c r="K84" s="54"/>
      <c r="L84" s="54"/>
    </row>
    <row r="85" spans="2:12" x14ac:dyDescent="0.3">
      <c r="B85" s="56">
        <v>23</v>
      </c>
      <c r="C85" s="33">
        <v>-54.646228569677106</v>
      </c>
      <c r="D85" s="56">
        <f t="shared" si="1"/>
        <v>23</v>
      </c>
      <c r="E85" s="33">
        <v>-96.500497484918796</v>
      </c>
      <c r="K85" s="54"/>
      <c r="L85" s="54"/>
    </row>
    <row r="86" spans="2:12" x14ac:dyDescent="0.3">
      <c r="B86" s="56">
        <v>24</v>
      </c>
      <c r="C86" s="33">
        <v>166.45459002237456</v>
      </c>
      <c r="D86" s="56">
        <f t="shared" si="1"/>
        <v>24</v>
      </c>
      <c r="E86" s="33">
        <v>-26.202656289605912</v>
      </c>
      <c r="K86" s="54"/>
      <c r="L86" s="54"/>
    </row>
    <row r="87" spans="2:12" x14ac:dyDescent="0.3">
      <c r="B87" s="56">
        <v>25</v>
      </c>
      <c r="C87" s="33">
        <v>-107.68508341431843</v>
      </c>
      <c r="D87" s="56">
        <f t="shared" si="1"/>
        <v>25</v>
      </c>
      <c r="E87" s="33">
        <v>-66.549229087777917</v>
      </c>
      <c r="K87" s="54"/>
      <c r="L87" s="54"/>
    </row>
    <row r="88" spans="2:12" x14ac:dyDescent="0.3">
      <c r="B88" s="56">
        <v>26</v>
      </c>
      <c r="C88" s="33">
        <v>196.19065025076435</v>
      </c>
      <c r="D88" s="56">
        <f t="shared" si="1"/>
        <v>26</v>
      </c>
      <c r="E88" s="33">
        <v>-308.75951033232604</v>
      </c>
      <c r="K88" s="54"/>
      <c r="L88" s="54"/>
    </row>
    <row r="89" spans="2:12" x14ac:dyDescent="0.3">
      <c r="B89" s="56">
        <v>27</v>
      </c>
      <c r="C89" s="33">
        <v>-68.893825381106296</v>
      </c>
      <c r="D89" s="56">
        <f t="shared" si="1"/>
        <v>27</v>
      </c>
      <c r="E89" s="33">
        <v>-191.86726177686953</v>
      </c>
      <c r="K89" s="54"/>
      <c r="L89" s="54"/>
    </row>
    <row r="90" spans="2:12" x14ac:dyDescent="0.3">
      <c r="B90" s="56">
        <v>28</v>
      </c>
      <c r="C90" s="33">
        <v>-25.167133966640431</v>
      </c>
      <c r="D90" s="56">
        <f t="shared" si="1"/>
        <v>28</v>
      </c>
      <c r="E90" s="33">
        <v>120.76967718117513</v>
      </c>
      <c r="K90" s="54"/>
      <c r="L90" s="54"/>
    </row>
    <row r="91" spans="2:12" x14ac:dyDescent="0.3">
      <c r="B91" s="56">
        <v>29</v>
      </c>
      <c r="C91" s="33">
        <v>-91.913041222865701</v>
      </c>
      <c r="D91" s="56">
        <f t="shared" si="1"/>
        <v>29</v>
      </c>
      <c r="E91" s="33">
        <v>-91.88958204653818</v>
      </c>
      <c r="K91" s="54"/>
      <c r="L91" s="54"/>
    </row>
    <row r="92" spans="2:12" x14ac:dyDescent="0.3">
      <c r="B92" s="56">
        <v>30</v>
      </c>
      <c r="C92" s="33">
        <v>-3.3232215886992513</v>
      </c>
      <c r="D92" s="56">
        <f t="shared" si="1"/>
        <v>30</v>
      </c>
      <c r="E92" s="33">
        <v>-193.80300529315835</v>
      </c>
      <c r="K92" s="54"/>
      <c r="L92" s="54"/>
    </row>
    <row r="93" spans="2:12" x14ac:dyDescent="0.3">
      <c r="B93" s="56">
        <v>31</v>
      </c>
      <c r="C93" s="33">
        <v>20.085210505402948</v>
      </c>
      <c r="D93" s="56">
        <f t="shared" si="1"/>
        <v>31</v>
      </c>
      <c r="E93" s="33">
        <v>-339.62791625101625</v>
      </c>
      <c r="K93" s="54"/>
      <c r="L93" s="54"/>
    </row>
    <row r="94" spans="2:12" x14ac:dyDescent="0.3">
      <c r="B94" s="56">
        <v>32</v>
      </c>
      <c r="C94" s="33">
        <v>-355.1546614063609</v>
      </c>
      <c r="D94" s="56">
        <f t="shared" si="1"/>
        <v>32</v>
      </c>
      <c r="E94" s="33">
        <v>-207.77912715152712</v>
      </c>
      <c r="K94" s="54"/>
      <c r="L94" s="54"/>
    </row>
    <row r="95" spans="2:12" x14ac:dyDescent="0.3">
      <c r="B95" s="56">
        <v>33</v>
      </c>
      <c r="C95" s="33">
        <v>-295.33922486957988</v>
      </c>
      <c r="D95" s="56">
        <f t="shared" si="1"/>
        <v>33</v>
      </c>
      <c r="E95" s="33">
        <v>-208.50763176680169</v>
      </c>
      <c r="K95" s="54"/>
      <c r="L95" s="54"/>
    </row>
    <row r="96" spans="2:12" x14ac:dyDescent="0.3">
      <c r="B96" s="56">
        <v>34</v>
      </c>
      <c r="C96" s="33">
        <v>-260.25513411101394</v>
      </c>
      <c r="D96" s="56">
        <f t="shared" si="1"/>
        <v>34</v>
      </c>
      <c r="E96" s="33">
        <v>-127.43717113978335</v>
      </c>
      <c r="K96" s="54"/>
      <c r="L96" s="54"/>
    </row>
    <row r="97" spans="2:12" x14ac:dyDescent="0.3">
      <c r="B97" s="56">
        <v>35</v>
      </c>
      <c r="C97" s="33">
        <v>-73.642736850917217</v>
      </c>
      <c r="D97" s="56">
        <f t="shared" si="1"/>
        <v>35</v>
      </c>
      <c r="E97" s="33">
        <v>-237.4495666394406</v>
      </c>
      <c r="K97" s="54"/>
      <c r="L97" s="54"/>
    </row>
    <row r="98" spans="2:12" x14ac:dyDescent="0.3">
      <c r="B98" s="56">
        <v>36</v>
      </c>
      <c r="C98" s="33">
        <v>102.76733028220843</v>
      </c>
      <c r="D98" s="56">
        <f t="shared" si="1"/>
        <v>36</v>
      </c>
      <c r="E98" s="33">
        <v>-221.87417204632138</v>
      </c>
      <c r="K98" s="54"/>
      <c r="L98" s="54"/>
    </row>
    <row r="99" spans="2:12" x14ac:dyDescent="0.3">
      <c r="B99" s="56">
        <v>37</v>
      </c>
      <c r="C99" s="33">
        <v>-312.67219994565562</v>
      </c>
      <c r="D99" s="56">
        <f t="shared" si="1"/>
        <v>37</v>
      </c>
      <c r="E99" s="33">
        <v>-122.25063483783487</v>
      </c>
      <c r="K99" s="54"/>
      <c r="L99" s="54"/>
    </row>
    <row r="100" spans="2:12" x14ac:dyDescent="0.3">
      <c r="B100" s="56">
        <v>38</v>
      </c>
      <c r="C100" s="33">
        <v>-462.74291659077653</v>
      </c>
      <c r="D100" s="56">
        <f t="shared" si="1"/>
        <v>38</v>
      </c>
      <c r="E100" s="33">
        <v>-284.25007082511422</v>
      </c>
      <c r="K100" s="54"/>
      <c r="L100" s="54"/>
    </row>
    <row r="101" spans="2:12" x14ac:dyDescent="0.3">
      <c r="B101" s="56">
        <v>39</v>
      </c>
      <c r="C101" s="33">
        <v>79.268092291634673</v>
      </c>
      <c r="D101" s="56">
        <f t="shared" si="1"/>
        <v>39</v>
      </c>
      <c r="E101" s="33">
        <v>-46.474979862925693</v>
      </c>
      <c r="K101" s="54"/>
      <c r="L101" s="54"/>
    </row>
    <row r="102" spans="2:12" x14ac:dyDescent="0.3">
      <c r="B102" s="56">
        <v>40</v>
      </c>
      <c r="C102" s="33">
        <v>-6.5358727424960605</v>
      </c>
      <c r="D102" s="56">
        <f t="shared" si="1"/>
        <v>40</v>
      </c>
      <c r="E102" s="33">
        <v>-332.50070133853586</v>
      </c>
      <c r="K102" s="54"/>
      <c r="L102" s="54"/>
    </row>
    <row r="103" spans="2:12" x14ac:dyDescent="0.3">
      <c r="B103" s="56">
        <v>41</v>
      </c>
      <c r="C103" s="33">
        <v>84.38874171215663</v>
      </c>
      <c r="D103" s="56">
        <f t="shared" si="1"/>
        <v>41</v>
      </c>
      <c r="E103" s="33">
        <v>-238.09246915080394</v>
      </c>
      <c r="K103" s="54"/>
      <c r="L103" s="54"/>
    </row>
    <row r="104" spans="2:12" x14ac:dyDescent="0.3">
      <c r="B104" s="56">
        <v>42</v>
      </c>
      <c r="C104" s="33">
        <v>-382.76361791095246</v>
      </c>
      <c r="D104" s="56">
        <f t="shared" si="1"/>
        <v>42</v>
      </c>
      <c r="E104" s="33">
        <v>-400.44601095722248</v>
      </c>
      <c r="K104" s="54"/>
      <c r="L104" s="54"/>
    </row>
    <row r="105" spans="2:12" x14ac:dyDescent="0.3">
      <c r="B105" s="56">
        <v>43</v>
      </c>
      <c r="C105" s="33">
        <v>25.683104958428171</v>
      </c>
      <c r="D105" s="56">
        <f t="shared" si="1"/>
        <v>43</v>
      </c>
      <c r="E105" s="33">
        <v>-69.900226362621865</v>
      </c>
      <c r="K105" s="54"/>
      <c r="L105" s="54"/>
    </row>
    <row r="106" spans="2:12" x14ac:dyDescent="0.3">
      <c r="B106" s="56">
        <v>44</v>
      </c>
      <c r="C106" s="33">
        <v>62.554023528243313</v>
      </c>
      <c r="D106" s="56">
        <f t="shared" si="1"/>
        <v>44</v>
      </c>
      <c r="E106" s="33">
        <v>-217.66072818599974</v>
      </c>
      <c r="K106" s="54"/>
      <c r="L106" s="54"/>
    </row>
    <row r="107" spans="2:12" x14ac:dyDescent="0.3">
      <c r="B107" s="56">
        <v>45</v>
      </c>
      <c r="C107" s="33">
        <v>-193.02329315864222</v>
      </c>
      <c r="D107" s="56">
        <f t="shared" si="1"/>
        <v>45</v>
      </c>
      <c r="E107" s="33">
        <v>-73.173028130541951</v>
      </c>
      <c r="K107" s="54"/>
      <c r="L107" s="54"/>
    </row>
    <row r="108" spans="2:12" x14ac:dyDescent="0.3">
      <c r="B108" s="56">
        <v>46</v>
      </c>
      <c r="C108" s="33">
        <v>-366.81259331966146</v>
      </c>
      <c r="D108" s="56">
        <f t="shared" si="1"/>
        <v>46</v>
      </c>
      <c r="E108" s="33">
        <v>-227.56860515270674</v>
      </c>
      <c r="K108" s="54"/>
      <c r="L108" s="54"/>
    </row>
    <row r="109" spans="2:12" x14ac:dyDescent="0.3">
      <c r="B109" s="56">
        <v>47</v>
      </c>
      <c r="C109" s="33">
        <v>-101.55859891988275</v>
      </c>
      <c r="D109" s="56">
        <f t="shared" si="1"/>
        <v>47</v>
      </c>
      <c r="E109" s="33">
        <v>52.65318571980832</v>
      </c>
      <c r="K109" s="54"/>
      <c r="L109" s="54"/>
    </row>
    <row r="110" spans="2:12" x14ac:dyDescent="0.3">
      <c r="B110" s="56">
        <v>48</v>
      </c>
      <c r="C110" s="33">
        <v>-107.30026261026107</v>
      </c>
      <c r="D110" s="56">
        <f t="shared" si="1"/>
        <v>48</v>
      </c>
      <c r="E110" s="33">
        <v>-387.25889115512132</v>
      </c>
      <c r="K110" s="54"/>
      <c r="L110" s="54"/>
    </row>
    <row r="111" spans="2:12" x14ac:dyDescent="0.3">
      <c r="B111" s="56">
        <v>49</v>
      </c>
      <c r="C111" s="33">
        <v>-149.51221889303633</v>
      </c>
      <c r="D111" s="56">
        <f t="shared" si="1"/>
        <v>49</v>
      </c>
      <c r="E111" s="33">
        <v>-36.086058601355305</v>
      </c>
      <c r="K111" s="54"/>
      <c r="L111" s="54"/>
    </row>
    <row r="112" spans="2:12" x14ac:dyDescent="0.3">
      <c r="B112" s="56">
        <v>50</v>
      </c>
      <c r="C112" s="33">
        <v>-126.99259266782269</v>
      </c>
      <c r="D112" s="56">
        <f t="shared" si="1"/>
        <v>50</v>
      </c>
      <c r="E112" s="33">
        <v>-52.556676214988755</v>
      </c>
      <c r="K112" s="54"/>
      <c r="L112" s="54"/>
    </row>
    <row r="113" spans="2:12" x14ac:dyDescent="0.3">
      <c r="B113" s="56">
        <v>51</v>
      </c>
      <c r="C113" s="33">
        <v>79.709001450305195</v>
      </c>
      <c r="D113" s="56">
        <f t="shared" si="1"/>
        <v>51</v>
      </c>
      <c r="E113" s="33">
        <v>14.628327012226123</v>
      </c>
      <c r="K113" s="54"/>
      <c r="L113" s="54"/>
    </row>
    <row r="114" spans="2:12" x14ac:dyDescent="0.3">
      <c r="B114" s="56">
        <v>52</v>
      </c>
      <c r="C114" s="33">
        <v>-94.377365179543176</v>
      </c>
      <c r="D114" s="56">
        <f t="shared" si="1"/>
        <v>52</v>
      </c>
      <c r="E114" s="33">
        <v>-5.2738571652624842</v>
      </c>
      <c r="K114" s="54"/>
      <c r="L114" s="54"/>
    </row>
    <row r="115" spans="2:12" x14ac:dyDescent="0.3">
      <c r="B115" s="56">
        <v>53</v>
      </c>
      <c r="C115" s="33">
        <v>-81.232077591318443</v>
      </c>
      <c r="D115" s="56">
        <f t="shared" si="1"/>
        <v>53</v>
      </c>
      <c r="E115" s="33">
        <v>-269.70805057033158</v>
      </c>
      <c r="K115" s="54"/>
      <c r="L115" s="54"/>
    </row>
    <row r="116" spans="2:12" x14ac:dyDescent="0.3">
      <c r="B116" s="56">
        <v>54</v>
      </c>
      <c r="C116" s="33">
        <v>-264.23326626991849</v>
      </c>
      <c r="D116" s="56">
        <f t="shared" si="1"/>
        <v>54</v>
      </c>
      <c r="E116" s="33">
        <v>-96.216072876991333</v>
      </c>
      <c r="K116" s="54"/>
      <c r="L116" s="54"/>
    </row>
    <row r="117" spans="2:12" x14ac:dyDescent="0.3">
      <c r="B117" s="56">
        <v>55</v>
      </c>
      <c r="C117" s="33">
        <v>-16.881943220563496</v>
      </c>
      <c r="D117" s="56">
        <f t="shared" si="1"/>
        <v>55</v>
      </c>
      <c r="E117" s="33">
        <v>-185.13983934174738</v>
      </c>
      <c r="K117" s="54"/>
      <c r="L117" s="54"/>
    </row>
    <row r="118" spans="2:12" x14ac:dyDescent="0.3">
      <c r="B118" s="56">
        <v>56</v>
      </c>
      <c r="C118" s="33">
        <v>-294.38598917652797</v>
      </c>
      <c r="D118" s="56">
        <f t="shared" si="1"/>
        <v>56</v>
      </c>
      <c r="E118" s="33">
        <v>-140.56594759409515</v>
      </c>
      <c r="K118" s="54"/>
      <c r="L118" s="54"/>
    </row>
    <row r="119" spans="2:12" x14ac:dyDescent="0.3">
      <c r="B119" s="56">
        <v>57</v>
      </c>
      <c r="C119" s="33">
        <v>110.67616801539222</v>
      </c>
      <c r="D119" s="56">
        <f t="shared" si="1"/>
        <v>57</v>
      </c>
      <c r="E119" s="33">
        <v>-57.332823553017136</v>
      </c>
      <c r="K119" s="54"/>
      <c r="L119" s="54"/>
    </row>
    <row r="120" spans="2:12" x14ac:dyDescent="0.3">
      <c r="B120" s="56">
        <v>58</v>
      </c>
      <c r="C120" s="33">
        <v>-128.82966718602265</v>
      </c>
      <c r="D120" s="56">
        <f t="shared" si="1"/>
        <v>58</v>
      </c>
      <c r="E120" s="33">
        <v>-27.353164152833926</v>
      </c>
      <c r="K120" s="54"/>
      <c r="L120" s="54"/>
    </row>
    <row r="121" spans="2:12" x14ac:dyDescent="0.3">
      <c r="B121" s="56">
        <v>59</v>
      </c>
      <c r="C121" s="33">
        <v>-71.488007855147032</v>
      </c>
      <c r="D121" s="56">
        <f t="shared" si="1"/>
        <v>59</v>
      </c>
      <c r="E121" s="33">
        <v>-319.64478234096401</v>
      </c>
      <c r="K121" s="54"/>
      <c r="L121" s="54"/>
    </row>
    <row r="122" spans="2:12" x14ac:dyDescent="0.3">
      <c r="B122" s="56">
        <v>60</v>
      </c>
      <c r="C122" s="33">
        <v>-85.443320388962604</v>
      </c>
      <c r="D122" s="56">
        <f t="shared" si="1"/>
        <v>60</v>
      </c>
      <c r="E122" s="33">
        <v>-167.81804091683597</v>
      </c>
      <c r="K122" s="54"/>
      <c r="L122" s="54"/>
    </row>
    <row r="123" spans="2:12" x14ac:dyDescent="0.3">
      <c r="B123" s="56">
        <v>61</v>
      </c>
      <c r="C123" s="33">
        <v>-166.27991369464237</v>
      </c>
      <c r="D123" s="56">
        <f t="shared" si="1"/>
        <v>61</v>
      </c>
      <c r="E123" s="33">
        <v>-151.87970323606032</v>
      </c>
      <c r="K123" s="54"/>
      <c r="L123" s="54"/>
    </row>
    <row r="124" spans="2:12" x14ac:dyDescent="0.3">
      <c r="B124" s="56">
        <v>62</v>
      </c>
      <c r="C124" s="33">
        <v>-99.831251423807771</v>
      </c>
      <c r="D124" s="56">
        <f t="shared" si="1"/>
        <v>62</v>
      </c>
      <c r="E124" s="33">
        <v>-174.56880833130012</v>
      </c>
      <c r="K124" s="54"/>
      <c r="L124" s="54"/>
    </row>
    <row r="125" spans="2:12" x14ac:dyDescent="0.3">
      <c r="B125" s="56">
        <v>63</v>
      </c>
      <c r="C125" s="33">
        <v>132.43933632781832</v>
      </c>
      <c r="D125" s="56">
        <f t="shared" si="1"/>
        <v>63</v>
      </c>
      <c r="E125" s="33">
        <v>19.915429027966738</v>
      </c>
      <c r="K125" s="54"/>
      <c r="L125" s="54"/>
    </row>
    <row r="126" spans="2:12" x14ac:dyDescent="0.3">
      <c r="B126" s="56">
        <v>64</v>
      </c>
      <c r="C126" s="33">
        <v>0.13317841677918096</v>
      </c>
      <c r="D126" s="56">
        <f t="shared" si="1"/>
        <v>64</v>
      </c>
      <c r="E126" s="33">
        <v>-8.7003858058558023</v>
      </c>
      <c r="K126" s="54"/>
      <c r="L126" s="54"/>
    </row>
    <row r="127" spans="2:12" x14ac:dyDescent="0.3">
      <c r="B127" s="56">
        <v>65</v>
      </c>
      <c r="C127" s="33">
        <v>6.845357677191668</v>
      </c>
      <c r="D127" s="56">
        <f t="shared" si="1"/>
        <v>65</v>
      </c>
      <c r="E127" s="33">
        <v>-112.7815805298809</v>
      </c>
      <c r="K127" s="54"/>
      <c r="L127" s="54"/>
    </row>
    <row r="128" spans="2:12" x14ac:dyDescent="0.3">
      <c r="B128" s="56">
        <v>66</v>
      </c>
      <c r="C128" s="33">
        <v>155.67652486306974</v>
      </c>
      <c r="D128" s="56">
        <f t="shared" si="1"/>
        <v>66</v>
      </c>
      <c r="E128" s="33">
        <v>50.488822426233639</v>
      </c>
      <c r="K128" s="54"/>
      <c r="L128" s="54"/>
    </row>
    <row r="129" spans="2:12" x14ac:dyDescent="0.3">
      <c r="B129" s="56">
        <v>67</v>
      </c>
      <c r="C129" s="33">
        <v>-288.99978648527713</v>
      </c>
      <c r="D129" s="56">
        <f t="shared" ref="D129:D192" si="2">B129</f>
        <v>67</v>
      </c>
      <c r="E129" s="33">
        <v>-266.24039935216399</v>
      </c>
      <c r="K129" s="54"/>
      <c r="L129" s="54"/>
    </row>
    <row r="130" spans="2:12" x14ac:dyDescent="0.3">
      <c r="B130" s="56">
        <v>68</v>
      </c>
      <c r="C130" s="33">
        <v>-99.794819928385635</v>
      </c>
      <c r="D130" s="56">
        <f t="shared" si="2"/>
        <v>68</v>
      </c>
      <c r="E130" s="33">
        <v>-183.98362782264849</v>
      </c>
      <c r="K130" s="54"/>
      <c r="L130" s="54"/>
    </row>
    <row r="131" spans="2:12" x14ac:dyDescent="0.3">
      <c r="B131" s="56">
        <v>69</v>
      </c>
      <c r="C131" s="33">
        <v>-382.44314097408903</v>
      </c>
      <c r="D131" s="56">
        <f t="shared" si="2"/>
        <v>69</v>
      </c>
      <c r="E131" s="33">
        <v>-235.23202826697585</v>
      </c>
      <c r="K131" s="54"/>
      <c r="L131" s="54"/>
    </row>
    <row r="132" spans="2:12" x14ac:dyDescent="0.3">
      <c r="B132" s="56">
        <v>70</v>
      </c>
      <c r="C132" s="33">
        <v>-275.50399062854746</v>
      </c>
      <c r="D132" s="56">
        <f t="shared" si="2"/>
        <v>70</v>
      </c>
      <c r="E132" s="33">
        <v>-223.99147228201127</v>
      </c>
      <c r="K132" s="54"/>
      <c r="L132" s="54"/>
    </row>
    <row r="133" spans="2:12" x14ac:dyDescent="0.3">
      <c r="B133" s="56">
        <v>71</v>
      </c>
      <c r="C133" s="33">
        <v>148.69101293190423</v>
      </c>
      <c r="D133" s="56">
        <f t="shared" si="2"/>
        <v>71</v>
      </c>
      <c r="E133" s="33">
        <v>-11.392464439578617</v>
      </c>
      <c r="K133" s="54"/>
      <c r="L133" s="54"/>
    </row>
    <row r="134" spans="2:12" x14ac:dyDescent="0.3">
      <c r="B134" s="56">
        <v>72</v>
      </c>
      <c r="C134" s="33">
        <v>-123.71379154536731</v>
      </c>
      <c r="D134" s="56">
        <f t="shared" si="2"/>
        <v>72</v>
      </c>
      <c r="E134" s="33">
        <v>-209.89363315772647</v>
      </c>
      <c r="K134" s="54"/>
      <c r="L134" s="54"/>
    </row>
    <row r="135" spans="2:12" x14ac:dyDescent="0.3">
      <c r="B135" s="56">
        <v>73</v>
      </c>
      <c r="C135" s="33">
        <v>-10.92723777272084</v>
      </c>
      <c r="D135" s="56">
        <f t="shared" si="2"/>
        <v>73</v>
      </c>
      <c r="E135" s="33">
        <v>-212.05876351557657</v>
      </c>
      <c r="K135" s="54"/>
      <c r="L135" s="54"/>
    </row>
    <row r="136" spans="2:12" x14ac:dyDescent="0.3">
      <c r="B136" s="56">
        <v>74</v>
      </c>
      <c r="C136" s="33">
        <v>4.6620522264408741</v>
      </c>
      <c r="D136" s="56">
        <f t="shared" si="2"/>
        <v>74</v>
      </c>
      <c r="E136" s="33">
        <v>-78.903385161207794</v>
      </c>
      <c r="K136" s="54"/>
      <c r="L136" s="54"/>
    </row>
    <row r="137" spans="2:12" x14ac:dyDescent="0.3">
      <c r="B137" s="56">
        <v>75</v>
      </c>
      <c r="C137" s="33">
        <v>-282.05768521114544</v>
      </c>
      <c r="D137" s="56">
        <f t="shared" si="2"/>
        <v>75</v>
      </c>
      <c r="E137" s="33">
        <v>-89.211151607217801</v>
      </c>
      <c r="K137" s="54"/>
      <c r="L137" s="54"/>
    </row>
    <row r="138" spans="2:12" x14ac:dyDescent="0.3">
      <c r="B138" s="56">
        <v>76</v>
      </c>
      <c r="C138" s="33">
        <v>96.46039966142591</v>
      </c>
      <c r="D138" s="56">
        <f t="shared" si="2"/>
        <v>76</v>
      </c>
      <c r="E138" s="33">
        <v>50.215937575223421</v>
      </c>
      <c r="K138" s="54"/>
      <c r="L138" s="54"/>
    </row>
    <row r="139" spans="2:12" x14ac:dyDescent="0.3">
      <c r="B139" s="56">
        <v>77</v>
      </c>
      <c r="C139" s="33">
        <v>-53.737435797255074</v>
      </c>
      <c r="D139" s="56">
        <f t="shared" si="2"/>
        <v>77</v>
      </c>
      <c r="E139" s="33">
        <v>-8.9594144846088568</v>
      </c>
      <c r="K139" s="54"/>
      <c r="L139" s="54"/>
    </row>
    <row r="140" spans="2:12" x14ac:dyDescent="0.3">
      <c r="B140" s="56">
        <v>78</v>
      </c>
      <c r="C140" s="33">
        <v>-3.0707602173200961</v>
      </c>
      <c r="D140" s="56">
        <f t="shared" si="2"/>
        <v>78</v>
      </c>
      <c r="E140" s="33">
        <v>-91.599783584624859</v>
      </c>
      <c r="K140" s="54"/>
      <c r="L140" s="54"/>
    </row>
    <row r="141" spans="2:12" x14ac:dyDescent="0.3">
      <c r="B141" s="56">
        <v>79</v>
      </c>
      <c r="C141" s="33">
        <v>-186.34304788867527</v>
      </c>
      <c r="D141" s="56">
        <f t="shared" si="2"/>
        <v>79</v>
      </c>
      <c r="E141" s="33">
        <v>-162.11914112142307</v>
      </c>
      <c r="K141" s="54"/>
      <c r="L141" s="54"/>
    </row>
    <row r="142" spans="2:12" x14ac:dyDescent="0.3">
      <c r="B142" s="56">
        <v>80</v>
      </c>
      <c r="C142" s="33">
        <v>-13.18677602940588</v>
      </c>
      <c r="D142" s="56">
        <f t="shared" si="2"/>
        <v>80</v>
      </c>
      <c r="E142" s="33">
        <v>-96.387017865208747</v>
      </c>
      <c r="K142" s="54"/>
      <c r="L142" s="54"/>
    </row>
    <row r="143" spans="2:12" x14ac:dyDescent="0.3">
      <c r="B143" s="56">
        <v>81</v>
      </c>
      <c r="C143" s="33">
        <v>-149.32891584295851</v>
      </c>
      <c r="D143" s="56">
        <f t="shared" si="2"/>
        <v>81</v>
      </c>
      <c r="E143" s="33">
        <v>-45.284615714745712</v>
      </c>
      <c r="K143" s="54"/>
      <c r="L143" s="54"/>
    </row>
    <row r="144" spans="2:12" x14ac:dyDescent="0.3">
      <c r="B144" s="56">
        <v>82</v>
      </c>
      <c r="C144" s="33">
        <v>28.619930585240951</v>
      </c>
      <c r="D144" s="56">
        <f t="shared" si="2"/>
        <v>82</v>
      </c>
      <c r="E144" s="33">
        <v>-189.37223350241047</v>
      </c>
      <c r="K144" s="54"/>
      <c r="L144" s="54"/>
    </row>
    <row r="145" spans="2:12" x14ac:dyDescent="0.3">
      <c r="B145" s="56">
        <v>83</v>
      </c>
      <c r="C145" s="33">
        <v>179.1254612469356</v>
      </c>
      <c r="D145" s="56">
        <f t="shared" si="2"/>
        <v>83</v>
      </c>
      <c r="E145" s="33">
        <v>-256.06960575805266</v>
      </c>
      <c r="K145" s="54"/>
      <c r="L145" s="54"/>
    </row>
    <row r="146" spans="2:12" x14ac:dyDescent="0.3">
      <c r="B146" s="56">
        <v>84</v>
      </c>
      <c r="C146" s="33">
        <v>-263.28971911713836</v>
      </c>
      <c r="D146" s="56">
        <f t="shared" si="2"/>
        <v>84</v>
      </c>
      <c r="E146" s="33">
        <v>-251.1062026707462</v>
      </c>
      <c r="K146" s="54"/>
      <c r="L146" s="54"/>
    </row>
    <row r="147" spans="2:12" x14ac:dyDescent="0.3">
      <c r="B147" s="56">
        <v>85</v>
      </c>
      <c r="C147" s="33">
        <v>16.657884436124302</v>
      </c>
      <c r="D147" s="56">
        <f t="shared" si="2"/>
        <v>85</v>
      </c>
      <c r="E147" s="33">
        <v>68.376047535284528</v>
      </c>
      <c r="K147" s="54"/>
      <c r="L147" s="54"/>
    </row>
    <row r="148" spans="2:12" x14ac:dyDescent="0.3">
      <c r="B148" s="56">
        <v>86</v>
      </c>
      <c r="C148" s="33">
        <v>-207.92383659810071</v>
      </c>
      <c r="D148" s="56">
        <f t="shared" si="2"/>
        <v>86</v>
      </c>
      <c r="E148" s="33">
        <v>-19.943436164458561</v>
      </c>
      <c r="K148" s="54"/>
      <c r="L148" s="54"/>
    </row>
    <row r="149" spans="2:12" x14ac:dyDescent="0.3">
      <c r="B149" s="56">
        <v>87</v>
      </c>
      <c r="C149" s="33">
        <v>90.508052447438786</v>
      </c>
      <c r="D149" s="56">
        <f t="shared" si="2"/>
        <v>87</v>
      </c>
      <c r="E149" s="33">
        <v>-105.93582767377217</v>
      </c>
      <c r="K149" s="54"/>
      <c r="L149" s="54"/>
    </row>
    <row r="150" spans="2:12" x14ac:dyDescent="0.3">
      <c r="B150" s="56">
        <v>88</v>
      </c>
      <c r="C150" s="33">
        <v>285.489598448207</v>
      </c>
      <c r="D150" s="56">
        <f t="shared" si="2"/>
        <v>88</v>
      </c>
      <c r="E150" s="33">
        <v>-90.237197979558175</v>
      </c>
      <c r="K150" s="54"/>
      <c r="L150" s="54"/>
    </row>
    <row r="151" spans="2:12" x14ac:dyDescent="0.3">
      <c r="B151" s="56">
        <v>89</v>
      </c>
      <c r="C151" s="33">
        <v>-93.572366785779508</v>
      </c>
      <c r="D151" s="56">
        <f t="shared" si="2"/>
        <v>89</v>
      </c>
      <c r="E151" s="33">
        <v>-72.505106118708341</v>
      </c>
      <c r="K151" s="54"/>
      <c r="L151" s="54"/>
    </row>
    <row r="152" spans="2:12" x14ac:dyDescent="0.3">
      <c r="B152" s="56">
        <v>90</v>
      </c>
      <c r="C152" s="33">
        <v>-10.157824567465809</v>
      </c>
      <c r="D152" s="56">
        <f t="shared" si="2"/>
        <v>90</v>
      </c>
      <c r="E152" s="33">
        <v>-169.34299790106132</v>
      </c>
      <c r="K152" s="54"/>
      <c r="L152" s="54"/>
    </row>
    <row r="153" spans="2:12" x14ac:dyDescent="0.3">
      <c r="B153" s="56">
        <v>91</v>
      </c>
      <c r="C153" s="33">
        <v>197.77767357388925</v>
      </c>
      <c r="D153" s="56">
        <f t="shared" si="2"/>
        <v>91</v>
      </c>
      <c r="E153" s="33">
        <v>-0.83015796272341902</v>
      </c>
      <c r="K153" s="54"/>
      <c r="L153" s="54"/>
    </row>
    <row r="154" spans="2:12" x14ac:dyDescent="0.3">
      <c r="B154" s="56">
        <v>92</v>
      </c>
      <c r="C154" s="33">
        <v>-14.389116007696579</v>
      </c>
      <c r="D154" s="56">
        <f t="shared" si="2"/>
        <v>92</v>
      </c>
      <c r="E154" s="33">
        <v>-359.54586075905087</v>
      </c>
      <c r="K154" s="54"/>
      <c r="L154" s="54"/>
    </row>
    <row r="155" spans="2:12" x14ac:dyDescent="0.3">
      <c r="B155" s="56">
        <v>93</v>
      </c>
      <c r="C155" s="33">
        <v>-275.19025509773775</v>
      </c>
      <c r="D155" s="56">
        <f t="shared" si="2"/>
        <v>93</v>
      </c>
      <c r="E155" s="33">
        <v>-78.353141317332671</v>
      </c>
      <c r="K155" s="54"/>
      <c r="L155" s="54"/>
    </row>
    <row r="156" spans="2:12" x14ac:dyDescent="0.3">
      <c r="B156" s="56">
        <v>94</v>
      </c>
      <c r="C156" s="33">
        <v>-202.60630661574504</v>
      </c>
      <c r="D156" s="56">
        <f t="shared" si="2"/>
        <v>94</v>
      </c>
      <c r="E156" s="33">
        <v>-199.44867993789398</v>
      </c>
      <c r="K156" s="54"/>
      <c r="L156" s="54"/>
    </row>
    <row r="157" spans="2:12" x14ac:dyDescent="0.3">
      <c r="B157" s="56">
        <v>95</v>
      </c>
      <c r="C157" s="33">
        <v>-330.4158781347968</v>
      </c>
      <c r="D157" s="56">
        <f t="shared" si="2"/>
        <v>95</v>
      </c>
      <c r="E157" s="33">
        <v>-81.046924140952513</v>
      </c>
      <c r="K157" s="54"/>
      <c r="L157" s="54"/>
    </row>
    <row r="158" spans="2:12" x14ac:dyDescent="0.3">
      <c r="B158" s="56">
        <v>96</v>
      </c>
      <c r="C158" s="33">
        <v>200.36165616295551</v>
      </c>
      <c r="D158" s="56">
        <f t="shared" si="2"/>
        <v>96</v>
      </c>
      <c r="E158" s="33">
        <v>-157.15449918389521</v>
      </c>
      <c r="K158" s="54"/>
      <c r="L158" s="54"/>
    </row>
    <row r="159" spans="2:12" x14ac:dyDescent="0.3">
      <c r="B159" s="56">
        <v>97</v>
      </c>
      <c r="C159" s="33">
        <v>145.71794568355392</v>
      </c>
      <c r="D159" s="56">
        <f t="shared" si="2"/>
        <v>97</v>
      </c>
      <c r="E159" s="33">
        <v>-46.435769712790034</v>
      </c>
      <c r="K159" s="54"/>
      <c r="L159" s="54"/>
    </row>
    <row r="160" spans="2:12" x14ac:dyDescent="0.3">
      <c r="B160" s="56">
        <v>98</v>
      </c>
      <c r="C160" s="33">
        <v>-4.9117976240940635</v>
      </c>
      <c r="D160" s="56">
        <f t="shared" si="2"/>
        <v>98</v>
      </c>
      <c r="E160" s="33">
        <v>-109.39120738682152</v>
      </c>
      <c r="K160" s="54"/>
      <c r="L160" s="54"/>
    </row>
    <row r="161" spans="2:12" x14ac:dyDescent="0.3">
      <c r="B161" s="56">
        <v>99</v>
      </c>
      <c r="C161" s="33">
        <v>104.4983006852522</v>
      </c>
      <c r="D161" s="56">
        <f t="shared" si="2"/>
        <v>99</v>
      </c>
      <c r="E161" s="33">
        <v>-189.79813167204023</v>
      </c>
      <c r="K161" s="54"/>
      <c r="L161" s="54"/>
    </row>
    <row r="162" spans="2:12" x14ac:dyDescent="0.3">
      <c r="B162" s="56">
        <v>100</v>
      </c>
      <c r="C162" s="33">
        <v>-426.78132091317951</v>
      </c>
      <c r="D162" s="56">
        <f t="shared" si="2"/>
        <v>100</v>
      </c>
      <c r="E162" s="33">
        <v>48.976584905981383</v>
      </c>
      <c r="K162" s="54"/>
      <c r="L162" s="54"/>
    </row>
    <row r="163" spans="2:12" x14ac:dyDescent="0.3">
      <c r="B163" s="56">
        <v>101</v>
      </c>
      <c r="C163" s="33">
        <v>36.668393989354698</v>
      </c>
      <c r="D163" s="56">
        <f t="shared" si="2"/>
        <v>101</v>
      </c>
      <c r="E163" s="33">
        <v>-130.70591610817883</v>
      </c>
      <c r="K163" s="54"/>
      <c r="L163" s="54"/>
    </row>
    <row r="164" spans="2:12" x14ac:dyDescent="0.3">
      <c r="B164" s="56">
        <v>102</v>
      </c>
      <c r="C164" s="33">
        <v>-157.18752051503455</v>
      </c>
      <c r="D164" s="56">
        <f t="shared" si="2"/>
        <v>102</v>
      </c>
      <c r="E164" s="33">
        <v>20.048188864374623</v>
      </c>
      <c r="K164" s="54"/>
      <c r="L164" s="54"/>
    </row>
    <row r="165" spans="2:12" x14ac:dyDescent="0.3">
      <c r="B165" s="56">
        <v>103</v>
      </c>
      <c r="C165" s="33">
        <v>-99.514562476466168</v>
      </c>
      <c r="D165" s="56">
        <f t="shared" si="2"/>
        <v>103</v>
      </c>
      <c r="E165" s="33">
        <v>-94.01245564768135</v>
      </c>
      <c r="K165" s="54"/>
      <c r="L165" s="54"/>
    </row>
    <row r="166" spans="2:12" x14ac:dyDescent="0.3">
      <c r="B166" s="56">
        <v>104</v>
      </c>
      <c r="C166" s="33">
        <v>-111.74265080019453</v>
      </c>
      <c r="D166" s="56">
        <f t="shared" si="2"/>
        <v>104</v>
      </c>
      <c r="E166" s="33">
        <v>-265.19597342051554</v>
      </c>
    </row>
    <row r="167" spans="2:12" x14ac:dyDescent="0.3">
      <c r="B167" s="56">
        <v>105</v>
      </c>
      <c r="C167" s="33">
        <v>-64.789666914086709</v>
      </c>
      <c r="D167" s="56">
        <f t="shared" si="2"/>
        <v>105</v>
      </c>
      <c r="E167" s="33">
        <v>81.041905369131612</v>
      </c>
    </row>
    <row r="168" spans="2:12" x14ac:dyDescent="0.3">
      <c r="B168" s="56">
        <v>106</v>
      </c>
      <c r="C168" s="33">
        <v>-92.951945905654995</v>
      </c>
      <c r="D168" s="56">
        <f t="shared" si="2"/>
        <v>106</v>
      </c>
      <c r="E168" s="33">
        <v>-237.02776675075702</v>
      </c>
    </row>
    <row r="169" spans="2:12" x14ac:dyDescent="0.3">
      <c r="B169" s="56">
        <v>107</v>
      </c>
      <c r="C169" s="33">
        <v>-39.324215509625262</v>
      </c>
      <c r="D169" s="56">
        <f t="shared" si="2"/>
        <v>107</v>
      </c>
      <c r="E169" s="33">
        <v>-198.78250394888414</v>
      </c>
    </row>
    <row r="170" spans="2:12" x14ac:dyDescent="0.3">
      <c r="B170" s="56">
        <v>108</v>
      </c>
      <c r="C170" s="33">
        <v>-220.57815189474462</v>
      </c>
      <c r="D170" s="56">
        <f t="shared" si="2"/>
        <v>108</v>
      </c>
      <c r="E170" s="33">
        <v>-190.68063063939454</v>
      </c>
    </row>
    <row r="171" spans="2:12" x14ac:dyDescent="0.3">
      <c r="B171" s="56">
        <v>109</v>
      </c>
      <c r="C171" s="33">
        <v>147.67568573362558</v>
      </c>
      <c r="D171" s="56">
        <f t="shared" si="2"/>
        <v>109</v>
      </c>
      <c r="E171" s="33">
        <v>-212.91676032520465</v>
      </c>
    </row>
    <row r="172" spans="2:12" x14ac:dyDescent="0.3">
      <c r="B172" s="56">
        <v>110</v>
      </c>
      <c r="C172" s="33">
        <v>-114.71676861972279</v>
      </c>
      <c r="D172" s="56">
        <f t="shared" si="2"/>
        <v>110</v>
      </c>
      <c r="E172" s="33">
        <v>-104.84777388819239</v>
      </c>
    </row>
    <row r="173" spans="2:12" x14ac:dyDescent="0.3">
      <c r="B173" s="56">
        <v>111</v>
      </c>
      <c r="C173" s="33">
        <v>208.63469038308233</v>
      </c>
      <c r="D173" s="56">
        <f t="shared" si="2"/>
        <v>111</v>
      </c>
      <c r="E173" s="33">
        <v>-141.45447487130684</v>
      </c>
    </row>
    <row r="174" spans="2:12" x14ac:dyDescent="0.3">
      <c r="B174" s="56">
        <v>112</v>
      </c>
      <c r="C174" s="33">
        <v>-98.112493618049569</v>
      </c>
      <c r="D174" s="56">
        <f t="shared" si="2"/>
        <v>112</v>
      </c>
      <c r="E174" s="33">
        <v>-245.99186662237796</v>
      </c>
    </row>
    <row r="175" spans="2:12" x14ac:dyDescent="0.3">
      <c r="B175" s="56">
        <v>113</v>
      </c>
      <c r="C175" s="33">
        <v>-155.42036026393214</v>
      </c>
      <c r="D175" s="56">
        <f t="shared" si="2"/>
        <v>113</v>
      </c>
      <c r="E175" s="33">
        <v>-237.05333604657653</v>
      </c>
    </row>
    <row r="176" spans="2:12" x14ac:dyDescent="0.3">
      <c r="B176" s="56">
        <v>114</v>
      </c>
      <c r="C176" s="33">
        <v>-72.048885833287358</v>
      </c>
      <c r="D176" s="56">
        <f t="shared" si="2"/>
        <v>114</v>
      </c>
      <c r="E176" s="33">
        <v>187.90682761512124</v>
      </c>
    </row>
    <row r="177" spans="2:5" x14ac:dyDescent="0.3">
      <c r="B177" s="56">
        <v>115</v>
      </c>
      <c r="C177" s="33">
        <v>105.75711669051552</v>
      </c>
      <c r="D177" s="56">
        <f t="shared" si="2"/>
        <v>115</v>
      </c>
      <c r="E177" s="33">
        <v>-230.02681322444118</v>
      </c>
    </row>
    <row r="178" spans="2:5" x14ac:dyDescent="0.3">
      <c r="B178" s="56">
        <v>116</v>
      </c>
      <c r="C178" s="33">
        <v>-442.26696132805409</v>
      </c>
      <c r="D178" s="56">
        <f t="shared" si="2"/>
        <v>116</v>
      </c>
      <c r="E178" s="33">
        <v>110.62664526661101</v>
      </c>
    </row>
    <row r="179" spans="2:5" x14ac:dyDescent="0.3">
      <c r="B179" s="56">
        <v>117</v>
      </c>
      <c r="C179" s="33">
        <v>-216.67869470800855</v>
      </c>
      <c r="D179" s="56">
        <f t="shared" si="2"/>
        <v>117</v>
      </c>
      <c r="E179" s="33">
        <v>-111.83570909560176</v>
      </c>
    </row>
    <row r="180" spans="2:5" x14ac:dyDescent="0.3">
      <c r="B180" s="56">
        <v>118</v>
      </c>
      <c r="C180" s="33">
        <v>-256.91756269599875</v>
      </c>
      <c r="D180" s="56">
        <f t="shared" si="2"/>
        <v>118</v>
      </c>
      <c r="E180" s="33">
        <v>-158.59177166858794</v>
      </c>
    </row>
    <row r="181" spans="2:5" x14ac:dyDescent="0.3">
      <c r="B181" s="56">
        <v>119</v>
      </c>
      <c r="C181" s="33">
        <v>143.9102757401931</v>
      </c>
      <c r="D181" s="56">
        <f t="shared" si="2"/>
        <v>119</v>
      </c>
      <c r="E181" s="33">
        <v>-10.744954089965603</v>
      </c>
    </row>
    <row r="182" spans="2:5" x14ac:dyDescent="0.3">
      <c r="B182" s="56">
        <v>120</v>
      </c>
      <c r="C182" s="33">
        <v>-6.5433909716513128</v>
      </c>
      <c r="D182" s="56">
        <f t="shared" si="2"/>
        <v>120</v>
      </c>
      <c r="E182" s="33">
        <v>-343.7882723337575</v>
      </c>
    </row>
    <row r="183" spans="2:5" x14ac:dyDescent="0.3">
      <c r="B183" s="56">
        <v>121</v>
      </c>
      <c r="C183" s="33">
        <v>-16.580073983239693</v>
      </c>
      <c r="D183" s="56">
        <f t="shared" si="2"/>
        <v>121</v>
      </c>
      <c r="E183" s="33">
        <v>-167.42708843599888</v>
      </c>
    </row>
    <row r="184" spans="2:5" x14ac:dyDescent="0.3">
      <c r="B184" s="56">
        <v>122</v>
      </c>
      <c r="C184" s="33">
        <v>-57.241621556551557</v>
      </c>
      <c r="D184" s="56">
        <f t="shared" si="2"/>
        <v>122</v>
      </c>
      <c r="E184" s="33">
        <v>73.292720378202276</v>
      </c>
    </row>
    <row r="185" spans="2:5" x14ac:dyDescent="0.3">
      <c r="B185" s="56">
        <v>123</v>
      </c>
      <c r="C185" s="33">
        <v>-110.15313705576315</v>
      </c>
      <c r="D185" s="56">
        <f t="shared" si="2"/>
        <v>123</v>
      </c>
      <c r="E185" s="33">
        <v>-199.55482215100173</v>
      </c>
    </row>
    <row r="186" spans="2:5" x14ac:dyDescent="0.3">
      <c r="B186" s="56">
        <v>124</v>
      </c>
      <c r="C186" s="33">
        <v>-80.782378872949067</v>
      </c>
      <c r="D186" s="56">
        <f t="shared" si="2"/>
        <v>124</v>
      </c>
      <c r="E186" s="33">
        <v>-190.05330777075281</v>
      </c>
    </row>
    <row r="187" spans="2:5" x14ac:dyDescent="0.3">
      <c r="B187" s="56">
        <v>125</v>
      </c>
      <c r="C187" s="33">
        <v>-33.056436101041783</v>
      </c>
      <c r="D187" s="56">
        <f t="shared" si="2"/>
        <v>125</v>
      </c>
      <c r="E187" s="33">
        <v>-95.484198002405748</v>
      </c>
    </row>
    <row r="188" spans="2:5" x14ac:dyDescent="0.3">
      <c r="B188" s="56">
        <v>126</v>
      </c>
      <c r="C188" s="33">
        <v>43.408737915738534</v>
      </c>
      <c r="D188" s="56">
        <f t="shared" si="2"/>
        <v>126</v>
      </c>
      <c r="E188" s="33">
        <v>-38.905421714326451</v>
      </c>
    </row>
    <row r="189" spans="2:5" x14ac:dyDescent="0.3">
      <c r="B189" s="56">
        <v>127</v>
      </c>
      <c r="C189" s="33">
        <v>-119.97630103359185</v>
      </c>
      <c r="D189" s="56">
        <f t="shared" si="2"/>
        <v>127</v>
      </c>
      <c r="E189" s="33">
        <v>-169.11200689323479</v>
      </c>
    </row>
    <row r="190" spans="2:5" x14ac:dyDescent="0.3">
      <c r="B190" s="56">
        <v>128</v>
      </c>
      <c r="C190" s="33">
        <v>-9.4378123225078951</v>
      </c>
      <c r="D190" s="56">
        <f t="shared" si="2"/>
        <v>128</v>
      </c>
      <c r="E190" s="33">
        <v>-51.513406054328755</v>
      </c>
    </row>
    <row r="191" spans="2:5" x14ac:dyDescent="0.3">
      <c r="B191" s="56">
        <v>129</v>
      </c>
      <c r="C191" s="33">
        <v>192.32240088492921</v>
      </c>
      <c r="D191" s="56">
        <f t="shared" si="2"/>
        <v>129</v>
      </c>
      <c r="E191" s="33">
        <v>-79.834450414582179</v>
      </c>
    </row>
    <row r="192" spans="2:5" x14ac:dyDescent="0.3">
      <c r="B192" s="56">
        <v>130</v>
      </c>
      <c r="C192" s="33">
        <v>249.90190199224776</v>
      </c>
      <c r="D192" s="56">
        <f t="shared" si="2"/>
        <v>130</v>
      </c>
      <c r="E192" s="33">
        <v>-81.255049959375825</v>
      </c>
    </row>
    <row r="193" spans="2:5" x14ac:dyDescent="0.3">
      <c r="B193" s="56">
        <v>131</v>
      </c>
      <c r="C193" s="33">
        <v>126.58303418290919</v>
      </c>
      <c r="D193" s="56">
        <f t="shared" ref="D193:D256" si="3">B193</f>
        <v>131</v>
      </c>
      <c r="E193" s="33">
        <v>-305.48491565720281</v>
      </c>
    </row>
    <row r="194" spans="2:5" x14ac:dyDescent="0.3">
      <c r="B194" s="56">
        <v>132</v>
      </c>
      <c r="C194" s="33">
        <v>-36.911122339983905</v>
      </c>
      <c r="D194" s="56">
        <f t="shared" si="3"/>
        <v>132</v>
      </c>
      <c r="E194" s="33">
        <v>-284.47989598022957</v>
      </c>
    </row>
    <row r="195" spans="2:5" x14ac:dyDescent="0.3">
      <c r="B195" s="56">
        <v>133</v>
      </c>
      <c r="C195" s="33">
        <v>-283.58284841720069</v>
      </c>
      <c r="D195" s="56">
        <f t="shared" si="3"/>
        <v>133</v>
      </c>
      <c r="E195" s="33">
        <v>-471.07009538298058</v>
      </c>
    </row>
    <row r="196" spans="2:5" x14ac:dyDescent="0.3">
      <c r="B196" s="56">
        <v>134</v>
      </c>
      <c r="C196" s="33">
        <v>-8.8985055082162212</v>
      </c>
      <c r="D196" s="56">
        <f t="shared" si="3"/>
        <v>134</v>
      </c>
      <c r="E196" s="33">
        <v>-215.77170619760165</v>
      </c>
    </row>
    <row r="197" spans="2:5" x14ac:dyDescent="0.3">
      <c r="B197" s="56">
        <v>135</v>
      </c>
      <c r="C197" s="33">
        <v>-89.083999028977104</v>
      </c>
      <c r="D197" s="56">
        <f t="shared" si="3"/>
        <v>135</v>
      </c>
      <c r="E197" s="33">
        <v>-163.05454828356432</v>
      </c>
    </row>
    <row r="198" spans="2:5" x14ac:dyDescent="0.3">
      <c r="B198" s="56">
        <v>136</v>
      </c>
      <c r="C198" s="33">
        <v>-64.739101378961692</v>
      </c>
      <c r="D198" s="56">
        <f t="shared" si="3"/>
        <v>136</v>
      </c>
      <c r="E198" s="33">
        <v>-52.664014979410268</v>
      </c>
    </row>
    <row r="199" spans="2:5" x14ac:dyDescent="0.3">
      <c r="B199" s="56">
        <v>137</v>
      </c>
      <c r="C199" s="33">
        <v>10.509271834740726</v>
      </c>
      <c r="D199" s="56">
        <f t="shared" si="3"/>
        <v>137</v>
      </c>
      <c r="E199" s="33">
        <v>-166.15080514920118</v>
      </c>
    </row>
    <row r="200" spans="2:5" x14ac:dyDescent="0.3">
      <c r="B200" s="56">
        <v>138</v>
      </c>
      <c r="C200" s="33">
        <v>-119.68599236838352</v>
      </c>
      <c r="D200" s="56">
        <f t="shared" si="3"/>
        <v>138</v>
      </c>
      <c r="E200" s="33">
        <v>32.811447222633745</v>
      </c>
    </row>
    <row r="201" spans="2:5" x14ac:dyDescent="0.3">
      <c r="B201" s="56">
        <v>139</v>
      </c>
      <c r="C201" s="33">
        <v>37.606584659439342</v>
      </c>
      <c r="D201" s="56">
        <f t="shared" si="3"/>
        <v>139</v>
      </c>
      <c r="E201" s="33">
        <v>113.82225863275362</v>
      </c>
    </row>
    <row r="202" spans="2:5" x14ac:dyDescent="0.3">
      <c r="B202" s="56">
        <v>140</v>
      </c>
      <c r="C202" s="33">
        <v>-167.76432180139739</v>
      </c>
      <c r="D202" s="56">
        <f t="shared" si="3"/>
        <v>140</v>
      </c>
      <c r="E202" s="33">
        <v>-259.56255673235842</v>
      </c>
    </row>
    <row r="203" spans="2:5" x14ac:dyDescent="0.3">
      <c r="B203" s="56">
        <v>141</v>
      </c>
      <c r="C203" s="33">
        <v>372.77114577821663</v>
      </c>
      <c r="D203" s="56">
        <f t="shared" si="3"/>
        <v>141</v>
      </c>
      <c r="E203" s="33">
        <v>-52.121686338190329</v>
      </c>
    </row>
    <row r="204" spans="2:5" x14ac:dyDescent="0.3">
      <c r="B204" s="56">
        <v>142</v>
      </c>
      <c r="C204" s="33">
        <v>85.267283360938933</v>
      </c>
      <c r="D204" s="56">
        <f t="shared" si="3"/>
        <v>142</v>
      </c>
      <c r="E204" s="33">
        <v>6.7703313683396686</v>
      </c>
    </row>
    <row r="205" spans="2:5" x14ac:dyDescent="0.3">
      <c r="B205" s="56">
        <v>143</v>
      </c>
      <c r="C205" s="33">
        <v>-83.425533888347303</v>
      </c>
      <c r="D205" s="56">
        <f t="shared" si="3"/>
        <v>143</v>
      </c>
      <c r="E205" s="33">
        <v>-274.64658918932912</v>
      </c>
    </row>
    <row r="206" spans="2:5" x14ac:dyDescent="0.3">
      <c r="B206" s="56">
        <v>144</v>
      </c>
      <c r="C206" s="33">
        <v>-88.858442978415695</v>
      </c>
      <c r="D206" s="56">
        <f t="shared" si="3"/>
        <v>144</v>
      </c>
      <c r="E206" s="33">
        <v>-255.60167298624543</v>
      </c>
    </row>
    <row r="207" spans="2:5" x14ac:dyDescent="0.3">
      <c r="B207" s="56">
        <v>145</v>
      </c>
      <c r="C207" s="33">
        <v>-254.23558808016344</v>
      </c>
      <c r="D207" s="56">
        <f t="shared" si="3"/>
        <v>145</v>
      </c>
      <c r="E207" s="33">
        <v>-115.50185345941836</v>
      </c>
    </row>
    <row r="208" spans="2:5" x14ac:dyDescent="0.3">
      <c r="B208" s="56">
        <v>146</v>
      </c>
      <c r="C208" s="33">
        <v>425.78719223352857</v>
      </c>
      <c r="D208" s="56">
        <f t="shared" si="3"/>
        <v>146</v>
      </c>
      <c r="E208" s="33">
        <v>-49.358632583292007</v>
      </c>
    </row>
    <row r="209" spans="2:5" x14ac:dyDescent="0.3">
      <c r="B209" s="56">
        <v>147</v>
      </c>
      <c r="C209" s="33">
        <v>-90.303754256402001</v>
      </c>
      <c r="D209" s="56">
        <f t="shared" si="3"/>
        <v>147</v>
      </c>
      <c r="E209" s="33">
        <v>-395.11544876228629</v>
      </c>
    </row>
    <row r="210" spans="2:5" x14ac:dyDescent="0.3">
      <c r="B210" s="56">
        <v>148</v>
      </c>
      <c r="C210" s="33">
        <v>-411.31263852714585</v>
      </c>
      <c r="D210" s="56">
        <f t="shared" si="3"/>
        <v>148</v>
      </c>
      <c r="E210" s="33">
        <v>-277.14137600688059</v>
      </c>
    </row>
    <row r="211" spans="2:5" x14ac:dyDescent="0.3">
      <c r="B211" s="56">
        <v>149</v>
      </c>
      <c r="C211" s="33">
        <v>160.64785413588473</v>
      </c>
      <c r="D211" s="56">
        <f t="shared" si="3"/>
        <v>149</v>
      </c>
      <c r="E211" s="33">
        <v>-25.539555191005505</v>
      </c>
    </row>
    <row r="212" spans="2:5" x14ac:dyDescent="0.3">
      <c r="B212" s="56">
        <v>150</v>
      </c>
      <c r="C212" s="33">
        <v>-76.134960369041977</v>
      </c>
      <c r="D212" s="56">
        <f t="shared" si="3"/>
        <v>150</v>
      </c>
      <c r="E212" s="33">
        <v>-97.208140095386582</v>
      </c>
    </row>
    <row r="213" spans="2:5" x14ac:dyDescent="0.3">
      <c r="B213" s="56">
        <v>151</v>
      </c>
      <c r="C213" s="33">
        <v>104.54284649842353</v>
      </c>
      <c r="D213" s="56">
        <f t="shared" si="3"/>
        <v>151</v>
      </c>
      <c r="E213" s="33">
        <v>-197.37363333584273</v>
      </c>
    </row>
    <row r="214" spans="2:5" x14ac:dyDescent="0.3">
      <c r="B214" s="56">
        <v>152</v>
      </c>
      <c r="C214" s="33">
        <v>-425.85504668419981</v>
      </c>
      <c r="D214" s="56">
        <f t="shared" si="3"/>
        <v>152</v>
      </c>
      <c r="E214" s="33">
        <v>-191.37077024713349</v>
      </c>
    </row>
    <row r="215" spans="2:5" x14ac:dyDescent="0.3">
      <c r="B215" s="56">
        <v>153</v>
      </c>
      <c r="C215" s="33">
        <v>-114.0266229717768</v>
      </c>
      <c r="D215" s="56">
        <f t="shared" si="3"/>
        <v>153</v>
      </c>
      <c r="E215" s="33">
        <v>-173.60025224127889</v>
      </c>
    </row>
    <row r="216" spans="2:5" x14ac:dyDescent="0.3">
      <c r="B216" s="56">
        <v>154</v>
      </c>
      <c r="C216" s="33">
        <v>-275.81299708901179</v>
      </c>
      <c r="D216" s="56">
        <f t="shared" si="3"/>
        <v>154</v>
      </c>
      <c r="E216" s="33">
        <v>-163.05861850119123</v>
      </c>
    </row>
    <row r="217" spans="2:5" x14ac:dyDescent="0.3">
      <c r="B217" s="56">
        <v>155</v>
      </c>
      <c r="C217" s="33">
        <v>27.650714767530584</v>
      </c>
      <c r="D217" s="56">
        <f t="shared" si="3"/>
        <v>155</v>
      </c>
      <c r="E217" s="33">
        <v>-109.00129878187673</v>
      </c>
    </row>
    <row r="218" spans="2:5" x14ac:dyDescent="0.3">
      <c r="B218" s="56">
        <v>156</v>
      </c>
      <c r="C218" s="33">
        <v>97.084785312314779</v>
      </c>
      <c r="D218" s="56">
        <f t="shared" si="3"/>
        <v>156</v>
      </c>
      <c r="E218" s="33">
        <v>-86.533872295209676</v>
      </c>
    </row>
    <row r="219" spans="2:5" x14ac:dyDescent="0.3">
      <c r="B219" s="56">
        <v>157</v>
      </c>
      <c r="C219" s="33">
        <v>-197.62876655561129</v>
      </c>
      <c r="D219" s="56">
        <f t="shared" si="3"/>
        <v>157</v>
      </c>
      <c r="E219" s="33">
        <v>80.637548285965792</v>
      </c>
    </row>
    <row r="220" spans="2:5" x14ac:dyDescent="0.3">
      <c r="B220" s="56">
        <v>158</v>
      </c>
      <c r="C220" s="33">
        <v>-176.36105935603632</v>
      </c>
      <c r="D220" s="56">
        <f t="shared" si="3"/>
        <v>158</v>
      </c>
      <c r="E220" s="33">
        <v>-14.316663883431005</v>
      </c>
    </row>
    <row r="221" spans="2:5" x14ac:dyDescent="0.3">
      <c r="B221" s="56">
        <v>159</v>
      </c>
      <c r="C221" s="33">
        <v>-108.41568145626354</v>
      </c>
      <c r="D221" s="56">
        <f t="shared" si="3"/>
        <v>159</v>
      </c>
      <c r="E221" s="33">
        <v>-95.740430117094007</v>
      </c>
    </row>
    <row r="222" spans="2:5" x14ac:dyDescent="0.3">
      <c r="B222" s="56">
        <v>160</v>
      </c>
      <c r="C222" s="33">
        <v>26.461815738323185</v>
      </c>
      <c r="D222" s="56">
        <f t="shared" si="3"/>
        <v>160</v>
      </c>
      <c r="E222" s="33">
        <v>-239.86471766178232</v>
      </c>
    </row>
    <row r="223" spans="2:5" x14ac:dyDescent="0.3">
      <c r="B223" s="56">
        <v>161</v>
      </c>
      <c r="C223" s="33">
        <v>-105.78319890508676</v>
      </c>
      <c r="D223" s="56">
        <f t="shared" si="3"/>
        <v>161</v>
      </c>
      <c r="E223" s="33">
        <v>111.95197596098798</v>
      </c>
    </row>
    <row r="224" spans="2:5" x14ac:dyDescent="0.3">
      <c r="B224" s="56">
        <v>162</v>
      </c>
      <c r="C224" s="33">
        <v>-87.110664682225945</v>
      </c>
      <c r="D224" s="56">
        <f t="shared" si="3"/>
        <v>162</v>
      </c>
      <c r="E224" s="33">
        <v>-145.99017978255779</v>
      </c>
    </row>
    <row r="225" spans="2:5" x14ac:dyDescent="0.3">
      <c r="B225" s="56">
        <v>163</v>
      </c>
      <c r="C225" s="33">
        <v>-84.09446022397259</v>
      </c>
      <c r="D225" s="56">
        <f t="shared" si="3"/>
        <v>163</v>
      </c>
      <c r="E225" s="33">
        <v>-51.377316755448646</v>
      </c>
    </row>
    <row r="226" spans="2:5" x14ac:dyDescent="0.3">
      <c r="B226" s="56">
        <v>164</v>
      </c>
      <c r="C226" s="33">
        <v>153.18174974639692</v>
      </c>
      <c r="D226" s="56">
        <f t="shared" si="3"/>
        <v>164</v>
      </c>
      <c r="E226" s="33">
        <v>-172.03216704257605</v>
      </c>
    </row>
    <row r="227" spans="2:5" x14ac:dyDescent="0.3">
      <c r="B227" s="56">
        <v>165</v>
      </c>
      <c r="C227" s="33">
        <v>-485.86058626510351</v>
      </c>
      <c r="D227" s="56">
        <f t="shared" si="3"/>
        <v>165</v>
      </c>
      <c r="E227" s="33">
        <v>-88.788761211692375</v>
      </c>
    </row>
    <row r="228" spans="2:5" x14ac:dyDescent="0.3">
      <c r="B228" s="56">
        <v>166</v>
      </c>
      <c r="C228" s="33">
        <v>-10.601439147478615</v>
      </c>
      <c r="D228" s="56">
        <f t="shared" si="3"/>
        <v>166</v>
      </c>
      <c r="E228" s="33">
        <v>47.10659991442644</v>
      </c>
    </row>
    <row r="229" spans="2:5" x14ac:dyDescent="0.3">
      <c r="B229" s="56">
        <v>167</v>
      </c>
      <c r="C229" s="33">
        <v>-71.980796608438183</v>
      </c>
      <c r="D229" s="56">
        <f t="shared" si="3"/>
        <v>167</v>
      </c>
      <c r="E229" s="33">
        <v>-245.09022685026653</v>
      </c>
    </row>
    <row r="230" spans="2:5" x14ac:dyDescent="0.3">
      <c r="B230" s="56">
        <v>168</v>
      </c>
      <c r="C230" s="33">
        <v>-308.39349082561955</v>
      </c>
      <c r="D230" s="56">
        <f t="shared" si="3"/>
        <v>168</v>
      </c>
      <c r="E230" s="33">
        <v>-223.61140979239099</v>
      </c>
    </row>
    <row r="231" spans="2:5" x14ac:dyDescent="0.3">
      <c r="B231" s="56">
        <v>169</v>
      </c>
      <c r="C231" s="33">
        <v>147.20101505194279</v>
      </c>
      <c r="D231" s="56">
        <f t="shared" si="3"/>
        <v>169</v>
      </c>
      <c r="E231" s="33">
        <v>12.531135121788267</v>
      </c>
    </row>
    <row r="232" spans="2:5" x14ac:dyDescent="0.3">
      <c r="B232" s="56">
        <v>170</v>
      </c>
      <c r="C232" s="33">
        <v>-123.37784557957993</v>
      </c>
      <c r="D232" s="56">
        <f t="shared" si="3"/>
        <v>170</v>
      </c>
      <c r="E232" s="33">
        <v>-267.63356362312618</v>
      </c>
    </row>
    <row r="233" spans="2:5" x14ac:dyDescent="0.3">
      <c r="B233" s="56">
        <v>171</v>
      </c>
      <c r="C233" s="33">
        <v>-418.49860374563423</v>
      </c>
      <c r="D233" s="56">
        <f t="shared" si="3"/>
        <v>171</v>
      </c>
      <c r="E233" s="33">
        <v>-143.52887934463209</v>
      </c>
    </row>
    <row r="234" spans="2:5" x14ac:dyDescent="0.3">
      <c r="B234" s="56">
        <v>172</v>
      </c>
      <c r="C234" s="33">
        <v>53.341879140898399</v>
      </c>
      <c r="D234" s="56">
        <f t="shared" si="3"/>
        <v>172</v>
      </c>
      <c r="E234" s="33">
        <v>-294.08111897039549</v>
      </c>
    </row>
    <row r="235" spans="2:5" x14ac:dyDescent="0.3">
      <c r="B235" s="56">
        <v>173</v>
      </c>
      <c r="C235" s="33">
        <v>-199.99766221923034</v>
      </c>
      <c r="D235" s="56">
        <f t="shared" si="3"/>
        <v>173</v>
      </c>
      <c r="E235" s="33">
        <v>155.20939925640891</v>
      </c>
    </row>
    <row r="236" spans="2:5" x14ac:dyDescent="0.3">
      <c r="B236" s="56">
        <v>174</v>
      </c>
      <c r="C236" s="33">
        <v>67.209922223900918</v>
      </c>
      <c r="D236" s="56">
        <f t="shared" si="3"/>
        <v>174</v>
      </c>
      <c r="E236" s="33">
        <v>-109.60994105355427</v>
      </c>
    </row>
    <row r="237" spans="2:5" x14ac:dyDescent="0.3">
      <c r="B237" s="56">
        <v>175</v>
      </c>
      <c r="C237" s="33">
        <v>-151.36465936505704</v>
      </c>
      <c r="D237" s="56">
        <f t="shared" si="3"/>
        <v>175</v>
      </c>
      <c r="E237" s="33">
        <v>-184.33548822483093</v>
      </c>
    </row>
    <row r="238" spans="2:5" x14ac:dyDescent="0.3">
      <c r="B238" s="56">
        <v>176</v>
      </c>
      <c r="C238" s="33">
        <v>208.51756543849987</v>
      </c>
      <c r="D238" s="56">
        <f t="shared" si="3"/>
        <v>176</v>
      </c>
      <c r="E238" s="33">
        <v>-250.17900735202639</v>
      </c>
    </row>
    <row r="239" spans="2:5" x14ac:dyDescent="0.3">
      <c r="B239" s="56">
        <v>177</v>
      </c>
      <c r="C239" s="33">
        <v>-99.349280492692657</v>
      </c>
      <c r="D239" s="56">
        <f t="shared" si="3"/>
        <v>177</v>
      </c>
      <c r="E239" s="33">
        <v>98.548916471521537</v>
      </c>
    </row>
    <row r="240" spans="2:5" x14ac:dyDescent="0.3">
      <c r="B240" s="56">
        <v>178</v>
      </c>
      <c r="C240" s="33">
        <v>-325.01867345278436</v>
      </c>
      <c r="D240" s="56">
        <f t="shared" si="3"/>
        <v>178</v>
      </c>
      <c r="E240" s="33">
        <v>50.667278355231588</v>
      </c>
    </row>
    <row r="241" spans="2:5" x14ac:dyDescent="0.3">
      <c r="B241" s="56">
        <v>179</v>
      </c>
      <c r="C241" s="33">
        <v>-103.69222530475827</v>
      </c>
      <c r="D241" s="56">
        <f t="shared" si="3"/>
        <v>179</v>
      </c>
      <c r="E241" s="33">
        <v>-92.265638461036104</v>
      </c>
    </row>
    <row r="242" spans="2:5" x14ac:dyDescent="0.3">
      <c r="B242" s="56">
        <v>180</v>
      </c>
      <c r="C242" s="33">
        <v>-173.10270247857238</v>
      </c>
      <c r="D242" s="56">
        <f t="shared" si="3"/>
        <v>180</v>
      </c>
      <c r="E242" s="33">
        <v>-35.798429569136232</v>
      </c>
    </row>
    <row r="243" spans="2:5" x14ac:dyDescent="0.3">
      <c r="B243" s="56">
        <v>181</v>
      </c>
      <c r="C243" s="33">
        <v>79.316408099226209</v>
      </c>
      <c r="D243" s="56">
        <f t="shared" si="3"/>
        <v>181</v>
      </c>
      <c r="E243" s="33">
        <v>-173.31944243002849</v>
      </c>
    </row>
    <row r="244" spans="2:5" x14ac:dyDescent="0.3">
      <c r="B244" s="56">
        <v>182</v>
      </c>
      <c r="C244" s="33">
        <v>-258.01990035902685</v>
      </c>
      <c r="D244" s="56">
        <f t="shared" si="3"/>
        <v>182</v>
      </c>
      <c r="E244" s="33">
        <v>-80.042047105625642</v>
      </c>
    </row>
    <row r="245" spans="2:5" x14ac:dyDescent="0.3">
      <c r="B245" s="56">
        <v>183</v>
      </c>
      <c r="C245" s="33">
        <v>-176.6538627959946</v>
      </c>
      <c r="D245" s="56">
        <f t="shared" si="3"/>
        <v>183</v>
      </c>
      <c r="E245" s="33">
        <v>-83.691851081146211</v>
      </c>
    </row>
    <row r="246" spans="2:5" x14ac:dyDescent="0.3">
      <c r="B246" s="56">
        <v>184</v>
      </c>
      <c r="C246" s="33">
        <v>-211.2989801329725</v>
      </c>
      <c r="D246" s="56">
        <f t="shared" si="3"/>
        <v>184</v>
      </c>
      <c r="E246" s="33">
        <v>-252.82608420456449</v>
      </c>
    </row>
    <row r="247" spans="2:5" x14ac:dyDescent="0.3">
      <c r="B247" s="56">
        <v>185</v>
      </c>
      <c r="C247" s="33">
        <v>-103.27100302281119</v>
      </c>
      <c r="D247" s="56">
        <f t="shared" si="3"/>
        <v>185</v>
      </c>
      <c r="E247" s="33">
        <v>-5.0651373026427819</v>
      </c>
    </row>
    <row r="248" spans="2:5" x14ac:dyDescent="0.3">
      <c r="B248" s="56">
        <v>186</v>
      </c>
      <c r="C248" s="33">
        <v>227.97939255228692</v>
      </c>
      <c r="D248" s="56">
        <f t="shared" si="3"/>
        <v>186</v>
      </c>
      <c r="E248" s="33">
        <v>-61.278067172529816</v>
      </c>
    </row>
    <row r="249" spans="2:5" x14ac:dyDescent="0.3">
      <c r="B249" s="56">
        <v>187</v>
      </c>
      <c r="C249" s="33">
        <v>-35.052971274268117</v>
      </c>
      <c r="D249" s="56">
        <f t="shared" si="3"/>
        <v>187</v>
      </c>
      <c r="E249" s="33">
        <v>-192.47590033367973</v>
      </c>
    </row>
    <row r="250" spans="2:5" x14ac:dyDescent="0.3">
      <c r="B250" s="56">
        <v>188</v>
      </c>
      <c r="C250" s="33">
        <v>-39.730625125713146</v>
      </c>
      <c r="D250" s="56">
        <f t="shared" si="3"/>
        <v>188</v>
      </c>
      <c r="E250" s="33">
        <v>-283.3319905968292</v>
      </c>
    </row>
    <row r="251" spans="2:5" x14ac:dyDescent="0.3">
      <c r="B251" s="56">
        <v>189</v>
      </c>
      <c r="C251" s="33">
        <v>8.099209655125339</v>
      </c>
      <c r="D251" s="56">
        <f t="shared" si="3"/>
        <v>189</v>
      </c>
      <c r="E251" s="33">
        <v>-169.64462377693991</v>
      </c>
    </row>
    <row r="252" spans="2:5" x14ac:dyDescent="0.3">
      <c r="B252" s="56">
        <v>190</v>
      </c>
      <c r="C252" s="33">
        <v>61.733897284566723</v>
      </c>
      <c r="D252" s="56">
        <f t="shared" si="3"/>
        <v>190</v>
      </c>
      <c r="E252" s="33">
        <v>-50.2458629370594</v>
      </c>
    </row>
    <row r="253" spans="2:5" x14ac:dyDescent="0.3">
      <c r="B253" s="56">
        <v>191</v>
      </c>
      <c r="C253" s="33">
        <v>-26.665776937947324</v>
      </c>
      <c r="D253" s="56">
        <f t="shared" si="3"/>
        <v>191</v>
      </c>
      <c r="E253" s="33">
        <v>-110.09997532245021</v>
      </c>
    </row>
    <row r="254" spans="2:5" x14ac:dyDescent="0.3">
      <c r="B254" s="56">
        <v>192</v>
      </c>
      <c r="C254" s="33">
        <v>-100.98061778021089</v>
      </c>
      <c r="D254" s="56">
        <f t="shared" si="3"/>
        <v>192</v>
      </c>
      <c r="E254" s="33">
        <v>-16.604693038873293</v>
      </c>
    </row>
    <row r="255" spans="2:5" x14ac:dyDescent="0.3">
      <c r="B255" s="56">
        <v>193</v>
      </c>
      <c r="C255" s="33">
        <v>143.30801217592415</v>
      </c>
      <c r="D255" s="56">
        <f t="shared" si="3"/>
        <v>193</v>
      </c>
      <c r="E255" s="33">
        <v>-216.7397071829825</v>
      </c>
    </row>
    <row r="256" spans="2:5" x14ac:dyDescent="0.3">
      <c r="B256" s="56">
        <v>194</v>
      </c>
      <c r="C256" s="33">
        <v>114.56121752711408</v>
      </c>
      <c r="D256" s="56">
        <f t="shared" si="3"/>
        <v>194</v>
      </c>
      <c r="E256" s="33">
        <v>14.627312139714718</v>
      </c>
    </row>
    <row r="257" spans="2:5" x14ac:dyDescent="0.3">
      <c r="B257" s="56">
        <v>195</v>
      </c>
      <c r="C257" s="33">
        <v>16.793046090793425</v>
      </c>
      <c r="D257" s="56">
        <f t="shared" ref="D257:D274" si="4">B257</f>
        <v>195</v>
      </c>
      <c r="E257" s="33">
        <v>-225.49315590667373</v>
      </c>
    </row>
    <row r="258" spans="2:5" x14ac:dyDescent="0.3">
      <c r="B258" s="56">
        <v>196</v>
      </c>
      <c r="C258" s="33">
        <v>-232.37635596003057</v>
      </c>
      <c r="D258" s="56">
        <f t="shared" si="4"/>
        <v>196</v>
      </c>
      <c r="E258" s="33">
        <v>-195.25365863524493</v>
      </c>
    </row>
    <row r="259" spans="2:5" x14ac:dyDescent="0.3">
      <c r="B259" s="56">
        <v>197</v>
      </c>
      <c r="C259" s="33">
        <v>-0.52295173242679027</v>
      </c>
      <c r="D259" s="56">
        <f t="shared" si="4"/>
        <v>197</v>
      </c>
      <c r="E259" s="33">
        <v>3.0397766557218517</v>
      </c>
    </row>
    <row r="260" spans="2:5" x14ac:dyDescent="0.3">
      <c r="B260" s="56">
        <v>198</v>
      </c>
      <c r="C260" s="33">
        <v>41.016511380092282</v>
      </c>
      <c r="D260" s="56">
        <f t="shared" si="4"/>
        <v>198</v>
      </c>
      <c r="E260" s="33">
        <v>-297.41946428354998</v>
      </c>
    </row>
    <row r="261" spans="2:5" x14ac:dyDescent="0.3">
      <c r="B261" s="56">
        <v>199</v>
      </c>
      <c r="C261" s="33">
        <v>-77.521819053346988</v>
      </c>
      <c r="D261" s="56">
        <f t="shared" si="4"/>
        <v>199</v>
      </c>
      <c r="E261" s="33">
        <v>53.493790865862266</v>
      </c>
    </row>
    <row r="262" spans="2:5" x14ac:dyDescent="0.3">
      <c r="B262" s="56">
        <v>200</v>
      </c>
      <c r="C262" s="33">
        <v>-22.395996251796937</v>
      </c>
      <c r="D262" s="56">
        <f t="shared" si="4"/>
        <v>200</v>
      </c>
      <c r="E262" s="33">
        <v>116.77723574964207</v>
      </c>
    </row>
    <row r="263" spans="2:5" x14ac:dyDescent="0.3">
      <c r="B263" s="56">
        <v>201</v>
      </c>
      <c r="C263" s="33">
        <v>-175.33483387841312</v>
      </c>
      <c r="D263" s="56">
        <f t="shared" si="4"/>
        <v>201</v>
      </c>
      <c r="E263" s="33">
        <v>-186.29834565409595</v>
      </c>
    </row>
    <row r="264" spans="2:5" x14ac:dyDescent="0.3">
      <c r="B264" s="56">
        <v>202</v>
      </c>
      <c r="C264" s="33">
        <v>-295.00681887767104</v>
      </c>
      <c r="D264" s="56">
        <f t="shared" si="4"/>
        <v>202</v>
      </c>
      <c r="E264" s="33">
        <v>-42.492645789417921</v>
      </c>
    </row>
    <row r="265" spans="2:5" x14ac:dyDescent="0.3">
      <c r="B265" s="56">
        <v>203</v>
      </c>
      <c r="C265" s="33">
        <v>-252.28234922703118</v>
      </c>
      <c r="D265" s="56">
        <f t="shared" si="4"/>
        <v>203</v>
      </c>
      <c r="E265" s="33">
        <v>-82.653996256456793</v>
      </c>
    </row>
    <row r="266" spans="2:5" x14ac:dyDescent="0.3">
      <c r="B266" s="56">
        <v>204</v>
      </c>
      <c r="C266" s="33">
        <v>-112.25146239335307</v>
      </c>
      <c r="D266" s="56">
        <f t="shared" si="4"/>
        <v>204</v>
      </c>
      <c r="E266" s="33">
        <v>-548.6181130220607</v>
      </c>
    </row>
    <row r="267" spans="2:5" x14ac:dyDescent="0.3">
      <c r="B267" s="56">
        <v>205</v>
      </c>
      <c r="C267" s="33">
        <v>-374.90254008644763</v>
      </c>
      <c r="D267" s="56">
        <f t="shared" si="4"/>
        <v>205</v>
      </c>
      <c r="E267" s="33">
        <v>-160.11807857067814</v>
      </c>
    </row>
    <row r="268" spans="2:5" x14ac:dyDescent="0.3">
      <c r="B268" s="56">
        <v>206</v>
      </c>
      <c r="C268" s="33">
        <v>4.6497581397119845</v>
      </c>
      <c r="D268" s="56">
        <f t="shared" si="4"/>
        <v>206</v>
      </c>
      <c r="E268" s="33">
        <v>-137.41517123828621</v>
      </c>
    </row>
    <row r="269" spans="2:5" x14ac:dyDescent="0.3">
      <c r="B269" s="56">
        <v>207</v>
      </c>
      <c r="C269" s="33">
        <v>-237.89531559464342</v>
      </c>
      <c r="D269" s="56">
        <f t="shared" si="4"/>
        <v>207</v>
      </c>
      <c r="E269" s="33">
        <v>183.56639739014099</v>
      </c>
    </row>
    <row r="270" spans="2:5" x14ac:dyDescent="0.3">
      <c r="B270" s="56">
        <v>208</v>
      </c>
      <c r="C270" s="33">
        <v>318.71797404407215</v>
      </c>
      <c r="D270" s="56">
        <f t="shared" si="4"/>
        <v>208</v>
      </c>
      <c r="E270" s="33">
        <v>144.14444615960318</v>
      </c>
    </row>
    <row r="271" spans="2:5" x14ac:dyDescent="0.3">
      <c r="B271" s="56">
        <v>209</v>
      </c>
      <c r="C271" s="33">
        <v>22.664766380534623</v>
      </c>
      <c r="D271" s="56">
        <f t="shared" si="4"/>
        <v>209</v>
      </c>
      <c r="E271" s="33">
        <v>-177.02915963563856</v>
      </c>
    </row>
    <row r="272" spans="2:5" x14ac:dyDescent="0.3">
      <c r="B272" s="56">
        <v>210</v>
      </c>
      <c r="C272" s="33">
        <v>-38.541061188664926</v>
      </c>
      <c r="D272" s="56">
        <f t="shared" si="4"/>
        <v>210</v>
      </c>
      <c r="E272" s="33">
        <v>-280.95774030413457</v>
      </c>
    </row>
    <row r="273" spans="2:5" x14ac:dyDescent="0.3">
      <c r="B273" s="56">
        <v>211</v>
      </c>
      <c r="C273" s="33">
        <v>-266.03152114838082</v>
      </c>
      <c r="D273" s="56">
        <f t="shared" si="4"/>
        <v>211</v>
      </c>
      <c r="E273" s="33">
        <v>-124.87427199836114</v>
      </c>
    </row>
    <row r="274" spans="2:5" x14ac:dyDescent="0.3">
      <c r="B274" s="56">
        <v>212</v>
      </c>
      <c r="C274" s="33">
        <v>-72.547136780973545</v>
      </c>
      <c r="D274" s="56">
        <f t="shared" si="4"/>
        <v>212</v>
      </c>
      <c r="E274" s="33">
        <v>-26.295864191289013</v>
      </c>
    </row>
    <row r="275" spans="2:5" x14ac:dyDescent="0.3">
      <c r="B275" s="56">
        <v>213</v>
      </c>
      <c r="C275" s="33">
        <v>36.188097806724372</v>
      </c>
      <c r="D275" s="56">
        <f t="shared" ref="D275:D338" si="5">B275</f>
        <v>213</v>
      </c>
      <c r="E275" s="33">
        <v>140.47899862179349</v>
      </c>
    </row>
    <row r="276" spans="2:5" x14ac:dyDescent="0.3">
      <c r="B276" s="56">
        <v>214</v>
      </c>
      <c r="C276" s="33">
        <v>-229.60009373064369</v>
      </c>
      <c r="D276" s="56">
        <f t="shared" si="5"/>
        <v>214</v>
      </c>
      <c r="E276" s="33">
        <v>-45.323980976899179</v>
      </c>
    </row>
    <row r="277" spans="2:5" x14ac:dyDescent="0.3">
      <c r="B277" s="56">
        <v>215</v>
      </c>
      <c r="C277" s="33">
        <v>-95.660977548512818</v>
      </c>
      <c r="D277" s="56">
        <f t="shared" si="5"/>
        <v>215</v>
      </c>
      <c r="E277" s="33">
        <v>63.51330820129148</v>
      </c>
    </row>
    <row r="278" spans="2:5" x14ac:dyDescent="0.3">
      <c r="B278" s="56">
        <v>216</v>
      </c>
      <c r="C278" s="33">
        <v>31.795686137463576</v>
      </c>
      <c r="D278" s="56">
        <f t="shared" si="5"/>
        <v>216</v>
      </c>
      <c r="E278" s="33">
        <v>-79.192413267786975</v>
      </c>
    </row>
    <row r="279" spans="2:5" x14ac:dyDescent="0.3">
      <c r="B279" s="56">
        <v>217</v>
      </c>
      <c r="C279" s="33">
        <v>-81.494109587575181</v>
      </c>
      <c r="D279" s="56">
        <f t="shared" si="5"/>
        <v>217</v>
      </c>
      <c r="E279" s="33">
        <v>-403.39293821006356</v>
      </c>
    </row>
    <row r="280" spans="2:5" x14ac:dyDescent="0.3">
      <c r="B280" s="56">
        <v>218</v>
      </c>
      <c r="C280" s="33">
        <v>-277.59532188797129</v>
      </c>
      <c r="D280" s="56">
        <f t="shared" si="5"/>
        <v>218</v>
      </c>
      <c r="E280" s="33">
        <v>48.0897519635419</v>
      </c>
    </row>
    <row r="281" spans="2:5" x14ac:dyDescent="0.3">
      <c r="B281" s="56">
        <v>219</v>
      </c>
      <c r="C281" s="33">
        <v>106.26623466939265</v>
      </c>
      <c r="D281" s="56">
        <f t="shared" si="5"/>
        <v>219</v>
      </c>
      <c r="E281" s="33">
        <v>-248.38338074130115</v>
      </c>
    </row>
    <row r="282" spans="2:5" x14ac:dyDescent="0.3">
      <c r="B282" s="56">
        <v>220</v>
      </c>
      <c r="C282" s="33">
        <v>-154.33719965908338</v>
      </c>
      <c r="D282" s="56">
        <f t="shared" si="5"/>
        <v>220</v>
      </c>
      <c r="E282" s="33">
        <v>-260.61150736812999</v>
      </c>
    </row>
    <row r="283" spans="2:5" x14ac:dyDescent="0.3">
      <c r="B283" s="56">
        <v>221</v>
      </c>
      <c r="C283" s="33">
        <v>-246.36398438185125</v>
      </c>
      <c r="D283" s="56">
        <f t="shared" si="5"/>
        <v>221</v>
      </c>
      <c r="E283" s="33">
        <v>13.636691744582777</v>
      </c>
    </row>
    <row r="284" spans="2:5" x14ac:dyDescent="0.3">
      <c r="B284" s="56">
        <v>222</v>
      </c>
      <c r="C284" s="33">
        <v>-130.13276838356995</v>
      </c>
      <c r="D284" s="56">
        <f t="shared" si="5"/>
        <v>222</v>
      </c>
      <c r="E284" s="33">
        <v>-414.53767120645659</v>
      </c>
    </row>
    <row r="285" spans="2:5" x14ac:dyDescent="0.3">
      <c r="B285" s="56">
        <v>223</v>
      </c>
      <c r="C285" s="33">
        <v>13.365875792873524</v>
      </c>
      <c r="D285" s="56">
        <f t="shared" si="5"/>
        <v>223</v>
      </c>
      <c r="E285" s="33">
        <v>-458.60470883620098</v>
      </c>
    </row>
    <row r="286" spans="2:5" x14ac:dyDescent="0.3">
      <c r="B286" s="56">
        <v>224</v>
      </c>
      <c r="C286" s="33">
        <v>-84.325485835226331</v>
      </c>
      <c r="D286" s="56">
        <f t="shared" si="5"/>
        <v>224</v>
      </c>
      <c r="E286" s="33">
        <v>-110.71633820653207</v>
      </c>
    </row>
    <row r="287" spans="2:5" x14ac:dyDescent="0.3">
      <c r="B287" s="56">
        <v>225</v>
      </c>
      <c r="C287" s="33">
        <v>-325.31074959800912</v>
      </c>
      <c r="D287" s="56">
        <f t="shared" si="5"/>
        <v>225</v>
      </c>
      <c r="E287" s="33">
        <v>-168.4339901768449</v>
      </c>
    </row>
    <row r="288" spans="2:5" x14ac:dyDescent="0.3">
      <c r="B288" s="56">
        <v>226</v>
      </c>
      <c r="C288" s="33">
        <v>-28.310054635323024</v>
      </c>
      <c r="D288" s="56">
        <f t="shared" si="5"/>
        <v>226</v>
      </c>
      <c r="E288" s="33">
        <v>-166.39044924949508</v>
      </c>
    </row>
    <row r="289" spans="2:5" x14ac:dyDescent="0.3">
      <c r="B289" s="56">
        <v>227</v>
      </c>
      <c r="C289" s="33">
        <v>-2.9801726155023083</v>
      </c>
      <c r="D289" s="56">
        <f t="shared" si="5"/>
        <v>227</v>
      </c>
      <c r="E289" s="33">
        <v>138.45759845065052</v>
      </c>
    </row>
    <row r="290" spans="2:5" x14ac:dyDescent="0.3">
      <c r="B290" s="56">
        <v>228</v>
      </c>
      <c r="C290" s="33">
        <v>121.0223383380884</v>
      </c>
      <c r="D290" s="56">
        <f t="shared" si="5"/>
        <v>228</v>
      </c>
      <c r="E290" s="33">
        <v>-225.80051308623797</v>
      </c>
    </row>
    <row r="291" spans="2:5" x14ac:dyDescent="0.3">
      <c r="B291" s="56">
        <v>229</v>
      </c>
      <c r="C291" s="33">
        <v>-198.90500118281187</v>
      </c>
      <c r="D291" s="56">
        <f t="shared" si="5"/>
        <v>229</v>
      </c>
      <c r="E291" s="33">
        <v>49.987674541395684</v>
      </c>
    </row>
    <row r="292" spans="2:5" x14ac:dyDescent="0.3">
      <c r="B292" s="56">
        <v>230</v>
      </c>
      <c r="C292" s="33">
        <v>22.069996671111451</v>
      </c>
      <c r="D292" s="56">
        <f t="shared" si="5"/>
        <v>230</v>
      </c>
      <c r="E292" s="33">
        <v>-159.2646443504039</v>
      </c>
    </row>
    <row r="293" spans="2:5" x14ac:dyDescent="0.3">
      <c r="B293" s="56">
        <v>231</v>
      </c>
      <c r="C293" s="33">
        <v>-15.074822607284467</v>
      </c>
      <c r="D293" s="56">
        <f t="shared" si="5"/>
        <v>231</v>
      </c>
      <c r="E293" s="33">
        <v>-178.3371215003898</v>
      </c>
    </row>
    <row r="294" spans="2:5" x14ac:dyDescent="0.3">
      <c r="B294" s="56">
        <v>232</v>
      </c>
      <c r="C294" s="33">
        <v>-268.25517186565673</v>
      </c>
      <c r="D294" s="56">
        <f t="shared" si="5"/>
        <v>232</v>
      </c>
      <c r="E294" s="33">
        <v>-17.477283093606616</v>
      </c>
    </row>
    <row r="295" spans="2:5" x14ac:dyDescent="0.3">
      <c r="B295" s="56">
        <v>233</v>
      </c>
      <c r="C295" s="33">
        <v>261.01837010237756</v>
      </c>
      <c r="D295" s="56">
        <f t="shared" si="5"/>
        <v>233</v>
      </c>
      <c r="E295" s="33">
        <v>-103.4380173493862</v>
      </c>
    </row>
    <row r="296" spans="2:5" x14ac:dyDescent="0.3">
      <c r="B296" s="56">
        <v>234</v>
      </c>
      <c r="C296" s="33">
        <v>228.47268566928008</v>
      </c>
      <c r="D296" s="56">
        <f t="shared" si="5"/>
        <v>234</v>
      </c>
      <c r="E296" s="33">
        <v>-141.54969739812339</v>
      </c>
    </row>
    <row r="297" spans="2:5" x14ac:dyDescent="0.3">
      <c r="B297" s="56">
        <v>235</v>
      </c>
      <c r="C297" s="33">
        <v>-147.35379154479241</v>
      </c>
      <c r="D297" s="56">
        <f t="shared" si="5"/>
        <v>235</v>
      </c>
      <c r="E297" s="33">
        <v>-289.0554351583404</v>
      </c>
    </row>
    <row r="298" spans="2:5" x14ac:dyDescent="0.3">
      <c r="B298" s="56">
        <v>236</v>
      </c>
      <c r="C298" s="33">
        <v>237.85828423016065</v>
      </c>
      <c r="D298" s="56">
        <f t="shared" si="5"/>
        <v>236</v>
      </c>
      <c r="E298" s="33">
        <v>-222.14608887751425</v>
      </c>
    </row>
    <row r="299" spans="2:5" x14ac:dyDescent="0.3">
      <c r="B299" s="56">
        <v>237</v>
      </c>
      <c r="C299" s="33">
        <v>50.627765480291501</v>
      </c>
      <c r="D299" s="56">
        <f t="shared" si="5"/>
        <v>237</v>
      </c>
      <c r="E299" s="33">
        <v>-340.20732049565351</v>
      </c>
    </row>
    <row r="300" spans="2:5" x14ac:dyDescent="0.3">
      <c r="B300" s="56">
        <v>238</v>
      </c>
      <c r="C300" s="33">
        <v>-116.75124344247354</v>
      </c>
      <c r="D300" s="56">
        <f t="shared" si="5"/>
        <v>238</v>
      </c>
      <c r="E300" s="33">
        <v>-249.83585542358304</v>
      </c>
    </row>
    <row r="301" spans="2:5" x14ac:dyDescent="0.3">
      <c r="B301" s="56">
        <v>239</v>
      </c>
      <c r="C301" s="33">
        <v>-212.33772834091994</v>
      </c>
      <c r="D301" s="56">
        <f t="shared" si="5"/>
        <v>239</v>
      </c>
      <c r="E301" s="33">
        <v>-409.22604863325546</v>
      </c>
    </row>
    <row r="302" spans="2:5" x14ac:dyDescent="0.3">
      <c r="B302" s="56">
        <v>240</v>
      </c>
      <c r="C302" s="33">
        <v>118.07185871391742</v>
      </c>
      <c r="D302" s="56">
        <f t="shared" si="5"/>
        <v>240</v>
      </c>
      <c r="E302" s="33">
        <v>-34.0185450662172</v>
      </c>
    </row>
    <row r="303" spans="2:5" x14ac:dyDescent="0.3">
      <c r="B303" s="56">
        <v>241</v>
      </c>
      <c r="C303" s="33">
        <v>21.737941090612722</v>
      </c>
      <c r="D303" s="56">
        <f t="shared" si="5"/>
        <v>241</v>
      </c>
      <c r="E303" s="33">
        <v>-236.69258816432259</v>
      </c>
    </row>
    <row r="304" spans="2:5" x14ac:dyDescent="0.3">
      <c r="B304" s="56">
        <v>242</v>
      </c>
      <c r="C304" s="33">
        <v>-250.97773075744456</v>
      </c>
      <c r="D304" s="56">
        <f t="shared" si="5"/>
        <v>242</v>
      </c>
      <c r="E304" s="33">
        <v>-146.99361035487954</v>
      </c>
    </row>
    <row r="305" spans="2:5" x14ac:dyDescent="0.3">
      <c r="B305" s="56">
        <v>243</v>
      </c>
      <c r="C305" s="33">
        <v>204.54009780940873</v>
      </c>
      <c r="D305" s="56">
        <f t="shared" si="5"/>
        <v>243</v>
      </c>
      <c r="E305" s="33">
        <v>-94.926628257650478</v>
      </c>
    </row>
    <row r="306" spans="2:5" x14ac:dyDescent="0.3">
      <c r="B306" s="56">
        <v>244</v>
      </c>
      <c r="C306" s="33">
        <v>-298.39256537292812</v>
      </c>
      <c r="D306" s="56">
        <f t="shared" si="5"/>
        <v>244</v>
      </c>
      <c r="E306" s="33">
        <v>-85.3857423048388</v>
      </c>
    </row>
    <row r="307" spans="2:5" x14ac:dyDescent="0.3">
      <c r="B307" s="56">
        <v>245</v>
      </c>
      <c r="C307" s="33">
        <v>-106.59854437966644</v>
      </c>
      <c r="D307" s="56">
        <f t="shared" si="5"/>
        <v>245</v>
      </c>
      <c r="E307" s="33">
        <v>-66.961731847124454</v>
      </c>
    </row>
    <row r="308" spans="2:5" x14ac:dyDescent="0.3">
      <c r="B308" s="56">
        <v>246</v>
      </c>
      <c r="C308" s="33">
        <v>-140.37667136200827</v>
      </c>
      <c r="D308" s="56">
        <f t="shared" si="5"/>
        <v>246</v>
      </c>
      <c r="E308" s="33">
        <v>-139.9189421117095</v>
      </c>
    </row>
    <row r="309" spans="2:5" x14ac:dyDescent="0.3">
      <c r="B309" s="56">
        <v>247</v>
      </c>
      <c r="C309" s="33">
        <v>-4.3115272978586745</v>
      </c>
      <c r="D309" s="56">
        <f t="shared" si="5"/>
        <v>247</v>
      </c>
      <c r="E309" s="33">
        <v>-267.98666803898664</v>
      </c>
    </row>
    <row r="310" spans="2:5" x14ac:dyDescent="0.3">
      <c r="B310" s="56">
        <v>248</v>
      </c>
      <c r="C310" s="33">
        <v>-3.3594509273769972</v>
      </c>
      <c r="D310" s="56">
        <f t="shared" si="5"/>
        <v>248</v>
      </c>
      <c r="E310" s="33">
        <v>-13.232491646903611</v>
      </c>
    </row>
    <row r="311" spans="2:5" x14ac:dyDescent="0.3">
      <c r="B311" s="56">
        <v>249</v>
      </c>
      <c r="C311" s="33">
        <v>-214.25802553513648</v>
      </c>
      <c r="D311" s="56">
        <f t="shared" si="5"/>
        <v>249</v>
      </c>
      <c r="E311" s="33">
        <v>-168.44195342330394</v>
      </c>
    </row>
    <row r="312" spans="2:5" x14ac:dyDescent="0.3">
      <c r="B312" s="56">
        <v>250</v>
      </c>
      <c r="C312" s="33">
        <v>206.50647643299101</v>
      </c>
      <c r="D312" s="56">
        <f t="shared" si="5"/>
        <v>250</v>
      </c>
      <c r="E312" s="33">
        <v>-376.79021442172461</v>
      </c>
    </row>
    <row r="313" spans="2:5" x14ac:dyDescent="0.3">
      <c r="B313" s="56">
        <v>251</v>
      </c>
      <c r="C313" s="33">
        <v>-63.231118706850552</v>
      </c>
      <c r="D313" s="56">
        <f t="shared" si="5"/>
        <v>251</v>
      </c>
      <c r="E313" s="33">
        <v>-45.361250890480662</v>
      </c>
    </row>
    <row r="314" spans="2:5" x14ac:dyDescent="0.3">
      <c r="B314" s="56">
        <v>252</v>
      </c>
      <c r="C314" s="33">
        <v>-86.239482193969678</v>
      </c>
      <c r="D314" s="56">
        <f t="shared" si="5"/>
        <v>252</v>
      </c>
      <c r="E314" s="33">
        <v>-200.14049058662815</v>
      </c>
    </row>
    <row r="315" spans="2:5" x14ac:dyDescent="0.3">
      <c r="B315" s="56">
        <v>253</v>
      </c>
      <c r="C315" s="33">
        <v>-225.8871354750201</v>
      </c>
      <c r="D315" s="56">
        <f t="shared" si="5"/>
        <v>253</v>
      </c>
      <c r="E315" s="33">
        <v>-168.21633387217702</v>
      </c>
    </row>
    <row r="316" spans="2:5" x14ac:dyDescent="0.3">
      <c r="B316" s="56">
        <v>254</v>
      </c>
      <c r="C316" s="33">
        <v>-73.657200670638332</v>
      </c>
      <c r="D316" s="56">
        <f t="shared" si="5"/>
        <v>254</v>
      </c>
      <c r="E316" s="33">
        <v>130.24574270343351</v>
      </c>
    </row>
    <row r="317" spans="2:5" x14ac:dyDescent="0.3">
      <c r="B317" s="56">
        <v>255</v>
      </c>
      <c r="C317" s="33">
        <v>55.172918392938776</v>
      </c>
      <c r="D317" s="56">
        <f t="shared" si="5"/>
        <v>255</v>
      </c>
      <c r="E317" s="33">
        <v>-435.28111909422068</v>
      </c>
    </row>
    <row r="318" spans="2:5" x14ac:dyDescent="0.3">
      <c r="B318" s="56">
        <v>256</v>
      </c>
      <c r="C318" s="33">
        <v>-163.24725008217132</v>
      </c>
      <c r="D318" s="56">
        <f t="shared" si="5"/>
        <v>256</v>
      </c>
      <c r="E318" s="33">
        <v>-193.9488429560117</v>
      </c>
    </row>
    <row r="319" spans="2:5" x14ac:dyDescent="0.3">
      <c r="B319" s="56">
        <v>257</v>
      </c>
      <c r="C319" s="33">
        <v>-250.10125967092671</v>
      </c>
      <c r="D319" s="56">
        <f t="shared" si="5"/>
        <v>257</v>
      </c>
      <c r="E319" s="33">
        <v>-154.23304397462979</v>
      </c>
    </row>
    <row r="320" spans="2:5" x14ac:dyDescent="0.3">
      <c r="B320" s="56">
        <v>258</v>
      </c>
      <c r="C320" s="33">
        <v>-10.665234584305825</v>
      </c>
      <c r="D320" s="56">
        <f t="shared" si="5"/>
        <v>258</v>
      </c>
      <c r="E320" s="33">
        <v>-155.36693213042599</v>
      </c>
    </row>
    <row r="321" spans="2:5" x14ac:dyDescent="0.3">
      <c r="B321" s="56">
        <v>259</v>
      </c>
      <c r="C321" s="33">
        <v>174.1829580273465</v>
      </c>
      <c r="D321" s="56">
        <f t="shared" si="5"/>
        <v>259</v>
      </c>
      <c r="E321" s="33">
        <v>-28.467074382977614</v>
      </c>
    </row>
    <row r="322" spans="2:5" x14ac:dyDescent="0.3">
      <c r="B322" s="56">
        <v>260</v>
      </c>
      <c r="C322" s="33">
        <v>86.127135976653264</v>
      </c>
      <c r="D322" s="56">
        <f t="shared" si="5"/>
        <v>260</v>
      </c>
      <c r="E322" s="33">
        <v>-78.434801984790383</v>
      </c>
    </row>
    <row r="323" spans="2:5" x14ac:dyDescent="0.3">
      <c r="B323" s="56">
        <v>261</v>
      </c>
      <c r="C323" s="33">
        <v>189.06993137401065</v>
      </c>
      <c r="D323" s="56">
        <f t="shared" si="5"/>
        <v>261</v>
      </c>
      <c r="E323" s="33">
        <v>75.744371992394136</v>
      </c>
    </row>
    <row r="324" spans="2:5" x14ac:dyDescent="0.3">
      <c r="B324" s="56">
        <v>262</v>
      </c>
      <c r="C324" s="33">
        <v>-144.98185745831879</v>
      </c>
      <c r="D324" s="56">
        <f t="shared" si="5"/>
        <v>262</v>
      </c>
      <c r="E324" s="33">
        <v>70.159709988894221</v>
      </c>
    </row>
    <row r="325" spans="2:5" x14ac:dyDescent="0.3">
      <c r="B325" s="56">
        <v>263</v>
      </c>
      <c r="C325" s="33">
        <v>-339.6144607580087</v>
      </c>
      <c r="D325" s="56">
        <f t="shared" si="5"/>
        <v>263</v>
      </c>
      <c r="E325" s="33">
        <v>-100.31513057188029</v>
      </c>
    </row>
    <row r="326" spans="2:5" x14ac:dyDescent="0.3">
      <c r="B326" s="56">
        <v>264</v>
      </c>
      <c r="C326" s="33">
        <v>-235.82382984909208</v>
      </c>
      <c r="D326" s="56">
        <f t="shared" si="5"/>
        <v>264</v>
      </c>
      <c r="E326" s="33">
        <v>-93.139394524962256</v>
      </c>
    </row>
    <row r="327" spans="2:5" x14ac:dyDescent="0.3">
      <c r="B327" s="56">
        <v>265</v>
      </c>
      <c r="C327" s="33">
        <v>-269.97458290055209</v>
      </c>
      <c r="D327" s="56">
        <f t="shared" si="5"/>
        <v>265</v>
      </c>
      <c r="E327" s="33">
        <v>-5.0186375863895023</v>
      </c>
    </row>
    <row r="328" spans="2:5" x14ac:dyDescent="0.3">
      <c r="B328" s="56">
        <v>266</v>
      </c>
      <c r="C328" s="33">
        <v>3.3345413771190628</v>
      </c>
      <c r="D328" s="56">
        <f t="shared" si="5"/>
        <v>266</v>
      </c>
      <c r="E328" s="33">
        <v>44.494787444069232</v>
      </c>
    </row>
    <row r="329" spans="2:5" x14ac:dyDescent="0.3">
      <c r="B329" s="56">
        <v>267</v>
      </c>
      <c r="C329" s="33">
        <v>-320.52713811721617</v>
      </c>
      <c r="D329" s="56">
        <f t="shared" si="5"/>
        <v>267</v>
      </c>
      <c r="E329" s="33">
        <v>-192.9331184909156</v>
      </c>
    </row>
    <row r="330" spans="2:5" x14ac:dyDescent="0.3">
      <c r="B330" s="56">
        <v>268</v>
      </c>
      <c r="C330" s="33">
        <v>62.943609520496999</v>
      </c>
      <c r="D330" s="56">
        <f t="shared" si="5"/>
        <v>268</v>
      </c>
      <c r="E330" s="33">
        <v>-176.80015359847278</v>
      </c>
    </row>
    <row r="331" spans="2:5" x14ac:dyDescent="0.3">
      <c r="B331" s="56">
        <v>269</v>
      </c>
      <c r="C331" s="33">
        <v>72.65610789191193</v>
      </c>
      <c r="D331" s="56">
        <f t="shared" si="5"/>
        <v>269</v>
      </c>
      <c r="E331" s="33">
        <v>-78.972194813835188</v>
      </c>
    </row>
    <row r="332" spans="2:5" x14ac:dyDescent="0.3">
      <c r="B332" s="56">
        <v>270</v>
      </c>
      <c r="C332" s="33">
        <v>-248.43935998459426</v>
      </c>
      <c r="D332" s="56">
        <f t="shared" si="5"/>
        <v>270</v>
      </c>
      <c r="E332" s="33">
        <v>29.793823723418939</v>
      </c>
    </row>
    <row r="333" spans="2:5" x14ac:dyDescent="0.3">
      <c r="B333" s="56">
        <v>271</v>
      </c>
      <c r="C333" s="33">
        <v>58.66768636606561</v>
      </c>
      <c r="D333" s="56">
        <f t="shared" si="5"/>
        <v>271</v>
      </c>
      <c r="E333" s="33">
        <v>37.443031479717021</v>
      </c>
    </row>
    <row r="334" spans="2:5" x14ac:dyDescent="0.3">
      <c r="B334" s="56">
        <v>272</v>
      </c>
      <c r="C334" s="33">
        <v>101.02935524936167</v>
      </c>
      <c r="D334" s="56">
        <f t="shared" si="5"/>
        <v>272</v>
      </c>
      <c r="E334" s="33">
        <v>-133.533941449856</v>
      </c>
    </row>
    <row r="335" spans="2:5" x14ac:dyDescent="0.3">
      <c r="B335" s="56">
        <v>273</v>
      </c>
      <c r="C335" s="33">
        <v>81.242085440393566</v>
      </c>
      <c r="D335" s="56">
        <f t="shared" si="5"/>
        <v>273</v>
      </c>
      <c r="E335" s="33">
        <v>-287.71816151596192</v>
      </c>
    </row>
    <row r="336" spans="2:5" x14ac:dyDescent="0.3">
      <c r="B336" s="56">
        <v>274</v>
      </c>
      <c r="C336" s="33">
        <v>-175.13274447110066</v>
      </c>
      <c r="D336" s="56">
        <f t="shared" si="5"/>
        <v>274</v>
      </c>
      <c r="E336" s="33">
        <v>10.042391472518119</v>
      </c>
    </row>
    <row r="337" spans="2:5" x14ac:dyDescent="0.3">
      <c r="B337" s="56">
        <v>275</v>
      </c>
      <c r="C337" s="33">
        <v>-310.00548131255914</v>
      </c>
      <c r="D337" s="56">
        <f t="shared" si="5"/>
        <v>275</v>
      </c>
      <c r="E337" s="33">
        <v>-15.206453385326384</v>
      </c>
    </row>
    <row r="338" spans="2:5" x14ac:dyDescent="0.3">
      <c r="B338" s="56">
        <v>276</v>
      </c>
      <c r="C338" s="33">
        <v>-295.8573437786784</v>
      </c>
      <c r="D338" s="56">
        <f t="shared" si="5"/>
        <v>276</v>
      </c>
      <c r="E338" s="33">
        <v>-9.9406575335567737</v>
      </c>
    </row>
    <row r="339" spans="2:5" x14ac:dyDescent="0.3">
      <c r="B339" s="56">
        <v>277</v>
      </c>
      <c r="C339" s="33">
        <v>-132.29100392202588</v>
      </c>
      <c r="D339" s="56">
        <f t="shared" ref="D339:D402" si="6">B339</f>
        <v>277</v>
      </c>
      <c r="E339" s="33">
        <v>-146.80772616616434</v>
      </c>
    </row>
    <row r="340" spans="2:5" x14ac:dyDescent="0.3">
      <c r="B340" s="56">
        <v>278</v>
      </c>
      <c r="C340" s="33">
        <v>130.06322986486219</v>
      </c>
      <c r="D340" s="56">
        <f t="shared" si="6"/>
        <v>278</v>
      </c>
      <c r="E340" s="33">
        <v>-546.61183057359256</v>
      </c>
    </row>
    <row r="341" spans="2:5" x14ac:dyDescent="0.3">
      <c r="B341" s="56">
        <v>279</v>
      </c>
      <c r="C341" s="33">
        <v>-64.11290810137541</v>
      </c>
      <c r="D341" s="56">
        <f t="shared" si="6"/>
        <v>279</v>
      </c>
      <c r="E341" s="33">
        <v>-186.95633296271663</v>
      </c>
    </row>
    <row r="342" spans="2:5" x14ac:dyDescent="0.3">
      <c r="B342" s="56">
        <v>280</v>
      </c>
      <c r="C342" s="33">
        <v>9.6807846405674383</v>
      </c>
      <c r="D342" s="56">
        <f t="shared" si="6"/>
        <v>280</v>
      </c>
      <c r="E342" s="33">
        <v>-161.50613654784206</v>
      </c>
    </row>
    <row r="343" spans="2:5" x14ac:dyDescent="0.3">
      <c r="B343" s="56">
        <v>281</v>
      </c>
      <c r="C343" s="33">
        <v>10.791397184359521</v>
      </c>
      <c r="D343" s="56">
        <f t="shared" si="6"/>
        <v>281</v>
      </c>
      <c r="E343" s="33">
        <v>-116.75585651544981</v>
      </c>
    </row>
    <row r="344" spans="2:5" x14ac:dyDescent="0.3">
      <c r="B344" s="56">
        <v>282</v>
      </c>
      <c r="C344" s="33">
        <v>-39.37600796779985</v>
      </c>
      <c r="D344" s="56">
        <f t="shared" si="6"/>
        <v>282</v>
      </c>
      <c r="E344" s="33">
        <v>-160.04697831255538</v>
      </c>
    </row>
    <row r="345" spans="2:5" x14ac:dyDescent="0.3">
      <c r="B345" s="56">
        <v>283</v>
      </c>
      <c r="C345" s="33">
        <v>29.83546990490391</v>
      </c>
      <c r="D345" s="56">
        <f t="shared" si="6"/>
        <v>283</v>
      </c>
      <c r="E345" s="33">
        <v>-147.50672728909313</v>
      </c>
    </row>
    <row r="346" spans="2:5" x14ac:dyDescent="0.3">
      <c r="B346" s="56">
        <v>284</v>
      </c>
      <c r="C346" s="33">
        <v>-101.2059015528346</v>
      </c>
      <c r="D346" s="56">
        <f t="shared" si="6"/>
        <v>284</v>
      </c>
      <c r="E346" s="33">
        <v>-39.749330169909427</v>
      </c>
    </row>
    <row r="347" spans="2:5" x14ac:dyDescent="0.3">
      <c r="B347" s="56">
        <v>285</v>
      </c>
      <c r="C347" s="33">
        <v>262.50464350282061</v>
      </c>
      <c r="D347" s="56">
        <f t="shared" si="6"/>
        <v>285</v>
      </c>
      <c r="E347" s="33">
        <v>-164.08364757190782</v>
      </c>
    </row>
    <row r="348" spans="2:5" x14ac:dyDescent="0.3">
      <c r="B348" s="56">
        <v>286</v>
      </c>
      <c r="C348" s="33">
        <v>-339.16758254192092</v>
      </c>
      <c r="D348" s="56">
        <f t="shared" si="6"/>
        <v>286</v>
      </c>
      <c r="E348" s="33">
        <v>-171.13895304755701</v>
      </c>
    </row>
    <row r="349" spans="2:5" x14ac:dyDescent="0.3">
      <c r="B349" s="56">
        <v>287</v>
      </c>
      <c r="C349" s="33">
        <v>-235.69872126567063</v>
      </c>
      <c r="D349" s="56">
        <f t="shared" si="6"/>
        <v>287</v>
      </c>
      <c r="E349" s="33">
        <v>-282.48229623990966</v>
      </c>
    </row>
    <row r="350" spans="2:5" x14ac:dyDescent="0.3">
      <c r="B350" s="56">
        <v>288</v>
      </c>
      <c r="C350" s="33">
        <v>-239.61414406365935</v>
      </c>
      <c r="D350" s="56">
        <f t="shared" si="6"/>
        <v>288</v>
      </c>
      <c r="E350" s="33">
        <v>-173.80762238469111</v>
      </c>
    </row>
    <row r="351" spans="2:5" x14ac:dyDescent="0.3">
      <c r="B351" s="56">
        <v>289</v>
      </c>
      <c r="C351" s="33">
        <v>-1.3589387233011898</v>
      </c>
      <c r="D351" s="56">
        <f t="shared" si="6"/>
        <v>289</v>
      </c>
      <c r="E351" s="33">
        <v>-104.84462881531633</v>
      </c>
    </row>
    <row r="352" spans="2:5" x14ac:dyDescent="0.3">
      <c r="B352" s="56">
        <v>290</v>
      </c>
      <c r="C352" s="33">
        <v>42.190945949773891</v>
      </c>
      <c r="D352" s="56">
        <f t="shared" si="6"/>
        <v>290</v>
      </c>
      <c r="E352" s="33">
        <v>-43.183738621195005</v>
      </c>
    </row>
    <row r="353" spans="2:5" x14ac:dyDescent="0.3">
      <c r="B353" s="56">
        <v>291</v>
      </c>
      <c r="C353" s="33">
        <v>127.53995356124796</v>
      </c>
      <c r="D353" s="56">
        <f t="shared" si="6"/>
        <v>291</v>
      </c>
      <c r="E353" s="33">
        <v>-320.26888197200833</v>
      </c>
    </row>
    <row r="354" spans="2:5" x14ac:dyDescent="0.3">
      <c r="B354" s="56">
        <v>292</v>
      </c>
      <c r="C354" s="33">
        <v>-254.29925950171457</v>
      </c>
      <c r="D354" s="56">
        <f t="shared" si="6"/>
        <v>292</v>
      </c>
      <c r="E354" s="33">
        <v>-142.15264090133755</v>
      </c>
    </row>
    <row r="355" spans="2:5" x14ac:dyDescent="0.3">
      <c r="B355" s="56">
        <v>293</v>
      </c>
      <c r="C355" s="33">
        <v>-8.9063210074623562</v>
      </c>
      <c r="D355" s="56">
        <f t="shared" si="6"/>
        <v>293</v>
      </c>
      <c r="E355" s="33">
        <v>42.071821313100159</v>
      </c>
    </row>
    <row r="356" spans="2:5" x14ac:dyDescent="0.3">
      <c r="B356" s="56">
        <v>294</v>
      </c>
      <c r="C356" s="33">
        <v>125.43334863971664</v>
      </c>
      <c r="D356" s="56">
        <f t="shared" si="6"/>
        <v>294</v>
      </c>
      <c r="E356" s="33">
        <v>-10.179254307446598</v>
      </c>
    </row>
    <row r="357" spans="2:5" x14ac:dyDescent="0.3">
      <c r="B357" s="56">
        <v>295</v>
      </c>
      <c r="C357" s="33">
        <v>-179.13451600199687</v>
      </c>
      <c r="D357" s="56">
        <f t="shared" si="6"/>
        <v>295</v>
      </c>
      <c r="E357" s="33">
        <v>-37.926628019165577</v>
      </c>
    </row>
    <row r="358" spans="2:5" x14ac:dyDescent="0.3">
      <c r="B358" s="56">
        <v>296</v>
      </c>
      <c r="C358" s="33">
        <v>-74.785414516005829</v>
      </c>
      <c r="D358" s="56">
        <f t="shared" si="6"/>
        <v>296</v>
      </c>
      <c r="E358" s="33">
        <v>18.267756679158552</v>
      </c>
    </row>
    <row r="359" spans="2:5" x14ac:dyDescent="0.3">
      <c r="B359" s="56">
        <v>297</v>
      </c>
      <c r="C359" s="33">
        <v>-361.83464007153322</v>
      </c>
      <c r="D359" s="56">
        <f t="shared" si="6"/>
        <v>297</v>
      </c>
      <c r="E359" s="33">
        <v>-191.34535612610739</v>
      </c>
    </row>
    <row r="360" spans="2:5" x14ac:dyDescent="0.3">
      <c r="B360" s="56">
        <v>298</v>
      </c>
      <c r="C360" s="33">
        <v>-164.74768302038856</v>
      </c>
      <c r="D360" s="56">
        <f t="shared" si="6"/>
        <v>298</v>
      </c>
      <c r="E360" s="33">
        <v>-196.79123199486196</v>
      </c>
    </row>
    <row r="361" spans="2:5" x14ac:dyDescent="0.3">
      <c r="B361" s="56">
        <v>299</v>
      </c>
      <c r="C361" s="33">
        <v>-54.104236556353307</v>
      </c>
      <c r="D361" s="56">
        <f t="shared" si="6"/>
        <v>299</v>
      </c>
      <c r="E361" s="33">
        <v>-219.48078482747079</v>
      </c>
    </row>
    <row r="362" spans="2:5" x14ac:dyDescent="0.3">
      <c r="B362" s="56">
        <v>300</v>
      </c>
      <c r="C362" s="33">
        <v>-30.912059389226204</v>
      </c>
      <c r="D362" s="56">
        <f t="shared" si="6"/>
        <v>300</v>
      </c>
      <c r="E362" s="33">
        <v>-144.33027272847494</v>
      </c>
    </row>
    <row r="363" spans="2:5" x14ac:dyDescent="0.3">
      <c r="B363" s="56">
        <v>301</v>
      </c>
      <c r="C363" s="33">
        <v>48.864658384896117</v>
      </c>
      <c r="D363" s="56">
        <f t="shared" si="6"/>
        <v>301</v>
      </c>
      <c r="E363" s="33">
        <v>-148.83923630753546</v>
      </c>
    </row>
    <row r="364" spans="2:5" x14ac:dyDescent="0.3">
      <c r="B364" s="56">
        <v>302</v>
      </c>
      <c r="C364" s="33">
        <v>-170.65748367896109</v>
      </c>
      <c r="D364" s="56">
        <f t="shared" si="6"/>
        <v>302</v>
      </c>
      <c r="E364" s="33">
        <v>-167.2919472209486</v>
      </c>
    </row>
    <row r="365" spans="2:5" x14ac:dyDescent="0.3">
      <c r="B365" s="56">
        <v>303</v>
      </c>
      <c r="C365" s="33">
        <v>-221.21080920873791</v>
      </c>
      <c r="D365" s="56">
        <f t="shared" si="6"/>
        <v>303</v>
      </c>
      <c r="E365" s="33">
        <v>-145.00071749989991</v>
      </c>
    </row>
    <row r="366" spans="2:5" x14ac:dyDescent="0.3">
      <c r="B366" s="56">
        <v>304</v>
      </c>
      <c r="C366" s="33">
        <v>188.32644641478439</v>
      </c>
      <c r="D366" s="56">
        <f t="shared" si="6"/>
        <v>304</v>
      </c>
      <c r="E366" s="33">
        <v>-78.06266619018426</v>
      </c>
    </row>
    <row r="367" spans="2:5" x14ac:dyDescent="0.3">
      <c r="B367" s="56">
        <v>305</v>
      </c>
      <c r="C367" s="33">
        <v>125.56657195775949</v>
      </c>
      <c r="D367" s="56">
        <f t="shared" si="6"/>
        <v>305</v>
      </c>
      <c r="E367" s="33">
        <v>-124.94019943204279</v>
      </c>
    </row>
    <row r="368" spans="2:5" x14ac:dyDescent="0.3">
      <c r="B368" s="56">
        <v>306</v>
      </c>
      <c r="C368" s="33">
        <v>-402.72413803643241</v>
      </c>
      <c r="D368" s="56">
        <f t="shared" si="6"/>
        <v>306</v>
      </c>
      <c r="E368" s="33">
        <v>-93.934886194195855</v>
      </c>
    </row>
    <row r="369" spans="2:5" x14ac:dyDescent="0.3">
      <c r="B369" s="56">
        <v>307</v>
      </c>
      <c r="C369" s="33">
        <v>185.25435145693723</v>
      </c>
      <c r="D369" s="56">
        <f t="shared" si="6"/>
        <v>307</v>
      </c>
      <c r="E369" s="33">
        <v>36.026479981714346</v>
      </c>
    </row>
    <row r="370" spans="2:5" x14ac:dyDescent="0.3">
      <c r="B370" s="56">
        <v>308</v>
      </c>
      <c r="C370" s="33">
        <v>35.385678259008614</v>
      </c>
      <c r="D370" s="56">
        <f t="shared" si="6"/>
        <v>308</v>
      </c>
      <c r="E370" s="33">
        <v>-406.76934366208076</v>
      </c>
    </row>
    <row r="371" spans="2:5" x14ac:dyDescent="0.3">
      <c r="B371" s="56">
        <v>309</v>
      </c>
      <c r="C371" s="33">
        <v>-238.92171051160548</v>
      </c>
      <c r="D371" s="56">
        <f t="shared" si="6"/>
        <v>309</v>
      </c>
      <c r="E371" s="33">
        <v>4.9312593662992015</v>
      </c>
    </row>
    <row r="372" spans="2:5" x14ac:dyDescent="0.3">
      <c r="B372" s="56">
        <v>310</v>
      </c>
      <c r="C372" s="33">
        <v>-162.05335761650244</v>
      </c>
      <c r="D372" s="56">
        <f t="shared" si="6"/>
        <v>310</v>
      </c>
      <c r="E372" s="33">
        <v>-142.17264941630469</v>
      </c>
    </row>
    <row r="373" spans="2:5" x14ac:dyDescent="0.3">
      <c r="B373" s="56">
        <v>311</v>
      </c>
      <c r="C373" s="33">
        <v>-139.00762449105179</v>
      </c>
      <c r="D373" s="56">
        <f t="shared" si="6"/>
        <v>311</v>
      </c>
      <c r="E373" s="33">
        <v>-77.293909878100891</v>
      </c>
    </row>
    <row r="374" spans="2:5" x14ac:dyDescent="0.3">
      <c r="B374" s="56">
        <v>312</v>
      </c>
      <c r="C374" s="33">
        <v>-348.39738874488137</v>
      </c>
      <c r="D374" s="56">
        <f t="shared" si="6"/>
        <v>312</v>
      </c>
      <c r="E374" s="33">
        <v>-277.42213599972564</v>
      </c>
    </row>
    <row r="375" spans="2:5" x14ac:dyDescent="0.3">
      <c r="B375" s="56">
        <v>313</v>
      </c>
      <c r="C375" s="33">
        <v>-88.630161961094416</v>
      </c>
      <c r="D375" s="56">
        <f t="shared" si="6"/>
        <v>313</v>
      </c>
      <c r="E375" s="33">
        <v>36.771198644293577</v>
      </c>
    </row>
    <row r="376" spans="2:5" x14ac:dyDescent="0.3">
      <c r="B376" s="56">
        <v>314</v>
      </c>
      <c r="C376" s="33">
        <v>111.45930794535346</v>
      </c>
      <c r="D376" s="56">
        <f t="shared" si="6"/>
        <v>314</v>
      </c>
      <c r="E376" s="33">
        <v>-275.86693531681374</v>
      </c>
    </row>
    <row r="377" spans="2:5" x14ac:dyDescent="0.3">
      <c r="B377" s="56">
        <v>315</v>
      </c>
      <c r="C377" s="33">
        <v>275.33830283502937</v>
      </c>
      <c r="D377" s="56">
        <f t="shared" si="6"/>
        <v>315</v>
      </c>
      <c r="E377" s="33">
        <v>-179.99800158177743</v>
      </c>
    </row>
    <row r="378" spans="2:5" x14ac:dyDescent="0.3">
      <c r="B378" s="56">
        <v>316</v>
      </c>
      <c r="C378" s="33">
        <v>55.17511689576763</v>
      </c>
      <c r="D378" s="56">
        <f t="shared" si="6"/>
        <v>316</v>
      </c>
      <c r="E378" s="33">
        <v>51.445743995547119</v>
      </c>
    </row>
    <row r="379" spans="2:5" x14ac:dyDescent="0.3">
      <c r="B379" s="56">
        <v>317</v>
      </c>
      <c r="C379" s="33">
        <v>-266.01236602930732</v>
      </c>
      <c r="D379" s="56">
        <f t="shared" si="6"/>
        <v>317</v>
      </c>
      <c r="E379" s="33">
        <v>-10.588328707233359</v>
      </c>
    </row>
    <row r="380" spans="2:5" x14ac:dyDescent="0.3">
      <c r="B380" s="56">
        <v>318</v>
      </c>
      <c r="C380" s="33">
        <v>-343.74081186217137</v>
      </c>
      <c r="D380" s="56">
        <f t="shared" si="6"/>
        <v>318</v>
      </c>
      <c r="E380" s="33">
        <v>-13.207672391037022</v>
      </c>
    </row>
    <row r="381" spans="2:5" x14ac:dyDescent="0.3">
      <c r="B381" s="56">
        <v>319</v>
      </c>
      <c r="C381" s="33">
        <v>-112.17001087532086</v>
      </c>
      <c r="D381" s="56">
        <f t="shared" si="6"/>
        <v>319</v>
      </c>
      <c r="E381" s="33">
        <v>43.185473515588811</v>
      </c>
    </row>
    <row r="382" spans="2:5" x14ac:dyDescent="0.3">
      <c r="B382" s="56">
        <v>320</v>
      </c>
      <c r="C382" s="33">
        <v>-201.44254321611092</v>
      </c>
      <c r="D382" s="56">
        <f t="shared" si="6"/>
        <v>320</v>
      </c>
      <c r="E382" s="33">
        <v>-114.49861479548801</v>
      </c>
    </row>
    <row r="383" spans="2:5" x14ac:dyDescent="0.3">
      <c r="B383" s="56">
        <v>321</v>
      </c>
      <c r="C383" s="33">
        <v>59.143237538411952</v>
      </c>
      <c r="D383" s="56">
        <f t="shared" si="6"/>
        <v>321</v>
      </c>
      <c r="E383" s="33">
        <v>-165.21364181636548</v>
      </c>
    </row>
    <row r="384" spans="2:5" x14ac:dyDescent="0.3">
      <c r="B384" s="56">
        <v>322</v>
      </c>
      <c r="C384" s="33">
        <v>-4.583465035404803</v>
      </c>
      <c r="D384" s="56">
        <f t="shared" si="6"/>
        <v>322</v>
      </c>
      <c r="E384" s="33">
        <v>-252.29768783344656</v>
      </c>
    </row>
    <row r="385" spans="2:5" x14ac:dyDescent="0.3">
      <c r="B385" s="56">
        <v>323</v>
      </c>
      <c r="C385" s="33">
        <v>-97.902532868793372</v>
      </c>
      <c r="D385" s="56">
        <f t="shared" si="6"/>
        <v>323</v>
      </c>
      <c r="E385" s="33">
        <v>-281.77738384111825</v>
      </c>
    </row>
    <row r="386" spans="2:5" x14ac:dyDescent="0.3">
      <c r="B386" s="56">
        <v>324</v>
      </c>
      <c r="C386" s="33">
        <v>-139.75142892939735</v>
      </c>
      <c r="D386" s="56">
        <f t="shared" si="6"/>
        <v>324</v>
      </c>
      <c r="E386" s="33">
        <v>-278.73875728938276</v>
      </c>
    </row>
    <row r="387" spans="2:5" x14ac:dyDescent="0.3">
      <c r="B387" s="56">
        <v>325</v>
      </c>
      <c r="C387" s="33">
        <v>-46.976666580546464</v>
      </c>
      <c r="D387" s="56">
        <f t="shared" si="6"/>
        <v>325</v>
      </c>
      <c r="E387" s="33">
        <v>48.06706100555455</v>
      </c>
    </row>
    <row r="388" spans="2:5" x14ac:dyDescent="0.3">
      <c r="B388" s="56">
        <v>326</v>
      </c>
      <c r="C388" s="33">
        <v>-426.6138572804947</v>
      </c>
      <c r="D388" s="56">
        <f t="shared" si="6"/>
        <v>326</v>
      </c>
      <c r="E388" s="33">
        <v>-17.916178205487682</v>
      </c>
    </row>
    <row r="389" spans="2:5" x14ac:dyDescent="0.3">
      <c r="B389" s="56">
        <v>327</v>
      </c>
      <c r="C389" s="33">
        <v>-91.065461600264683</v>
      </c>
      <c r="D389" s="56">
        <f t="shared" si="6"/>
        <v>327</v>
      </c>
      <c r="E389" s="33">
        <v>-143.82786727559878</v>
      </c>
    </row>
    <row r="390" spans="2:5" x14ac:dyDescent="0.3">
      <c r="B390" s="56">
        <v>328</v>
      </c>
      <c r="C390" s="33">
        <v>67.161301322337494</v>
      </c>
      <c r="D390" s="56">
        <f t="shared" si="6"/>
        <v>328</v>
      </c>
      <c r="E390" s="33">
        <v>-151.40119676448199</v>
      </c>
    </row>
    <row r="391" spans="2:5" x14ac:dyDescent="0.3">
      <c r="B391" s="56">
        <v>329</v>
      </c>
      <c r="C391" s="33">
        <v>-232.72389281028975</v>
      </c>
      <c r="D391" s="56">
        <f t="shared" si="6"/>
        <v>329</v>
      </c>
      <c r="E391" s="33">
        <v>-306.0819022875545</v>
      </c>
    </row>
    <row r="392" spans="2:5" x14ac:dyDescent="0.3">
      <c r="B392" s="56">
        <v>330</v>
      </c>
      <c r="C392" s="33">
        <v>-238.63885591529166</v>
      </c>
      <c r="D392" s="56">
        <f t="shared" si="6"/>
        <v>330</v>
      </c>
      <c r="E392" s="33">
        <v>-112.92824777584953</v>
      </c>
    </row>
    <row r="393" spans="2:5" x14ac:dyDescent="0.3">
      <c r="B393" s="56">
        <v>331</v>
      </c>
      <c r="C393" s="33">
        <v>-47.124690899970133</v>
      </c>
      <c r="D393" s="56">
        <f t="shared" si="6"/>
        <v>331</v>
      </c>
      <c r="E393" s="33">
        <v>-169.57575594721416</v>
      </c>
    </row>
    <row r="394" spans="2:5" x14ac:dyDescent="0.3">
      <c r="B394" s="56">
        <v>332</v>
      </c>
      <c r="C394" s="33">
        <v>12.765889711107819</v>
      </c>
      <c r="D394" s="56">
        <f t="shared" si="6"/>
        <v>332</v>
      </c>
      <c r="E394" s="33">
        <v>-264.16873451625139</v>
      </c>
    </row>
    <row r="395" spans="2:5" x14ac:dyDescent="0.3">
      <c r="B395" s="56">
        <v>333</v>
      </c>
      <c r="C395" s="33">
        <v>98.922276315612351</v>
      </c>
      <c r="D395" s="56">
        <f t="shared" si="6"/>
        <v>333</v>
      </c>
      <c r="E395" s="33">
        <v>65.060746806058191</v>
      </c>
    </row>
    <row r="396" spans="2:5" x14ac:dyDescent="0.3">
      <c r="B396" s="56">
        <v>334</v>
      </c>
      <c r="C396" s="33">
        <v>235.08378305512136</v>
      </c>
      <c r="D396" s="56">
        <f t="shared" si="6"/>
        <v>334</v>
      </c>
      <c r="E396" s="33">
        <v>-195.84854864889076</v>
      </c>
    </row>
    <row r="397" spans="2:5" x14ac:dyDescent="0.3">
      <c r="B397" s="56">
        <v>335</v>
      </c>
      <c r="C397" s="33">
        <v>141.38135240549713</v>
      </c>
      <c r="D397" s="56">
        <f t="shared" si="6"/>
        <v>335</v>
      </c>
      <c r="E397" s="33">
        <v>-306.45045783826163</v>
      </c>
    </row>
    <row r="398" spans="2:5" x14ac:dyDescent="0.3">
      <c r="B398" s="56">
        <v>336</v>
      </c>
      <c r="C398" s="33">
        <v>235.11154830299972</v>
      </c>
      <c r="D398" s="56">
        <f t="shared" si="6"/>
        <v>336</v>
      </c>
      <c r="E398" s="33">
        <v>-46.776444597435898</v>
      </c>
    </row>
    <row r="399" spans="2:5" x14ac:dyDescent="0.3">
      <c r="B399" s="56">
        <v>337</v>
      </c>
      <c r="C399" s="33">
        <v>-374.79422477088622</v>
      </c>
      <c r="D399" s="56">
        <f t="shared" si="6"/>
        <v>337</v>
      </c>
      <c r="E399" s="33">
        <v>-162.25890915284634</v>
      </c>
    </row>
    <row r="400" spans="2:5" x14ac:dyDescent="0.3">
      <c r="B400" s="56">
        <v>338</v>
      </c>
      <c r="C400" s="33">
        <v>145.9482650401356</v>
      </c>
      <c r="D400" s="56">
        <f t="shared" si="6"/>
        <v>338</v>
      </c>
      <c r="E400" s="33">
        <v>-96.342331039737942</v>
      </c>
    </row>
    <row r="401" spans="2:5" x14ac:dyDescent="0.3">
      <c r="B401" s="56">
        <v>339</v>
      </c>
      <c r="C401" s="33">
        <v>-124.54149475414994</v>
      </c>
      <c r="D401" s="56">
        <f t="shared" si="6"/>
        <v>339</v>
      </c>
      <c r="E401" s="33">
        <v>218.16842612843755</v>
      </c>
    </row>
    <row r="402" spans="2:5" x14ac:dyDescent="0.3">
      <c r="B402" s="56">
        <v>340</v>
      </c>
      <c r="C402" s="33">
        <v>-136.5172561775378</v>
      </c>
      <c r="D402" s="56">
        <f t="shared" si="6"/>
        <v>340</v>
      </c>
      <c r="E402" s="33">
        <v>-9.5508981008840692</v>
      </c>
    </row>
    <row r="403" spans="2:5" x14ac:dyDescent="0.3">
      <c r="B403" s="56">
        <v>341</v>
      </c>
      <c r="C403" s="33">
        <v>213.99890271281495</v>
      </c>
      <c r="D403" s="56">
        <f t="shared" ref="D403:D466" si="7">B403</f>
        <v>341</v>
      </c>
      <c r="E403" s="33">
        <v>-81.669239741135925</v>
      </c>
    </row>
    <row r="404" spans="2:5" x14ac:dyDescent="0.3">
      <c r="B404" s="56">
        <v>342</v>
      </c>
      <c r="C404" s="33">
        <v>-246.73430811206043</v>
      </c>
      <c r="D404" s="56">
        <f t="shared" si="7"/>
        <v>342</v>
      </c>
      <c r="E404" s="33">
        <v>-120.83204250845222</v>
      </c>
    </row>
    <row r="405" spans="2:5" x14ac:dyDescent="0.3">
      <c r="B405" s="56">
        <v>343</v>
      </c>
      <c r="C405" s="33">
        <v>227.93559744088427</v>
      </c>
      <c r="D405" s="56">
        <f t="shared" si="7"/>
        <v>343</v>
      </c>
      <c r="E405" s="33">
        <v>-96.250678122792877</v>
      </c>
    </row>
    <row r="406" spans="2:5" x14ac:dyDescent="0.3">
      <c r="B406" s="56">
        <v>344</v>
      </c>
      <c r="C406" s="33">
        <v>-170.35478235278353</v>
      </c>
      <c r="D406" s="56">
        <f t="shared" si="7"/>
        <v>344</v>
      </c>
      <c r="E406" s="33">
        <v>-48.3743625610023</v>
      </c>
    </row>
    <row r="407" spans="2:5" x14ac:dyDescent="0.3">
      <c r="B407" s="56">
        <v>345</v>
      </c>
      <c r="C407" s="33">
        <v>-298.40491071103912</v>
      </c>
      <c r="D407" s="56">
        <f t="shared" si="7"/>
        <v>345</v>
      </c>
      <c r="E407" s="33">
        <v>-108.17294271734345</v>
      </c>
    </row>
    <row r="408" spans="2:5" x14ac:dyDescent="0.3">
      <c r="B408" s="56">
        <v>346</v>
      </c>
      <c r="C408" s="33">
        <v>-332.08194484166455</v>
      </c>
      <c r="D408" s="56">
        <f t="shared" si="7"/>
        <v>346</v>
      </c>
      <c r="E408" s="33">
        <v>-155.89868961502361</v>
      </c>
    </row>
    <row r="409" spans="2:5" x14ac:dyDescent="0.3">
      <c r="B409" s="56">
        <v>347</v>
      </c>
      <c r="C409" s="33">
        <v>11.180278291591275</v>
      </c>
      <c r="D409" s="56">
        <f t="shared" si="7"/>
        <v>347</v>
      </c>
      <c r="E409" s="33">
        <v>117.83681208449967</v>
      </c>
    </row>
    <row r="410" spans="2:5" x14ac:dyDescent="0.3">
      <c r="B410" s="56">
        <v>348</v>
      </c>
      <c r="C410" s="33">
        <v>61.742827566207055</v>
      </c>
      <c r="D410" s="56">
        <f t="shared" si="7"/>
        <v>348</v>
      </c>
      <c r="E410" s="33">
        <v>-189.60053546555196</v>
      </c>
    </row>
    <row r="411" spans="2:5" x14ac:dyDescent="0.3">
      <c r="B411" s="56">
        <v>349</v>
      </c>
      <c r="C411" s="33">
        <v>-181.81198554843559</v>
      </c>
      <c r="D411" s="56">
        <f t="shared" si="7"/>
        <v>349</v>
      </c>
      <c r="E411" s="33">
        <v>-113.77468255013585</v>
      </c>
    </row>
    <row r="412" spans="2:5" x14ac:dyDescent="0.3">
      <c r="B412" s="56">
        <v>350</v>
      </c>
      <c r="C412" s="33">
        <v>-118.32038966479142</v>
      </c>
      <c r="D412" s="56">
        <f t="shared" si="7"/>
        <v>350</v>
      </c>
      <c r="E412" s="33">
        <v>-237.51637402109063</v>
      </c>
    </row>
    <row r="413" spans="2:5" x14ac:dyDescent="0.3">
      <c r="B413" s="56">
        <v>351</v>
      </c>
      <c r="C413" s="33">
        <v>-92.501423032513088</v>
      </c>
      <c r="D413" s="56">
        <f t="shared" si="7"/>
        <v>351</v>
      </c>
      <c r="E413" s="33">
        <v>-189.86411124350406</v>
      </c>
    </row>
    <row r="414" spans="2:5" x14ac:dyDescent="0.3">
      <c r="B414" s="56">
        <v>352</v>
      </c>
      <c r="C414" s="33">
        <v>-66.281905985649956</v>
      </c>
      <c r="D414" s="56">
        <f t="shared" si="7"/>
        <v>352</v>
      </c>
      <c r="E414" s="33">
        <v>-125.42516727440147</v>
      </c>
    </row>
    <row r="415" spans="2:5" x14ac:dyDescent="0.3">
      <c r="B415" s="56">
        <v>353</v>
      </c>
      <c r="C415" s="33">
        <v>27.640792605514783</v>
      </c>
      <c r="D415" s="56">
        <f t="shared" si="7"/>
        <v>353</v>
      </c>
      <c r="E415" s="33">
        <v>-307.3952578658305</v>
      </c>
    </row>
    <row r="416" spans="2:5" x14ac:dyDescent="0.3">
      <c r="B416" s="56">
        <v>354</v>
      </c>
      <c r="C416" s="33">
        <v>-152.53709070537616</v>
      </c>
      <c r="D416" s="56">
        <f t="shared" si="7"/>
        <v>354</v>
      </c>
      <c r="E416" s="33">
        <v>-187.38392566061995</v>
      </c>
    </row>
    <row r="417" spans="2:5" x14ac:dyDescent="0.3">
      <c r="B417" s="56">
        <v>355</v>
      </c>
      <c r="C417" s="33">
        <v>123.721057617349</v>
      </c>
      <c r="D417" s="56">
        <f t="shared" si="7"/>
        <v>355</v>
      </c>
      <c r="E417" s="33">
        <v>-163.73055265890693</v>
      </c>
    </row>
    <row r="418" spans="2:5" x14ac:dyDescent="0.3">
      <c r="B418" s="56">
        <v>356</v>
      </c>
      <c r="C418" s="33">
        <v>154.42399217925512</v>
      </c>
      <c r="D418" s="56">
        <f t="shared" si="7"/>
        <v>356</v>
      </c>
      <c r="E418" s="33">
        <v>-179.370162434988</v>
      </c>
    </row>
    <row r="419" spans="2:5" x14ac:dyDescent="0.3">
      <c r="B419" s="56">
        <v>357</v>
      </c>
      <c r="C419" s="33">
        <v>149.17575747307345</v>
      </c>
      <c r="D419" s="56">
        <f t="shared" si="7"/>
        <v>357</v>
      </c>
      <c r="E419" s="33">
        <v>-357.34670795129557</v>
      </c>
    </row>
    <row r="420" spans="2:5" x14ac:dyDescent="0.3">
      <c r="B420" s="56">
        <v>358</v>
      </c>
      <c r="C420" s="33">
        <v>86.718796635023409</v>
      </c>
      <c r="D420" s="56">
        <f t="shared" si="7"/>
        <v>358</v>
      </c>
      <c r="E420" s="33">
        <v>-240.23578883634571</v>
      </c>
    </row>
    <row r="421" spans="2:5" x14ac:dyDescent="0.3">
      <c r="B421" s="56">
        <v>359</v>
      </c>
      <c r="C421" s="33">
        <v>-43.948407136537369</v>
      </c>
      <c r="D421" s="56">
        <f t="shared" si="7"/>
        <v>359</v>
      </c>
      <c r="E421" s="33">
        <v>-163.4351429017228</v>
      </c>
    </row>
    <row r="422" spans="2:5" x14ac:dyDescent="0.3">
      <c r="B422" s="56">
        <v>360</v>
      </c>
      <c r="C422" s="33">
        <v>-145.67602450762649</v>
      </c>
      <c r="D422" s="56">
        <f t="shared" si="7"/>
        <v>360</v>
      </c>
      <c r="E422" s="33">
        <v>-111.87037686705929</v>
      </c>
    </row>
    <row r="423" spans="2:5" x14ac:dyDescent="0.3">
      <c r="B423" s="56">
        <v>361</v>
      </c>
      <c r="C423" s="33">
        <v>-132.38782980244483</v>
      </c>
      <c r="D423" s="56">
        <f t="shared" si="7"/>
        <v>361</v>
      </c>
      <c r="E423" s="33">
        <v>-367.33584745002412</v>
      </c>
    </row>
    <row r="424" spans="2:5" x14ac:dyDescent="0.3">
      <c r="B424" s="56">
        <v>362</v>
      </c>
      <c r="C424" s="33">
        <v>-228.11920669759363</v>
      </c>
      <c r="D424" s="56">
        <f t="shared" si="7"/>
        <v>362</v>
      </c>
      <c r="E424" s="33">
        <v>-98.793985792400676</v>
      </c>
    </row>
    <row r="425" spans="2:5" x14ac:dyDescent="0.3">
      <c r="B425" s="56">
        <v>363</v>
      </c>
      <c r="C425" s="33">
        <v>-51.348774390345454</v>
      </c>
      <c r="D425" s="56">
        <f t="shared" si="7"/>
        <v>363</v>
      </c>
      <c r="E425" s="33">
        <v>-149.05293626075547</v>
      </c>
    </row>
    <row r="426" spans="2:5" x14ac:dyDescent="0.3">
      <c r="B426" s="56">
        <v>364</v>
      </c>
      <c r="C426" s="33">
        <v>-128.33053961515674</v>
      </c>
      <c r="D426" s="56">
        <f t="shared" si="7"/>
        <v>364</v>
      </c>
      <c r="E426" s="33">
        <v>-327.42700335939412</v>
      </c>
    </row>
    <row r="427" spans="2:5" x14ac:dyDescent="0.3">
      <c r="B427" s="56">
        <v>365</v>
      </c>
      <c r="C427" s="33">
        <v>-163.0120910323316</v>
      </c>
      <c r="D427" s="56">
        <f t="shared" si="7"/>
        <v>365</v>
      </c>
      <c r="E427" s="33">
        <v>-117.57911346046535</v>
      </c>
    </row>
    <row r="428" spans="2:5" x14ac:dyDescent="0.3">
      <c r="B428" s="56">
        <v>366</v>
      </c>
      <c r="C428" s="33">
        <v>-43.225191637420849</v>
      </c>
      <c r="D428" s="56">
        <f t="shared" si="7"/>
        <v>366</v>
      </c>
      <c r="E428" s="33">
        <v>-361.66186950102451</v>
      </c>
    </row>
    <row r="429" spans="2:5" x14ac:dyDescent="0.3">
      <c r="B429" s="56">
        <v>367</v>
      </c>
      <c r="C429" s="33">
        <v>90.025900704522726</v>
      </c>
      <c r="D429" s="56">
        <f t="shared" si="7"/>
        <v>367</v>
      </c>
      <c r="E429" s="33">
        <v>-186.70035338661523</v>
      </c>
    </row>
    <row r="430" spans="2:5" x14ac:dyDescent="0.3">
      <c r="B430" s="56">
        <v>368</v>
      </c>
      <c r="C430" s="33">
        <v>-144.10244019240292</v>
      </c>
      <c r="D430" s="56">
        <f t="shared" si="7"/>
        <v>368</v>
      </c>
      <c r="E430" s="33">
        <v>-216.03222481733076</v>
      </c>
    </row>
    <row r="431" spans="2:5" x14ac:dyDescent="0.3">
      <c r="B431" s="56">
        <v>369</v>
      </c>
      <c r="C431" s="33">
        <v>-151.97664036058791</v>
      </c>
      <c r="D431" s="56">
        <f t="shared" si="7"/>
        <v>369</v>
      </c>
      <c r="E431" s="33">
        <v>-186.00482150104909</v>
      </c>
    </row>
    <row r="432" spans="2:5" x14ac:dyDescent="0.3">
      <c r="B432" s="56">
        <v>370</v>
      </c>
      <c r="C432" s="33">
        <v>-99.583090940250983</v>
      </c>
      <c r="D432" s="56">
        <f t="shared" si="7"/>
        <v>370</v>
      </c>
      <c r="E432" s="33">
        <v>-317.27376575834796</v>
      </c>
    </row>
    <row r="433" spans="2:5" x14ac:dyDescent="0.3">
      <c r="B433" s="56">
        <v>371</v>
      </c>
      <c r="C433" s="33">
        <v>-127.21879902883141</v>
      </c>
      <c r="D433" s="56">
        <f t="shared" si="7"/>
        <v>371</v>
      </c>
      <c r="E433" s="33">
        <v>4.2327187946579556</v>
      </c>
    </row>
    <row r="434" spans="2:5" x14ac:dyDescent="0.3">
      <c r="B434" s="56">
        <v>372</v>
      </c>
      <c r="C434" s="33">
        <v>506.16290575817334</v>
      </c>
      <c r="D434" s="56">
        <f t="shared" si="7"/>
        <v>372</v>
      </c>
      <c r="E434" s="33">
        <v>-220.71458558863583</v>
      </c>
    </row>
    <row r="435" spans="2:5" x14ac:dyDescent="0.3">
      <c r="B435" s="56">
        <v>373</v>
      </c>
      <c r="C435" s="33">
        <v>-354.02266920230005</v>
      </c>
      <c r="D435" s="56">
        <f t="shared" si="7"/>
        <v>373</v>
      </c>
      <c r="E435" s="33">
        <v>-145.75167485684995</v>
      </c>
    </row>
    <row r="436" spans="2:5" x14ac:dyDescent="0.3">
      <c r="B436" s="56">
        <v>374</v>
      </c>
      <c r="C436" s="33">
        <v>-273.48802243197241</v>
      </c>
      <c r="D436" s="56">
        <f t="shared" si="7"/>
        <v>374</v>
      </c>
      <c r="E436" s="33">
        <v>-370.69224271076564</v>
      </c>
    </row>
    <row r="437" spans="2:5" x14ac:dyDescent="0.3">
      <c r="B437" s="56">
        <v>375</v>
      </c>
      <c r="C437" s="33">
        <v>58.759712543524671</v>
      </c>
      <c r="D437" s="56">
        <f t="shared" si="7"/>
        <v>375</v>
      </c>
      <c r="E437" s="33">
        <v>105.04932935136719</v>
      </c>
    </row>
    <row r="438" spans="2:5" x14ac:dyDescent="0.3">
      <c r="B438" s="56">
        <v>376</v>
      </c>
      <c r="C438" s="33">
        <v>-203.81945088119784</v>
      </c>
      <c r="D438" s="56">
        <f t="shared" si="7"/>
        <v>376</v>
      </c>
      <c r="E438" s="33">
        <v>61.807726875879723</v>
      </c>
    </row>
    <row r="439" spans="2:5" x14ac:dyDescent="0.3">
      <c r="B439" s="56">
        <v>377</v>
      </c>
      <c r="C439" s="33">
        <v>-108.97768762220394</v>
      </c>
      <c r="D439" s="56">
        <f t="shared" si="7"/>
        <v>377</v>
      </c>
      <c r="E439" s="33">
        <v>18.25239918430573</v>
      </c>
    </row>
    <row r="440" spans="2:5" x14ac:dyDescent="0.3">
      <c r="B440" s="56">
        <v>378</v>
      </c>
      <c r="C440" s="33">
        <v>37.256026449808417</v>
      </c>
      <c r="D440" s="56">
        <f t="shared" si="7"/>
        <v>378</v>
      </c>
      <c r="E440" s="33">
        <v>-148.9843705809289</v>
      </c>
    </row>
    <row r="441" spans="2:5" x14ac:dyDescent="0.3">
      <c r="B441" s="56">
        <v>379</v>
      </c>
      <c r="C441" s="33">
        <v>-55.207106928438236</v>
      </c>
      <c r="D441" s="56">
        <f t="shared" si="7"/>
        <v>379</v>
      </c>
      <c r="E441" s="33">
        <v>-146.63573003076874</v>
      </c>
    </row>
    <row r="442" spans="2:5" x14ac:dyDescent="0.3">
      <c r="B442" s="56">
        <v>380</v>
      </c>
      <c r="C442" s="33">
        <v>31.514686550018634</v>
      </c>
      <c r="D442" s="56">
        <f t="shared" si="7"/>
        <v>380</v>
      </c>
      <c r="E442" s="33">
        <v>-163.1788436239716</v>
      </c>
    </row>
    <row r="443" spans="2:5" x14ac:dyDescent="0.3">
      <c r="B443" s="56">
        <v>381</v>
      </c>
      <c r="C443" s="33">
        <v>-333.62636553751236</v>
      </c>
      <c r="D443" s="56">
        <f t="shared" si="7"/>
        <v>381</v>
      </c>
      <c r="E443" s="33">
        <v>-145.44003475498909</v>
      </c>
    </row>
    <row r="444" spans="2:5" x14ac:dyDescent="0.3">
      <c r="B444" s="56">
        <v>382</v>
      </c>
      <c r="C444" s="33">
        <v>-166.50566894470396</v>
      </c>
      <c r="D444" s="56">
        <f t="shared" si="7"/>
        <v>382</v>
      </c>
      <c r="E444" s="33">
        <v>-22.45146999665468</v>
      </c>
    </row>
    <row r="445" spans="2:5" x14ac:dyDescent="0.3">
      <c r="B445" s="56">
        <v>383</v>
      </c>
      <c r="C445" s="33">
        <v>-34.293920614400278</v>
      </c>
      <c r="D445" s="56">
        <f t="shared" si="7"/>
        <v>383</v>
      </c>
      <c r="E445" s="33">
        <v>-178.09647817188167</v>
      </c>
    </row>
    <row r="446" spans="2:5" x14ac:dyDescent="0.3">
      <c r="B446" s="56">
        <v>384</v>
      </c>
      <c r="C446" s="33">
        <v>-154.86415491693518</v>
      </c>
      <c r="D446" s="56">
        <f t="shared" si="7"/>
        <v>384</v>
      </c>
      <c r="E446" s="33">
        <v>-186.23321433383438</v>
      </c>
    </row>
    <row r="447" spans="2:5" x14ac:dyDescent="0.3">
      <c r="B447" s="56">
        <v>385</v>
      </c>
      <c r="C447" s="33">
        <v>103.27587353280336</v>
      </c>
      <c r="D447" s="56">
        <f t="shared" si="7"/>
        <v>385</v>
      </c>
      <c r="E447" s="33">
        <v>-121.82405958888052</v>
      </c>
    </row>
    <row r="448" spans="2:5" x14ac:dyDescent="0.3">
      <c r="B448" s="56">
        <v>386</v>
      </c>
      <c r="C448" s="33">
        <v>-163.72496176683825</v>
      </c>
      <c r="D448" s="56">
        <f t="shared" si="7"/>
        <v>386</v>
      </c>
      <c r="E448" s="33">
        <v>-185.52443608648173</v>
      </c>
    </row>
    <row r="449" spans="2:5" x14ac:dyDescent="0.3">
      <c r="B449" s="56">
        <v>387</v>
      </c>
      <c r="C449" s="33">
        <v>-243.74227315955585</v>
      </c>
      <c r="D449" s="56">
        <f t="shared" si="7"/>
        <v>387</v>
      </c>
      <c r="E449" s="33">
        <v>87.338362932730817</v>
      </c>
    </row>
    <row r="450" spans="2:5" x14ac:dyDescent="0.3">
      <c r="B450" s="56">
        <v>388</v>
      </c>
      <c r="C450" s="33">
        <v>167.63824838444376</v>
      </c>
      <c r="D450" s="56">
        <f t="shared" si="7"/>
        <v>388</v>
      </c>
      <c r="E450" s="33">
        <v>-174.63532595619219</v>
      </c>
    </row>
    <row r="451" spans="2:5" x14ac:dyDescent="0.3">
      <c r="B451" s="56">
        <v>389</v>
      </c>
      <c r="C451" s="33">
        <v>22.684717828272024</v>
      </c>
      <c r="D451" s="56">
        <f t="shared" si="7"/>
        <v>389</v>
      </c>
      <c r="E451" s="33">
        <v>-80.136428853843526</v>
      </c>
    </row>
    <row r="452" spans="2:5" x14ac:dyDescent="0.3">
      <c r="B452" s="56">
        <v>390</v>
      </c>
      <c r="C452" s="33">
        <v>18.653337526140902</v>
      </c>
      <c r="D452" s="56">
        <f t="shared" si="7"/>
        <v>390</v>
      </c>
      <c r="E452" s="33">
        <v>-132.93190096650505</v>
      </c>
    </row>
    <row r="453" spans="2:5" x14ac:dyDescent="0.3">
      <c r="B453" s="56">
        <v>391</v>
      </c>
      <c r="C453" s="33">
        <v>-138.99057230190323</v>
      </c>
      <c r="D453" s="56">
        <f t="shared" si="7"/>
        <v>391</v>
      </c>
      <c r="E453" s="33">
        <v>-251.49765623180033</v>
      </c>
    </row>
    <row r="454" spans="2:5" x14ac:dyDescent="0.3">
      <c r="B454" s="56">
        <v>392</v>
      </c>
      <c r="C454" s="33">
        <v>-48.509666617325898</v>
      </c>
      <c r="D454" s="56">
        <f t="shared" si="7"/>
        <v>392</v>
      </c>
      <c r="E454" s="33">
        <v>-145.89425515442369</v>
      </c>
    </row>
    <row r="455" spans="2:5" x14ac:dyDescent="0.3">
      <c r="B455" s="56">
        <v>393</v>
      </c>
      <c r="C455" s="33">
        <v>-6.3396660318342484</v>
      </c>
      <c r="D455" s="56">
        <f t="shared" si="7"/>
        <v>393</v>
      </c>
      <c r="E455" s="33">
        <v>-211.01093124642489</v>
      </c>
    </row>
    <row r="456" spans="2:5" x14ac:dyDescent="0.3">
      <c r="B456" s="56">
        <v>394</v>
      </c>
      <c r="C456" s="33">
        <v>135.69457392753307</v>
      </c>
      <c r="D456" s="56">
        <f t="shared" si="7"/>
        <v>394</v>
      </c>
      <c r="E456" s="33">
        <v>48.805553201868477</v>
      </c>
    </row>
    <row r="457" spans="2:5" x14ac:dyDescent="0.3">
      <c r="B457" s="56">
        <v>395</v>
      </c>
      <c r="C457" s="33">
        <v>-7.7472448276828558</v>
      </c>
      <c r="D457" s="56">
        <f t="shared" si="7"/>
        <v>395</v>
      </c>
      <c r="E457" s="33">
        <v>-174.74172643841888</v>
      </c>
    </row>
    <row r="458" spans="2:5" x14ac:dyDescent="0.3">
      <c r="B458" s="56">
        <v>396</v>
      </c>
      <c r="C458" s="33">
        <v>-16.526963735528881</v>
      </c>
      <c r="D458" s="56">
        <f t="shared" si="7"/>
        <v>396</v>
      </c>
      <c r="E458" s="33">
        <v>-7.8106402460523725</v>
      </c>
    </row>
    <row r="459" spans="2:5" x14ac:dyDescent="0.3">
      <c r="B459" s="56">
        <v>397</v>
      </c>
      <c r="C459" s="33">
        <v>-186.99562197794057</v>
      </c>
      <c r="D459" s="56">
        <f t="shared" si="7"/>
        <v>397</v>
      </c>
      <c r="E459" s="33">
        <v>-68.277217793926013</v>
      </c>
    </row>
    <row r="460" spans="2:5" x14ac:dyDescent="0.3">
      <c r="B460" s="56">
        <v>398</v>
      </c>
      <c r="C460" s="33">
        <v>-352.89023042644305</v>
      </c>
      <c r="D460" s="56">
        <f t="shared" si="7"/>
        <v>398</v>
      </c>
      <c r="E460" s="33">
        <v>-348.94780663108747</v>
      </c>
    </row>
    <row r="461" spans="2:5" x14ac:dyDescent="0.3">
      <c r="B461" s="56">
        <v>399</v>
      </c>
      <c r="C461" s="33">
        <v>-91.850627680921491</v>
      </c>
      <c r="D461" s="56">
        <f t="shared" si="7"/>
        <v>399</v>
      </c>
      <c r="E461" s="33">
        <v>-322.40170891947162</v>
      </c>
    </row>
    <row r="462" spans="2:5" x14ac:dyDescent="0.3">
      <c r="B462" s="56">
        <v>400</v>
      </c>
      <c r="C462" s="33">
        <v>154.5243568423125</v>
      </c>
      <c r="D462" s="56">
        <f t="shared" si="7"/>
        <v>400</v>
      </c>
      <c r="E462" s="33">
        <v>-223.36047286158777</v>
      </c>
    </row>
    <row r="463" spans="2:5" x14ac:dyDescent="0.3">
      <c r="B463" s="56">
        <v>401</v>
      </c>
      <c r="C463" s="33">
        <v>-316.88044478613864</v>
      </c>
      <c r="D463" s="56">
        <f t="shared" si="7"/>
        <v>401</v>
      </c>
      <c r="E463" s="33">
        <v>-158.18742218519975</v>
      </c>
    </row>
    <row r="464" spans="2:5" x14ac:dyDescent="0.3">
      <c r="B464" s="56">
        <v>402</v>
      </c>
      <c r="C464" s="33">
        <v>-103.02890102554102</v>
      </c>
      <c r="D464" s="56">
        <f t="shared" si="7"/>
        <v>402</v>
      </c>
      <c r="E464" s="33">
        <v>-120.03913928074792</v>
      </c>
    </row>
    <row r="465" spans="2:5" x14ac:dyDescent="0.3">
      <c r="B465" s="56">
        <v>403</v>
      </c>
      <c r="C465" s="33">
        <v>-214.89469894830674</v>
      </c>
      <c r="D465" s="56">
        <f t="shared" si="7"/>
        <v>403</v>
      </c>
      <c r="E465" s="33">
        <v>33.699698783136753</v>
      </c>
    </row>
    <row r="466" spans="2:5" x14ac:dyDescent="0.3">
      <c r="B466" s="56">
        <v>404</v>
      </c>
      <c r="C466" s="33">
        <v>-180.77960157270536</v>
      </c>
      <c r="D466" s="56">
        <f t="shared" si="7"/>
        <v>404</v>
      </c>
      <c r="E466" s="33">
        <v>-42.101801571395043</v>
      </c>
    </row>
    <row r="467" spans="2:5" x14ac:dyDescent="0.3">
      <c r="B467" s="56">
        <v>405</v>
      </c>
      <c r="C467" s="33">
        <v>-373.00636263611801</v>
      </c>
      <c r="D467" s="56">
        <f t="shared" ref="D467:D530" si="8">B467</f>
        <v>405</v>
      </c>
      <c r="E467" s="33">
        <v>-340.65935539153259</v>
      </c>
    </row>
    <row r="468" spans="2:5" x14ac:dyDescent="0.3">
      <c r="B468" s="56">
        <v>406</v>
      </c>
      <c r="C468" s="33">
        <v>-532.78797302129306</v>
      </c>
      <c r="D468" s="56">
        <f t="shared" si="8"/>
        <v>406</v>
      </c>
      <c r="E468" s="33">
        <v>-149.653624907064</v>
      </c>
    </row>
    <row r="469" spans="2:5" x14ac:dyDescent="0.3">
      <c r="B469" s="56">
        <v>407</v>
      </c>
      <c r="C469" s="33">
        <v>113.84510009325386</v>
      </c>
      <c r="D469" s="56">
        <f t="shared" si="8"/>
        <v>407</v>
      </c>
      <c r="E469" s="33">
        <v>-309.87023974420936</v>
      </c>
    </row>
    <row r="470" spans="2:5" x14ac:dyDescent="0.3">
      <c r="B470" s="56">
        <v>408</v>
      </c>
      <c r="C470" s="33">
        <v>87.783190079024635</v>
      </c>
      <c r="D470" s="56">
        <f t="shared" si="8"/>
        <v>408</v>
      </c>
      <c r="E470" s="33">
        <v>-5.819663305451769</v>
      </c>
    </row>
    <row r="471" spans="2:5" x14ac:dyDescent="0.3">
      <c r="B471" s="56">
        <v>409</v>
      </c>
      <c r="C471" s="33">
        <v>20.508154016280681</v>
      </c>
      <c r="D471" s="56">
        <f t="shared" si="8"/>
        <v>409</v>
      </c>
      <c r="E471" s="33">
        <v>-452.17559748572091</v>
      </c>
    </row>
    <row r="472" spans="2:5" x14ac:dyDescent="0.3">
      <c r="B472" s="56">
        <v>410</v>
      </c>
      <c r="C472" s="33">
        <v>-123.61702416985756</v>
      </c>
      <c r="D472" s="56">
        <f t="shared" si="8"/>
        <v>410</v>
      </c>
      <c r="E472" s="33">
        <v>-62.843771188711173</v>
      </c>
    </row>
    <row r="473" spans="2:5" x14ac:dyDescent="0.3">
      <c r="B473" s="56">
        <v>411</v>
      </c>
      <c r="C473" s="33">
        <v>-103.29255801748904</v>
      </c>
      <c r="D473" s="56">
        <f t="shared" si="8"/>
        <v>411</v>
      </c>
      <c r="E473" s="33">
        <v>-24.852458172803011</v>
      </c>
    </row>
    <row r="474" spans="2:5" x14ac:dyDescent="0.3">
      <c r="B474" s="56">
        <v>412</v>
      </c>
      <c r="C474" s="33">
        <v>-312.76066313449161</v>
      </c>
      <c r="D474" s="56">
        <f t="shared" si="8"/>
        <v>412</v>
      </c>
      <c r="E474" s="33">
        <v>65.140855494422127</v>
      </c>
    </row>
    <row r="475" spans="2:5" x14ac:dyDescent="0.3">
      <c r="B475" s="56">
        <v>413</v>
      </c>
      <c r="C475" s="33">
        <v>-166.14910495754836</v>
      </c>
      <c r="D475" s="56">
        <f t="shared" si="8"/>
        <v>413</v>
      </c>
      <c r="E475" s="33">
        <v>-161.60367132008619</v>
      </c>
    </row>
    <row r="476" spans="2:5" x14ac:dyDescent="0.3">
      <c r="B476" s="56">
        <v>414</v>
      </c>
      <c r="C476" s="33">
        <v>-157.05103411898924</v>
      </c>
      <c r="D476" s="56">
        <f t="shared" si="8"/>
        <v>414</v>
      </c>
      <c r="E476" s="33">
        <v>32.5424294032955</v>
      </c>
    </row>
    <row r="477" spans="2:5" x14ac:dyDescent="0.3">
      <c r="B477" s="56">
        <v>415</v>
      </c>
      <c r="C477" s="33">
        <v>-81.588665727356002</v>
      </c>
      <c r="D477" s="56">
        <f t="shared" si="8"/>
        <v>415</v>
      </c>
      <c r="E477" s="33">
        <v>-112.3068853517542</v>
      </c>
    </row>
    <row r="478" spans="2:5" x14ac:dyDescent="0.3">
      <c r="B478" s="56">
        <v>416</v>
      </c>
      <c r="C478" s="33">
        <v>-395.61008842124636</v>
      </c>
      <c r="D478" s="56">
        <f t="shared" si="8"/>
        <v>416</v>
      </c>
      <c r="E478" s="33">
        <v>-241.25803382245721</v>
      </c>
    </row>
    <row r="479" spans="2:5" x14ac:dyDescent="0.3">
      <c r="B479" s="56">
        <v>417</v>
      </c>
      <c r="C479" s="33">
        <v>-148.04716552226236</v>
      </c>
      <c r="D479" s="56">
        <f t="shared" si="8"/>
        <v>417</v>
      </c>
      <c r="E479" s="33">
        <v>64.680963547304259</v>
      </c>
    </row>
    <row r="480" spans="2:5" x14ac:dyDescent="0.3">
      <c r="B480" s="56">
        <v>418</v>
      </c>
      <c r="C480" s="33">
        <v>-54.484273249493114</v>
      </c>
      <c r="D480" s="56">
        <f t="shared" si="8"/>
        <v>418</v>
      </c>
      <c r="E480" s="33">
        <v>14.761317604437394</v>
      </c>
    </row>
    <row r="481" spans="2:5" x14ac:dyDescent="0.3">
      <c r="B481" s="56">
        <v>419</v>
      </c>
      <c r="C481" s="33">
        <v>42.513769862564779</v>
      </c>
      <c r="D481" s="56">
        <f t="shared" si="8"/>
        <v>419</v>
      </c>
      <c r="E481" s="33">
        <v>47.972663627094633</v>
      </c>
    </row>
    <row r="482" spans="2:5" x14ac:dyDescent="0.3">
      <c r="B482" s="56">
        <v>420</v>
      </c>
      <c r="C482" s="33">
        <v>-189.73430967738395</v>
      </c>
      <c r="D482" s="56">
        <f t="shared" si="8"/>
        <v>420</v>
      </c>
      <c r="E482" s="33">
        <v>-247.46077558907584</v>
      </c>
    </row>
    <row r="483" spans="2:5" x14ac:dyDescent="0.3">
      <c r="B483" s="56">
        <v>421</v>
      </c>
      <c r="C483" s="33">
        <v>-264.83060551006463</v>
      </c>
      <c r="D483" s="56">
        <f t="shared" si="8"/>
        <v>421</v>
      </c>
      <c r="E483" s="33">
        <v>-48.064063724634067</v>
      </c>
    </row>
    <row r="484" spans="2:5" x14ac:dyDescent="0.3">
      <c r="B484" s="56">
        <v>422</v>
      </c>
      <c r="C484" s="33">
        <v>116.94800290936041</v>
      </c>
      <c r="D484" s="56">
        <f t="shared" si="8"/>
        <v>422</v>
      </c>
      <c r="E484" s="33">
        <v>3.6282674160560191</v>
      </c>
    </row>
    <row r="485" spans="2:5" x14ac:dyDescent="0.3">
      <c r="B485" s="56">
        <v>423</v>
      </c>
      <c r="C485" s="33">
        <v>-219.57638737783753</v>
      </c>
      <c r="D485" s="56">
        <f t="shared" si="8"/>
        <v>423</v>
      </c>
      <c r="E485" s="33">
        <v>206.56820502174025</v>
      </c>
    </row>
    <row r="486" spans="2:5" x14ac:dyDescent="0.3">
      <c r="B486" s="56">
        <v>424</v>
      </c>
      <c r="C486" s="33">
        <v>-91.238751325423806</v>
      </c>
      <c r="D486" s="56">
        <f t="shared" si="8"/>
        <v>424</v>
      </c>
      <c r="E486" s="33">
        <v>-181.14190114772799</v>
      </c>
    </row>
    <row r="487" spans="2:5" x14ac:dyDescent="0.3">
      <c r="B487" s="56">
        <v>425</v>
      </c>
      <c r="C487" s="33">
        <v>-79.650433568554234</v>
      </c>
      <c r="D487" s="56">
        <f t="shared" si="8"/>
        <v>425</v>
      </c>
      <c r="E487" s="33">
        <v>-172.81050498884841</v>
      </c>
    </row>
    <row r="488" spans="2:5" x14ac:dyDescent="0.3">
      <c r="B488" s="56">
        <v>426</v>
      </c>
      <c r="C488" s="33">
        <v>-138.84598352889242</v>
      </c>
      <c r="D488" s="56">
        <f t="shared" si="8"/>
        <v>426</v>
      </c>
      <c r="E488" s="33">
        <v>-23.802000746954661</v>
      </c>
    </row>
    <row r="489" spans="2:5" x14ac:dyDescent="0.3">
      <c r="B489" s="56">
        <v>427</v>
      </c>
      <c r="C489" s="33">
        <v>60.006639721457248</v>
      </c>
      <c r="D489" s="56">
        <f t="shared" si="8"/>
        <v>427</v>
      </c>
      <c r="E489" s="33">
        <v>-95.727268138285325</v>
      </c>
    </row>
    <row r="490" spans="2:5" x14ac:dyDescent="0.3">
      <c r="B490" s="56">
        <v>428</v>
      </c>
      <c r="C490" s="33">
        <v>0.41597438267899634</v>
      </c>
      <c r="D490" s="56">
        <f t="shared" si="8"/>
        <v>428</v>
      </c>
      <c r="E490" s="33">
        <v>-88.16412598021796</v>
      </c>
    </row>
    <row r="491" spans="2:5" x14ac:dyDescent="0.3">
      <c r="B491" s="56">
        <v>429</v>
      </c>
      <c r="C491" s="33">
        <v>166.16713106328933</v>
      </c>
      <c r="D491" s="56">
        <f t="shared" si="8"/>
        <v>429</v>
      </c>
      <c r="E491" s="33">
        <v>-100.33706325141614</v>
      </c>
    </row>
    <row r="492" spans="2:5" x14ac:dyDescent="0.3">
      <c r="B492" s="56">
        <v>430</v>
      </c>
      <c r="C492" s="33">
        <v>174.33722557594572</v>
      </c>
      <c r="D492" s="56">
        <f t="shared" si="8"/>
        <v>430</v>
      </c>
      <c r="E492" s="33">
        <v>20.850000767642683</v>
      </c>
    </row>
    <row r="493" spans="2:5" x14ac:dyDescent="0.3">
      <c r="B493" s="56">
        <v>431</v>
      </c>
      <c r="C493" s="33">
        <v>-32.436958211894378</v>
      </c>
      <c r="D493" s="56">
        <f t="shared" si="8"/>
        <v>431</v>
      </c>
      <c r="E493" s="33">
        <v>-257.30398667458724</v>
      </c>
    </row>
    <row r="494" spans="2:5" x14ac:dyDescent="0.3">
      <c r="B494" s="56">
        <v>432</v>
      </c>
      <c r="C494" s="33">
        <v>22.87172268370805</v>
      </c>
      <c r="D494" s="56">
        <f t="shared" si="8"/>
        <v>432</v>
      </c>
      <c r="E494" s="33">
        <v>-147.45802328916977</v>
      </c>
    </row>
    <row r="495" spans="2:5" x14ac:dyDescent="0.3">
      <c r="B495" s="56">
        <v>433</v>
      </c>
      <c r="C495" s="33">
        <v>288.7695454276743</v>
      </c>
      <c r="D495" s="56">
        <f t="shared" si="8"/>
        <v>433</v>
      </c>
      <c r="E495" s="33">
        <v>-57.371491955690118</v>
      </c>
    </row>
    <row r="496" spans="2:5" x14ac:dyDescent="0.3">
      <c r="B496" s="56">
        <v>434</v>
      </c>
      <c r="C496" s="33">
        <v>-299.91376306046419</v>
      </c>
      <c r="D496" s="56">
        <f t="shared" si="8"/>
        <v>434</v>
      </c>
      <c r="E496" s="33">
        <v>-91.216398050320294</v>
      </c>
    </row>
    <row r="497" spans="2:5" x14ac:dyDescent="0.3">
      <c r="B497" s="56">
        <v>435</v>
      </c>
      <c r="C497" s="33">
        <v>-172.01569376621734</v>
      </c>
      <c r="D497" s="56">
        <f t="shared" si="8"/>
        <v>435</v>
      </c>
      <c r="E497" s="33">
        <v>-65.217109903628938</v>
      </c>
    </row>
    <row r="498" spans="2:5" x14ac:dyDescent="0.3">
      <c r="B498" s="56">
        <v>436</v>
      </c>
      <c r="C498" s="33">
        <v>46.372763887738301</v>
      </c>
      <c r="D498" s="56">
        <f t="shared" si="8"/>
        <v>436</v>
      </c>
      <c r="E498" s="33">
        <v>-133.68602641864072</v>
      </c>
    </row>
    <row r="499" spans="2:5" x14ac:dyDescent="0.3">
      <c r="B499" s="56">
        <v>437</v>
      </c>
      <c r="C499" s="33">
        <v>-195.21255819602919</v>
      </c>
      <c r="D499" s="56">
        <f t="shared" si="8"/>
        <v>437</v>
      </c>
      <c r="E499" s="33">
        <v>-217.49282209286773</v>
      </c>
    </row>
    <row r="500" spans="2:5" x14ac:dyDescent="0.3">
      <c r="B500" s="56">
        <v>438</v>
      </c>
      <c r="C500" s="33">
        <v>-210.87970910544135</v>
      </c>
      <c r="D500" s="56">
        <f t="shared" si="8"/>
        <v>438</v>
      </c>
      <c r="E500" s="33">
        <v>-238.39624574632518</v>
      </c>
    </row>
    <row r="501" spans="2:5" x14ac:dyDescent="0.3">
      <c r="B501" s="56">
        <v>439</v>
      </c>
      <c r="C501" s="33">
        <v>-23.889734275112449</v>
      </c>
      <c r="D501" s="56">
        <f t="shared" si="8"/>
        <v>439</v>
      </c>
      <c r="E501" s="33">
        <v>-189.33982692876467</v>
      </c>
    </row>
    <row r="502" spans="2:5" x14ac:dyDescent="0.3">
      <c r="B502" s="56">
        <v>440</v>
      </c>
      <c r="C502" s="33">
        <v>-281.65135769241044</v>
      </c>
      <c r="D502" s="56">
        <f t="shared" si="8"/>
        <v>440</v>
      </c>
      <c r="E502" s="33">
        <v>-283.31771273006325</v>
      </c>
    </row>
    <row r="503" spans="2:5" x14ac:dyDescent="0.3">
      <c r="B503" s="56">
        <v>441</v>
      </c>
      <c r="C503" s="33">
        <v>-177.59202138856134</v>
      </c>
      <c r="D503" s="56">
        <f t="shared" si="8"/>
        <v>441</v>
      </c>
      <c r="E503" s="33">
        <v>-87.498012631578064</v>
      </c>
    </row>
    <row r="504" spans="2:5" x14ac:dyDescent="0.3">
      <c r="B504" s="56">
        <v>442</v>
      </c>
      <c r="C504" s="33">
        <v>-335.33942850908886</v>
      </c>
      <c r="D504" s="56">
        <f t="shared" si="8"/>
        <v>442</v>
      </c>
      <c r="E504" s="33">
        <v>-128.56589457362716</v>
      </c>
    </row>
    <row r="505" spans="2:5" x14ac:dyDescent="0.3">
      <c r="B505" s="56">
        <v>443</v>
      </c>
      <c r="C505" s="33">
        <v>-122.34679957143513</v>
      </c>
      <c r="D505" s="56">
        <f t="shared" si="8"/>
        <v>443</v>
      </c>
      <c r="E505" s="33">
        <v>105.34149254412768</v>
      </c>
    </row>
    <row r="506" spans="2:5" x14ac:dyDescent="0.3">
      <c r="B506" s="56">
        <v>444</v>
      </c>
      <c r="C506" s="33">
        <v>-228.99552975884049</v>
      </c>
      <c r="D506" s="56">
        <f t="shared" si="8"/>
        <v>444</v>
      </c>
      <c r="E506" s="33">
        <v>-86.214087819638252</v>
      </c>
    </row>
    <row r="507" spans="2:5" x14ac:dyDescent="0.3">
      <c r="B507" s="56">
        <v>445</v>
      </c>
      <c r="C507" s="33">
        <v>-296.73665008648663</v>
      </c>
      <c r="D507" s="56">
        <f t="shared" si="8"/>
        <v>445</v>
      </c>
      <c r="E507" s="33">
        <v>-228.5225578689512</v>
      </c>
    </row>
    <row r="508" spans="2:5" x14ac:dyDescent="0.3">
      <c r="B508" s="56">
        <v>446</v>
      </c>
      <c r="C508" s="33">
        <v>49.760685884207902</v>
      </c>
      <c r="D508" s="56">
        <f t="shared" si="8"/>
        <v>446</v>
      </c>
      <c r="E508" s="33">
        <v>-155.38229976381319</v>
      </c>
    </row>
    <row r="509" spans="2:5" x14ac:dyDescent="0.3">
      <c r="B509" s="56">
        <v>447</v>
      </c>
      <c r="C509" s="33">
        <v>-34.688916070946988</v>
      </c>
      <c r="D509" s="56">
        <f t="shared" si="8"/>
        <v>447</v>
      </c>
      <c r="E509" s="33">
        <v>35.822873474299605</v>
      </c>
    </row>
    <row r="510" spans="2:5" x14ac:dyDescent="0.3">
      <c r="B510" s="56">
        <v>448</v>
      </c>
      <c r="C510" s="33">
        <v>-155.46020880910851</v>
      </c>
      <c r="D510" s="56">
        <f t="shared" si="8"/>
        <v>448</v>
      </c>
      <c r="E510" s="33">
        <v>-121.29873345763525</v>
      </c>
    </row>
    <row r="511" spans="2:5" x14ac:dyDescent="0.3">
      <c r="B511" s="56">
        <v>449</v>
      </c>
      <c r="C511" s="33">
        <v>228.07108173085464</v>
      </c>
      <c r="D511" s="56">
        <f t="shared" si="8"/>
        <v>449</v>
      </c>
      <c r="E511" s="33">
        <v>-86.477351860692593</v>
      </c>
    </row>
    <row r="512" spans="2:5" x14ac:dyDescent="0.3">
      <c r="B512" s="56">
        <v>450</v>
      </c>
      <c r="C512" s="33">
        <v>-141.55584710629228</v>
      </c>
      <c r="D512" s="56">
        <f t="shared" si="8"/>
        <v>450</v>
      </c>
      <c r="E512" s="33">
        <v>108.80596652170304</v>
      </c>
    </row>
    <row r="513" spans="2:5" x14ac:dyDescent="0.3">
      <c r="B513" s="56">
        <v>451</v>
      </c>
      <c r="C513" s="33">
        <v>-110.1710324506858</v>
      </c>
      <c r="D513" s="56">
        <f t="shared" si="8"/>
        <v>451</v>
      </c>
      <c r="E513" s="33">
        <v>95.345811602872772</v>
      </c>
    </row>
    <row r="514" spans="2:5" x14ac:dyDescent="0.3">
      <c r="B514" s="56">
        <v>452</v>
      </c>
      <c r="C514" s="33">
        <v>-93.537635664928715</v>
      </c>
      <c r="D514" s="56">
        <f t="shared" si="8"/>
        <v>452</v>
      </c>
      <c r="E514" s="33">
        <v>-222.58103785527965</v>
      </c>
    </row>
    <row r="515" spans="2:5" x14ac:dyDescent="0.3">
      <c r="B515" s="56">
        <v>453</v>
      </c>
      <c r="C515" s="33">
        <v>-95.787400663234251</v>
      </c>
      <c r="D515" s="56">
        <f t="shared" si="8"/>
        <v>453</v>
      </c>
      <c r="E515" s="33">
        <v>76.238791619842388</v>
      </c>
    </row>
    <row r="516" spans="2:5" x14ac:dyDescent="0.3">
      <c r="B516" s="56">
        <v>454</v>
      </c>
      <c r="C516" s="33">
        <v>23.257675200690862</v>
      </c>
      <c r="D516" s="56">
        <f t="shared" si="8"/>
        <v>454</v>
      </c>
      <c r="E516" s="33">
        <v>-177.48239986409629</v>
      </c>
    </row>
    <row r="517" spans="2:5" x14ac:dyDescent="0.3">
      <c r="B517" s="56">
        <v>455</v>
      </c>
      <c r="C517" s="33">
        <v>18.944441434055726</v>
      </c>
      <c r="D517" s="56">
        <f t="shared" si="8"/>
        <v>455</v>
      </c>
      <c r="E517" s="33">
        <v>-70.362914030230769</v>
      </c>
    </row>
    <row r="518" spans="2:5" x14ac:dyDescent="0.3">
      <c r="B518" s="56">
        <v>456</v>
      </c>
      <c r="C518" s="33">
        <v>-9.5524942080027841</v>
      </c>
      <c r="D518" s="56">
        <f t="shared" si="8"/>
        <v>456</v>
      </c>
      <c r="E518" s="33">
        <v>-13.444746001399096</v>
      </c>
    </row>
    <row r="519" spans="2:5" x14ac:dyDescent="0.3">
      <c r="B519" s="56">
        <v>457</v>
      </c>
      <c r="C519" s="33">
        <v>-319.38471276441237</v>
      </c>
      <c r="D519" s="56">
        <f t="shared" si="8"/>
        <v>457</v>
      </c>
      <c r="E519" s="33">
        <v>-289.29785214647472</v>
      </c>
    </row>
    <row r="520" spans="2:5" x14ac:dyDescent="0.3">
      <c r="B520" s="56">
        <v>458</v>
      </c>
      <c r="C520" s="33">
        <v>-40.281192303357159</v>
      </c>
      <c r="D520" s="56">
        <f t="shared" si="8"/>
        <v>458</v>
      </c>
      <c r="E520" s="33">
        <v>-71.290070659370571</v>
      </c>
    </row>
    <row r="521" spans="2:5" x14ac:dyDescent="0.3">
      <c r="B521" s="56">
        <v>459</v>
      </c>
      <c r="C521" s="33">
        <v>-31.938865070429323</v>
      </c>
      <c r="D521" s="56">
        <f t="shared" si="8"/>
        <v>459</v>
      </c>
      <c r="E521" s="33">
        <v>-131.15994284119307</v>
      </c>
    </row>
    <row r="522" spans="2:5" x14ac:dyDescent="0.3">
      <c r="B522" s="56">
        <v>460</v>
      </c>
      <c r="C522" s="33">
        <v>-270.88599559288548</v>
      </c>
      <c r="D522" s="56">
        <f t="shared" si="8"/>
        <v>460</v>
      </c>
      <c r="E522" s="33">
        <v>-135.81034539630505</v>
      </c>
    </row>
    <row r="523" spans="2:5" x14ac:dyDescent="0.3">
      <c r="B523" s="56">
        <v>461</v>
      </c>
      <c r="C523" s="33">
        <v>185.04540419752684</v>
      </c>
      <c r="D523" s="56">
        <f t="shared" si="8"/>
        <v>461</v>
      </c>
      <c r="E523" s="33">
        <v>-217.55132973190391</v>
      </c>
    </row>
    <row r="524" spans="2:5" x14ac:dyDescent="0.3">
      <c r="B524" s="56">
        <v>462</v>
      </c>
      <c r="C524" s="33">
        <v>117.74432320130204</v>
      </c>
      <c r="D524" s="56">
        <f t="shared" si="8"/>
        <v>462</v>
      </c>
      <c r="E524" s="33">
        <v>-375.01119356222421</v>
      </c>
    </row>
    <row r="525" spans="2:5" x14ac:dyDescent="0.3">
      <c r="B525" s="56">
        <v>463</v>
      </c>
      <c r="C525" s="33">
        <v>-111.19068952262465</v>
      </c>
      <c r="D525" s="56">
        <f t="shared" si="8"/>
        <v>463</v>
      </c>
      <c r="E525" s="33">
        <v>-214.55654240811788</v>
      </c>
    </row>
    <row r="526" spans="2:5" x14ac:dyDescent="0.3">
      <c r="B526" s="56">
        <v>464</v>
      </c>
      <c r="C526" s="33">
        <v>34.417653995619297</v>
      </c>
      <c r="D526" s="56">
        <f t="shared" si="8"/>
        <v>464</v>
      </c>
      <c r="E526" s="33">
        <v>-198.75610738604462</v>
      </c>
    </row>
    <row r="527" spans="2:5" x14ac:dyDescent="0.3">
      <c r="B527" s="56">
        <v>465</v>
      </c>
      <c r="C527" s="33">
        <v>-70.676632767995187</v>
      </c>
      <c r="D527" s="56">
        <f t="shared" si="8"/>
        <v>465</v>
      </c>
      <c r="E527" s="33">
        <v>-281.91626270379021</v>
      </c>
    </row>
    <row r="528" spans="2:5" x14ac:dyDescent="0.3">
      <c r="B528" s="56">
        <v>466</v>
      </c>
      <c r="C528" s="33">
        <v>46.801966006631737</v>
      </c>
      <c r="D528" s="56">
        <f t="shared" si="8"/>
        <v>466</v>
      </c>
      <c r="E528" s="33">
        <v>23.806118689967946</v>
      </c>
    </row>
    <row r="529" spans="2:5" x14ac:dyDescent="0.3">
      <c r="B529" s="56">
        <v>467</v>
      </c>
      <c r="C529" s="33">
        <v>13.730051811382785</v>
      </c>
      <c r="D529" s="56">
        <f t="shared" si="8"/>
        <v>467</v>
      </c>
      <c r="E529" s="33">
        <v>-53.93444501897315</v>
      </c>
    </row>
    <row r="530" spans="2:5" x14ac:dyDescent="0.3">
      <c r="B530" s="56">
        <v>468</v>
      </c>
      <c r="C530" s="33">
        <v>-62.960793332752907</v>
      </c>
      <c r="D530" s="56">
        <f t="shared" si="8"/>
        <v>468</v>
      </c>
      <c r="E530" s="33">
        <v>-301.84067689085953</v>
      </c>
    </row>
    <row r="531" spans="2:5" x14ac:dyDescent="0.3">
      <c r="B531" s="56">
        <v>469</v>
      </c>
      <c r="C531" s="33">
        <v>-315.52284470221127</v>
      </c>
      <c r="D531" s="56">
        <f t="shared" ref="D531:D562" si="9">B531</f>
        <v>469</v>
      </c>
      <c r="E531" s="33">
        <v>-257.48708354692178</v>
      </c>
    </row>
    <row r="532" spans="2:5" x14ac:dyDescent="0.3">
      <c r="B532" s="56">
        <v>470</v>
      </c>
      <c r="C532" s="33">
        <v>-122.16273387196863</v>
      </c>
      <c r="D532" s="56">
        <f t="shared" si="9"/>
        <v>470</v>
      </c>
      <c r="E532" s="33">
        <v>-297.13366149064478</v>
      </c>
    </row>
    <row r="533" spans="2:5" x14ac:dyDescent="0.3">
      <c r="B533" s="56">
        <v>471</v>
      </c>
      <c r="C533" s="33">
        <v>-63.678704468984684</v>
      </c>
      <c r="D533" s="56">
        <f t="shared" si="9"/>
        <v>471</v>
      </c>
      <c r="E533" s="33">
        <v>-353.02355387542423</v>
      </c>
    </row>
    <row r="534" spans="2:5" x14ac:dyDescent="0.3">
      <c r="B534" s="56">
        <v>472</v>
      </c>
      <c r="C534" s="33">
        <v>-317.45681571309871</v>
      </c>
      <c r="D534" s="56">
        <f t="shared" si="9"/>
        <v>472</v>
      </c>
      <c r="E534" s="33">
        <v>-235.28755934869469</v>
      </c>
    </row>
    <row r="535" spans="2:5" x14ac:dyDescent="0.3">
      <c r="B535" s="56">
        <v>473</v>
      </c>
      <c r="C535" s="33">
        <v>-306.01580105068211</v>
      </c>
      <c r="D535" s="56">
        <f t="shared" si="9"/>
        <v>473</v>
      </c>
      <c r="E535" s="33">
        <v>-107.62400708989351</v>
      </c>
    </row>
    <row r="536" spans="2:5" x14ac:dyDescent="0.3">
      <c r="B536" s="56">
        <v>474</v>
      </c>
      <c r="C536" s="33">
        <v>221.32221959322027</v>
      </c>
      <c r="D536" s="56">
        <f t="shared" si="9"/>
        <v>474</v>
      </c>
      <c r="E536" s="33">
        <v>-166.07238680302686</v>
      </c>
    </row>
    <row r="537" spans="2:5" x14ac:dyDescent="0.3">
      <c r="B537" s="56">
        <v>475</v>
      </c>
      <c r="C537" s="33">
        <v>-230.6740344172803</v>
      </c>
      <c r="D537" s="56">
        <f t="shared" si="9"/>
        <v>475</v>
      </c>
      <c r="E537" s="33">
        <v>-75.672925627446091</v>
      </c>
    </row>
    <row r="538" spans="2:5" x14ac:dyDescent="0.3">
      <c r="B538" s="56">
        <v>476</v>
      </c>
      <c r="C538" s="33">
        <v>-24.473712140864588</v>
      </c>
      <c r="D538" s="56">
        <f t="shared" si="9"/>
        <v>476</v>
      </c>
      <c r="E538" s="33">
        <v>183.5941836553846</v>
      </c>
    </row>
    <row r="539" spans="2:5" x14ac:dyDescent="0.3">
      <c r="B539" s="56">
        <v>477</v>
      </c>
      <c r="C539" s="33">
        <v>-177.7534018660705</v>
      </c>
      <c r="D539" s="56">
        <f t="shared" si="9"/>
        <v>477</v>
      </c>
      <c r="E539" s="33">
        <v>-116.96047703197968</v>
      </c>
    </row>
    <row r="540" spans="2:5" x14ac:dyDescent="0.3">
      <c r="B540" s="56">
        <v>478</v>
      </c>
      <c r="C540" s="33">
        <v>-207.30125746510927</v>
      </c>
      <c r="D540" s="56">
        <f t="shared" si="9"/>
        <v>478</v>
      </c>
      <c r="E540" s="33">
        <v>-94.897685841391592</v>
      </c>
    </row>
    <row r="541" spans="2:5" x14ac:dyDescent="0.3">
      <c r="B541" s="56">
        <v>479</v>
      </c>
      <c r="C541" s="33">
        <v>-186.9845969231323</v>
      </c>
      <c r="D541" s="56">
        <f t="shared" si="9"/>
        <v>479</v>
      </c>
      <c r="E541" s="33">
        <v>-162.68890916668852</v>
      </c>
    </row>
    <row r="542" spans="2:5" x14ac:dyDescent="0.3">
      <c r="B542" s="56">
        <v>480</v>
      </c>
      <c r="C542" s="33">
        <v>-179.58064354588694</v>
      </c>
      <c r="D542" s="56">
        <f t="shared" si="9"/>
        <v>480</v>
      </c>
      <c r="E542" s="33">
        <v>70.312382380278706</v>
      </c>
    </row>
    <row r="543" spans="2:5" x14ac:dyDescent="0.3">
      <c r="B543" s="56">
        <v>481</v>
      </c>
      <c r="C543" s="33">
        <v>8.9272568680453954</v>
      </c>
      <c r="D543" s="56">
        <f t="shared" si="9"/>
        <v>481</v>
      </c>
      <c r="E543" s="33">
        <v>159.40018674024935</v>
      </c>
    </row>
    <row r="544" spans="2:5" x14ac:dyDescent="0.3">
      <c r="B544" s="56">
        <v>482</v>
      </c>
      <c r="C544" s="33">
        <v>-101.62149699221457</v>
      </c>
      <c r="D544" s="56">
        <f t="shared" si="9"/>
        <v>482</v>
      </c>
      <c r="E544" s="33">
        <v>-233.296444822696</v>
      </c>
    </row>
    <row r="545" spans="2:5" x14ac:dyDescent="0.3">
      <c r="B545" s="56">
        <v>483</v>
      </c>
      <c r="C545" s="33">
        <v>-252.9666893138502</v>
      </c>
      <c r="D545" s="56">
        <f t="shared" si="9"/>
        <v>483</v>
      </c>
      <c r="E545" s="33">
        <v>13.046962837132611</v>
      </c>
    </row>
    <row r="546" spans="2:5" x14ac:dyDescent="0.3">
      <c r="B546" s="56">
        <v>484</v>
      </c>
      <c r="C546" s="33">
        <v>318.03110413104201</v>
      </c>
      <c r="D546" s="56">
        <f t="shared" si="9"/>
        <v>484</v>
      </c>
      <c r="E546" s="33">
        <v>-112.69874341690851</v>
      </c>
    </row>
    <row r="547" spans="2:5" x14ac:dyDescent="0.3">
      <c r="B547" s="56">
        <v>485</v>
      </c>
      <c r="C547" s="33">
        <v>46.488355972827783</v>
      </c>
      <c r="D547" s="56">
        <f t="shared" si="9"/>
        <v>485</v>
      </c>
      <c r="E547" s="33">
        <v>-276.68020898038759</v>
      </c>
    </row>
    <row r="548" spans="2:5" x14ac:dyDescent="0.3">
      <c r="B548" s="56">
        <v>486</v>
      </c>
      <c r="C548" s="33">
        <v>-112.03814097769362</v>
      </c>
      <c r="D548" s="56">
        <f t="shared" si="9"/>
        <v>486</v>
      </c>
      <c r="E548" s="33">
        <v>-211.900142703791</v>
      </c>
    </row>
    <row r="549" spans="2:5" x14ac:dyDescent="0.3">
      <c r="B549" s="56">
        <v>487</v>
      </c>
      <c r="C549" s="33">
        <v>203.61258994138791</v>
      </c>
      <c r="D549" s="56">
        <f t="shared" si="9"/>
        <v>487</v>
      </c>
      <c r="E549" s="33">
        <v>-201.81106334940466</v>
      </c>
    </row>
    <row r="550" spans="2:5" x14ac:dyDescent="0.3">
      <c r="B550" s="56">
        <v>488</v>
      </c>
      <c r="C550" s="33">
        <v>136.35485708415925</v>
      </c>
      <c r="D550" s="56">
        <f t="shared" si="9"/>
        <v>488</v>
      </c>
      <c r="E550" s="33">
        <v>-7.9118031043155952</v>
      </c>
    </row>
    <row r="551" spans="2:5" x14ac:dyDescent="0.3">
      <c r="B551" s="56">
        <v>489</v>
      </c>
      <c r="C551" s="33">
        <v>-506.29771249436965</v>
      </c>
      <c r="D551" s="56">
        <f t="shared" si="9"/>
        <v>489</v>
      </c>
      <c r="E551" s="33">
        <v>-38.569023433063577</v>
      </c>
    </row>
    <row r="552" spans="2:5" x14ac:dyDescent="0.3">
      <c r="B552" s="56">
        <v>490</v>
      </c>
      <c r="C552" s="33">
        <v>-104.61789775525284</v>
      </c>
      <c r="D552" s="56">
        <f t="shared" si="9"/>
        <v>490</v>
      </c>
      <c r="E552" s="33">
        <v>-60.495081862900463</v>
      </c>
    </row>
    <row r="553" spans="2:5" x14ac:dyDescent="0.3">
      <c r="B553" s="56">
        <v>491</v>
      </c>
      <c r="C553" s="33">
        <v>-36.729816432076788</v>
      </c>
      <c r="D553" s="56">
        <f t="shared" si="9"/>
        <v>491</v>
      </c>
      <c r="E553" s="33">
        <v>-127.16012816573893</v>
      </c>
    </row>
    <row r="554" spans="2:5" x14ac:dyDescent="0.3">
      <c r="B554" s="56">
        <v>492</v>
      </c>
      <c r="C554" s="33">
        <v>139.34309311246335</v>
      </c>
      <c r="D554" s="56">
        <f t="shared" si="9"/>
        <v>492</v>
      </c>
      <c r="E554" s="33">
        <v>-76.971252772631232</v>
      </c>
    </row>
    <row r="555" spans="2:5" x14ac:dyDescent="0.3">
      <c r="B555" s="56">
        <v>493</v>
      </c>
      <c r="C555" s="33">
        <v>-351.31932836029733</v>
      </c>
      <c r="D555" s="56">
        <f t="shared" si="9"/>
        <v>493</v>
      </c>
      <c r="E555" s="33">
        <v>-85.947695355571227</v>
      </c>
    </row>
    <row r="556" spans="2:5" x14ac:dyDescent="0.3">
      <c r="B556" s="56">
        <v>494</v>
      </c>
      <c r="C556" s="33">
        <v>-141.3786357627763</v>
      </c>
      <c r="D556" s="56">
        <f t="shared" si="9"/>
        <v>494</v>
      </c>
      <c r="E556" s="33">
        <v>-113.25924862228089</v>
      </c>
    </row>
    <row r="557" spans="2:5" x14ac:dyDescent="0.3">
      <c r="B557" s="56">
        <v>495</v>
      </c>
      <c r="C557" s="33">
        <v>-153.80747495680612</v>
      </c>
      <c r="D557" s="56">
        <f t="shared" si="9"/>
        <v>495</v>
      </c>
      <c r="E557" s="33">
        <v>147.84662257827051</v>
      </c>
    </row>
    <row r="558" spans="2:5" x14ac:dyDescent="0.3">
      <c r="B558" s="56">
        <v>496</v>
      </c>
      <c r="C558" s="33">
        <v>84.996062951893265</v>
      </c>
      <c r="D558" s="56">
        <f t="shared" si="9"/>
        <v>496</v>
      </c>
      <c r="E558" s="33">
        <v>-173.53259201402847</v>
      </c>
    </row>
    <row r="559" spans="2:5" x14ac:dyDescent="0.3">
      <c r="B559" s="56">
        <v>497</v>
      </c>
      <c r="C559" s="33">
        <v>-340.32261241411101</v>
      </c>
      <c r="D559" s="56">
        <f t="shared" si="9"/>
        <v>497</v>
      </c>
      <c r="E559" s="33">
        <v>-109.60452105312808</v>
      </c>
    </row>
    <row r="560" spans="2:5" x14ac:dyDescent="0.3">
      <c r="B560" s="56">
        <v>498</v>
      </c>
      <c r="C560" s="33">
        <v>20.173549857413352</v>
      </c>
      <c r="D560" s="56">
        <f t="shared" si="9"/>
        <v>498</v>
      </c>
      <c r="E560" s="33">
        <v>-319.76922441466115</v>
      </c>
    </row>
    <row r="561" spans="2:5" x14ac:dyDescent="0.3">
      <c r="B561" s="56">
        <v>499</v>
      </c>
      <c r="C561" s="33">
        <v>-50.322159747455792</v>
      </c>
      <c r="D561" s="56">
        <f t="shared" si="9"/>
        <v>499</v>
      </c>
      <c r="E561" s="33">
        <v>-174.41875837569626</v>
      </c>
    </row>
    <row r="562" spans="2:5" x14ac:dyDescent="0.3">
      <c r="B562" s="56">
        <v>500</v>
      </c>
      <c r="C562" s="33">
        <v>-210.21514365470921</v>
      </c>
      <c r="D562" s="56">
        <f t="shared" si="9"/>
        <v>500</v>
      </c>
      <c r="E562" s="33">
        <v>-75.928204524181069</v>
      </c>
    </row>
  </sheetData>
  <mergeCells count="88"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  <mergeCell ref="B13:C13"/>
    <mergeCell ref="B12:C12"/>
    <mergeCell ref="B11:C11"/>
    <mergeCell ref="B10:C10"/>
    <mergeCell ref="B9:C9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29:C29"/>
    <mergeCell ref="B33:C33"/>
    <mergeCell ref="B28:C28"/>
    <mergeCell ref="B30:C30"/>
    <mergeCell ref="B31:C31"/>
    <mergeCell ref="B32:C32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62:C62"/>
    <mergeCell ref="B61:C61"/>
    <mergeCell ref="B60:C60"/>
    <mergeCell ref="B59:C59"/>
    <mergeCell ref="B58:C58"/>
    <mergeCell ref="D23:E23"/>
    <mergeCell ref="D25:E25"/>
    <mergeCell ref="D27:E27"/>
    <mergeCell ref="D28:E28"/>
    <mergeCell ref="D22:E22"/>
    <mergeCell ref="D26:E26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13:E13"/>
    <mergeCell ref="D12:E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opLeftCell="A19" workbookViewId="0">
      <selection activeCell="F26" sqref="F26"/>
    </sheetView>
  </sheetViews>
  <sheetFormatPr defaultRowHeight="14.4" x14ac:dyDescent="0.3"/>
  <cols>
    <col min="1" max="1" width="21.33203125" customWidth="1"/>
    <col min="2" max="2" width="44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99" customWidth="1"/>
    <col min="17" max="17" width="16" customWidth="1"/>
    <col min="18" max="18" width="16" style="101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2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3" t="s">
        <v>131</v>
      </c>
      <c r="O1" s="123"/>
      <c r="P1" s="123"/>
      <c r="Q1" s="123"/>
      <c r="R1" s="123"/>
      <c r="S1" s="123"/>
      <c r="T1" s="123"/>
      <c r="U1" s="123" t="s">
        <v>129</v>
      </c>
      <c r="V1" s="123"/>
      <c r="W1" s="123"/>
      <c r="X1" s="123"/>
      <c r="Y1" s="123"/>
      <c r="Z1" s="123" t="s">
        <v>130</v>
      </c>
      <c r="AA1" s="123"/>
      <c r="AB1" s="123"/>
    </row>
    <row r="2" spans="1:30" ht="15.6" x14ac:dyDescent="0.3">
      <c r="A2" s="15" t="s">
        <v>19</v>
      </c>
      <c r="B2" s="2" t="s">
        <v>21</v>
      </c>
      <c r="C2" s="95" t="s">
        <v>99</v>
      </c>
      <c r="D2" s="95" t="s">
        <v>115</v>
      </c>
      <c r="E2" s="95" t="s">
        <v>30</v>
      </c>
      <c r="F2" s="95" t="s">
        <v>116</v>
      </c>
      <c r="G2" s="95" t="s">
        <v>132</v>
      </c>
      <c r="H2" s="95" t="s">
        <v>35</v>
      </c>
      <c r="I2" s="95" t="s">
        <v>36</v>
      </c>
      <c r="J2" s="94" t="s">
        <v>117</v>
      </c>
      <c r="K2" s="9" t="s">
        <v>37</v>
      </c>
      <c r="L2" s="9" t="s">
        <v>33</v>
      </c>
      <c r="M2" s="95" t="s">
        <v>45</v>
      </c>
      <c r="N2" s="95" t="s">
        <v>118</v>
      </c>
      <c r="O2" s="95" t="s">
        <v>119</v>
      </c>
      <c r="P2" s="99" t="s">
        <v>91</v>
      </c>
      <c r="Q2" s="95" t="s">
        <v>88</v>
      </c>
      <c r="R2" s="101" t="s">
        <v>92</v>
      </c>
      <c r="S2" s="2" t="s">
        <v>120</v>
      </c>
      <c r="T2" s="2" t="s">
        <v>121</v>
      </c>
      <c r="U2" s="95" t="s">
        <v>46</v>
      </c>
      <c r="V2" s="95" t="s">
        <v>122</v>
      </c>
      <c r="W2" s="95" t="s">
        <v>89</v>
      </c>
      <c r="X2" s="95" t="s">
        <v>123</v>
      </c>
      <c r="Y2" s="95" t="s">
        <v>124</v>
      </c>
      <c r="Z2" s="95" t="s">
        <v>125</v>
      </c>
      <c r="AA2" s="102" t="s">
        <v>96</v>
      </c>
      <c r="AB2" s="95" t="s">
        <v>126</v>
      </c>
      <c r="AC2" s="95" t="s">
        <v>127</v>
      </c>
      <c r="AD2" t="s">
        <v>128</v>
      </c>
    </row>
    <row r="3" spans="1:30" ht="15.6" x14ac:dyDescent="0.3">
      <c r="A3" s="15" t="s">
        <v>80</v>
      </c>
      <c r="B3" t="s">
        <v>101</v>
      </c>
      <c r="C3" s="85">
        <f>D3/SUM(D3:D4)</f>
        <v>0.4443954277550034</v>
      </c>
      <c r="D3" s="35">
        <f>L3/F3</f>
        <v>65609.668138328911</v>
      </c>
      <c r="E3" s="4">
        <f>[1]All!$H$12</f>
        <v>0.67</v>
      </c>
      <c r="F3" s="86">
        <f>[1]All!$G$12</f>
        <v>4.8</v>
      </c>
      <c r="G3" s="78">
        <f>M3/D3</f>
        <v>7.0436462426640478</v>
      </c>
      <c r="H3" s="84">
        <f>[1]All!$J$12</f>
        <v>5.7</v>
      </c>
      <c r="I3" s="119">
        <f>[1]All!$I$12</f>
        <v>0.44</v>
      </c>
      <c r="J3" s="64">
        <f>D3*F3</f>
        <v>314926.40706397878</v>
      </c>
      <c r="K3" s="21">
        <v>1</v>
      </c>
      <c r="L3" s="65">
        <f>([2]prod_herd_data!$J$8+[2]prod_herd_data!$K$8)*(1-[2]prod_herd_data!$J$3)*(C26)</f>
        <v>314926.40706397872</v>
      </c>
      <c r="M3" s="110">
        <f>SUM([2]prod_herd_data!$J$10:$K$10)*C26</f>
        <v>462131.2924649755</v>
      </c>
      <c r="N3" s="62">
        <f>Dairy_Income_Baseline!B28</f>
        <v>84.737089689012336</v>
      </c>
      <c r="O3" s="62">
        <f ca="1">Dairy_Income_Baseline!B60</f>
        <v>166.85407357854743</v>
      </c>
      <c r="P3" s="62">
        <f>(G3-F3)*(Dairy_Income_Baseline!B24)</f>
        <v>0.12039563149077043</v>
      </c>
      <c r="Q3" s="63">
        <f>P3*Dairy_Income_Baseline!L36</f>
        <v>44.606958098634109</v>
      </c>
      <c r="R3" s="63">
        <f>IF(P3&gt;0, P3*Dairy_Income_Roadmap!L19/12, 0)</f>
        <v>0.28092314014513103</v>
      </c>
      <c r="S3" s="68">
        <f>G3*I3*N3</f>
        <v>262.6175566970112</v>
      </c>
      <c r="T3" s="60">
        <f ca="1">F3*O3*I3</f>
        <v>352.39580339789217</v>
      </c>
      <c r="U3" s="83">
        <f>N3*(M3*K3)/(D3)</f>
        <v>596.85808340229812</v>
      </c>
      <c r="V3" s="83">
        <f>[1]All!$E$12*[3]Sheet1!$B$9</f>
        <v>1757.2440469077476</v>
      </c>
      <c r="W3" s="83">
        <f>[1]All!$F$12</f>
        <v>86</v>
      </c>
      <c r="X3" s="59">
        <f>U3+V3</f>
        <v>2354.1021303100456</v>
      </c>
      <c r="Y3" s="96">
        <f>V3+S3-Q3-R3</f>
        <v>1974.9737223659795</v>
      </c>
      <c r="Z3" s="37">
        <f>SQRT(C3*(1-C3)/N23)</f>
        <v>2.9433727613268908E-2</v>
      </c>
      <c r="AA3" s="112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102</v>
      </c>
      <c r="C4" s="85">
        <f>1-C3</f>
        <v>0.5556045722449966</v>
      </c>
      <c r="D4" s="35">
        <f>L4/F4</f>
        <v>82028.367810366151</v>
      </c>
      <c r="E4" s="4">
        <v>0.27</v>
      </c>
      <c r="F4" s="86">
        <f>[1]All!$G$13</f>
        <v>2.6601940000000002</v>
      </c>
      <c r="G4" s="78">
        <f>M4/D4</f>
        <v>3.8141720088080677</v>
      </c>
      <c r="H4" s="84">
        <f>[1]All!$J$13</f>
        <v>5.4</v>
      </c>
      <c r="I4" s="119">
        <f>[1]All!$I$13</f>
        <v>0.55710000000000004</v>
      </c>
      <c r="J4" s="64">
        <f>D4*F4</f>
        <v>218211.37187892917</v>
      </c>
      <c r="K4" s="21">
        <v>1</v>
      </c>
      <c r="L4" s="65">
        <f>([2]prod_herd_data!$J$8+[2]prod_herd_data!$K$8)*([2]prod_herd_data!$J$3)*(1-C24)</f>
        <v>218211.3718789292</v>
      </c>
      <c r="M4" s="65">
        <f>SUM([2]prod_herd_data!$J$9:$K$9)*(1-C25)</f>
        <v>312870.30443051131</v>
      </c>
      <c r="N4" s="62">
        <f>Dairy_Income_Baseline!D28</f>
        <v>585.73698241090847</v>
      </c>
      <c r="O4" s="62">
        <f ca="1">Dairy_Income_Baseline!E60</f>
        <v>128.8364097395131</v>
      </c>
      <c r="P4" s="62">
        <f>(G4-F4)*(Dairy_Income_Baseline!B24)</f>
        <v>6.1923269566748887E-2</v>
      </c>
      <c r="Q4" s="63">
        <f>P4*Dairy_Income_Baseline!L38</f>
        <v>30.361004885281496</v>
      </c>
      <c r="R4" s="63">
        <f>IF(P4&gt;0, P4*Dairy_Income_Roadmap!L19/12, 0)</f>
        <v>0.14448762898908074</v>
      </c>
      <c r="S4" s="60">
        <f>G4*I4*N4</f>
        <v>1244.6180029395962</v>
      </c>
      <c r="T4" s="60">
        <f ca="1">F4*O4*I4</f>
        <v>190.93479618743811</v>
      </c>
      <c r="U4" s="83">
        <f>N4*(M4*K4)/(D4)</f>
        <v>2234.1016028353906</v>
      </c>
      <c r="V4" s="83">
        <f>[1]All!$E$13*[3]Sheet1!$B$9</f>
        <v>1778.1411883175087</v>
      </c>
      <c r="W4" s="83">
        <f>[1]All!$F$13</f>
        <v>80</v>
      </c>
      <c r="X4" s="59">
        <f>U4+V4</f>
        <v>4012.2427911528994</v>
      </c>
      <c r="Y4" s="111">
        <f>V4+S4-Q4-R4</f>
        <v>2992.2536987428343</v>
      </c>
      <c r="Z4" s="37">
        <f>SQRT(C4*(1-C4)/N23)</f>
        <v>2.9433727613268908E-2</v>
      </c>
      <c r="AA4" s="112">
        <f>D4*S4</f>
        <v>102093983.32853258</v>
      </c>
      <c r="AB4" s="69">
        <f>Y4*D4</f>
        <v>245449686.98240578</v>
      </c>
      <c r="AC4" s="22"/>
      <c r="AD4" s="21">
        <f ca="1">MC_Baseline!H19</f>
        <v>8.3144641821014122</v>
      </c>
    </row>
    <row r="5" spans="1:30" ht="15.6" x14ac:dyDescent="0.3">
      <c r="A5" s="16"/>
      <c r="C5" s="38"/>
      <c r="D5" s="35"/>
      <c r="E5" s="4"/>
      <c r="F5" s="86"/>
      <c r="G5" s="4"/>
      <c r="H5" s="4"/>
      <c r="I5" s="120"/>
      <c r="J5" s="64"/>
      <c r="K5" s="21"/>
      <c r="L5" s="13"/>
      <c r="M5" s="66"/>
      <c r="N5" s="62"/>
      <c r="O5" s="62"/>
      <c r="P5" s="62"/>
      <c r="Q5" s="100"/>
      <c r="R5" s="100"/>
      <c r="S5" s="60"/>
      <c r="T5" s="60"/>
      <c r="U5" s="59"/>
      <c r="V5" s="59"/>
      <c r="W5" s="59"/>
      <c r="X5" s="59"/>
      <c r="Y5" s="97"/>
      <c r="Z5" s="37"/>
      <c r="AA5" s="112"/>
      <c r="AB5" s="59"/>
      <c r="AC5" s="1"/>
      <c r="AD5" s="21"/>
    </row>
    <row r="6" spans="1:30" ht="15.6" x14ac:dyDescent="0.3">
      <c r="A6" s="15" t="s">
        <v>103</v>
      </c>
      <c r="B6" t="s">
        <v>100</v>
      </c>
      <c r="C6" s="76">
        <f>D6/SUM(D6:D8)</f>
        <v>6.6659314163250508E-2</v>
      </c>
      <c r="D6" s="77">
        <f>D3*C31</f>
        <v>9841.4502207493369</v>
      </c>
      <c r="E6" s="78">
        <f>E4</f>
        <v>0.27</v>
      </c>
      <c r="F6" s="77">
        <f>J6*(1/D6)</f>
        <v>1.2251856561396255</v>
      </c>
      <c r="G6" s="79"/>
      <c r="H6" s="78">
        <f>H3</f>
        <v>5.7</v>
      </c>
      <c r="I6" s="121">
        <f>I3</f>
        <v>0.44</v>
      </c>
      <c r="J6" s="80">
        <f>M6*K6</f>
        <v>12057.60364607424</v>
      </c>
      <c r="K6" s="81">
        <f>C27</f>
        <v>0.05</v>
      </c>
      <c r="L6" s="12"/>
      <c r="M6" s="66">
        <f>([2]prod_herd_data!J25*[2]prod_herd_data!J31+[2]prod_herd_data!K25*[2]prod_herd_data!K31)*(1-C25)</f>
        <v>241152.07292148477</v>
      </c>
      <c r="N6" s="62">
        <f>Dairy_Income_Roadmap!C27</f>
        <v>1495.1172015495711</v>
      </c>
      <c r="O6" s="62">
        <f ca="1">Dairy_Income_Roadmap!C55</f>
        <v>76.856666555711627</v>
      </c>
      <c r="P6" s="62">
        <f>(F6*(Dairy_Income_Roadmap!C22 + Dairy_Income_Baseline!B24)  -   F3*Dairy_Income_Baseline!B24)</f>
        <v>0.15705628993927817</v>
      </c>
      <c r="Q6" s="63">
        <f>(P6*(Dairy_Income_Roadmap!C19))</f>
        <v>74.317546538515671</v>
      </c>
      <c r="R6" s="63">
        <f>IF(P6&gt;0, P6*Dairy_Income_Roadmap!L19/12, 0)</f>
        <v>0.36646467652498238</v>
      </c>
      <c r="S6" s="60">
        <f>F6*I6*N6</f>
        <v>805.99030581790691</v>
      </c>
      <c r="T6" s="60">
        <f ca="1">F6*O6*I6</f>
        <v>41.432021594816142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7">
        <f>V6+S6</f>
        <v>2488.5503415106136</v>
      </c>
      <c r="Z6" s="37">
        <f>Z3</f>
        <v>2.9433727613268908E-2</v>
      </c>
      <c r="AA6" s="112">
        <f>D6*S6</f>
        <v>7932113.4731134661</v>
      </c>
      <c r="AB6" s="67">
        <f>Y6*D6</f>
        <v>24490944.307805467</v>
      </c>
      <c r="AC6" s="1"/>
      <c r="AD6" s="21"/>
    </row>
    <row r="7" spans="1:30" ht="15.6" x14ac:dyDescent="0.3">
      <c r="A7" s="15"/>
      <c r="B7" t="s">
        <v>101</v>
      </c>
      <c r="C7" s="76">
        <f>D7/SUM(D6:D8)</f>
        <v>0.37773611359175291</v>
      </c>
      <c r="D7" s="77">
        <f>D3-D6</f>
        <v>55768.217917579575</v>
      </c>
      <c r="E7" s="78">
        <f>E3</f>
        <v>0.67</v>
      </c>
      <c r="F7" s="77">
        <f>J7*(1/D7)</f>
        <v>5.2215390286849646</v>
      </c>
      <c r="G7" s="79"/>
      <c r="H7" s="78">
        <f>H3</f>
        <v>5.7</v>
      </c>
      <c r="I7" s="121">
        <f>I3</f>
        <v>0.44</v>
      </c>
      <c r="J7" s="80">
        <f>M7*K7</f>
        <v>291195.92641684989</v>
      </c>
      <c r="K7" s="81">
        <v>1</v>
      </c>
      <c r="L7" s="12"/>
      <c r="M7" s="66">
        <f>([2]prod_herd_data!J26*[2]prod_herd_data!J31+[2]prod_herd_data!K26*[2]prod_herd_data!K31)*C26</f>
        <v>291195.92641684989</v>
      </c>
      <c r="N7" s="62">
        <f>Dairy_Income_Roadmap!E27</f>
        <v>340.3171855089804</v>
      </c>
      <c r="O7" s="62">
        <f ca="1">Dairy_Income_Roadmap!E55</f>
        <v>27.056173825034357</v>
      </c>
      <c r="P7" s="62">
        <f>(F7*(Dairy_Income_Roadmap!E22 + Dairy_Income_Baseline!B24)  -   F3*Dairy_Income_Baseline!B24)</f>
        <v>1.0547462411083355</v>
      </c>
      <c r="Q7" s="63">
        <f>(P7*(Dairy_Income_Roadmap!E19))</f>
        <v>499.09591580317607</v>
      </c>
      <c r="R7" s="63">
        <f>IF(P7&gt;0, P7*Dairy_Income_Roadmap!L19/12, 0)</f>
        <v>2.4610745625861159</v>
      </c>
      <c r="S7" s="60">
        <f>F7*I7*N7</f>
        <v>781.87096515763949</v>
      </c>
      <c r="T7" s="60">
        <f ca="1">F7*O7*I7</f>
        <v>62.16094174149265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7">
        <f>V7+S7</f>
        <v>2037.558021699625</v>
      </c>
      <c r="Z7" s="37">
        <f>Z3</f>
        <v>2.9433727613268908E-2</v>
      </c>
      <c r="AA7" s="112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102</v>
      </c>
      <c r="C8" s="76">
        <f>D8/SUM(D6:D8)</f>
        <v>0.5556045722449966</v>
      </c>
      <c r="D8" s="77">
        <f>D4</f>
        <v>82028.367810366151</v>
      </c>
      <c r="E8" s="78">
        <f>E4</f>
        <v>0.27</v>
      </c>
      <c r="F8" s="77">
        <f>J8*(1/D8)</f>
        <v>2.7928688012546221</v>
      </c>
      <c r="G8" s="79"/>
      <c r="H8" s="78">
        <f>H4</f>
        <v>5.4</v>
      </c>
      <c r="I8" s="121">
        <f>I4</f>
        <v>0.55710000000000004</v>
      </c>
      <c r="J8" s="80">
        <f t="shared" ref="J8" si="1">M8*K8</f>
        <v>229094.46927541052</v>
      </c>
      <c r="K8" s="81">
        <f>K4*(1-C27)</f>
        <v>0.95</v>
      </c>
      <c r="L8" s="12"/>
      <c r="M8" s="66">
        <f>([2]prod_herd_data!J25*[2]prod_herd_data!J31+[2]prod_herd_data!K25*[2]prod_herd_data!K31)*(1-C25)</f>
        <v>241152.07292148477</v>
      </c>
      <c r="N8" s="62">
        <f>Dairy_Income_Roadmap!G27</f>
        <v>1662.110376985115</v>
      </c>
      <c r="O8" s="62">
        <f ca="1">Dairy_Income_Roadmap!G55</f>
        <v>77.508690788518265</v>
      </c>
      <c r="P8" s="62">
        <f>(F8*(Dairy_Income_Roadmap!G22 + Dairy_Income_Baseline!D24)  -   F5*Dairy_Income_Baseline!D24)</f>
        <v>0.92376754193251132</v>
      </c>
      <c r="Q8" s="63">
        <f>(P8*(Dairy_Income_Roadmap!G19))</f>
        <v>578.45437685600098</v>
      </c>
      <c r="R8" s="63">
        <f>IF(P8&gt;0, P8*Dairy_Income_Roadmap!L19/12, 0)</f>
        <v>2.1554575978425263</v>
      </c>
      <c r="S8" s="60">
        <f>F8*I8*N8</f>
        <v>2586.0895180022831</v>
      </c>
      <c r="T8" s="60">
        <f ca="1">F8*O8*I8</f>
        <v>120.59633077187766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7">
        <f t="shared" ref="Y8:Y20" si="2">V8+S8</f>
        <v>3783.6208718659482</v>
      </c>
      <c r="Z8" s="37">
        <f>Z4</f>
        <v>2.9433727613268908E-2</v>
      </c>
      <c r="AA8" s="112">
        <f>D8*S8</f>
        <v>212132702.17322379</v>
      </c>
      <c r="AB8" s="59">
        <f>Y8*D8</f>
        <v>310364244.53239828</v>
      </c>
      <c r="AC8" s="92">
        <f>-1+SUM(AB6:AB8)/SUM(AB3:AB4)</f>
        <v>0.19587682984048427</v>
      </c>
      <c r="AD8" s="21">
        <f ca="1">MC_High_ambition!I20</f>
        <v>8.5330436521085282</v>
      </c>
    </row>
    <row r="9" spans="1:30" ht="15.6" x14ac:dyDescent="0.3">
      <c r="A9" s="16"/>
      <c r="C9" s="76"/>
      <c r="D9" s="77"/>
      <c r="E9" s="78"/>
      <c r="F9" s="77"/>
      <c r="G9" s="79"/>
      <c r="H9" s="27"/>
      <c r="I9" s="121"/>
      <c r="J9" s="80"/>
      <c r="K9" s="81"/>
      <c r="L9" s="12"/>
      <c r="M9" s="66"/>
      <c r="N9" s="62"/>
      <c r="O9" s="62"/>
      <c r="P9" s="62"/>
      <c r="Q9" s="63"/>
      <c r="R9" s="63"/>
      <c r="S9" s="60"/>
      <c r="T9" s="60"/>
      <c r="U9" s="59"/>
      <c r="V9" s="59"/>
      <c r="W9" s="59"/>
      <c r="X9" s="59"/>
      <c r="Y9" s="97"/>
      <c r="Z9" s="37"/>
      <c r="AA9" s="112"/>
      <c r="AB9" s="59"/>
      <c r="AC9" s="92"/>
      <c r="AD9" s="21"/>
    </row>
    <row r="10" spans="1:30" ht="15.6" x14ac:dyDescent="0.3">
      <c r="A10" s="15" t="s">
        <v>104</v>
      </c>
      <c r="B10" t="str">
        <f>B6</f>
        <v>New-improved</v>
      </c>
      <c r="C10" s="76">
        <f>D10/SUM(D10:D12)</f>
        <v>3.7773611359175292E-2</v>
      </c>
      <c r="D10" s="77">
        <f>D3*C32</f>
        <v>5576.8217917579577</v>
      </c>
      <c r="E10" s="78">
        <f>E6</f>
        <v>0.27</v>
      </c>
      <c r="F10" s="77">
        <f>J10*(1/D10)</f>
        <v>1.2820105372710859</v>
      </c>
      <c r="G10" s="79"/>
      <c r="H10" s="78">
        <f>H6</f>
        <v>5.7</v>
      </c>
      <c r="I10" s="121">
        <f>I6</f>
        <v>0.44</v>
      </c>
      <c r="J10" s="80">
        <f>M10*K10</f>
        <v>7149.5443015167193</v>
      </c>
      <c r="K10" s="81">
        <f>C28</f>
        <v>0.03</v>
      </c>
      <c r="L10" s="12"/>
      <c r="M10" s="66">
        <f>([2]prod_herd_data!J34*[2]prod_herd_data!J40+[2]prod_herd_data!K34*[2]prod_herd_data!K40)*(1-C25)</f>
        <v>238318.14338389065</v>
      </c>
      <c r="N10" s="62">
        <f>Dairy_Income_Roadmap!C27</f>
        <v>1495.1172015495711</v>
      </c>
      <c r="O10" s="62">
        <f ca="1">Dairy_Income_Roadmap!C55</f>
        <v>76.856666555711627</v>
      </c>
      <c r="P10" s="62">
        <f>(F10*(Dairy_Income_Roadmap!C22+Dairy_Income_Baseline!B24)-F3*Dairy_Income_Baseline!B24)</f>
        <v>0.17628698141528126</v>
      </c>
      <c r="Q10" s="63">
        <f>(P10*(Dairy_Income_Roadmap!C19))</f>
        <v>83.417327319586278</v>
      </c>
      <c r="R10" s="63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43.353664808939129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7">
        <f t="shared" si="2"/>
        <v>2516.7880263085881</v>
      </c>
      <c r="Z10" s="37">
        <f>Z6</f>
        <v>2.9433727613268908E-2</v>
      </c>
      <c r="AA10" s="112">
        <f>D10*S10</f>
        <v>4703338.9341128794</v>
      </c>
      <c r="AB10" s="59">
        <f>Y10*D10</f>
        <v>14035678.310353234</v>
      </c>
      <c r="AC10" s="92"/>
      <c r="AD10" s="21"/>
    </row>
    <row r="11" spans="1:30" ht="15.6" x14ac:dyDescent="0.3">
      <c r="A11" s="17"/>
      <c r="B11" s="107" t="str">
        <f t="shared" ref="B11:B20" si="4">B7</f>
        <v>Local-only</v>
      </c>
      <c r="C11" s="76">
        <f>D11/SUM(D10:D12)</f>
        <v>0.40662181639582812</v>
      </c>
      <c r="D11" s="77">
        <f>D3*(1-C32)</f>
        <v>60032.846346570957</v>
      </c>
      <c r="E11" s="78">
        <f>E7</f>
        <v>0.67</v>
      </c>
      <c r="F11" s="77">
        <f>J11*(1/D11)</f>
        <v>5.677991189887404</v>
      </c>
      <c r="G11" s="79"/>
      <c r="H11" s="78">
        <f t="shared" ref="H11:H20" si="5">H7</f>
        <v>5.7</v>
      </c>
      <c r="I11" s="121">
        <f>I6</f>
        <v>0.44</v>
      </c>
      <c r="J11" s="80">
        <f>M11*K11</f>
        <v>340865.97265969415</v>
      </c>
      <c r="K11" s="81">
        <v>1</v>
      </c>
      <c r="L11" s="12"/>
      <c r="M11" s="66">
        <f>([2]prod_herd_data!J35*[2]prod_herd_data!J40+[2]prod_herd_data!K35*[2]prod_herd_data!K40)*C26</f>
        <v>340865.97265969415</v>
      </c>
      <c r="N11" s="62">
        <f>Dairy_Income_Roadmap!E27</f>
        <v>340.3171855089804</v>
      </c>
      <c r="O11" s="62">
        <f ca="1">Dairy_Income_Roadmap!E55</f>
        <v>27.056173825034357</v>
      </c>
      <c r="P11" s="62">
        <f>(F11*(Dairy_Income_Roadmap!E22 + Dairy_Income_Baseline!B24)  -   F3*Dairy_Income_Baseline!B24)</f>
        <v>1.169465331666258</v>
      </c>
      <c r="Q11" s="63">
        <f>(P11*(Dairy_Income_Roadmap!E19))</f>
        <v>553.37990121178859</v>
      </c>
      <c r="R11" s="63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67.594875308667199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7">
        <f t="shared" si="2"/>
        <v>2051.3553049338025</v>
      </c>
      <c r="Z11" s="37">
        <f>Z3</f>
        <v>2.9433727613268908E-2</v>
      </c>
      <c r="AA11" s="112">
        <f>D11*S11</f>
        <v>51041121.31858439</v>
      </c>
      <c r="AB11" s="59">
        <f>Y11*D11</f>
        <v>123148697.82331418</v>
      </c>
      <c r="AC11" s="92"/>
      <c r="AD11" s="21"/>
    </row>
    <row r="12" spans="1:30" ht="15.6" x14ac:dyDescent="0.3">
      <c r="A12" s="15"/>
      <c r="B12" s="107" t="str">
        <f t="shared" si="4"/>
        <v>Extant-improved</v>
      </c>
      <c r="C12" s="76">
        <f>D12/SUM(D10:D12)</f>
        <v>0.5556045722449966</v>
      </c>
      <c r="D12" s="77">
        <f>D8</f>
        <v>82028.367810366151</v>
      </c>
      <c r="E12" s="78">
        <f>E8</f>
        <v>0.27</v>
      </c>
      <c r="F12" s="77">
        <f>J12*(1/D12)</f>
        <v>2.818154319695735</v>
      </c>
      <c r="G12" s="79"/>
      <c r="H12" s="78">
        <f t="shared" si="5"/>
        <v>5.4</v>
      </c>
      <c r="I12" s="121">
        <f>I8</f>
        <v>0.55710000000000004</v>
      </c>
      <c r="J12" s="80">
        <f t="shared" ref="J12" si="6">M12*K12</f>
        <v>231168.59908237393</v>
      </c>
      <c r="K12" s="81">
        <f>K4*(1-C28)</f>
        <v>0.97</v>
      </c>
      <c r="L12" s="12"/>
      <c r="M12" s="66">
        <f>M10</f>
        <v>238318.14338389065</v>
      </c>
      <c r="N12" s="62">
        <f>Dairy_Income_Roadmap!G27</f>
        <v>1662.110376985115</v>
      </c>
      <c r="O12" s="62">
        <f ca="1">Dairy_Income_Roadmap!G55</f>
        <v>77.508690788518265</v>
      </c>
      <c r="P12" s="62">
        <f>(F12*(Dairy_Income_Roadmap!G22 + Dairy_Income_Baseline!D24)  -   F4*Dairy_Income_Baseline!D24)</f>
        <v>0.5005134564407645</v>
      </c>
      <c r="Q12" s="63">
        <f>(P12*(Dairy_Income_Roadmap!G19))</f>
        <v>313.41672705646732</v>
      </c>
      <c r="R12" s="63">
        <f>IF(P12&gt;0, P12*Dairy_Income_Roadmap!L19/12, 0)</f>
        <v>1.1678647316951172</v>
      </c>
      <c r="S12" s="60">
        <f>F12*I12*N12</f>
        <v>2609.502939416293</v>
      </c>
      <c r="T12" s="60">
        <f ca="1">F12*O12*I12</f>
        <v>121.68816177528642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7">
        <f t="shared" si="2"/>
        <v>4073.0595359456393</v>
      </c>
      <c r="Z12" s="37">
        <f>Z8</f>
        <v>2.9433727613268908E-2</v>
      </c>
      <c r="AA12" s="112">
        <f>D12*S12</f>
        <v>214053266.91667131</v>
      </c>
      <c r="AB12" s="59">
        <f>Y12*D12</f>
        <v>334106425.72806817</v>
      </c>
      <c r="AC12" s="92">
        <f>-1+SUM(AB10:AB12)/SUM(AB3:AB4)</f>
        <v>0.2566847976718678</v>
      </c>
      <c r="AD12" s="21">
        <f ca="1">MC_Middle_road!I20</f>
        <v>6.7017377642019733</v>
      </c>
    </row>
    <row r="13" spans="1:30" ht="15.6" x14ac:dyDescent="0.3">
      <c r="A13" s="15"/>
      <c r="B13" s="107"/>
      <c r="C13" s="76"/>
      <c r="D13" s="77"/>
      <c r="E13" s="78"/>
      <c r="F13" s="77"/>
      <c r="G13" s="79"/>
      <c r="H13" s="78"/>
      <c r="I13" s="121"/>
      <c r="J13" s="80"/>
      <c r="K13" s="81"/>
      <c r="L13" s="12"/>
      <c r="M13" s="66"/>
      <c r="N13" s="62"/>
      <c r="O13" s="62"/>
      <c r="P13" s="62"/>
      <c r="Q13" s="63"/>
      <c r="R13" s="63"/>
      <c r="S13" s="60"/>
      <c r="T13" s="60"/>
      <c r="U13" s="59"/>
      <c r="V13" s="59"/>
      <c r="W13" s="59"/>
      <c r="X13" s="59"/>
      <c r="Y13" s="97"/>
      <c r="Z13" s="37"/>
      <c r="AA13" s="112"/>
      <c r="AB13" s="59"/>
      <c r="AC13" s="92"/>
      <c r="AD13" s="21"/>
    </row>
    <row r="14" spans="1:30" ht="15.6" x14ac:dyDescent="0.3">
      <c r="A14" s="15" t="s">
        <v>105</v>
      </c>
      <c r="B14" s="107" t="str">
        <f t="shared" si="4"/>
        <v>New-improved</v>
      </c>
      <c r="C14" s="76">
        <f>D14/SUM(D14:D16)</f>
        <v>8.8879085551000683E-3</v>
      </c>
      <c r="D14" s="77">
        <f>D3*C33</f>
        <v>1312.1933627665783</v>
      </c>
      <c r="E14" s="78">
        <f>E10</f>
        <v>0.27</v>
      </c>
      <c r="F14" s="77">
        <f>J14*(1/D14)</f>
        <v>1.9644155201899163</v>
      </c>
      <c r="G14" s="79"/>
      <c r="H14" s="78">
        <f t="shared" si="5"/>
        <v>5.7</v>
      </c>
      <c r="I14" s="121">
        <f>I11</f>
        <v>0.44</v>
      </c>
      <c r="J14" s="80">
        <f>M14*K14</f>
        <v>2577.6930073088633</v>
      </c>
      <c r="K14" s="81">
        <f>C29</f>
        <v>0.01</v>
      </c>
      <c r="L14" s="12"/>
      <c r="M14" s="66">
        <f>([2]prod_herd_data!J43*[2]prod_herd_data!J49+[2]prod_herd_data!K43*[2]prod_herd_data!K49)*(1-C25)</f>
        <v>257769.30073088632</v>
      </c>
      <c r="N14" s="62">
        <f>Dairy_Income_Roadmap!C27</f>
        <v>1495.1172015495711</v>
      </c>
      <c r="O14" s="62">
        <f ca="1">Dairy_Income_Roadmap!C55</f>
        <v>76.856666555711627</v>
      </c>
      <c r="P14" s="62">
        <f>(F14*(Dairy_Income_Roadmap!C22+ Dairy_Income_Baseline!B24)  -   F3*Dairy_Income_Baseline!B24)</f>
        <v>0.40722665831209254</v>
      </c>
      <c r="Q14" s="63">
        <f>(P14*(Dairy_Income_Roadmap!C19))</f>
        <v>192.6957916969387</v>
      </c>
      <c r="R14" s="63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66.430508589324532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7">
        <f t="shared" si="2"/>
        <v>2855.8918911745805</v>
      </c>
      <c r="Z14" s="37">
        <f>Z10</f>
        <v>2.9433727613268908E-2</v>
      </c>
      <c r="AA14" s="112">
        <f>D14*S14</f>
        <v>1695739.3884382714</v>
      </c>
      <c r="AB14" s="59">
        <f>Y14*D14</f>
        <v>3747482.3843781757</v>
      </c>
      <c r="AC14" s="92"/>
      <c r="AD14" s="21"/>
    </row>
    <row r="15" spans="1:30" ht="15.6" x14ac:dyDescent="0.3">
      <c r="A15" s="15"/>
      <c r="B15" s="107" t="str">
        <f t="shared" si="4"/>
        <v>Local-only</v>
      </c>
      <c r="C15" s="76">
        <f>D15/SUM(D14:D16)</f>
        <v>0.43550751919990333</v>
      </c>
      <c r="D15" s="77">
        <f>D3*(1-C33)</f>
        <v>64297.474775562332</v>
      </c>
      <c r="E15" s="78">
        <f>E11</f>
        <v>0.67</v>
      </c>
      <c r="F15" s="77">
        <f>J15*(1/D15)</f>
        <v>6.7135715843459556</v>
      </c>
      <c r="G15" s="79"/>
      <c r="H15" s="78">
        <f t="shared" si="5"/>
        <v>5.7</v>
      </c>
      <c r="I15" s="121">
        <f>I3</f>
        <v>0.44</v>
      </c>
      <c r="J15" s="80">
        <f>M15*K15</f>
        <v>431665.6995984161</v>
      </c>
      <c r="K15" s="81">
        <v>1</v>
      </c>
      <c r="L15" s="12"/>
      <c r="M15" s="66">
        <f>([2]prod_herd_data!J44*[2]prod_herd_data!J49+[2]prod_herd_data!K44*[2]prod_herd_data!K49)*C26</f>
        <v>431665.6995984161</v>
      </c>
      <c r="N15" s="62">
        <f>Dairy_Income_Roadmap!E27</f>
        <v>340.3171855089804</v>
      </c>
      <c r="O15" s="62">
        <f ca="1">Dairy_Income_Roadmap!E55</f>
        <v>27.056173825034357</v>
      </c>
      <c r="P15" s="62">
        <f>(F15*(Dairy_Income_Roadmap!E22 + Dairy_Income_Baseline!B24)  -   F3*Dairy_Income_Baseline!B24)</f>
        <v>1.4297354128483484</v>
      </c>
      <c r="Q15" s="63">
        <f>(P15*(Dairy_Income_Roadmap!E19))</f>
        <v>676.53723466409156</v>
      </c>
      <c r="R15" s="63">
        <f>IF(P15&gt;0, P15*Dairy_Income_Roadmap!L19/12, 0)</f>
        <v>3.3360492966461464</v>
      </c>
      <c r="S15" s="60">
        <f>F15*I15*N15</f>
        <v>1005.2872659709801</v>
      </c>
      <c r="T15" s="60">
        <f ca="1">F15*O15*I15</f>
        <v>79.923166300065205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7">
        <f t="shared" si="2"/>
        <v>2082.6580289179901</v>
      </c>
      <c r="Z15" s="37">
        <f>Z11</f>
        <v>2.9433727613268908E-2</v>
      </c>
      <c r="AA15" s="112">
        <f>D15*S15</f>
        <v>64637432.625963114</v>
      </c>
      <c r="AB15" s="59">
        <f>Y15*D15</f>
        <v>133909652.08047684</v>
      </c>
      <c r="AC15" s="92"/>
      <c r="AD15" s="21"/>
    </row>
    <row r="16" spans="1:30" ht="15.6" x14ac:dyDescent="0.3">
      <c r="A16" s="16"/>
      <c r="B16" s="107" t="str">
        <f t="shared" si="4"/>
        <v>Extant-improved</v>
      </c>
      <c r="C16" s="76">
        <f>D16/SUM(D14:D16)</f>
        <v>0.5556045722449966</v>
      </c>
      <c r="D16" s="77">
        <f>D12</f>
        <v>82028.367810366151</v>
      </c>
      <c r="E16" s="78">
        <f>E12</f>
        <v>0.27</v>
      </c>
      <c r="F16" s="77">
        <f>J16*(1/D16)</f>
        <v>3.1110165243508381</v>
      </c>
      <c r="G16" s="79"/>
      <c r="H16" s="78">
        <f t="shared" si="5"/>
        <v>5.4</v>
      </c>
      <c r="I16" s="121">
        <f>I12</f>
        <v>0.55710000000000004</v>
      </c>
      <c r="J16" s="80">
        <f>M16*K16</f>
        <v>255191.60772357744</v>
      </c>
      <c r="K16" s="81">
        <f>K4*(1-C29)</f>
        <v>0.99</v>
      </c>
      <c r="L16" s="12"/>
      <c r="M16" s="66">
        <f>M14</f>
        <v>257769.30073088632</v>
      </c>
      <c r="N16" s="62">
        <f>Dairy_Income_Roadmap!G27</f>
        <v>1662.110376985115</v>
      </c>
      <c r="O16" s="62">
        <f ca="1">Dairy_Income_Roadmap!G55</f>
        <v>77.508690788518265</v>
      </c>
      <c r="P16" s="62">
        <f>(F16*(Dairy_Income_Roadmap!G22 + Dairy_Income_Baseline!D24)  -   F4*Dairy_Income_Baseline!D24)</f>
        <v>0.59738037650433817</v>
      </c>
      <c r="Q16" s="63">
        <f>(P16*(Dairy_Income_Roadmap!G19))</f>
        <v>374.07386355437234</v>
      </c>
      <c r="R16" s="63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134.3339786096835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7">
        <f t="shared" si="2"/>
        <v>4283.3555588920708</v>
      </c>
      <c r="Z16" s="37">
        <f>Z12</f>
        <v>2.9433727613268908E-2</v>
      </c>
      <c r="AA16" s="112">
        <f>D16*S16</f>
        <v>236297652.62142992</v>
      </c>
      <c r="AB16" s="59">
        <f>Y16*D16</f>
        <v>351356665.24737525</v>
      </c>
      <c r="AC16" s="92">
        <f>-1+SUM(AB14:AB16)/SUM(AB3:AB4)</f>
        <v>0.30394271545830898</v>
      </c>
      <c r="AD16" s="21">
        <f ca="1">MC_Status_quo!I20</f>
        <v>9.3426841761918151</v>
      </c>
    </row>
    <row r="17" spans="1:30" ht="15.6" x14ac:dyDescent="0.3">
      <c r="A17" s="16"/>
      <c r="B17" s="107"/>
      <c r="C17" s="76"/>
      <c r="D17" s="77"/>
      <c r="E17" s="78"/>
      <c r="F17" s="77"/>
      <c r="G17" s="79"/>
      <c r="H17" s="78"/>
      <c r="I17" s="121"/>
      <c r="J17" s="80"/>
      <c r="K17" s="81"/>
      <c r="L17" s="12"/>
      <c r="M17" s="66"/>
      <c r="N17" s="62"/>
      <c r="O17" s="62"/>
      <c r="P17" s="62"/>
      <c r="Q17" s="63"/>
      <c r="R17" s="63"/>
      <c r="S17" s="60"/>
      <c r="T17" s="60"/>
      <c r="U17" s="59"/>
      <c r="V17" s="59"/>
      <c r="W17" s="59"/>
      <c r="X17" s="59"/>
      <c r="Y17" s="97"/>
      <c r="Z17" s="37"/>
      <c r="AA17" s="112"/>
      <c r="AB17" s="59"/>
      <c r="AC17" s="92"/>
      <c r="AD17" s="21"/>
    </row>
    <row r="18" spans="1:30" ht="15.6" x14ac:dyDescent="0.3">
      <c r="A18" s="15" t="s">
        <v>106</v>
      </c>
      <c r="B18" s="107" t="str">
        <f t="shared" si="4"/>
        <v>New-improved</v>
      </c>
      <c r="C18" s="76">
        <f>D18/SUM(D18:D20)</f>
        <v>6.6659314163250508E-2</v>
      </c>
      <c r="D18" s="77">
        <f>D3*C34</f>
        <v>9841.4502207493369</v>
      </c>
      <c r="E18" s="78">
        <f>E14</f>
        <v>0.27</v>
      </c>
      <c r="F18" s="77">
        <f>J18*(1/D18)</f>
        <v>1.5512206563708677</v>
      </c>
      <c r="G18" s="79"/>
      <c r="H18" s="78">
        <f t="shared" si="5"/>
        <v>5.7</v>
      </c>
      <c r="I18" s="121">
        <f>I14</f>
        <v>0.44</v>
      </c>
      <c r="J18" s="80">
        <f>M18*K18</f>
        <v>15266.260871072009</v>
      </c>
      <c r="K18" s="81">
        <f>C30</f>
        <v>0.05</v>
      </c>
      <c r="L18" s="12"/>
      <c r="M18" s="66">
        <f>([2]prod_herd_data!J58*[2]prod_herd_data!J52+[2]prod_herd_data!K58*[2]prod_herd_data!K52)*(1-C25)</f>
        <v>305325.21742144017</v>
      </c>
      <c r="N18" s="62">
        <f>Dairy_Income_Roadmap!C27</f>
        <v>1495.1172015495711</v>
      </c>
      <c r="O18" s="62">
        <f ca="1">Dairy_Income_Roadmap!C55</f>
        <v>76.856666555711627</v>
      </c>
      <c r="P18" s="62">
        <f>(F18*(Dairy_Income_Roadmap!C22 + Dairy_Income_Baseline!B24)  -   F3*Dairy_Income_Baseline!B24)</f>
        <v>0.26739314194818403</v>
      </c>
      <c r="Q18" s="63">
        <f>(P18*(Dairy_Income_Roadmap!C19))</f>
        <v>126.52789823633996</v>
      </c>
      <c r="R18" s="63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52.45752544605228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7">
        <f t="shared" si="2"/>
        <v>2650.5651735053993</v>
      </c>
      <c r="Z18" s="37">
        <f>Z14</f>
        <v>2.9433727613268908E-2</v>
      </c>
      <c r="AA18" s="112">
        <f>D18*S18</f>
        <v>10042933.661940474</v>
      </c>
      <c r="AB18" s="59">
        <f>Y18*D18</f>
        <v>26085405.211905219</v>
      </c>
      <c r="AC18" s="92"/>
      <c r="AD18" s="21"/>
    </row>
    <row r="19" spans="1:30" ht="15.6" x14ac:dyDescent="0.3">
      <c r="A19" s="15"/>
      <c r="B19" s="107" t="str">
        <f t="shared" si="4"/>
        <v>Local-only</v>
      </c>
      <c r="C19" s="76">
        <f>D19/SUM(D18:D20)</f>
        <v>0.37773611359175291</v>
      </c>
      <c r="D19" s="77">
        <f>D3*(1-C34)</f>
        <v>55768.217917579575</v>
      </c>
      <c r="E19" s="78">
        <f>E15</f>
        <v>0.67</v>
      </c>
      <c r="F19" s="77">
        <f>J19*(1/D19)</f>
        <v>6.6110463820347922</v>
      </c>
      <c r="G19" s="79"/>
      <c r="H19" s="78">
        <f t="shared" si="5"/>
        <v>5.7</v>
      </c>
      <c r="I19" s="121">
        <f>I15</f>
        <v>0.44</v>
      </c>
      <c r="J19" s="80">
        <f t="shared" ref="J19" si="10">M19*K19</f>
        <v>368686.27529654233</v>
      </c>
      <c r="K19" s="81">
        <v>1</v>
      </c>
      <c r="L19" s="12"/>
      <c r="M19" s="66">
        <f>([2]prod_herd_data!J58*[2]prod_herd_data!J53+[2]prod_herd_data!K58*[2]prod_herd_data!K53)*C26</f>
        <v>368686.27529654233</v>
      </c>
      <c r="N19" s="62">
        <f>Dairy_Income_Roadmap!E27</f>
        <v>340.3171855089804</v>
      </c>
      <c r="O19" s="62">
        <f ca="1">Dairy_Income_Roadmap!E55</f>
        <v>27.056173825034357</v>
      </c>
      <c r="P19" s="62">
        <f>(F19*(Dairy_Income_Roadmap!E22 + Dairy_Income_Baseline!B24)  -   F3*Dairy_Income_Baseline!B24)</f>
        <v>1.4039679853540412</v>
      </c>
      <c r="Q19" s="63">
        <f>(P19*(Dairy_Income_Roadmap!E19))</f>
        <v>664.34433240766884</v>
      </c>
      <c r="R19" s="63">
        <f>IF(P19&gt;0, P19*Dairy_Income_Roadmap!L19/12, 0)</f>
        <v>3.2759252991594292</v>
      </c>
      <c r="S19" s="60">
        <f>F19*I19*N19</f>
        <v>989.93518712149955</v>
      </c>
      <c r="T19" s="60">
        <f ca="1">F19*O19*I19</f>
        <v>78.702632834187042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7">
        <f t="shared" si="2"/>
        <v>2079.5589763224189</v>
      </c>
      <c r="Z19" s="37">
        <f>Z15</f>
        <v>2.9433727613268908E-2</v>
      </c>
      <c r="AA19" s="112">
        <f>D19*S19</f>
        <v>55206921.2396717</v>
      </c>
      <c r="AB19" s="59">
        <f>Y19*D19</f>
        <v>115973298.16400737</v>
      </c>
      <c r="AC19" s="92"/>
      <c r="AD19" s="21"/>
    </row>
    <row r="20" spans="1:30" ht="15.6" x14ac:dyDescent="0.3">
      <c r="A20" s="17"/>
      <c r="B20" s="107" t="str">
        <f t="shared" si="4"/>
        <v>Extant-improved</v>
      </c>
      <c r="C20" s="76">
        <f>D20/SUM(D18:D20)</f>
        <v>0.5556045722449966</v>
      </c>
      <c r="D20" s="77">
        <f>D16</f>
        <v>82028.367810366151</v>
      </c>
      <c r="E20" s="78">
        <f>E16</f>
        <v>0.27</v>
      </c>
      <c r="F20" s="77">
        <f>J20*(1/D20)</f>
        <v>3.5360810448030473</v>
      </c>
      <c r="G20" s="79"/>
      <c r="H20" s="78">
        <f t="shared" si="5"/>
        <v>5.4</v>
      </c>
      <c r="I20" s="121">
        <f>I16</f>
        <v>0.55710000000000004</v>
      </c>
      <c r="J20" s="80">
        <f>M20*K20</f>
        <v>290058.95655036817</v>
      </c>
      <c r="K20" s="81">
        <f>K4*(1-C30)</f>
        <v>0.95</v>
      </c>
      <c r="L20" s="12"/>
      <c r="M20" s="66">
        <f>M18</f>
        <v>305325.21742144017</v>
      </c>
      <c r="N20" s="62">
        <f>Dairy_Income_Roadmap!G27</f>
        <v>1662.110376985115</v>
      </c>
      <c r="O20" s="62">
        <f ca="1">Dairy_Income_Roadmap!G55</f>
        <v>77.508690788518265</v>
      </c>
      <c r="P20" s="62">
        <f>(F20*(Dairy_Income_Roadmap!G22+ Dairy_Income_Baseline!D24)  -   F4*Dairy_Income_Baseline!D24)</f>
        <v>0.73797445204575518</v>
      </c>
      <c r="Q20" s="63">
        <f>(P20*(Dairy_Income_Roadmap!G19))</f>
        <v>462.11252551777085</v>
      </c>
      <c r="R20" s="63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152.68830355499296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7">
        <f t="shared" si="2"/>
        <v>4588.5823062355985</v>
      </c>
      <c r="Z20" s="37">
        <f>Z16</f>
        <v>2.9433727613268908E-2</v>
      </c>
      <c r="AA20" s="112">
        <f>D20*S20</f>
        <v>268583481.90241373</v>
      </c>
      <c r="AB20" s="59">
        <f>Y20*D20</f>
        <v>376393917.14403182</v>
      </c>
      <c r="AC20" s="92">
        <f>-1+SUM(AB18:AB20)/SUM(AB3:AB4)</f>
        <v>0.38244057373243279</v>
      </c>
      <c r="AD20" s="21">
        <f ca="1">MC_High_ambition_plus!I20</f>
        <v>13.349879422524101</v>
      </c>
    </row>
    <row r="21" spans="1:30" s="117" customFormat="1" ht="15.6" x14ac:dyDescent="0.3">
      <c r="A21" s="17"/>
      <c r="C21" s="76"/>
      <c r="D21" s="77"/>
      <c r="E21" s="78"/>
      <c r="F21" s="77"/>
      <c r="G21" s="79"/>
      <c r="H21" s="78"/>
      <c r="I21" s="121"/>
      <c r="J21" s="80"/>
      <c r="K21" s="81"/>
      <c r="L21" s="12"/>
      <c r="M21" s="66"/>
      <c r="N21" s="62"/>
      <c r="O21" s="62"/>
      <c r="P21" s="62"/>
      <c r="Q21" s="63"/>
      <c r="R21" s="63"/>
      <c r="S21" s="118"/>
      <c r="T21" s="118"/>
      <c r="U21" s="116"/>
      <c r="V21" s="116"/>
      <c r="W21" s="116"/>
      <c r="X21" s="116"/>
      <c r="Y21" s="116"/>
      <c r="Z21" s="37"/>
      <c r="AA21" s="116"/>
      <c r="AB21" s="116"/>
      <c r="AC21" s="92"/>
      <c r="AD21" s="21"/>
    </row>
    <row r="22" spans="1:30" x14ac:dyDescent="0.3">
      <c r="M22" s="88" t="s">
        <v>83</v>
      </c>
      <c r="N22" s="89">
        <f>([2]prod_herd_data!J8+[2]prod_herd_data!K8)</f>
        <v>996179.17784934677</v>
      </c>
    </row>
    <row r="23" spans="1:30" ht="15.6" x14ac:dyDescent="0.3">
      <c r="A23" s="135" t="s">
        <v>134</v>
      </c>
      <c r="B23" s="135"/>
      <c r="C23" s="74"/>
      <c r="D23" s="74"/>
      <c r="E23" s="74"/>
      <c r="F23" s="74"/>
      <c r="M23" s="82" t="s">
        <v>22</v>
      </c>
      <c r="N23" s="82">
        <f>[1]All!$B$12</f>
        <v>285</v>
      </c>
    </row>
    <row r="24" spans="1:30" x14ac:dyDescent="0.3">
      <c r="A24" s="93" t="s">
        <v>136</v>
      </c>
      <c r="B24" s="74"/>
      <c r="C24" s="122">
        <f>532194/(250800+532194)</f>
        <v>0.67969103211518866</v>
      </c>
      <c r="D24" s="74"/>
      <c r="E24" s="74"/>
      <c r="F24" s="74"/>
    </row>
    <row r="25" spans="1:30" x14ac:dyDescent="0.3">
      <c r="A25" s="93" t="s">
        <v>135</v>
      </c>
      <c r="B25" s="74"/>
      <c r="C25" s="122">
        <f>9226165/(9226165+3518000)</f>
        <v>0.723952098862499</v>
      </c>
      <c r="D25" s="74"/>
      <c r="E25" s="74"/>
      <c r="F25" s="74"/>
      <c r="M25" s="2" t="s">
        <v>82</v>
      </c>
    </row>
    <row r="26" spans="1:30" x14ac:dyDescent="0.3">
      <c r="A26" s="93" t="s">
        <v>34</v>
      </c>
      <c r="B26" s="74"/>
      <c r="C26" s="122">
        <f>1-0</f>
        <v>1</v>
      </c>
      <c r="D26" s="74"/>
      <c r="E26" s="74"/>
      <c r="F26" s="74"/>
      <c r="M26" s="82" t="s">
        <v>20</v>
      </c>
    </row>
    <row r="27" spans="1:30" x14ac:dyDescent="0.3">
      <c r="A27" s="108" t="s">
        <v>133</v>
      </c>
      <c r="B27" s="74" t="str">
        <f>A6</f>
        <v>High ambition</v>
      </c>
      <c r="C27" s="75">
        <f>0.05</f>
        <v>0.05</v>
      </c>
      <c r="D27" s="74"/>
      <c r="E27" s="74"/>
      <c r="F27" s="74"/>
      <c r="M27" s="74" t="s">
        <v>24</v>
      </c>
      <c r="P27" s="2"/>
    </row>
    <row r="28" spans="1:30" x14ac:dyDescent="0.3">
      <c r="A28" s="108"/>
      <c r="B28" s="74" t="str">
        <f>A10</f>
        <v>Middle road</v>
      </c>
      <c r="C28" s="75">
        <f>0.5*(C27-C29)+C29</f>
        <v>0.03</v>
      </c>
      <c r="D28" s="74"/>
      <c r="E28" s="74"/>
      <c r="F28" s="74"/>
      <c r="M28" s="87" t="s">
        <v>14</v>
      </c>
      <c r="P28" s="82"/>
      <c r="Q28" s="18"/>
      <c r="R28" s="18"/>
      <c r="S28" s="8"/>
      <c r="T28" s="8"/>
    </row>
    <row r="29" spans="1:30" x14ac:dyDescent="0.3">
      <c r="A29" s="108"/>
      <c r="B29" s="74" t="str">
        <f>A14</f>
        <v>Status quo</v>
      </c>
      <c r="C29" s="75">
        <f>0.01</f>
        <v>0.01</v>
      </c>
      <c r="D29" s="74"/>
      <c r="E29" s="74"/>
      <c r="F29" s="74"/>
      <c r="M29" s="18"/>
      <c r="P29" s="74"/>
      <c r="Q29" s="23"/>
      <c r="R29" s="23"/>
    </row>
    <row r="30" spans="1:30" x14ac:dyDescent="0.3">
      <c r="A30" s="108"/>
      <c r="B30" s="74" t="str">
        <f>A18</f>
        <v>High ambition ++</v>
      </c>
      <c r="C30" s="75">
        <f>C27</f>
        <v>0.05</v>
      </c>
      <c r="D30" s="74"/>
      <c r="E30" s="74"/>
      <c r="F30" s="74"/>
      <c r="M30" s="18"/>
      <c r="P30" s="87"/>
      <c r="Q30" s="23"/>
      <c r="R30" s="23"/>
    </row>
    <row r="31" spans="1:30" x14ac:dyDescent="0.3">
      <c r="A31" s="109" t="s">
        <v>138</v>
      </c>
      <c r="B31" s="74" t="str">
        <f>A6</f>
        <v>High ambition</v>
      </c>
      <c r="C31" s="75">
        <f>0.15</f>
        <v>0.15</v>
      </c>
      <c r="D31" s="75"/>
      <c r="E31" s="44"/>
      <c r="F31" s="75"/>
      <c r="M31" s="23"/>
      <c r="O31" s="19"/>
      <c r="P31" s="19"/>
      <c r="Q31" s="19"/>
      <c r="R31" s="19"/>
    </row>
    <row r="32" spans="1:30" x14ac:dyDescent="0.3">
      <c r="A32" s="109"/>
      <c r="B32" s="74" t="str">
        <f>B28</f>
        <v>Middle road</v>
      </c>
      <c r="C32" s="75">
        <f>C33+(C31-C33)*0.5</f>
        <v>8.5000000000000006E-2</v>
      </c>
      <c r="D32" s="75"/>
      <c r="E32" s="44"/>
      <c r="F32" s="74"/>
      <c r="M32" s="19"/>
      <c r="O32" s="24"/>
      <c r="P32" s="24"/>
      <c r="Q32" s="24"/>
      <c r="R32" s="24"/>
    </row>
    <row r="33" spans="1:18" x14ac:dyDescent="0.3">
      <c r="A33" s="109"/>
      <c r="B33" s="74" t="str">
        <f>B29</f>
        <v>Status quo</v>
      </c>
      <c r="C33" s="75">
        <f>0.02</f>
        <v>0.02</v>
      </c>
      <c r="D33" s="75"/>
      <c r="E33" s="44"/>
      <c r="F33" s="74"/>
      <c r="M33" s="19"/>
      <c r="O33" s="24"/>
      <c r="P33" s="24"/>
      <c r="Q33" s="24"/>
      <c r="R33" s="24"/>
    </row>
    <row r="34" spans="1:18" x14ac:dyDescent="0.3">
      <c r="A34" s="74"/>
      <c r="B34" s="74" t="str">
        <f>B30</f>
        <v>High ambition ++</v>
      </c>
      <c r="C34" s="75">
        <f>C31</f>
        <v>0.15</v>
      </c>
      <c r="D34" s="75"/>
      <c r="E34" s="44"/>
      <c r="F34" s="74"/>
      <c r="M34" s="24"/>
      <c r="O34" s="25"/>
      <c r="P34" s="25"/>
      <c r="Q34" s="25"/>
      <c r="R34" s="25"/>
    </row>
    <row r="35" spans="1:18" x14ac:dyDescent="0.3">
      <c r="A35" s="109" t="s">
        <v>137</v>
      </c>
      <c r="B35" s="74" t="str">
        <f>A10</f>
        <v>Middle road</v>
      </c>
      <c r="C35" s="75">
        <f>(C6+C8)/SUM(C6,C7,C8)</f>
        <v>0.62226388640824715</v>
      </c>
      <c r="D35" s="54"/>
      <c r="E35" s="54"/>
      <c r="F35" s="54"/>
      <c r="M35" s="25"/>
      <c r="O35" s="26"/>
      <c r="P35" s="26"/>
      <c r="Q35" s="26"/>
      <c r="R35" s="26"/>
    </row>
    <row r="36" spans="1:18" x14ac:dyDescent="0.3">
      <c r="B36" s="74" t="str">
        <f>B32</f>
        <v>Middle road</v>
      </c>
      <c r="C36" s="75">
        <f>(C10+C12)/SUM(C10,C11,C12)</f>
        <v>0.59337818360417194</v>
      </c>
      <c r="M36" s="26"/>
      <c r="N36" s="18"/>
      <c r="P36" s="18"/>
      <c r="Q36" s="18"/>
      <c r="R36" s="18"/>
    </row>
    <row r="37" spans="1:18" x14ac:dyDescent="0.3">
      <c r="B37" s="74" t="str">
        <f>B33</f>
        <v>Status quo</v>
      </c>
      <c r="C37" s="75">
        <f>(C14+C16)/SUM(C14,C15,C16)</f>
        <v>0.56449248080009662</v>
      </c>
    </row>
    <row r="38" spans="1:18" x14ac:dyDescent="0.3">
      <c r="B38" s="74" t="str">
        <f>B34</f>
        <v>High ambition ++</v>
      </c>
      <c r="C38" s="75">
        <f>(C18+C20)/SUM(C18,C19,C20)</f>
        <v>0.62226388640824715</v>
      </c>
      <c r="E38" s="37"/>
      <c r="F38" s="37"/>
      <c r="G38" s="37"/>
      <c r="H38" s="37"/>
      <c r="I38" s="37"/>
    </row>
    <row r="39" spans="1:18" ht="15.6" x14ac:dyDescent="0.3">
      <c r="E39" s="37"/>
      <c r="F39" s="37"/>
      <c r="G39" s="37"/>
      <c r="H39" s="37"/>
      <c r="I39" s="37"/>
      <c r="N39" s="40"/>
    </row>
    <row r="40" spans="1:18" x14ac:dyDescent="0.3">
      <c r="E40" s="37"/>
      <c r="F40" s="37"/>
      <c r="G40" s="37"/>
      <c r="H40" s="37"/>
      <c r="I40" s="37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4" spans="1:18" x14ac:dyDescent="0.3">
      <c r="E44" s="33"/>
      <c r="F44" s="33"/>
      <c r="G44" s="33"/>
      <c r="H44" s="33"/>
      <c r="I44" s="33"/>
    </row>
    <row r="46" spans="1:18" x14ac:dyDescent="0.3">
      <c r="H46" s="37"/>
    </row>
    <row r="50" spans="4:8" x14ac:dyDescent="0.3">
      <c r="H50" s="37"/>
    </row>
    <row r="53" spans="4:8" x14ac:dyDescent="0.3">
      <c r="D53" s="36"/>
      <c r="E53" s="36"/>
      <c r="F53" s="36"/>
      <c r="G53" s="36"/>
      <c r="H53" s="36"/>
    </row>
    <row r="54" spans="4:8" x14ac:dyDescent="0.3">
      <c r="D54" s="36"/>
      <c r="E54" s="36"/>
      <c r="F54" s="36"/>
      <c r="G54" s="36"/>
      <c r="H54" s="36"/>
    </row>
    <row r="55" spans="4:8" x14ac:dyDescent="0.3">
      <c r="D55" s="36"/>
      <c r="E55" s="36"/>
      <c r="F55" s="36"/>
      <c r="G55" s="36"/>
      <c r="H55" s="36"/>
    </row>
    <row r="57" spans="4:8" x14ac:dyDescent="0.3">
      <c r="F57" s="36"/>
      <c r="G57" s="36"/>
    </row>
    <row r="58" spans="4:8" x14ac:dyDescent="0.3">
      <c r="D58" s="35"/>
      <c r="E58" s="35"/>
      <c r="F58" s="35"/>
      <c r="G58" s="35"/>
      <c r="H58" s="35"/>
    </row>
    <row r="59" spans="4:8" x14ac:dyDescent="0.3">
      <c r="D59" s="35"/>
      <c r="E59" s="35"/>
      <c r="F59" s="35"/>
      <c r="G59" s="35"/>
      <c r="H59" s="35"/>
    </row>
    <row r="60" spans="4:8" x14ac:dyDescent="0.3">
      <c r="D60" s="35"/>
      <c r="E60" s="35"/>
      <c r="F60" s="35"/>
      <c r="G60" s="35"/>
      <c r="H60" s="35"/>
    </row>
    <row r="61" spans="4:8" x14ac:dyDescent="0.3">
      <c r="F61" s="36"/>
      <c r="G61" s="36"/>
    </row>
    <row r="65" spans="4:10" x14ac:dyDescent="0.3">
      <c r="F65" s="36"/>
      <c r="G65" s="36"/>
      <c r="H65" s="33"/>
      <c r="I65" s="33"/>
      <c r="J65" s="33"/>
    </row>
    <row r="66" spans="4:10" x14ac:dyDescent="0.3">
      <c r="H66" s="33"/>
      <c r="I66" s="33"/>
      <c r="J66" s="33"/>
    </row>
    <row r="67" spans="4:10" x14ac:dyDescent="0.3">
      <c r="H67" s="33"/>
      <c r="I67" s="33"/>
      <c r="J67" s="33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3"/>
      <c r="D82" s="13"/>
      <c r="E82" s="3"/>
      <c r="F82" s="3"/>
      <c r="G82" s="3"/>
      <c r="H82" s="34"/>
      <c r="I82" s="3"/>
    </row>
    <row r="83" spans="3:9" x14ac:dyDescent="0.3">
      <c r="C83" s="13"/>
      <c r="D83" s="13"/>
      <c r="E83" s="3"/>
      <c r="F83" s="3"/>
      <c r="G83" s="3"/>
      <c r="H83" s="30"/>
      <c r="I83" s="3"/>
    </row>
    <row r="84" spans="3:9" x14ac:dyDescent="0.3">
      <c r="C84" s="13"/>
      <c r="D84" s="13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5"/>
      <c r="F86" s="35"/>
      <c r="G86" s="35"/>
      <c r="H86" s="35"/>
      <c r="I86" s="35"/>
    </row>
    <row r="87" spans="3:9" x14ac:dyDescent="0.3">
      <c r="E87" s="35"/>
      <c r="F87" s="35"/>
      <c r="G87" s="35"/>
      <c r="H87" s="35"/>
      <c r="I87" s="35"/>
    </row>
    <row r="88" spans="3:9" x14ac:dyDescent="0.3">
      <c r="C88" s="33"/>
      <c r="D88" s="33"/>
      <c r="E88" s="35"/>
      <c r="F88" s="35"/>
      <c r="G88" s="35"/>
      <c r="H88" s="35"/>
      <c r="I88" s="35"/>
    </row>
    <row r="89" spans="3:9" x14ac:dyDescent="0.3">
      <c r="C89" s="33"/>
      <c r="D89" s="33"/>
    </row>
    <row r="90" spans="3:9" x14ac:dyDescent="0.3">
      <c r="C90" s="33"/>
      <c r="D90" s="33"/>
      <c r="E90" s="33"/>
    </row>
    <row r="93" spans="3:9" x14ac:dyDescent="0.3">
      <c r="H93" s="3"/>
    </row>
  </sheetData>
  <mergeCells count="5">
    <mergeCell ref="N1:T1"/>
    <mergeCell ref="U1:Y1"/>
    <mergeCell ref="Z1:AB1"/>
    <mergeCell ref="C1:M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D4" sqref="D4"/>
    </sheetView>
  </sheetViews>
  <sheetFormatPr defaultRowHeight="14.4" x14ac:dyDescent="0.3"/>
  <cols>
    <col min="1" max="1" width="37" customWidth="1"/>
    <col min="2" max="2" width="15" customWidth="1"/>
    <col min="3" max="3" width="17.77734375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4" t="s">
        <v>101</v>
      </c>
      <c r="C1" s="114" t="s">
        <v>102</v>
      </c>
      <c r="E1" s="2" t="s">
        <v>38</v>
      </c>
      <c r="F1" s="2"/>
      <c r="G1" s="2"/>
    </row>
    <row r="2" spans="1:7" x14ac:dyDescent="0.3">
      <c r="A2" s="115" t="s">
        <v>108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5" t="s">
        <v>109</v>
      </c>
      <c r="B3" s="33">
        <f ca="1">_xlfn.NORM.INV(RAND(),Mappings!N3,Mappings!O3)</f>
        <v>326.97434939567347</v>
      </c>
      <c r="C3" s="33">
        <f ca="1">_xlfn.NORM.INV(RAND(),Mappings!N4,Mappings!O4)</f>
        <v>569.95680314969934</v>
      </c>
      <c r="D3" s="33"/>
      <c r="E3" s="33"/>
      <c r="F3" s="33"/>
      <c r="G3" s="33"/>
    </row>
    <row r="4" spans="1:7" x14ac:dyDescent="0.3">
      <c r="A4" s="115" t="s">
        <v>110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5" t="s">
        <v>39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5" t="s">
        <v>111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5" t="s">
        <v>112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2" customFormat="1" x14ac:dyDescent="0.3">
      <c r="A8" s="115" t="s">
        <v>95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2" customFormat="1" x14ac:dyDescent="0.3">
      <c r="A9" s="115" t="s">
        <v>113</v>
      </c>
      <c r="B9" s="33">
        <f ca="1">IF(B8&gt;0,_xlfn.NORM.INV(RAND(),B8,B8*Dairy_Income_Roadmap!L38),_xlfn.NORM.INV(RAND(),ABS(B8),ABS(B8)*Dairy_Income_Roadmap!L38))</f>
        <v>50.37271552160496</v>
      </c>
      <c r="C9" s="33">
        <f ca="1">IF(C8&gt;0,_xlfn.NORM.INV(RAND(),C8,C8*Dairy_Income_Roadmap!L38),_xlfn.NORM.INV(RAND(),ABS(C8),ABS(C8)*Dairy_Income_Roadmap!L38))</f>
        <v>55.877245334074168</v>
      </c>
      <c r="D9" s="33"/>
      <c r="E9" s="33"/>
      <c r="F9" s="33"/>
      <c r="G9" s="33"/>
    </row>
    <row r="10" spans="1:7" x14ac:dyDescent="0.3">
      <c r="A10" s="115" t="s">
        <v>40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5" t="s">
        <v>114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5"/>
      <c r="B12" s="33"/>
      <c r="C12" s="33"/>
      <c r="D12" s="33"/>
      <c r="E12" s="33"/>
      <c r="F12" s="33"/>
      <c r="G12" s="33"/>
    </row>
    <row r="13" spans="1:7" x14ac:dyDescent="0.3">
      <c r="A13" s="115" t="s">
        <v>41</v>
      </c>
      <c r="B13" s="33">
        <f ca="1">B3*B5</f>
        <v>690.56982592366239</v>
      </c>
      <c r="C13" s="33">
        <f ca="1">C3*C5</f>
        <v>844.67260664169225</v>
      </c>
      <c r="D13" s="33"/>
      <c r="E13" s="33"/>
      <c r="F13" s="33"/>
      <c r="G13" s="33"/>
    </row>
    <row r="14" spans="1:7" x14ac:dyDescent="0.3">
      <c r="A14" s="115" t="s">
        <v>42</v>
      </c>
      <c r="B14" s="33">
        <f ca="1">IF(B8&gt;0,B7-B9,    B7 +B9)</f>
        <v>1706.8713313861426</v>
      </c>
      <c r="C14" s="33">
        <f ca="1">C7-IF(C8&gt;0,C9,(-1)*C9)</f>
        <v>1722.2639429834346</v>
      </c>
      <c r="D14" s="33"/>
      <c r="E14" s="33"/>
      <c r="F14" s="33"/>
      <c r="G14" s="33"/>
    </row>
    <row r="15" spans="1:7" x14ac:dyDescent="0.3">
      <c r="A15" s="115" t="s">
        <v>40</v>
      </c>
      <c r="B15" s="33">
        <f ca="1">_xlfn.NORM.INV(RAND(),B10,B11)</f>
        <v>67162.906691445562</v>
      </c>
      <c r="C15" s="33">
        <f t="shared" ref="C15" ca="1" si="0">_xlfn.NORM.INV(RAND(),C10,C11)</f>
        <v>77035.911005757953</v>
      </c>
      <c r="D15" s="33"/>
      <c r="E15" s="33"/>
      <c r="F15" s="33"/>
      <c r="G15" s="33"/>
    </row>
    <row r="16" spans="1:7" x14ac:dyDescent="0.3">
      <c r="A16" s="115"/>
      <c r="B16" s="33"/>
      <c r="C16" s="33"/>
      <c r="D16" s="33"/>
      <c r="E16" s="33"/>
      <c r="F16" s="33"/>
      <c r="G16" s="33"/>
    </row>
    <row r="17" spans="1:8" x14ac:dyDescent="0.3">
      <c r="A17" s="115" t="s">
        <v>43</v>
      </c>
      <c r="B17" s="33">
        <f ca="1">(B13+B14)*B15</f>
        <v>161019116.74662969</v>
      </c>
      <c r="C17" s="33">
        <f ca="1">(C13+C14)*C15</f>
        <v>197746295.59434864</v>
      </c>
      <c r="D17" s="33"/>
      <c r="E17" s="33">
        <f ca="1">B17+C17</f>
        <v>358765412.34097832</v>
      </c>
      <c r="F17" s="33"/>
      <c r="G17" s="33"/>
    </row>
    <row r="18" spans="1:8" x14ac:dyDescent="0.3">
      <c r="A18" s="115" t="s">
        <v>52</v>
      </c>
      <c r="B18" s="33" t="s">
        <v>48</v>
      </c>
      <c r="C18" s="33" t="s">
        <v>48</v>
      </c>
      <c r="D18" s="33"/>
      <c r="E18" s="33">
        <f ca="1">STDEVA(E21:E128)</f>
        <v>28195134.030606449</v>
      </c>
      <c r="F18" s="33"/>
      <c r="G18" s="136" t="s">
        <v>51</v>
      </c>
    </row>
    <row r="19" spans="1:8" x14ac:dyDescent="0.3">
      <c r="A19" s="115" t="s">
        <v>44</v>
      </c>
      <c r="B19" s="33" t="s">
        <v>48</v>
      </c>
      <c r="C19" s="33" t="s">
        <v>48</v>
      </c>
      <c r="D19" s="33"/>
      <c r="E19" s="33">
        <f ca="1">AVERAGE(E21:E128)</f>
        <v>339109453.27423811</v>
      </c>
      <c r="F19" s="33"/>
      <c r="G19" s="136"/>
      <c r="H19" s="98">
        <f ca="1">100*E18/E19</f>
        <v>8.3144641821014122</v>
      </c>
    </row>
    <row r="21" spans="1:8" x14ac:dyDescent="0.3">
      <c r="D21">
        <v>1</v>
      </c>
      <c r="E21">
        <f ca="1">E17</f>
        <v>358765412.34097832</v>
      </c>
    </row>
    <row r="22" spans="1:8" x14ac:dyDescent="0.3">
      <c r="D22">
        <v>2</v>
      </c>
      <c r="E22">
        <f t="dataTable" ref="E22:E128" dt2D="0" dtr="0" r1="E20" ca="1"/>
        <v>316585769.65607822</v>
      </c>
    </row>
    <row r="23" spans="1:8" x14ac:dyDescent="0.3">
      <c r="D23">
        <v>3</v>
      </c>
      <c r="E23">
        <v>358245582.79200077</v>
      </c>
    </row>
    <row r="24" spans="1:8" x14ac:dyDescent="0.3">
      <c r="D24">
        <v>4</v>
      </c>
      <c r="E24">
        <v>349404098.62251765</v>
      </c>
    </row>
    <row r="25" spans="1:8" x14ac:dyDescent="0.3">
      <c r="D25">
        <v>5</v>
      </c>
      <c r="E25">
        <v>305728745.23921353</v>
      </c>
    </row>
    <row r="26" spans="1:8" x14ac:dyDescent="0.3">
      <c r="D26">
        <v>6</v>
      </c>
      <c r="E26">
        <v>348544286.11637455</v>
      </c>
    </row>
    <row r="27" spans="1:8" x14ac:dyDescent="0.3">
      <c r="D27">
        <v>7</v>
      </c>
      <c r="E27">
        <v>332927982.11920834</v>
      </c>
    </row>
    <row r="28" spans="1:8" x14ac:dyDescent="0.3">
      <c r="D28">
        <v>8</v>
      </c>
      <c r="E28">
        <v>355884774.80463195</v>
      </c>
    </row>
    <row r="29" spans="1:8" x14ac:dyDescent="0.3">
      <c r="D29">
        <v>9</v>
      </c>
      <c r="E29">
        <v>292236160.00232661</v>
      </c>
    </row>
    <row r="30" spans="1:8" x14ac:dyDescent="0.3">
      <c r="D30">
        <v>10</v>
      </c>
      <c r="E30">
        <v>369222661.18887877</v>
      </c>
    </row>
    <row r="31" spans="1:8" x14ac:dyDescent="0.3">
      <c r="D31">
        <v>11</v>
      </c>
      <c r="E31">
        <v>289754189.11197066</v>
      </c>
    </row>
    <row r="32" spans="1:8" x14ac:dyDescent="0.3">
      <c r="D32">
        <v>12</v>
      </c>
      <c r="E32">
        <v>359596778.56057096</v>
      </c>
    </row>
    <row r="33" spans="4:5" x14ac:dyDescent="0.3">
      <c r="D33">
        <v>13</v>
      </c>
      <c r="E33">
        <v>360190580.21083534</v>
      </c>
    </row>
    <row r="34" spans="4:5" x14ac:dyDescent="0.3">
      <c r="D34">
        <v>14</v>
      </c>
      <c r="E34">
        <v>354280806.02743334</v>
      </c>
    </row>
    <row r="35" spans="4:5" x14ac:dyDescent="0.3">
      <c r="D35">
        <v>15</v>
      </c>
      <c r="E35">
        <v>355583267.41222167</v>
      </c>
    </row>
    <row r="36" spans="4:5" x14ac:dyDescent="0.3">
      <c r="D36">
        <v>16</v>
      </c>
      <c r="E36">
        <v>326449201.35856122</v>
      </c>
    </row>
    <row r="37" spans="4:5" x14ac:dyDescent="0.3">
      <c r="D37">
        <v>17</v>
      </c>
      <c r="E37">
        <v>322051244.81929708</v>
      </c>
    </row>
    <row r="38" spans="4:5" x14ac:dyDescent="0.3">
      <c r="D38">
        <v>18</v>
      </c>
      <c r="E38">
        <v>345402039.61001325</v>
      </c>
    </row>
    <row r="39" spans="4:5" x14ac:dyDescent="0.3">
      <c r="D39">
        <v>19</v>
      </c>
      <c r="E39">
        <v>384881743.90287805</v>
      </c>
    </row>
    <row r="40" spans="4:5" x14ac:dyDescent="0.3">
      <c r="D40">
        <v>20</v>
      </c>
      <c r="E40">
        <v>354681621.06977236</v>
      </c>
    </row>
    <row r="41" spans="4:5" x14ac:dyDescent="0.3">
      <c r="D41">
        <v>21</v>
      </c>
      <c r="E41">
        <v>314449999.56474382</v>
      </c>
    </row>
    <row r="42" spans="4:5" x14ac:dyDescent="0.3">
      <c r="D42">
        <v>22</v>
      </c>
      <c r="E42">
        <v>368431476.70254111</v>
      </c>
    </row>
    <row r="43" spans="4:5" x14ac:dyDescent="0.3">
      <c r="D43">
        <v>23</v>
      </c>
      <c r="E43">
        <v>327217760.66603321</v>
      </c>
    </row>
    <row r="44" spans="4:5" x14ac:dyDescent="0.3">
      <c r="D44">
        <v>24</v>
      </c>
      <c r="E44">
        <v>299541502.14592785</v>
      </c>
    </row>
    <row r="45" spans="4:5" x14ac:dyDescent="0.3">
      <c r="D45">
        <v>25</v>
      </c>
      <c r="E45">
        <v>351412541.11904943</v>
      </c>
    </row>
    <row r="46" spans="4:5" x14ac:dyDescent="0.3">
      <c r="D46">
        <v>26</v>
      </c>
      <c r="E46">
        <v>364682031.97678816</v>
      </c>
    </row>
    <row r="47" spans="4:5" x14ac:dyDescent="0.3">
      <c r="D47">
        <v>27</v>
      </c>
      <c r="E47">
        <v>324037249.88669986</v>
      </c>
    </row>
    <row r="48" spans="4:5" x14ac:dyDescent="0.3">
      <c r="D48">
        <v>28</v>
      </c>
      <c r="E48">
        <v>317758238.96427482</v>
      </c>
    </row>
    <row r="49" spans="4:5" x14ac:dyDescent="0.3">
      <c r="D49">
        <v>29</v>
      </c>
      <c r="E49">
        <v>350713582.38410592</v>
      </c>
    </row>
    <row r="50" spans="4:5" x14ac:dyDescent="0.3">
      <c r="D50">
        <v>30</v>
      </c>
      <c r="E50">
        <v>382292615.55488408</v>
      </c>
    </row>
    <row r="51" spans="4:5" x14ac:dyDescent="0.3">
      <c r="D51">
        <v>31</v>
      </c>
      <c r="E51">
        <v>309393816.24224627</v>
      </c>
    </row>
    <row r="52" spans="4:5" x14ac:dyDescent="0.3">
      <c r="D52">
        <v>32</v>
      </c>
      <c r="E52">
        <v>328506789.31234479</v>
      </c>
    </row>
    <row r="53" spans="4:5" x14ac:dyDescent="0.3">
      <c r="D53">
        <v>33</v>
      </c>
      <c r="E53">
        <v>411761268.03472173</v>
      </c>
    </row>
    <row r="54" spans="4:5" x14ac:dyDescent="0.3">
      <c r="D54">
        <v>34</v>
      </c>
      <c r="E54">
        <v>379340094.54505628</v>
      </c>
    </row>
    <row r="55" spans="4:5" x14ac:dyDescent="0.3">
      <c r="D55">
        <v>35</v>
      </c>
      <c r="E55">
        <v>319954209.56389767</v>
      </c>
    </row>
    <row r="56" spans="4:5" x14ac:dyDescent="0.3">
      <c r="D56">
        <v>36</v>
      </c>
      <c r="E56">
        <v>362535003.97473544</v>
      </c>
    </row>
    <row r="57" spans="4:5" x14ac:dyDescent="0.3">
      <c r="D57">
        <v>37</v>
      </c>
      <c r="E57">
        <v>346858324.40810269</v>
      </c>
    </row>
    <row r="58" spans="4:5" x14ac:dyDescent="0.3">
      <c r="D58">
        <v>38</v>
      </c>
      <c r="E58">
        <v>345744550.80518723</v>
      </c>
    </row>
    <row r="59" spans="4:5" x14ac:dyDescent="0.3">
      <c r="D59">
        <v>39</v>
      </c>
      <c r="E59">
        <v>305503772.58886319</v>
      </c>
    </row>
    <row r="60" spans="4:5" x14ac:dyDescent="0.3">
      <c r="D60">
        <v>40</v>
      </c>
      <c r="E60">
        <v>329886524.57597053</v>
      </c>
    </row>
    <row r="61" spans="4:5" x14ac:dyDescent="0.3">
      <c r="D61">
        <v>41</v>
      </c>
      <c r="E61">
        <v>392838128.76289815</v>
      </c>
    </row>
    <row r="62" spans="4:5" x14ac:dyDescent="0.3">
      <c r="D62">
        <v>42</v>
      </c>
      <c r="E62">
        <v>342946410.35554761</v>
      </c>
    </row>
    <row r="63" spans="4:5" x14ac:dyDescent="0.3">
      <c r="D63">
        <v>43</v>
      </c>
      <c r="E63">
        <v>316094881.44512904</v>
      </c>
    </row>
    <row r="64" spans="4:5" x14ac:dyDescent="0.3">
      <c r="D64">
        <v>44</v>
      </c>
      <c r="E64">
        <v>333493718.01736736</v>
      </c>
    </row>
    <row r="65" spans="4:5" x14ac:dyDescent="0.3">
      <c r="D65">
        <v>45</v>
      </c>
      <c r="E65">
        <v>396671839.0460577</v>
      </c>
    </row>
    <row r="66" spans="4:5" x14ac:dyDescent="0.3">
      <c r="D66">
        <v>46</v>
      </c>
      <c r="E66">
        <v>313802023.30912995</v>
      </c>
    </row>
    <row r="67" spans="4:5" x14ac:dyDescent="0.3">
      <c r="D67">
        <v>47</v>
      </c>
      <c r="E67">
        <v>334956811.76894259</v>
      </c>
    </row>
    <row r="68" spans="4:5" x14ac:dyDescent="0.3">
      <c r="D68">
        <v>48</v>
      </c>
      <c r="E68">
        <v>377772852.34199739</v>
      </c>
    </row>
    <row r="69" spans="4:5" x14ac:dyDescent="0.3">
      <c r="D69">
        <v>49</v>
      </c>
      <c r="E69">
        <v>334420666.10181469</v>
      </c>
    </row>
    <row r="70" spans="4:5" x14ac:dyDescent="0.3">
      <c r="D70">
        <v>50</v>
      </c>
      <c r="E70">
        <v>353048892.54944533</v>
      </c>
    </row>
    <row r="71" spans="4:5" x14ac:dyDescent="0.3">
      <c r="D71">
        <v>51</v>
      </c>
      <c r="E71">
        <v>301888487.99191278</v>
      </c>
    </row>
    <row r="72" spans="4:5" x14ac:dyDescent="0.3">
      <c r="D72">
        <v>52</v>
      </c>
      <c r="E72">
        <v>327948391.26338649</v>
      </c>
    </row>
    <row r="73" spans="4:5" x14ac:dyDescent="0.3">
      <c r="D73">
        <v>53</v>
      </c>
      <c r="E73">
        <v>327382902.80125046</v>
      </c>
    </row>
    <row r="74" spans="4:5" x14ac:dyDescent="0.3">
      <c r="D74">
        <v>54</v>
      </c>
      <c r="E74">
        <v>309553589.30059546</v>
      </c>
    </row>
    <row r="75" spans="4:5" x14ac:dyDescent="0.3">
      <c r="D75">
        <v>55</v>
      </c>
      <c r="E75">
        <v>295192159.64989972</v>
      </c>
    </row>
    <row r="76" spans="4:5" x14ac:dyDescent="0.3">
      <c r="D76">
        <v>56</v>
      </c>
      <c r="E76">
        <v>298590015.11096907</v>
      </c>
    </row>
    <row r="77" spans="4:5" x14ac:dyDescent="0.3">
      <c r="D77">
        <v>57</v>
      </c>
      <c r="E77">
        <v>369353100.67196399</v>
      </c>
    </row>
    <row r="78" spans="4:5" x14ac:dyDescent="0.3">
      <c r="D78">
        <v>58</v>
      </c>
      <c r="E78">
        <v>285904303.21016395</v>
      </c>
    </row>
    <row r="79" spans="4:5" x14ac:dyDescent="0.3">
      <c r="D79">
        <v>59</v>
      </c>
      <c r="E79">
        <v>302061986.56425333</v>
      </c>
    </row>
    <row r="80" spans="4:5" x14ac:dyDescent="0.3">
      <c r="D80">
        <v>60</v>
      </c>
      <c r="E80">
        <v>297699791.01655489</v>
      </c>
    </row>
    <row r="81" spans="4:5" x14ac:dyDescent="0.3">
      <c r="D81">
        <v>61</v>
      </c>
      <c r="E81">
        <v>365959045.27126706</v>
      </c>
    </row>
    <row r="82" spans="4:5" x14ac:dyDescent="0.3">
      <c r="D82">
        <v>62</v>
      </c>
      <c r="E82">
        <v>338680320.96080661</v>
      </c>
    </row>
    <row r="83" spans="4:5" x14ac:dyDescent="0.3">
      <c r="D83">
        <v>63</v>
      </c>
      <c r="E83">
        <v>361876039.59498686</v>
      </c>
    </row>
    <row r="84" spans="4:5" x14ac:dyDescent="0.3">
      <c r="D84">
        <v>64</v>
      </c>
      <c r="E84">
        <v>360189286.20782685</v>
      </c>
    </row>
    <row r="85" spans="4:5" x14ac:dyDescent="0.3">
      <c r="D85">
        <v>65</v>
      </c>
      <c r="E85">
        <v>386247368.83092296</v>
      </c>
    </row>
    <row r="86" spans="4:5" x14ac:dyDescent="0.3">
      <c r="D86">
        <v>66</v>
      </c>
      <c r="E86">
        <v>383167649.15097135</v>
      </c>
    </row>
    <row r="87" spans="4:5" x14ac:dyDescent="0.3">
      <c r="D87">
        <v>67</v>
      </c>
      <c r="E87">
        <v>323796234.45894009</v>
      </c>
    </row>
    <row r="88" spans="4:5" x14ac:dyDescent="0.3">
      <c r="D88">
        <v>68</v>
      </c>
      <c r="E88">
        <v>340603615.22279656</v>
      </c>
    </row>
    <row r="89" spans="4:5" x14ac:dyDescent="0.3">
      <c r="D89">
        <v>69</v>
      </c>
      <c r="E89">
        <v>343138357.47688133</v>
      </c>
    </row>
    <row r="90" spans="4:5" x14ac:dyDescent="0.3">
      <c r="D90">
        <v>70</v>
      </c>
      <c r="E90">
        <v>306105653.29055595</v>
      </c>
    </row>
    <row r="91" spans="4:5" x14ac:dyDescent="0.3">
      <c r="D91">
        <v>71</v>
      </c>
      <c r="E91">
        <v>406992694.66785038</v>
      </c>
    </row>
    <row r="92" spans="4:5" x14ac:dyDescent="0.3">
      <c r="D92">
        <v>72</v>
      </c>
      <c r="E92">
        <v>356877295.23984063</v>
      </c>
    </row>
    <row r="93" spans="4:5" x14ac:dyDescent="0.3">
      <c r="D93">
        <v>73</v>
      </c>
      <c r="E93">
        <v>299580152.36704898</v>
      </c>
    </row>
    <row r="94" spans="4:5" x14ac:dyDescent="0.3">
      <c r="D94">
        <v>74</v>
      </c>
      <c r="E94">
        <v>284988146.88068503</v>
      </c>
    </row>
    <row r="95" spans="4:5" x14ac:dyDescent="0.3">
      <c r="D95">
        <v>75</v>
      </c>
      <c r="E95">
        <v>318685414.39382893</v>
      </c>
    </row>
    <row r="96" spans="4:5" x14ac:dyDescent="0.3">
      <c r="D96">
        <v>76</v>
      </c>
      <c r="E96">
        <v>337433096.6205501</v>
      </c>
    </row>
    <row r="97" spans="4:5" x14ac:dyDescent="0.3">
      <c r="D97">
        <v>77</v>
      </c>
      <c r="E97">
        <v>303113452.06820869</v>
      </c>
    </row>
    <row r="98" spans="4:5" x14ac:dyDescent="0.3">
      <c r="D98">
        <v>78</v>
      </c>
      <c r="E98">
        <v>337289864.86034292</v>
      </c>
    </row>
    <row r="99" spans="4:5" x14ac:dyDescent="0.3">
      <c r="D99">
        <v>79</v>
      </c>
      <c r="E99">
        <v>385673624.2484597</v>
      </c>
    </row>
    <row r="100" spans="4:5" x14ac:dyDescent="0.3">
      <c r="D100">
        <v>80</v>
      </c>
      <c r="E100">
        <v>324527785.89797938</v>
      </c>
    </row>
    <row r="101" spans="4:5" x14ac:dyDescent="0.3">
      <c r="D101">
        <v>81</v>
      </c>
      <c r="E101">
        <v>333947914.52672678</v>
      </c>
    </row>
    <row r="102" spans="4:5" x14ac:dyDescent="0.3">
      <c r="D102">
        <v>82</v>
      </c>
      <c r="E102">
        <v>343716834.30177724</v>
      </c>
    </row>
    <row r="103" spans="4:5" x14ac:dyDescent="0.3">
      <c r="D103">
        <v>83</v>
      </c>
      <c r="E103">
        <v>329983083.83463776</v>
      </c>
    </row>
    <row r="104" spans="4:5" x14ac:dyDescent="0.3">
      <c r="D104">
        <v>84</v>
      </c>
      <c r="E104">
        <v>334451051.66159111</v>
      </c>
    </row>
    <row r="105" spans="4:5" x14ac:dyDescent="0.3">
      <c r="D105">
        <v>85</v>
      </c>
      <c r="E105">
        <v>326040628.38063806</v>
      </c>
    </row>
    <row r="106" spans="4:5" x14ac:dyDescent="0.3">
      <c r="D106">
        <v>86</v>
      </c>
      <c r="E106">
        <v>322501938.65096462</v>
      </c>
    </row>
    <row r="107" spans="4:5" x14ac:dyDescent="0.3">
      <c r="D107">
        <v>87</v>
      </c>
      <c r="E107">
        <v>316937346.07872301</v>
      </c>
    </row>
    <row r="108" spans="4:5" x14ac:dyDescent="0.3">
      <c r="D108">
        <v>88</v>
      </c>
      <c r="E108">
        <v>320603997.22215414</v>
      </c>
    </row>
    <row r="109" spans="4:5" x14ac:dyDescent="0.3">
      <c r="D109">
        <v>89</v>
      </c>
      <c r="E109">
        <v>318094950.38406855</v>
      </c>
    </row>
    <row r="110" spans="4:5" x14ac:dyDescent="0.3">
      <c r="D110">
        <v>90</v>
      </c>
      <c r="E110">
        <v>352502933.76264</v>
      </c>
    </row>
    <row r="111" spans="4:5" x14ac:dyDescent="0.3">
      <c r="D111">
        <v>91</v>
      </c>
      <c r="E111">
        <v>360771110.06907392</v>
      </c>
    </row>
    <row r="112" spans="4:5" x14ac:dyDescent="0.3">
      <c r="D112">
        <v>92</v>
      </c>
      <c r="E112">
        <v>372877262.10702491</v>
      </c>
    </row>
    <row r="113" spans="4:5" x14ac:dyDescent="0.3">
      <c r="D113">
        <v>93</v>
      </c>
      <c r="E113">
        <v>355259301.34307039</v>
      </c>
    </row>
    <row r="114" spans="4:5" x14ac:dyDescent="0.3">
      <c r="D114">
        <v>94</v>
      </c>
      <c r="E114">
        <v>316624859.26542437</v>
      </c>
    </row>
    <row r="115" spans="4:5" x14ac:dyDescent="0.3">
      <c r="D115">
        <v>95</v>
      </c>
      <c r="E115">
        <v>326977551.23157346</v>
      </c>
    </row>
    <row r="116" spans="4:5" x14ac:dyDescent="0.3">
      <c r="D116">
        <v>96</v>
      </c>
      <c r="E116">
        <v>346128664.11655581</v>
      </c>
    </row>
    <row r="117" spans="4:5" x14ac:dyDescent="0.3">
      <c r="D117">
        <v>97</v>
      </c>
      <c r="E117">
        <v>362199108.97797704</v>
      </c>
    </row>
    <row r="118" spans="4:5" x14ac:dyDescent="0.3">
      <c r="D118">
        <v>98</v>
      </c>
      <c r="E118">
        <v>352055312.49437374</v>
      </c>
    </row>
    <row r="119" spans="4:5" x14ac:dyDescent="0.3">
      <c r="D119">
        <v>99</v>
      </c>
      <c r="E119">
        <v>292713319.28893507</v>
      </c>
    </row>
    <row r="120" spans="4:5" x14ac:dyDescent="0.3">
      <c r="D120">
        <v>100</v>
      </c>
      <c r="E120">
        <v>374504031.78542769</v>
      </c>
    </row>
    <row r="121" spans="4:5" x14ac:dyDescent="0.3">
      <c r="D121">
        <v>101</v>
      </c>
      <c r="E121">
        <v>314095636.27845031</v>
      </c>
    </row>
    <row r="122" spans="4:5" x14ac:dyDescent="0.3">
      <c r="D122">
        <v>102</v>
      </c>
      <c r="E122">
        <v>326615926.60621101</v>
      </c>
    </row>
    <row r="123" spans="4:5" x14ac:dyDescent="0.3">
      <c r="D123">
        <v>103</v>
      </c>
      <c r="E123">
        <v>353543974.97864676</v>
      </c>
    </row>
    <row r="124" spans="4:5" x14ac:dyDescent="0.3">
      <c r="D124">
        <v>104</v>
      </c>
      <c r="E124">
        <v>300547260.72736251</v>
      </c>
    </row>
    <row r="125" spans="4:5" x14ac:dyDescent="0.3">
      <c r="D125">
        <v>105</v>
      </c>
      <c r="E125">
        <v>362796001.46489716</v>
      </c>
    </row>
    <row r="126" spans="4:5" x14ac:dyDescent="0.3">
      <c r="D126">
        <v>106</v>
      </c>
      <c r="E126">
        <v>330307674.43919814</v>
      </c>
    </row>
    <row r="127" spans="4:5" x14ac:dyDescent="0.3">
      <c r="D127">
        <v>107</v>
      </c>
      <c r="E127">
        <v>368755457.67503202</v>
      </c>
    </row>
    <row r="128" spans="4:5" x14ac:dyDescent="0.3">
      <c r="D128">
        <v>108</v>
      </c>
      <c r="E128">
        <v>351283474.99260205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B9" sqref="B9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_xlfn.NORM.INV(RAND(),Mappings!N14,Mappings!O14)</f>
        <v>1503.4103818377957</v>
      </c>
      <c r="C4" s="21">
        <f ca="1">_xlfn.NORM.INV(RAND(),Mappings!N15,Mappings!O15)</f>
        <v>394.71602522883217</v>
      </c>
      <c r="D4" s="21">
        <f ca="1">_xlfn.NORM.INV(RAND(),Mappings!N16,Mappings!O16)</f>
        <v>1543.8944651558247</v>
      </c>
    </row>
    <row r="5" spans="1:8" x14ac:dyDescent="0.3">
      <c r="A5" s="115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5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288.12305977067484</v>
      </c>
      <c r="C10" s="21">
        <f ca="1">IF(C9&gt;0,_xlfn.NORM.INV(RAND(),C9,C9*Dairy_Income_Roadmap!L36),_xlfn.NORM.INV(RAND(),ABS(C9),ABS(C9)*Dairy_Income_Roadmap!L36))</f>
        <v>76.655561320131937</v>
      </c>
      <c r="D10" s="21">
        <f ca="1">IF(D9&gt;0,_xlfn.NORM.INV(RAND(),D9,D9*Dairy_Income_Roadmap!L38),_xlfn.NORM.INV(RAND(),ABS(D9),ABS(D9)*Dairy_Income_Roadmap!L38))</f>
        <v>274.12982947984409</v>
      </c>
    </row>
    <row r="11" spans="1:8" x14ac:dyDescent="0.3">
      <c r="A11" s="115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5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1299.4619824105982</v>
      </c>
      <c r="C14" s="21">
        <f ca="1">C4*C6</f>
        <v>1165.9798879793982</v>
      </c>
      <c r="D14" s="21">
        <f ca="1">D4*D6</f>
        <v>2675.7965325944338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288.1230597706749</v>
      </c>
      <c r="C15" s="21">
        <f t="shared" ref="C15:D15" ca="1" si="0">C8-IF(C9&gt;0,C8-C10,C8+C10)</f>
        <v>76.655561320131937</v>
      </c>
      <c r="D15" s="21">
        <f t="shared" ca="1" si="0"/>
        <v>274.12982947984415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1304.9168435329236</v>
      </c>
      <c r="C16" s="21">
        <f ca="1">_xlfn.NORM.INV(RAND(),C11,C12)</f>
        <v>59696.852554792073</v>
      </c>
      <c r="D16" s="21">
        <f t="shared" ref="D16" ca="1" si="1">_xlfn.NORM.INV(RAND(),D11,D12)</f>
        <v>81424.233808391946</v>
      </c>
    </row>
    <row r="17" spans="1:10" x14ac:dyDescent="0.3">
      <c r="A17" s="115"/>
    </row>
    <row r="18" spans="1:10" x14ac:dyDescent="0.3">
      <c r="A18" s="115" t="str">
        <f>MC_High_ambition!A18</f>
        <v>Estimated population income (USD/yr)</v>
      </c>
      <c r="B18" s="10">
        <f ca="1">(B14+B15)*B16</f>
        <v>2071666.4620832703</v>
      </c>
      <c r="C18" s="10">
        <f ca="1">(C14+C15)*C16</f>
        <v>74181425.196191847</v>
      </c>
      <c r="D18" s="10">
        <f ca="1">(D14+D15)*D16</f>
        <v>240195493.82307506</v>
      </c>
      <c r="F18">
        <f ca="1">B18+C18+D18</f>
        <v>316448585.48135018</v>
      </c>
    </row>
    <row r="19" spans="1:10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35665646.375170439</v>
      </c>
    </row>
    <row r="20" spans="1:10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381749459.81860393</v>
      </c>
      <c r="G20" s="4"/>
      <c r="H20" s="137" t="s">
        <v>51</v>
      </c>
      <c r="I20" s="46">
        <f ca="1">100*F19/F20</f>
        <v>9.3426841761918151</v>
      </c>
    </row>
    <row r="21" spans="1:10" x14ac:dyDescent="0.3">
      <c r="F21" s="4"/>
      <c r="G21" s="4"/>
      <c r="H21" s="137"/>
    </row>
    <row r="22" spans="1:10" x14ac:dyDescent="0.3">
      <c r="B22" s="4"/>
      <c r="E22">
        <v>1</v>
      </c>
      <c r="F22" s="35">
        <f ca="1">F18</f>
        <v>316448585.48135018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429560020.94219309</v>
      </c>
      <c r="G23" s="4"/>
      <c r="H23" s="4"/>
      <c r="I23" s="136"/>
    </row>
    <row r="24" spans="1:10" x14ac:dyDescent="0.3">
      <c r="E24">
        <v>3</v>
      </c>
      <c r="F24" s="35">
        <v>329831697.37709916</v>
      </c>
      <c r="G24" s="4"/>
      <c r="H24" s="4"/>
      <c r="I24" s="136"/>
      <c r="J24" s="46"/>
    </row>
    <row r="25" spans="1:10" x14ac:dyDescent="0.3">
      <c r="E25">
        <v>4</v>
      </c>
      <c r="F25" s="35">
        <v>412118240.77511531</v>
      </c>
      <c r="G25" s="4"/>
      <c r="H25" s="4"/>
    </row>
    <row r="26" spans="1:10" x14ac:dyDescent="0.3">
      <c r="E26">
        <v>5</v>
      </c>
      <c r="F26" s="35">
        <v>425913336.0082196</v>
      </c>
      <c r="G26" s="4"/>
      <c r="H26" s="4"/>
    </row>
    <row r="27" spans="1:10" x14ac:dyDescent="0.3">
      <c r="E27">
        <v>6</v>
      </c>
      <c r="F27" s="35">
        <v>393580449.15398943</v>
      </c>
      <c r="G27" s="4"/>
      <c r="H27" s="4"/>
    </row>
    <row r="28" spans="1:10" x14ac:dyDescent="0.3">
      <c r="E28">
        <v>7</v>
      </c>
      <c r="F28" s="35">
        <v>347840935.68617493</v>
      </c>
      <c r="G28" s="4"/>
      <c r="H28" s="4"/>
    </row>
    <row r="29" spans="1:10" x14ac:dyDescent="0.3">
      <c r="E29">
        <v>8</v>
      </c>
      <c r="F29" s="35">
        <v>352531049.39461476</v>
      </c>
      <c r="G29" s="4"/>
      <c r="H29" s="4"/>
    </row>
    <row r="30" spans="1:10" x14ac:dyDescent="0.3">
      <c r="E30">
        <v>9</v>
      </c>
      <c r="F30" s="35">
        <v>354697065.5937857</v>
      </c>
      <c r="G30" s="4"/>
      <c r="H30" s="4"/>
    </row>
    <row r="31" spans="1:10" x14ac:dyDescent="0.3">
      <c r="E31">
        <v>10</v>
      </c>
      <c r="F31" s="35">
        <v>359526414.10756433</v>
      </c>
      <c r="G31" s="4"/>
      <c r="H31" s="4"/>
    </row>
    <row r="32" spans="1:10" x14ac:dyDescent="0.3">
      <c r="E32">
        <v>11</v>
      </c>
      <c r="F32" s="35">
        <v>440413774.58516788</v>
      </c>
      <c r="G32" s="4"/>
      <c r="H32" s="4"/>
    </row>
    <row r="33" spans="5:8" x14ac:dyDescent="0.3">
      <c r="E33">
        <v>12</v>
      </c>
      <c r="F33" s="35">
        <v>374234299.34246993</v>
      </c>
      <c r="G33" s="4"/>
      <c r="H33" s="4"/>
    </row>
    <row r="34" spans="5:8" x14ac:dyDescent="0.3">
      <c r="E34">
        <v>13</v>
      </c>
      <c r="F34" s="35">
        <v>379779487.12960374</v>
      </c>
      <c r="G34" s="4"/>
      <c r="H34" s="4"/>
    </row>
    <row r="35" spans="5:8" x14ac:dyDescent="0.3">
      <c r="E35">
        <v>14</v>
      </c>
      <c r="F35" s="35">
        <v>433746601.48648787</v>
      </c>
      <c r="G35" s="4"/>
      <c r="H35" s="4"/>
    </row>
    <row r="36" spans="5:8" x14ac:dyDescent="0.3">
      <c r="E36">
        <v>15</v>
      </c>
      <c r="F36" s="35">
        <v>427701546.51748419</v>
      </c>
      <c r="G36" s="4"/>
      <c r="H36" s="4"/>
    </row>
    <row r="37" spans="5:8" x14ac:dyDescent="0.3">
      <c r="E37">
        <v>16</v>
      </c>
      <c r="F37" s="35">
        <v>347873356.30883849</v>
      </c>
      <c r="G37" s="4"/>
      <c r="H37" s="4"/>
    </row>
    <row r="38" spans="5:8" x14ac:dyDescent="0.3">
      <c r="E38">
        <v>17</v>
      </c>
      <c r="F38" s="35">
        <v>386454798.52015418</v>
      </c>
      <c r="G38" s="4"/>
      <c r="H38" s="4"/>
    </row>
    <row r="39" spans="5:8" x14ac:dyDescent="0.3">
      <c r="E39">
        <v>18</v>
      </c>
      <c r="F39" s="35">
        <v>389370658.21889639</v>
      </c>
      <c r="G39" s="4"/>
      <c r="H39" s="4"/>
    </row>
    <row r="40" spans="5:8" x14ac:dyDescent="0.3">
      <c r="E40">
        <v>19</v>
      </c>
      <c r="F40" s="35">
        <v>410878212.76841497</v>
      </c>
      <c r="G40" s="4"/>
      <c r="H40" s="4"/>
    </row>
    <row r="41" spans="5:8" x14ac:dyDescent="0.3">
      <c r="E41">
        <v>20</v>
      </c>
      <c r="F41" s="35">
        <v>344553567.5613448</v>
      </c>
      <c r="G41" s="4"/>
      <c r="H41" s="4"/>
    </row>
    <row r="42" spans="5:8" x14ac:dyDescent="0.3">
      <c r="E42">
        <v>21</v>
      </c>
      <c r="F42" s="35">
        <v>361524199.92369092</v>
      </c>
      <c r="G42" s="4"/>
      <c r="H42" s="4"/>
    </row>
    <row r="43" spans="5:8" x14ac:dyDescent="0.3">
      <c r="E43">
        <v>22</v>
      </c>
      <c r="F43" s="35">
        <v>340595021.48452955</v>
      </c>
      <c r="G43" s="4"/>
      <c r="H43" s="4"/>
    </row>
    <row r="44" spans="5:8" x14ac:dyDescent="0.3">
      <c r="E44">
        <v>23</v>
      </c>
      <c r="F44" s="35">
        <v>315161740.76747817</v>
      </c>
      <c r="G44" s="4"/>
      <c r="H44" s="4"/>
    </row>
    <row r="45" spans="5:8" x14ac:dyDescent="0.3">
      <c r="E45">
        <v>24</v>
      </c>
      <c r="F45" s="35">
        <v>394062778.10788405</v>
      </c>
      <c r="G45" s="4"/>
      <c r="H45" s="4"/>
    </row>
    <row r="46" spans="5:8" x14ac:dyDescent="0.3">
      <c r="E46">
        <v>25</v>
      </c>
      <c r="F46" s="35">
        <v>324296886.43203646</v>
      </c>
      <c r="G46" s="4"/>
      <c r="H46" s="4"/>
    </row>
    <row r="47" spans="5:8" x14ac:dyDescent="0.3">
      <c r="E47">
        <v>26</v>
      </c>
      <c r="F47" s="35">
        <v>360850321.14020449</v>
      </c>
      <c r="G47" s="4"/>
      <c r="H47" s="4"/>
    </row>
    <row r="48" spans="5:8" x14ac:dyDescent="0.3">
      <c r="E48">
        <v>27</v>
      </c>
      <c r="F48" s="35">
        <v>372464433.87598425</v>
      </c>
      <c r="G48" s="4"/>
      <c r="H48" s="4"/>
    </row>
    <row r="49" spans="5:8" x14ac:dyDescent="0.3">
      <c r="E49">
        <v>28</v>
      </c>
      <c r="F49" s="35">
        <v>341793829.75194508</v>
      </c>
      <c r="G49" s="4"/>
      <c r="H49" s="4"/>
    </row>
    <row r="50" spans="5:8" x14ac:dyDescent="0.3">
      <c r="E50">
        <v>29</v>
      </c>
      <c r="F50" s="35">
        <v>442747136.0752098</v>
      </c>
      <c r="G50" s="4"/>
      <c r="H50" s="4"/>
    </row>
    <row r="51" spans="5:8" x14ac:dyDescent="0.3">
      <c r="E51">
        <v>30</v>
      </c>
      <c r="F51" s="35">
        <v>382157874.02594626</v>
      </c>
      <c r="G51" s="4"/>
      <c r="H51" s="4"/>
    </row>
    <row r="52" spans="5:8" x14ac:dyDescent="0.3">
      <c r="E52">
        <v>31</v>
      </c>
      <c r="F52" s="35">
        <v>398025765.63061899</v>
      </c>
      <c r="G52" s="4"/>
      <c r="H52" s="4"/>
    </row>
    <row r="53" spans="5:8" x14ac:dyDescent="0.3">
      <c r="E53">
        <v>32</v>
      </c>
      <c r="F53" s="35">
        <v>418189735.78700644</v>
      </c>
      <c r="G53" s="4"/>
      <c r="H53" s="4"/>
    </row>
    <row r="54" spans="5:8" x14ac:dyDescent="0.3">
      <c r="E54">
        <v>33</v>
      </c>
      <c r="F54" s="35">
        <v>381436386.33240199</v>
      </c>
      <c r="G54" s="4"/>
      <c r="H54" s="4"/>
    </row>
    <row r="55" spans="5:8" x14ac:dyDescent="0.3">
      <c r="E55">
        <v>34</v>
      </c>
      <c r="F55" s="35">
        <v>402994269.41534293</v>
      </c>
      <c r="G55" s="4"/>
      <c r="H55" s="4"/>
    </row>
    <row r="56" spans="5:8" x14ac:dyDescent="0.3">
      <c r="E56">
        <v>35</v>
      </c>
      <c r="F56" s="35">
        <v>413468924.43808115</v>
      </c>
      <c r="G56" s="4"/>
      <c r="H56" s="4"/>
    </row>
    <row r="57" spans="5:8" x14ac:dyDescent="0.3">
      <c r="E57">
        <v>36</v>
      </c>
      <c r="F57" s="35">
        <v>395528319.4690032</v>
      </c>
      <c r="G57" s="4"/>
      <c r="H57" s="4"/>
    </row>
    <row r="58" spans="5:8" x14ac:dyDescent="0.3">
      <c r="E58">
        <v>37</v>
      </c>
      <c r="F58" s="35">
        <v>437377875.65409189</v>
      </c>
      <c r="G58" s="4"/>
      <c r="H58" s="4"/>
    </row>
    <row r="59" spans="5:8" x14ac:dyDescent="0.3">
      <c r="E59">
        <v>38</v>
      </c>
      <c r="F59" s="35">
        <v>402003027.21587205</v>
      </c>
      <c r="G59" s="4"/>
      <c r="H59" s="4"/>
    </row>
    <row r="60" spans="5:8" x14ac:dyDescent="0.3">
      <c r="E60">
        <v>39</v>
      </c>
      <c r="F60" s="35">
        <v>337044791.11824584</v>
      </c>
      <c r="G60" s="4"/>
      <c r="H60" s="4"/>
    </row>
    <row r="61" spans="5:8" x14ac:dyDescent="0.3">
      <c r="E61">
        <v>40</v>
      </c>
      <c r="F61" s="35">
        <v>446414859.24227905</v>
      </c>
      <c r="G61" s="4"/>
      <c r="H61" s="4"/>
    </row>
    <row r="62" spans="5:8" x14ac:dyDescent="0.3">
      <c r="E62">
        <v>41</v>
      </c>
      <c r="F62" s="35">
        <v>418456996.70641309</v>
      </c>
      <c r="G62" s="4"/>
      <c r="H62" s="4"/>
    </row>
    <row r="63" spans="5:8" x14ac:dyDescent="0.3">
      <c r="E63">
        <v>42</v>
      </c>
      <c r="F63" s="35">
        <v>383855251.70232773</v>
      </c>
      <c r="G63" s="4"/>
      <c r="H63" s="4"/>
    </row>
    <row r="64" spans="5:8" x14ac:dyDescent="0.3">
      <c r="E64">
        <v>43</v>
      </c>
      <c r="F64" s="35">
        <v>380196465.90015471</v>
      </c>
      <c r="G64" s="4"/>
      <c r="H64" s="4"/>
    </row>
    <row r="65" spans="5:8" x14ac:dyDescent="0.3">
      <c r="E65">
        <v>44</v>
      </c>
      <c r="F65" s="35">
        <v>324889115.50606608</v>
      </c>
      <c r="G65" s="4"/>
      <c r="H65" s="4"/>
    </row>
    <row r="66" spans="5:8" x14ac:dyDescent="0.3">
      <c r="E66">
        <v>45</v>
      </c>
      <c r="F66" s="35">
        <v>439788004.5459435</v>
      </c>
      <c r="G66" s="4"/>
      <c r="H66" s="4"/>
    </row>
    <row r="67" spans="5:8" x14ac:dyDescent="0.3">
      <c r="E67">
        <v>46</v>
      </c>
      <c r="F67" s="35">
        <v>415220274.00229383</v>
      </c>
      <c r="G67" s="4"/>
      <c r="H67" s="4"/>
    </row>
    <row r="68" spans="5:8" x14ac:dyDescent="0.3">
      <c r="E68">
        <v>47</v>
      </c>
      <c r="F68" s="35">
        <v>401266940.14039326</v>
      </c>
      <c r="G68" s="4"/>
      <c r="H68" s="4"/>
    </row>
    <row r="69" spans="5:8" x14ac:dyDescent="0.3">
      <c r="E69">
        <v>48</v>
      </c>
      <c r="F69" s="35">
        <v>280074302.52013671</v>
      </c>
      <c r="G69" s="4"/>
      <c r="H69" s="4"/>
    </row>
    <row r="70" spans="5:8" x14ac:dyDescent="0.3">
      <c r="E70">
        <v>49</v>
      </c>
      <c r="F70" s="35">
        <v>397098275.72392291</v>
      </c>
      <c r="G70" s="4"/>
      <c r="H70" s="4"/>
    </row>
    <row r="71" spans="5:8" x14ac:dyDescent="0.3">
      <c r="E71">
        <v>50</v>
      </c>
      <c r="F71" s="35">
        <v>347208024.59449619</v>
      </c>
      <c r="G71" s="4"/>
      <c r="H71" s="4"/>
    </row>
    <row r="72" spans="5:8" x14ac:dyDescent="0.3">
      <c r="E72">
        <v>51</v>
      </c>
      <c r="F72" s="35">
        <v>359272107.76016569</v>
      </c>
      <c r="G72" s="4"/>
      <c r="H72" s="4"/>
    </row>
    <row r="73" spans="5:8" x14ac:dyDescent="0.3">
      <c r="E73">
        <v>52</v>
      </c>
      <c r="F73" s="35">
        <v>322367430.04208672</v>
      </c>
      <c r="G73" s="4"/>
      <c r="H73" s="4"/>
    </row>
    <row r="74" spans="5:8" x14ac:dyDescent="0.3">
      <c r="E74">
        <v>53</v>
      </c>
      <c r="F74" s="35">
        <v>385322024.41551656</v>
      </c>
      <c r="G74" s="4"/>
      <c r="H74" s="4"/>
    </row>
    <row r="75" spans="5:8" x14ac:dyDescent="0.3">
      <c r="E75">
        <v>54</v>
      </c>
      <c r="F75" s="35">
        <v>434822619.7202425</v>
      </c>
      <c r="G75" s="4"/>
      <c r="H75" s="4"/>
    </row>
    <row r="76" spans="5:8" x14ac:dyDescent="0.3">
      <c r="E76">
        <v>55</v>
      </c>
      <c r="F76" s="35">
        <v>367907731.01876378</v>
      </c>
      <c r="G76" s="4"/>
      <c r="H76" s="4"/>
    </row>
    <row r="77" spans="5:8" x14ac:dyDescent="0.3">
      <c r="E77">
        <v>56</v>
      </c>
      <c r="F77" s="35">
        <v>400790162.1809231</v>
      </c>
      <c r="G77" s="4"/>
      <c r="H77" s="4"/>
    </row>
    <row r="78" spans="5:8" x14ac:dyDescent="0.3">
      <c r="E78">
        <v>57</v>
      </c>
      <c r="F78" s="35">
        <v>341961868.67071724</v>
      </c>
      <c r="G78" s="4"/>
      <c r="H78" s="4"/>
    </row>
    <row r="79" spans="5:8" x14ac:dyDescent="0.3">
      <c r="E79">
        <v>58</v>
      </c>
      <c r="F79" s="35">
        <v>385881251.19077504</v>
      </c>
      <c r="G79" s="4"/>
      <c r="H79" s="4"/>
    </row>
    <row r="80" spans="5:8" x14ac:dyDescent="0.3">
      <c r="E80">
        <v>59</v>
      </c>
      <c r="F80" s="35">
        <v>436260826.08657444</v>
      </c>
      <c r="G80" s="4"/>
      <c r="H80" s="4"/>
    </row>
    <row r="81" spans="5:8" x14ac:dyDescent="0.3">
      <c r="E81">
        <v>60</v>
      </c>
      <c r="F81" s="35">
        <v>342277505.89552104</v>
      </c>
      <c r="G81" s="4"/>
      <c r="H81" s="4"/>
    </row>
    <row r="82" spans="5:8" x14ac:dyDescent="0.3">
      <c r="E82">
        <v>61</v>
      </c>
      <c r="F82" s="35">
        <v>409702236.51580679</v>
      </c>
      <c r="G82" s="4"/>
      <c r="H82" s="4"/>
    </row>
    <row r="83" spans="5:8" x14ac:dyDescent="0.3">
      <c r="E83">
        <v>62</v>
      </c>
      <c r="F83" s="35">
        <v>392036970.62604034</v>
      </c>
      <c r="G83" s="4"/>
      <c r="H83" s="4"/>
    </row>
    <row r="84" spans="5:8" x14ac:dyDescent="0.3">
      <c r="E84">
        <v>63</v>
      </c>
      <c r="F84" s="35">
        <v>353390196.67362678</v>
      </c>
      <c r="G84" s="4"/>
      <c r="H84" s="4"/>
    </row>
    <row r="85" spans="5:8" x14ac:dyDescent="0.3">
      <c r="E85">
        <v>64</v>
      </c>
      <c r="F85" s="35">
        <v>411183303.68609589</v>
      </c>
      <c r="G85" s="4"/>
      <c r="H85" s="4"/>
    </row>
    <row r="86" spans="5:8" x14ac:dyDescent="0.3">
      <c r="E86">
        <v>65</v>
      </c>
      <c r="F86" s="35">
        <v>394780564.8521955</v>
      </c>
      <c r="G86" s="4"/>
      <c r="H86" s="4"/>
    </row>
    <row r="87" spans="5:8" x14ac:dyDescent="0.3">
      <c r="E87">
        <v>66</v>
      </c>
      <c r="F87" s="35">
        <v>374193106.16153532</v>
      </c>
      <c r="G87" s="4"/>
      <c r="H87" s="4"/>
    </row>
    <row r="88" spans="5:8" x14ac:dyDescent="0.3">
      <c r="E88">
        <v>67</v>
      </c>
      <c r="F88" s="35">
        <v>450763488.4263922</v>
      </c>
      <c r="G88" s="4"/>
      <c r="H88" s="4"/>
    </row>
    <row r="89" spans="5:8" x14ac:dyDescent="0.3">
      <c r="E89">
        <v>68</v>
      </c>
      <c r="F89" s="35">
        <v>363997958.11413014</v>
      </c>
      <c r="G89" s="4"/>
      <c r="H89" s="4"/>
    </row>
    <row r="90" spans="5:8" x14ac:dyDescent="0.3">
      <c r="E90">
        <v>69</v>
      </c>
      <c r="F90" s="35">
        <v>373903217.30602229</v>
      </c>
      <c r="G90" s="4"/>
      <c r="H90" s="4"/>
    </row>
    <row r="91" spans="5:8" x14ac:dyDescent="0.3">
      <c r="E91">
        <v>70</v>
      </c>
      <c r="F91" s="35">
        <v>400127147.06678104</v>
      </c>
      <c r="G91" s="4"/>
      <c r="H91" s="4"/>
    </row>
    <row r="92" spans="5:8" x14ac:dyDescent="0.3">
      <c r="E92">
        <v>71</v>
      </c>
      <c r="F92" s="35">
        <v>473042594.58903325</v>
      </c>
      <c r="G92" s="4"/>
      <c r="H92" s="4"/>
    </row>
    <row r="93" spans="5:8" x14ac:dyDescent="0.3">
      <c r="E93">
        <v>72</v>
      </c>
      <c r="F93" s="35">
        <v>359443693.1357162</v>
      </c>
      <c r="G93" s="4"/>
      <c r="H93" s="4"/>
    </row>
    <row r="94" spans="5:8" x14ac:dyDescent="0.3">
      <c r="E94">
        <v>73</v>
      </c>
      <c r="F94" s="35">
        <v>426126546.10318589</v>
      </c>
      <c r="G94" s="4"/>
      <c r="H94" s="4"/>
    </row>
    <row r="95" spans="5:8" x14ac:dyDescent="0.3">
      <c r="E95">
        <v>74</v>
      </c>
      <c r="F95" s="35">
        <v>422067720.53247297</v>
      </c>
      <c r="G95" s="4"/>
      <c r="H95" s="4"/>
    </row>
    <row r="96" spans="5:8" x14ac:dyDescent="0.3">
      <c r="E96">
        <v>75</v>
      </c>
      <c r="F96" s="35">
        <v>351392293.52836001</v>
      </c>
      <c r="G96" s="4"/>
      <c r="H96" s="4"/>
    </row>
    <row r="97" spans="5:8" x14ac:dyDescent="0.3">
      <c r="E97">
        <v>76</v>
      </c>
      <c r="F97" s="35">
        <v>275987308.03001809</v>
      </c>
      <c r="G97" s="4"/>
      <c r="H97" s="4"/>
    </row>
    <row r="98" spans="5:8" x14ac:dyDescent="0.3">
      <c r="E98">
        <v>77</v>
      </c>
      <c r="F98" s="35">
        <v>346690663.57435519</v>
      </c>
      <c r="G98" s="4"/>
      <c r="H98" s="4"/>
    </row>
    <row r="99" spans="5:8" x14ac:dyDescent="0.3">
      <c r="E99">
        <v>78</v>
      </c>
      <c r="F99" s="35">
        <v>415518857.44579619</v>
      </c>
      <c r="G99" s="4"/>
      <c r="H99" s="4"/>
    </row>
    <row r="100" spans="5:8" x14ac:dyDescent="0.3">
      <c r="E100">
        <v>79</v>
      </c>
      <c r="F100" s="35">
        <v>377810047.33565676</v>
      </c>
      <c r="G100" s="4"/>
      <c r="H100" s="4"/>
    </row>
    <row r="101" spans="5:8" x14ac:dyDescent="0.3">
      <c r="E101">
        <v>80</v>
      </c>
      <c r="F101" s="35">
        <v>367272321.97707903</v>
      </c>
      <c r="G101" s="4"/>
      <c r="H101" s="4"/>
    </row>
    <row r="102" spans="5:8" x14ac:dyDescent="0.3">
      <c r="E102">
        <v>81</v>
      </c>
      <c r="F102" s="35">
        <v>408781463.47245145</v>
      </c>
      <c r="G102" s="4"/>
      <c r="H102" s="4"/>
    </row>
    <row r="103" spans="5:8" x14ac:dyDescent="0.3">
      <c r="E103">
        <v>82</v>
      </c>
      <c r="F103" s="35">
        <v>376798563.22055835</v>
      </c>
      <c r="G103" s="4"/>
      <c r="H103" s="4"/>
    </row>
    <row r="104" spans="5:8" x14ac:dyDescent="0.3">
      <c r="E104">
        <v>83</v>
      </c>
      <c r="F104" s="35">
        <v>406593409.030716</v>
      </c>
      <c r="G104" s="4"/>
      <c r="H104" s="4"/>
    </row>
    <row r="105" spans="5:8" x14ac:dyDescent="0.3">
      <c r="E105">
        <v>84</v>
      </c>
      <c r="F105" s="35">
        <v>389560577.48574239</v>
      </c>
      <c r="G105" s="4"/>
      <c r="H105" s="4"/>
    </row>
    <row r="106" spans="5:8" x14ac:dyDescent="0.3">
      <c r="E106">
        <v>85</v>
      </c>
      <c r="F106" s="35">
        <v>353429260.54073179</v>
      </c>
      <c r="G106" s="4"/>
      <c r="H106" s="4"/>
    </row>
    <row r="107" spans="5:8" x14ac:dyDescent="0.3">
      <c r="E107">
        <v>86</v>
      </c>
      <c r="F107" s="35">
        <v>359396743.4129287</v>
      </c>
      <c r="G107" s="4"/>
      <c r="H107" s="4"/>
    </row>
    <row r="108" spans="5:8" x14ac:dyDescent="0.3">
      <c r="E108">
        <v>87</v>
      </c>
      <c r="F108" s="35">
        <v>400173726.8182689</v>
      </c>
      <c r="G108" s="4"/>
      <c r="H108" s="4"/>
    </row>
    <row r="109" spans="5:8" x14ac:dyDescent="0.3">
      <c r="E109">
        <v>88</v>
      </c>
      <c r="F109" s="35">
        <v>335515501.58793056</v>
      </c>
      <c r="G109" s="4"/>
      <c r="H109" s="4"/>
    </row>
    <row r="110" spans="5:8" x14ac:dyDescent="0.3">
      <c r="E110">
        <v>89</v>
      </c>
      <c r="F110" s="35">
        <v>341759867.67883182</v>
      </c>
      <c r="G110" s="4"/>
      <c r="H110" s="4"/>
    </row>
    <row r="111" spans="5:8" x14ac:dyDescent="0.3">
      <c r="E111">
        <v>90</v>
      </c>
      <c r="F111" s="35">
        <v>388142074.61266017</v>
      </c>
      <c r="G111" s="4"/>
      <c r="H111" s="4"/>
    </row>
    <row r="112" spans="5:8" x14ac:dyDescent="0.3">
      <c r="E112">
        <v>91</v>
      </c>
      <c r="F112" s="35">
        <v>364071084.51449156</v>
      </c>
      <c r="G112" s="4"/>
      <c r="H112" s="4"/>
    </row>
    <row r="113" spans="5:8" x14ac:dyDescent="0.3">
      <c r="E113">
        <v>92</v>
      </c>
      <c r="F113" s="35">
        <v>397595334.16309112</v>
      </c>
      <c r="G113" s="4"/>
      <c r="H113" s="4"/>
    </row>
    <row r="114" spans="5:8" x14ac:dyDescent="0.3">
      <c r="E114">
        <v>93</v>
      </c>
      <c r="F114" s="35">
        <v>404156135.52144015</v>
      </c>
      <c r="G114" s="4"/>
      <c r="H114" s="4"/>
    </row>
    <row r="115" spans="5:8" x14ac:dyDescent="0.3">
      <c r="E115">
        <v>94</v>
      </c>
      <c r="F115" s="35">
        <v>386071558.05053222</v>
      </c>
      <c r="G115" s="4"/>
      <c r="H115" s="4"/>
    </row>
    <row r="116" spans="5:8" x14ac:dyDescent="0.3">
      <c r="E116">
        <v>95</v>
      </c>
      <c r="F116" s="35">
        <v>380350762.2769866</v>
      </c>
      <c r="G116" s="4"/>
      <c r="H116" s="4"/>
    </row>
    <row r="117" spans="5:8" x14ac:dyDescent="0.3">
      <c r="E117">
        <v>96</v>
      </c>
      <c r="F117" s="35">
        <v>368629812.21897614</v>
      </c>
      <c r="G117" s="4"/>
      <c r="H117" s="4"/>
    </row>
    <row r="118" spans="5:8" x14ac:dyDescent="0.3">
      <c r="E118">
        <v>97</v>
      </c>
      <c r="F118" s="35">
        <v>387118903.25478888</v>
      </c>
      <c r="G118" s="4"/>
      <c r="H118" s="4"/>
    </row>
    <row r="119" spans="5:8" x14ac:dyDescent="0.3">
      <c r="E119">
        <v>98</v>
      </c>
      <c r="F119" s="35">
        <v>360961433.84989643</v>
      </c>
      <c r="G119" s="4"/>
      <c r="H119" s="4"/>
    </row>
    <row r="120" spans="5:8" x14ac:dyDescent="0.3">
      <c r="E120">
        <v>99</v>
      </c>
      <c r="F120" s="35">
        <v>376339330.35887456</v>
      </c>
      <c r="G120" s="4"/>
      <c r="H120" s="4"/>
    </row>
    <row r="121" spans="5:8" x14ac:dyDescent="0.3">
      <c r="E121">
        <v>100</v>
      </c>
      <c r="F121" s="35">
        <v>397204448.08208787</v>
      </c>
      <c r="G121" s="4"/>
      <c r="H121" s="4"/>
    </row>
    <row r="122" spans="5:8" x14ac:dyDescent="0.3">
      <c r="E122">
        <v>101</v>
      </c>
      <c r="F122" s="35">
        <v>362306169.4640106</v>
      </c>
      <c r="G122" s="4"/>
      <c r="H122" s="4"/>
    </row>
    <row r="123" spans="5:8" x14ac:dyDescent="0.3">
      <c r="E123">
        <v>102</v>
      </c>
      <c r="F123" s="35">
        <v>369246117.834014</v>
      </c>
      <c r="G123" s="4"/>
      <c r="H123" s="4"/>
    </row>
    <row r="124" spans="5:8" x14ac:dyDescent="0.3">
      <c r="E124">
        <v>103</v>
      </c>
      <c r="F124" s="35">
        <v>371566408.27005643</v>
      </c>
      <c r="G124" s="4"/>
      <c r="H124" s="4"/>
    </row>
    <row r="125" spans="5:8" x14ac:dyDescent="0.3">
      <c r="E125">
        <v>104</v>
      </c>
      <c r="F125" s="35">
        <v>384248410.75156021</v>
      </c>
      <c r="G125" s="4"/>
      <c r="H125" s="4"/>
    </row>
    <row r="126" spans="5:8" x14ac:dyDescent="0.3">
      <c r="E126">
        <v>105</v>
      </c>
      <c r="F126" s="35">
        <v>382805154.74569869</v>
      </c>
      <c r="G126" s="4"/>
      <c r="H126" s="4"/>
    </row>
    <row r="127" spans="5:8" x14ac:dyDescent="0.3">
      <c r="E127">
        <v>106</v>
      </c>
      <c r="F127" s="35">
        <v>389729186.14411014</v>
      </c>
      <c r="G127" s="4"/>
      <c r="H127" s="4"/>
    </row>
    <row r="128" spans="5:8" x14ac:dyDescent="0.3">
      <c r="E128">
        <v>107</v>
      </c>
      <c r="F128" s="35">
        <v>365024486.24251783</v>
      </c>
      <c r="G128" s="4"/>
      <c r="H128" s="4"/>
    </row>
    <row r="129" spans="5:8" x14ac:dyDescent="0.3">
      <c r="E129">
        <v>108</v>
      </c>
      <c r="F129" s="35">
        <v>391826049.95471054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A22" sqref="A22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1521.3369534259398</v>
      </c>
      <c r="C4" s="21">
        <f ca="1">_xlfn.NORM.INV(RAND(),Mappings!N11,Mappings!O11)</f>
        <v>360.00139854839648</v>
      </c>
      <c r="D4" s="21">
        <f ca="1">_xlfn.NORM.INV(RAND(),Mappings!N12,Mappings!O12)</f>
        <v>1743.0457330728909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2" customFormat="1" x14ac:dyDescent="0.3">
      <c r="A9" s="102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2" customFormat="1" x14ac:dyDescent="0.3">
      <c r="A10" s="102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39.22913001459824</v>
      </c>
      <c r="C10" s="21">
        <f ca="1">IF(C9&gt;0,_xlfn.NORM.INV(RAND(),C9,C9*Dairy_Income_Roadmap!L36),_xlfn.NORM.INV(RAND(),ABS(C9),ABS(C9)*Dairy_Income_Roadmap!L36))</f>
        <v>181.36724162745787</v>
      </c>
      <c r="D10" s="21">
        <f ca="1">IF(D9&gt;0,_xlfn.NORM.INV(RAND(),D9,D9*Dairy_Income_Roadmap!L38),_xlfn.NORM.INV(RAND(),ABS(D9),ABS(D9)*Dairy_Income_Roadmap!L38))</f>
        <v>455.45472644231177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858.16280221405634</v>
      </c>
      <c r="C14" s="21">
        <f ca="1">C4*C6</f>
        <v>899.39729849417336</v>
      </c>
      <c r="D14" s="21">
        <f ca="1">D4*D6</f>
        <v>2736.5709443684377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39.22913001459824</v>
      </c>
      <c r="C15" s="21">
        <f t="shared" ref="C15:D15" ca="1" si="0">C8-IF(C9&gt;0,C8-C10,C8+C10)</f>
        <v>181.36724162745782</v>
      </c>
      <c r="D15" s="21">
        <f t="shared" ca="1" si="0"/>
        <v>455.45472644231177</v>
      </c>
    </row>
    <row r="16" spans="1:8" x14ac:dyDescent="0.3">
      <c r="A16" t="str">
        <f>MC_High_ambition!A16</f>
        <v>Quantity households</v>
      </c>
      <c r="B16" s="21">
        <f ca="1">_xlfn.NORM.INV(RAND(),B11,B12)</f>
        <v>5516.0810530992285</v>
      </c>
      <c r="C16" s="21">
        <f ca="1">_xlfn.NORM.INV(RAND(),C11,C12)</f>
        <v>58857.366855629538</v>
      </c>
      <c r="D16" s="21">
        <f t="shared" ref="D16" ca="1" si="1">_xlfn.NORM.INV(RAND(),D11,D12)</f>
        <v>83754.724393712531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10">
        <f ca="1">(B14+B15)*B16</f>
        <v>4950086.6345705884</v>
      </c>
      <c r="C18" s="10">
        <f ca="1">(C14+C15)*C16</f>
        <v>63610955.022494592</v>
      </c>
      <c r="D18" s="10">
        <f ca="1">(D14+D15)*D16</f>
        <v>267347230.31640968</v>
      </c>
      <c r="F18" s="4">
        <f ca="1">B18+C18+D18</f>
        <v>335908271.97347486</v>
      </c>
    </row>
    <row r="19" spans="1:9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22084311.345297221</v>
      </c>
      <c r="H19" s="136" t="s">
        <v>51</v>
      </c>
    </row>
    <row r="20" spans="1:9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329531117.48512244</v>
      </c>
      <c r="G20" s="4"/>
      <c r="H20" s="136"/>
      <c r="I20" s="46">
        <f ca="1">100*F19/F20</f>
        <v>6.7017377642019733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335908271.97347486</v>
      </c>
      <c r="G22" s="4"/>
      <c r="H22" s="4"/>
      <c r="I22" s="136"/>
    </row>
    <row r="23" spans="1:9" x14ac:dyDescent="0.3">
      <c r="E23">
        <v>2</v>
      </c>
      <c r="F23" s="35">
        <f t="dataTable" ref="F23:F129" dt2D="0" dtr="0" r1="F21" ca="1"/>
        <v>351889665.31574225</v>
      </c>
      <c r="G23" s="4"/>
      <c r="H23" s="4"/>
      <c r="I23" s="136"/>
    </row>
    <row r="24" spans="1:9" x14ac:dyDescent="0.3">
      <c r="E24">
        <v>3</v>
      </c>
      <c r="F24" s="35">
        <v>344659507.88016069</v>
      </c>
      <c r="G24" s="4"/>
      <c r="H24" s="4"/>
    </row>
    <row r="25" spans="1:9" x14ac:dyDescent="0.3">
      <c r="E25">
        <v>4</v>
      </c>
      <c r="F25" s="35">
        <v>302925821.86005813</v>
      </c>
      <c r="G25" s="4"/>
      <c r="H25" s="4"/>
    </row>
    <row r="26" spans="1:9" x14ac:dyDescent="0.3">
      <c r="E26">
        <v>5</v>
      </c>
      <c r="F26" s="35">
        <v>330849826.18106002</v>
      </c>
      <c r="G26" s="4"/>
      <c r="H26" s="4"/>
    </row>
    <row r="27" spans="1:9" x14ac:dyDescent="0.3">
      <c r="E27">
        <v>6</v>
      </c>
      <c r="F27" s="35">
        <v>338509159.62238812</v>
      </c>
      <c r="G27" s="4"/>
      <c r="H27" s="4"/>
    </row>
    <row r="28" spans="1:9" x14ac:dyDescent="0.3">
      <c r="E28">
        <v>7</v>
      </c>
      <c r="F28" s="35">
        <v>327335412.07065171</v>
      </c>
      <c r="G28" s="4"/>
      <c r="H28" s="4"/>
    </row>
    <row r="29" spans="1:9" x14ac:dyDescent="0.3">
      <c r="E29">
        <v>8</v>
      </c>
      <c r="F29" s="35">
        <v>357578758.65803659</v>
      </c>
      <c r="G29" s="4"/>
      <c r="H29" s="4"/>
    </row>
    <row r="30" spans="1:9" x14ac:dyDescent="0.3">
      <c r="E30">
        <v>9</v>
      </c>
      <c r="F30" s="35">
        <v>339201268.25151396</v>
      </c>
      <c r="G30" s="4"/>
      <c r="H30" s="4"/>
    </row>
    <row r="31" spans="1:9" x14ac:dyDescent="0.3">
      <c r="E31">
        <v>10</v>
      </c>
      <c r="F31" s="35">
        <v>365026008.13497531</v>
      </c>
      <c r="G31" s="4"/>
      <c r="H31" s="4"/>
    </row>
    <row r="32" spans="1:9" x14ac:dyDescent="0.3">
      <c r="E32">
        <v>11</v>
      </c>
      <c r="F32" s="35">
        <v>337358070.82708675</v>
      </c>
      <c r="G32" s="4"/>
      <c r="H32" s="4"/>
    </row>
    <row r="33" spans="5:8" x14ac:dyDescent="0.3">
      <c r="E33">
        <v>12</v>
      </c>
      <c r="F33" s="35">
        <v>354437331.26120025</v>
      </c>
      <c r="G33" s="4"/>
      <c r="H33" s="4"/>
    </row>
    <row r="34" spans="5:8" x14ac:dyDescent="0.3">
      <c r="E34">
        <v>13</v>
      </c>
      <c r="F34" s="35">
        <v>343467849.5737167</v>
      </c>
      <c r="G34" s="4"/>
      <c r="H34" s="4"/>
    </row>
    <row r="35" spans="5:8" x14ac:dyDescent="0.3">
      <c r="E35">
        <v>14</v>
      </c>
      <c r="F35" s="35">
        <v>354575426.93384457</v>
      </c>
      <c r="G35" s="4"/>
      <c r="H35" s="4"/>
    </row>
    <row r="36" spans="5:8" x14ac:dyDescent="0.3">
      <c r="E36">
        <v>15</v>
      </c>
      <c r="F36" s="35">
        <v>357167312.6897397</v>
      </c>
      <c r="G36" s="4"/>
      <c r="H36" s="4"/>
    </row>
    <row r="37" spans="5:8" x14ac:dyDescent="0.3">
      <c r="E37">
        <v>16</v>
      </c>
      <c r="F37" s="35">
        <v>317282107.71815872</v>
      </c>
      <c r="G37" s="4"/>
      <c r="H37" s="4"/>
    </row>
    <row r="38" spans="5:8" x14ac:dyDescent="0.3">
      <c r="E38">
        <v>17</v>
      </c>
      <c r="F38" s="35">
        <v>304316224.41315454</v>
      </c>
      <c r="G38" s="4"/>
      <c r="H38" s="4"/>
    </row>
    <row r="39" spans="5:8" x14ac:dyDescent="0.3">
      <c r="E39">
        <v>18</v>
      </c>
      <c r="F39" s="35">
        <v>322206620.99735713</v>
      </c>
      <c r="G39" s="4"/>
      <c r="H39" s="4"/>
    </row>
    <row r="40" spans="5:8" x14ac:dyDescent="0.3">
      <c r="E40">
        <v>19</v>
      </c>
      <c r="F40" s="35">
        <v>334531123.85031772</v>
      </c>
      <c r="G40" s="4"/>
      <c r="H40" s="4"/>
    </row>
    <row r="41" spans="5:8" x14ac:dyDescent="0.3">
      <c r="E41">
        <v>20</v>
      </c>
      <c r="F41" s="35">
        <v>332334731.28902978</v>
      </c>
      <c r="G41" s="4"/>
      <c r="H41" s="4"/>
    </row>
    <row r="42" spans="5:8" x14ac:dyDescent="0.3">
      <c r="E42">
        <v>21</v>
      </c>
      <c r="F42" s="35">
        <v>325864258.64955854</v>
      </c>
      <c r="G42" s="4"/>
      <c r="H42" s="4"/>
    </row>
    <row r="43" spans="5:8" x14ac:dyDescent="0.3">
      <c r="E43">
        <v>22</v>
      </c>
      <c r="F43" s="35">
        <v>326800479.96187133</v>
      </c>
      <c r="G43" s="4"/>
      <c r="H43" s="4"/>
    </row>
    <row r="44" spans="5:8" x14ac:dyDescent="0.3">
      <c r="E44">
        <v>23</v>
      </c>
      <c r="F44" s="35">
        <v>335099109.36253065</v>
      </c>
      <c r="G44" s="4"/>
      <c r="H44" s="4"/>
    </row>
    <row r="45" spans="5:8" x14ac:dyDescent="0.3">
      <c r="E45">
        <v>24</v>
      </c>
      <c r="F45" s="35">
        <v>333270184.91737062</v>
      </c>
      <c r="G45" s="4"/>
      <c r="H45" s="4"/>
    </row>
    <row r="46" spans="5:8" x14ac:dyDescent="0.3">
      <c r="E46">
        <v>25</v>
      </c>
      <c r="F46" s="35">
        <v>362450285.88465738</v>
      </c>
      <c r="G46" s="4"/>
      <c r="H46" s="4"/>
    </row>
    <row r="47" spans="5:8" x14ac:dyDescent="0.3">
      <c r="E47">
        <v>26</v>
      </c>
      <c r="F47" s="35">
        <v>317372213.73875785</v>
      </c>
      <c r="G47" s="4"/>
      <c r="H47" s="4"/>
    </row>
    <row r="48" spans="5:8" x14ac:dyDescent="0.3">
      <c r="E48">
        <v>27</v>
      </c>
      <c r="F48" s="35">
        <v>336864611.21289802</v>
      </c>
      <c r="G48" s="4"/>
      <c r="H48" s="4"/>
    </row>
    <row r="49" spans="5:8" x14ac:dyDescent="0.3">
      <c r="E49">
        <v>28</v>
      </c>
      <c r="F49" s="35">
        <v>334419468.58904105</v>
      </c>
      <c r="G49" s="4"/>
      <c r="H49" s="4"/>
    </row>
    <row r="50" spans="5:8" x14ac:dyDescent="0.3">
      <c r="E50">
        <v>29</v>
      </c>
      <c r="F50" s="35">
        <v>292825801.82943326</v>
      </c>
      <c r="G50" s="4"/>
      <c r="H50" s="4"/>
    </row>
    <row r="51" spans="5:8" x14ac:dyDescent="0.3">
      <c r="E51">
        <v>30</v>
      </c>
      <c r="F51" s="35">
        <v>337758296.33223772</v>
      </c>
      <c r="G51" s="4"/>
      <c r="H51" s="4"/>
    </row>
    <row r="52" spans="5:8" x14ac:dyDescent="0.3">
      <c r="E52">
        <v>31</v>
      </c>
      <c r="F52" s="35">
        <v>343118565.49594504</v>
      </c>
      <c r="G52" s="4"/>
      <c r="H52" s="4"/>
    </row>
    <row r="53" spans="5:8" x14ac:dyDescent="0.3">
      <c r="E53">
        <v>32</v>
      </c>
      <c r="F53" s="35">
        <v>325535650.09404141</v>
      </c>
      <c r="G53" s="4"/>
      <c r="H53" s="4"/>
    </row>
    <row r="54" spans="5:8" x14ac:dyDescent="0.3">
      <c r="E54">
        <v>33</v>
      </c>
      <c r="F54" s="35">
        <v>313184496.32847786</v>
      </c>
      <c r="G54" s="4"/>
      <c r="H54" s="4"/>
    </row>
    <row r="55" spans="5:8" x14ac:dyDescent="0.3">
      <c r="E55">
        <v>34</v>
      </c>
      <c r="F55" s="35">
        <v>286699842.85762751</v>
      </c>
      <c r="G55" s="4"/>
      <c r="H55" s="4"/>
    </row>
    <row r="56" spans="5:8" x14ac:dyDescent="0.3">
      <c r="E56">
        <v>35</v>
      </c>
      <c r="F56" s="35">
        <v>353976695.00535166</v>
      </c>
      <c r="G56" s="4"/>
      <c r="H56" s="4"/>
    </row>
    <row r="57" spans="5:8" x14ac:dyDescent="0.3">
      <c r="E57">
        <v>36</v>
      </c>
      <c r="F57" s="35">
        <v>317523368.9787457</v>
      </c>
      <c r="G57" s="4"/>
      <c r="H57" s="4"/>
    </row>
    <row r="58" spans="5:8" x14ac:dyDescent="0.3">
      <c r="E58">
        <v>37</v>
      </c>
      <c r="F58" s="35">
        <v>374076820.51830429</v>
      </c>
      <c r="G58" s="4"/>
      <c r="H58" s="4"/>
    </row>
    <row r="59" spans="5:8" x14ac:dyDescent="0.3">
      <c r="E59">
        <v>38</v>
      </c>
      <c r="F59" s="35">
        <v>308243099.99841172</v>
      </c>
      <c r="G59" s="4"/>
      <c r="H59" s="4"/>
    </row>
    <row r="60" spans="5:8" x14ac:dyDescent="0.3">
      <c r="E60">
        <v>39</v>
      </c>
      <c r="F60" s="35">
        <v>274800825.20670617</v>
      </c>
      <c r="G60" s="4"/>
      <c r="H60" s="4"/>
    </row>
    <row r="61" spans="5:8" x14ac:dyDescent="0.3">
      <c r="E61">
        <v>40</v>
      </c>
      <c r="F61" s="35">
        <v>339215431.25775391</v>
      </c>
      <c r="G61" s="4"/>
      <c r="H61" s="4"/>
    </row>
    <row r="62" spans="5:8" x14ac:dyDescent="0.3">
      <c r="E62">
        <v>41</v>
      </c>
      <c r="F62" s="35">
        <v>340076816.11131585</v>
      </c>
      <c r="G62" s="4"/>
      <c r="H62" s="4"/>
    </row>
    <row r="63" spans="5:8" x14ac:dyDescent="0.3">
      <c r="E63">
        <v>42</v>
      </c>
      <c r="F63" s="35">
        <v>337968838.14073908</v>
      </c>
      <c r="G63" s="4"/>
      <c r="H63" s="4"/>
    </row>
    <row r="64" spans="5:8" x14ac:dyDescent="0.3">
      <c r="E64">
        <v>43</v>
      </c>
      <c r="F64" s="35">
        <v>317259260.07155526</v>
      </c>
      <c r="G64" s="4"/>
      <c r="H64" s="4"/>
    </row>
    <row r="65" spans="5:8" x14ac:dyDescent="0.3">
      <c r="E65">
        <v>44</v>
      </c>
      <c r="F65" s="35">
        <v>328266331.41229856</v>
      </c>
      <c r="G65" s="4"/>
      <c r="H65" s="4"/>
    </row>
    <row r="66" spans="5:8" x14ac:dyDescent="0.3">
      <c r="E66">
        <v>45</v>
      </c>
      <c r="F66" s="35">
        <v>324492590.70742357</v>
      </c>
      <c r="G66" s="4"/>
      <c r="H66" s="4"/>
    </row>
    <row r="67" spans="5:8" x14ac:dyDescent="0.3">
      <c r="E67">
        <v>46</v>
      </c>
      <c r="F67" s="35">
        <v>333393732.04597372</v>
      </c>
      <c r="G67" s="4"/>
      <c r="H67" s="4"/>
    </row>
    <row r="68" spans="5:8" x14ac:dyDescent="0.3">
      <c r="E68">
        <v>47</v>
      </c>
      <c r="F68" s="35">
        <v>311412519.45254105</v>
      </c>
      <c r="G68" s="4"/>
      <c r="H68" s="4"/>
    </row>
    <row r="69" spans="5:8" x14ac:dyDescent="0.3">
      <c r="E69">
        <v>48</v>
      </c>
      <c r="F69" s="35">
        <v>346696331.68287992</v>
      </c>
      <c r="G69" s="4"/>
      <c r="H69" s="4"/>
    </row>
    <row r="70" spans="5:8" x14ac:dyDescent="0.3">
      <c r="E70">
        <v>49</v>
      </c>
      <c r="F70" s="35">
        <v>296534298.23865998</v>
      </c>
      <c r="G70" s="4"/>
      <c r="H70" s="4"/>
    </row>
    <row r="71" spans="5:8" x14ac:dyDescent="0.3">
      <c r="E71">
        <v>50</v>
      </c>
      <c r="F71" s="35">
        <v>351595143.32576281</v>
      </c>
      <c r="G71" s="4"/>
      <c r="H71" s="4"/>
    </row>
    <row r="72" spans="5:8" x14ac:dyDescent="0.3">
      <c r="E72">
        <v>51</v>
      </c>
      <c r="F72" s="35">
        <v>329223455.49795163</v>
      </c>
      <c r="G72" s="4"/>
      <c r="H72" s="4"/>
    </row>
    <row r="73" spans="5:8" x14ac:dyDescent="0.3">
      <c r="E73">
        <v>52</v>
      </c>
      <c r="F73" s="35">
        <v>301291602.03028643</v>
      </c>
      <c r="G73" s="4"/>
      <c r="H73" s="4"/>
    </row>
    <row r="74" spans="5:8" x14ac:dyDescent="0.3">
      <c r="E74">
        <v>53</v>
      </c>
      <c r="F74" s="35">
        <v>314222210.22835171</v>
      </c>
      <c r="G74" s="4"/>
      <c r="H74" s="4"/>
    </row>
    <row r="75" spans="5:8" x14ac:dyDescent="0.3">
      <c r="E75">
        <v>54</v>
      </c>
      <c r="F75" s="35">
        <v>323111422.30656517</v>
      </c>
      <c r="G75" s="4"/>
      <c r="H75" s="4"/>
    </row>
    <row r="76" spans="5:8" x14ac:dyDescent="0.3">
      <c r="E76">
        <v>55</v>
      </c>
      <c r="F76" s="35">
        <v>363546070.22137415</v>
      </c>
      <c r="G76" s="4"/>
      <c r="H76" s="4"/>
    </row>
    <row r="77" spans="5:8" x14ac:dyDescent="0.3">
      <c r="E77">
        <v>56</v>
      </c>
      <c r="F77" s="35">
        <v>361969865.3526783</v>
      </c>
      <c r="G77" s="4"/>
      <c r="H77" s="4"/>
    </row>
    <row r="78" spans="5:8" x14ac:dyDescent="0.3">
      <c r="E78">
        <v>57</v>
      </c>
      <c r="F78" s="35">
        <v>315291716.79743439</v>
      </c>
      <c r="G78" s="4"/>
      <c r="H78" s="4"/>
    </row>
    <row r="79" spans="5:8" x14ac:dyDescent="0.3">
      <c r="E79">
        <v>58</v>
      </c>
      <c r="F79" s="35">
        <v>318406355.04228097</v>
      </c>
      <c r="G79" s="4"/>
      <c r="H79" s="4"/>
    </row>
    <row r="80" spans="5:8" x14ac:dyDescent="0.3">
      <c r="E80">
        <v>59</v>
      </c>
      <c r="F80" s="35">
        <v>381453646.15776801</v>
      </c>
      <c r="G80" s="4"/>
      <c r="H80" s="4"/>
    </row>
    <row r="81" spans="5:8" x14ac:dyDescent="0.3">
      <c r="E81">
        <v>60</v>
      </c>
      <c r="F81" s="35">
        <v>373921113.55112743</v>
      </c>
      <c r="G81" s="4"/>
      <c r="H81" s="4"/>
    </row>
    <row r="82" spans="5:8" x14ac:dyDescent="0.3">
      <c r="E82">
        <v>61</v>
      </c>
      <c r="F82" s="35">
        <v>324167126.21633244</v>
      </c>
      <c r="G82" s="4"/>
      <c r="H82" s="4"/>
    </row>
    <row r="83" spans="5:8" x14ac:dyDescent="0.3">
      <c r="E83">
        <v>62</v>
      </c>
      <c r="F83" s="35">
        <v>291736040.06183058</v>
      </c>
      <c r="G83" s="4"/>
      <c r="H83" s="4"/>
    </row>
    <row r="84" spans="5:8" x14ac:dyDescent="0.3">
      <c r="E84">
        <v>63</v>
      </c>
      <c r="F84" s="35">
        <v>291283765.10407454</v>
      </c>
      <c r="G84" s="4"/>
      <c r="H84" s="4"/>
    </row>
    <row r="85" spans="5:8" x14ac:dyDescent="0.3">
      <c r="E85">
        <v>64</v>
      </c>
      <c r="F85" s="35">
        <v>287772058.01718652</v>
      </c>
      <c r="G85" s="4"/>
      <c r="H85" s="4"/>
    </row>
    <row r="86" spans="5:8" x14ac:dyDescent="0.3">
      <c r="E86">
        <v>65</v>
      </c>
      <c r="F86" s="35">
        <v>323896250.65836227</v>
      </c>
      <c r="G86" s="4"/>
      <c r="H86" s="4"/>
    </row>
    <row r="87" spans="5:8" x14ac:dyDescent="0.3">
      <c r="E87">
        <v>66</v>
      </c>
      <c r="F87" s="35">
        <v>315239425.58518767</v>
      </c>
      <c r="G87" s="4"/>
      <c r="H87" s="4"/>
    </row>
    <row r="88" spans="5:8" x14ac:dyDescent="0.3">
      <c r="E88">
        <v>67</v>
      </c>
      <c r="F88" s="35">
        <v>345607452.0589782</v>
      </c>
      <c r="G88" s="4"/>
      <c r="H88" s="4"/>
    </row>
    <row r="89" spans="5:8" x14ac:dyDescent="0.3">
      <c r="E89">
        <v>68</v>
      </c>
      <c r="F89" s="35">
        <v>312814227.01793444</v>
      </c>
      <c r="G89" s="4"/>
      <c r="H89" s="4"/>
    </row>
    <row r="90" spans="5:8" x14ac:dyDescent="0.3">
      <c r="E90">
        <v>69</v>
      </c>
      <c r="F90" s="35">
        <v>315598386.05974627</v>
      </c>
      <c r="G90" s="4"/>
      <c r="H90" s="4"/>
    </row>
    <row r="91" spans="5:8" x14ac:dyDescent="0.3">
      <c r="E91">
        <v>70</v>
      </c>
      <c r="F91" s="35">
        <v>327111631.28580827</v>
      </c>
      <c r="G91" s="4"/>
      <c r="H91" s="4"/>
    </row>
    <row r="92" spans="5:8" x14ac:dyDescent="0.3">
      <c r="E92">
        <v>71</v>
      </c>
      <c r="F92" s="35">
        <v>321994569.25991344</v>
      </c>
      <c r="G92" s="4"/>
      <c r="H92" s="4"/>
    </row>
    <row r="93" spans="5:8" x14ac:dyDescent="0.3">
      <c r="E93">
        <v>72</v>
      </c>
      <c r="F93" s="35">
        <v>301721751.05765301</v>
      </c>
      <c r="G93" s="4"/>
      <c r="H93" s="4"/>
    </row>
    <row r="94" spans="5:8" x14ac:dyDescent="0.3">
      <c r="E94">
        <v>73</v>
      </c>
      <c r="F94" s="35">
        <v>316827156.30384213</v>
      </c>
      <c r="G94" s="4"/>
      <c r="H94" s="4"/>
    </row>
    <row r="95" spans="5:8" x14ac:dyDescent="0.3">
      <c r="E95">
        <v>74</v>
      </c>
      <c r="F95" s="35">
        <v>356820060.99361277</v>
      </c>
      <c r="G95" s="4"/>
      <c r="H95" s="4"/>
    </row>
    <row r="96" spans="5:8" x14ac:dyDescent="0.3">
      <c r="E96">
        <v>75</v>
      </c>
      <c r="F96" s="35">
        <v>314960087.92325181</v>
      </c>
      <c r="G96" s="4"/>
      <c r="H96" s="4"/>
    </row>
    <row r="97" spans="5:8" x14ac:dyDescent="0.3">
      <c r="E97">
        <v>76</v>
      </c>
      <c r="F97" s="35">
        <v>333669628.70377725</v>
      </c>
      <c r="G97" s="4"/>
      <c r="H97" s="4"/>
    </row>
    <row r="98" spans="5:8" x14ac:dyDescent="0.3">
      <c r="E98">
        <v>77</v>
      </c>
      <c r="F98" s="35">
        <v>319934216.40303516</v>
      </c>
      <c r="G98" s="4"/>
      <c r="H98" s="4"/>
    </row>
    <row r="99" spans="5:8" x14ac:dyDescent="0.3">
      <c r="E99">
        <v>78</v>
      </c>
      <c r="F99" s="35">
        <v>348905468.17914915</v>
      </c>
      <c r="G99" s="4"/>
      <c r="H99" s="4"/>
    </row>
    <row r="100" spans="5:8" x14ac:dyDescent="0.3">
      <c r="E100">
        <v>79</v>
      </c>
      <c r="F100" s="35">
        <v>309205312.69228667</v>
      </c>
      <c r="G100" s="4"/>
      <c r="H100" s="4"/>
    </row>
    <row r="101" spans="5:8" x14ac:dyDescent="0.3">
      <c r="E101">
        <v>80</v>
      </c>
      <c r="F101" s="35">
        <v>338064925.5484665</v>
      </c>
      <c r="G101" s="4"/>
      <c r="H101" s="4"/>
    </row>
    <row r="102" spans="5:8" x14ac:dyDescent="0.3">
      <c r="E102">
        <v>81</v>
      </c>
      <c r="F102" s="35">
        <v>332791945.24689233</v>
      </c>
      <c r="G102" s="4"/>
      <c r="H102" s="4"/>
    </row>
    <row r="103" spans="5:8" x14ac:dyDescent="0.3">
      <c r="E103">
        <v>82</v>
      </c>
      <c r="F103" s="35">
        <v>305941221.47565991</v>
      </c>
      <c r="G103" s="4"/>
      <c r="H103" s="4"/>
    </row>
    <row r="104" spans="5:8" x14ac:dyDescent="0.3">
      <c r="E104">
        <v>83</v>
      </c>
      <c r="F104" s="35">
        <v>377769161.37198257</v>
      </c>
      <c r="G104" s="4"/>
      <c r="H104" s="4"/>
    </row>
    <row r="105" spans="5:8" x14ac:dyDescent="0.3">
      <c r="E105">
        <v>84</v>
      </c>
      <c r="F105" s="35">
        <v>312248943.02742159</v>
      </c>
      <c r="G105" s="4"/>
      <c r="H105" s="4"/>
    </row>
    <row r="106" spans="5:8" x14ac:dyDescent="0.3">
      <c r="E106">
        <v>85</v>
      </c>
      <c r="F106" s="35">
        <v>336726442.80917287</v>
      </c>
      <c r="G106" s="4"/>
      <c r="H106" s="4"/>
    </row>
    <row r="107" spans="5:8" x14ac:dyDescent="0.3">
      <c r="E107">
        <v>86</v>
      </c>
      <c r="F107" s="35">
        <v>330070888.8241694</v>
      </c>
      <c r="G107" s="4"/>
      <c r="H107" s="4"/>
    </row>
    <row r="108" spans="5:8" x14ac:dyDescent="0.3">
      <c r="E108">
        <v>87</v>
      </c>
      <c r="F108" s="35">
        <v>363482360.37330711</v>
      </c>
      <c r="G108" s="4"/>
      <c r="H108" s="4"/>
    </row>
    <row r="109" spans="5:8" x14ac:dyDescent="0.3">
      <c r="E109">
        <v>88</v>
      </c>
      <c r="F109" s="35">
        <v>310260767.49384046</v>
      </c>
      <c r="G109" s="4"/>
      <c r="H109" s="4"/>
    </row>
    <row r="110" spans="5:8" x14ac:dyDescent="0.3">
      <c r="E110">
        <v>89</v>
      </c>
      <c r="F110" s="35">
        <v>335781458.30537397</v>
      </c>
      <c r="G110" s="4"/>
      <c r="H110" s="4"/>
    </row>
    <row r="111" spans="5:8" x14ac:dyDescent="0.3">
      <c r="E111">
        <v>90</v>
      </c>
      <c r="F111" s="35">
        <v>350084783.31076926</v>
      </c>
      <c r="G111" s="4"/>
      <c r="H111" s="4"/>
    </row>
    <row r="112" spans="5:8" x14ac:dyDescent="0.3">
      <c r="E112">
        <v>91</v>
      </c>
      <c r="F112" s="35">
        <v>352557491.64481306</v>
      </c>
      <c r="G112" s="4"/>
      <c r="H112" s="4"/>
    </row>
    <row r="113" spans="5:8" x14ac:dyDescent="0.3">
      <c r="E113">
        <v>92</v>
      </c>
      <c r="F113" s="35">
        <v>379025562.69829673</v>
      </c>
      <c r="G113" s="4"/>
      <c r="H113" s="4"/>
    </row>
    <row r="114" spans="5:8" x14ac:dyDescent="0.3">
      <c r="E114">
        <v>93</v>
      </c>
      <c r="F114" s="35">
        <v>333205215.75268763</v>
      </c>
      <c r="G114" s="4"/>
      <c r="H114" s="4"/>
    </row>
    <row r="115" spans="5:8" x14ac:dyDescent="0.3">
      <c r="E115">
        <v>94</v>
      </c>
      <c r="F115" s="35">
        <v>314493988.53892469</v>
      </c>
      <c r="G115" s="4"/>
      <c r="H115" s="4"/>
    </row>
    <row r="116" spans="5:8" x14ac:dyDescent="0.3">
      <c r="E116">
        <v>95</v>
      </c>
      <c r="F116" s="35">
        <v>324053040.50659478</v>
      </c>
      <c r="G116" s="4"/>
      <c r="H116" s="4"/>
    </row>
    <row r="117" spans="5:8" x14ac:dyDescent="0.3">
      <c r="E117">
        <v>96</v>
      </c>
      <c r="F117" s="35">
        <v>341042322.79841</v>
      </c>
      <c r="G117" s="4"/>
      <c r="H117" s="4"/>
    </row>
    <row r="118" spans="5:8" x14ac:dyDescent="0.3">
      <c r="E118">
        <v>97</v>
      </c>
      <c r="F118" s="35">
        <v>321108574.67956311</v>
      </c>
      <c r="G118" s="4"/>
      <c r="H118" s="4"/>
    </row>
    <row r="119" spans="5:8" x14ac:dyDescent="0.3">
      <c r="E119">
        <v>98</v>
      </c>
      <c r="F119" s="35">
        <v>324022794.04021502</v>
      </c>
      <c r="G119" s="4"/>
      <c r="H119" s="4"/>
    </row>
    <row r="120" spans="5:8" x14ac:dyDescent="0.3">
      <c r="E120">
        <v>99</v>
      </c>
      <c r="F120" s="35">
        <v>283034148.05129278</v>
      </c>
      <c r="G120" s="4"/>
      <c r="H120" s="4"/>
    </row>
    <row r="121" spans="5:8" x14ac:dyDescent="0.3">
      <c r="E121">
        <v>100</v>
      </c>
      <c r="F121" s="35">
        <v>331448327.52564496</v>
      </c>
      <c r="G121" s="4"/>
      <c r="H121" s="4"/>
    </row>
    <row r="122" spans="5:8" x14ac:dyDescent="0.3">
      <c r="E122">
        <v>101</v>
      </c>
      <c r="F122" s="35">
        <v>339349509.24095565</v>
      </c>
      <c r="G122" s="4"/>
      <c r="H122" s="4"/>
    </row>
    <row r="123" spans="5:8" x14ac:dyDescent="0.3">
      <c r="E123">
        <v>102</v>
      </c>
      <c r="F123" s="35">
        <v>344363993.69346416</v>
      </c>
      <c r="G123" s="4"/>
      <c r="H123" s="4"/>
    </row>
    <row r="124" spans="5:8" x14ac:dyDescent="0.3">
      <c r="E124">
        <v>103</v>
      </c>
      <c r="F124" s="35">
        <v>334363596.74388015</v>
      </c>
      <c r="G124" s="4"/>
      <c r="H124" s="4"/>
    </row>
    <row r="125" spans="5:8" x14ac:dyDescent="0.3">
      <c r="E125">
        <v>104</v>
      </c>
      <c r="F125" s="35">
        <v>313063896.26863587</v>
      </c>
      <c r="G125" s="4"/>
      <c r="H125" s="4"/>
    </row>
    <row r="126" spans="5:8" x14ac:dyDescent="0.3">
      <c r="E126">
        <v>105</v>
      </c>
      <c r="F126" s="35">
        <v>290678208.99661553</v>
      </c>
      <c r="G126" s="4"/>
      <c r="H126" s="4"/>
    </row>
    <row r="127" spans="5:8" x14ac:dyDescent="0.3">
      <c r="E127">
        <v>106</v>
      </c>
      <c r="F127" s="35">
        <v>333897027.42526871</v>
      </c>
      <c r="G127" s="4"/>
      <c r="H127" s="4"/>
    </row>
    <row r="128" spans="5:8" x14ac:dyDescent="0.3">
      <c r="E128">
        <v>107</v>
      </c>
      <c r="F128" s="35">
        <v>326150652.64852953</v>
      </c>
      <c r="G128" s="4"/>
      <c r="H128" s="4"/>
    </row>
    <row r="129" spans="5:8" x14ac:dyDescent="0.3">
      <c r="E129">
        <v>108</v>
      </c>
      <c r="F129" s="35">
        <v>290221501.67405748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107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5" t="str">
        <f>MC_Baseline!A3</f>
        <v>Random value income per cow (USD/yr)</v>
      </c>
      <c r="B4" s="33">
        <f ca="1">_xlfn.NORM.INV(RAND(),Mappings!N6,Mappings!O6)</f>
        <v>1627.8874354344241</v>
      </c>
      <c r="C4" s="33">
        <f ca="1">_xlfn.NORM.INV(RAND(),Mappings!N7,Mappings!O7)</f>
        <v>351.57077308300251</v>
      </c>
      <c r="D4" s="33">
        <f ca="1">_xlfn.NORM.INV(RAND(),Mappings!N8,Mappings!O8)</f>
        <v>1720.5880334114445</v>
      </c>
    </row>
    <row r="5" spans="1:8" x14ac:dyDescent="0.3">
      <c r="A5" s="115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5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5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5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2" customFormat="1" x14ac:dyDescent="0.3">
      <c r="A9" s="115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2" customFormat="1" x14ac:dyDescent="0.3">
      <c r="A10" s="115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114.16496303351059</v>
      </c>
      <c r="C10" s="33">
        <f ca="1">IF(C9&gt;0,_xlfn.NORM.INV(RAND(),C9,C9*Dairy_Income_Roadmap!L36),_xlfn.NORM.INV(RAND(),ABS(C9),ABS(C9)*Dairy_Income_Roadmap!L36))</f>
        <v>542.56109400882463</v>
      </c>
      <c r="D10" s="33">
        <f ca="1">IF(D9&gt;0,_xlfn.NORM.INV(RAND(),D9,D9*Dairy_Income_Roadmap!L38),_xlfn.NORM.INV(RAND(),ABS(D9),ABS(D9)*Dairy_Income_Roadmap!L38))</f>
        <v>-141.32707329000846</v>
      </c>
    </row>
    <row r="11" spans="1:8" x14ac:dyDescent="0.3">
      <c r="A11" s="115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5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5"/>
      <c r="B13" s="33"/>
      <c r="C13" s="33"/>
      <c r="D13" s="33"/>
    </row>
    <row r="14" spans="1:8" x14ac:dyDescent="0.3">
      <c r="A14" s="115" t="str">
        <f>MC_Baseline!A13</f>
        <v>Dairy Income (USD/household/year)</v>
      </c>
      <c r="B14" s="33">
        <f ca="1">B4*B6</f>
        <v>877.56430770983798</v>
      </c>
      <c r="C14" s="33">
        <f ca="1">C4*C6</f>
        <v>807.72582571905093</v>
      </c>
      <c r="D14" s="33">
        <f ca="1">D4*D6</f>
        <v>2677.0753252118989</v>
      </c>
    </row>
    <row r="15" spans="1:8" x14ac:dyDescent="0.3">
      <c r="A15" s="115" t="str">
        <f>MC_Baseline!A14</f>
        <v>Non dairy income (USD/household/year)</v>
      </c>
      <c r="B15" s="33">
        <f ca="1">B8-IF(B9&gt;0,B8-B10,B8+B10)</f>
        <v>114.1649630335105</v>
      </c>
      <c r="C15" s="33">
        <f t="shared" ref="C15:D15" ca="1" si="0">C8-IF(C9&gt;0,C8-C10,C8+C10)</f>
        <v>542.56109400882463</v>
      </c>
      <c r="D15" s="33">
        <f t="shared" ca="1" si="0"/>
        <v>-141.32707329000846</v>
      </c>
    </row>
    <row r="16" spans="1:8" x14ac:dyDescent="0.3">
      <c r="A16" s="115" t="str">
        <f>MC_Baseline!A15</f>
        <v>Quantity households</v>
      </c>
      <c r="B16" s="33">
        <f ca="1">_xlfn.NORM.INV(RAND(),B11,B12)</f>
        <v>10201.121555607031</v>
      </c>
      <c r="C16" s="33">
        <f ca="1">_xlfn.NORM.INV(RAND(),C11,C12)</f>
        <v>54608.627367209025</v>
      </c>
      <c r="D16" s="33">
        <f t="shared" ref="D16" ca="1" si="1">_xlfn.NORM.INV(RAND(),D11,D12)</f>
        <v>78631.871234389517</v>
      </c>
    </row>
    <row r="17" spans="1:9" x14ac:dyDescent="0.3">
      <c r="A17" s="115"/>
      <c r="B17" s="33"/>
      <c r="C17" s="33"/>
      <c r="D17" s="33"/>
    </row>
    <row r="18" spans="1:9" x14ac:dyDescent="0.3">
      <c r="A18" s="115" t="str">
        <f>MC_Baseline!A17</f>
        <v>Estimated population income (USD/yr)</v>
      </c>
      <c r="B18" s="42">
        <f ca="1">(B14+B15)*B16</f>
        <v>10116750.841106413</v>
      </c>
      <c r="C18" s="42">
        <f ca="1">(C14+C15)*C16</f>
        <v>73737315.23823604</v>
      </c>
      <c r="D18" s="42">
        <f ca="1">(D14+D15)*D16</f>
        <v>199390630.02795038</v>
      </c>
      <c r="F18" s="4">
        <f ca="1">B18+C18+D18</f>
        <v>283244696.10729283</v>
      </c>
      <c r="G18" s="4"/>
      <c r="H18" s="4"/>
    </row>
    <row r="19" spans="1:9" x14ac:dyDescent="0.3">
      <c r="A19" s="115" t="str">
        <f>MC_Baseline!A18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29195775.757457297</v>
      </c>
      <c r="H19" s="136" t="s">
        <v>51</v>
      </c>
    </row>
    <row r="20" spans="1:9" x14ac:dyDescent="0.3">
      <c r="A20" s="115" t="str">
        <f>MC_Baseline!A19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342149612.11692595</v>
      </c>
      <c r="G20" s="4"/>
      <c r="H20" s="136"/>
      <c r="I20" s="46">
        <f ca="1">100*F19/F20</f>
        <v>8.5330436521085282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283244696.10729283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307372424.98297143</v>
      </c>
      <c r="G23" s="4"/>
      <c r="H23" s="4"/>
    </row>
    <row r="24" spans="1:9" x14ac:dyDescent="0.3">
      <c r="E24">
        <v>3</v>
      </c>
      <c r="F24" s="35">
        <v>340068999.6246857</v>
      </c>
      <c r="G24" s="4"/>
      <c r="H24" s="4"/>
    </row>
    <row r="25" spans="1:9" x14ac:dyDescent="0.3">
      <c r="E25">
        <v>4</v>
      </c>
      <c r="F25" s="35">
        <v>383444906.72163743</v>
      </c>
      <c r="G25" s="4"/>
      <c r="H25" s="4"/>
    </row>
    <row r="26" spans="1:9" x14ac:dyDescent="0.3">
      <c r="E26">
        <v>5</v>
      </c>
      <c r="F26" s="35">
        <v>334120314.04981792</v>
      </c>
      <c r="G26" s="4"/>
      <c r="H26" s="4"/>
    </row>
    <row r="27" spans="1:9" x14ac:dyDescent="0.3">
      <c r="E27">
        <v>6</v>
      </c>
      <c r="F27" s="35">
        <v>361345953.77267414</v>
      </c>
      <c r="G27" s="4"/>
      <c r="H27" s="4"/>
    </row>
    <row r="28" spans="1:9" x14ac:dyDescent="0.3">
      <c r="E28">
        <v>7</v>
      </c>
      <c r="F28" s="35">
        <v>331015434.92668992</v>
      </c>
      <c r="G28" s="4"/>
      <c r="H28" s="4"/>
    </row>
    <row r="29" spans="1:9" x14ac:dyDescent="0.3">
      <c r="E29">
        <v>8</v>
      </c>
      <c r="F29" s="35">
        <v>347615982.72338647</v>
      </c>
      <c r="G29" s="4"/>
      <c r="H29" s="4"/>
    </row>
    <row r="30" spans="1:9" x14ac:dyDescent="0.3">
      <c r="E30">
        <v>9</v>
      </c>
      <c r="F30" s="35">
        <v>325874336.16445595</v>
      </c>
      <c r="G30" s="4"/>
      <c r="H30" s="4"/>
    </row>
    <row r="31" spans="1:9" x14ac:dyDescent="0.3">
      <c r="E31">
        <v>10</v>
      </c>
      <c r="F31" s="35">
        <v>280440764.76701975</v>
      </c>
      <c r="G31" s="4"/>
      <c r="H31" s="4"/>
    </row>
    <row r="32" spans="1:9" x14ac:dyDescent="0.3">
      <c r="E32">
        <v>11</v>
      </c>
      <c r="F32" s="35">
        <v>378157946.26870924</v>
      </c>
      <c r="G32" s="4"/>
      <c r="H32" s="4"/>
    </row>
    <row r="33" spans="5:8" x14ac:dyDescent="0.3">
      <c r="E33">
        <v>12</v>
      </c>
      <c r="F33" s="35">
        <v>388045987.96653032</v>
      </c>
      <c r="G33" s="4"/>
      <c r="H33" s="4"/>
    </row>
    <row r="34" spans="5:8" x14ac:dyDescent="0.3">
      <c r="E34">
        <v>13</v>
      </c>
      <c r="F34" s="35">
        <v>325773655.98836803</v>
      </c>
      <c r="G34" s="4"/>
      <c r="H34" s="4"/>
    </row>
    <row r="35" spans="5:8" x14ac:dyDescent="0.3">
      <c r="E35">
        <v>14</v>
      </c>
      <c r="F35" s="35">
        <v>415775693.67434365</v>
      </c>
      <c r="G35" s="4"/>
      <c r="H35" s="4"/>
    </row>
    <row r="36" spans="5:8" x14ac:dyDescent="0.3">
      <c r="E36">
        <v>15</v>
      </c>
      <c r="F36" s="35">
        <v>371359543.15917826</v>
      </c>
      <c r="G36" s="4"/>
      <c r="H36" s="4"/>
    </row>
    <row r="37" spans="5:8" x14ac:dyDescent="0.3">
      <c r="E37">
        <v>16</v>
      </c>
      <c r="F37" s="35">
        <v>356448799.30346978</v>
      </c>
      <c r="G37" s="4"/>
      <c r="H37" s="4"/>
    </row>
    <row r="38" spans="5:8" x14ac:dyDescent="0.3">
      <c r="E38">
        <v>17</v>
      </c>
      <c r="F38" s="35">
        <v>375643279.83758783</v>
      </c>
      <c r="G38" s="4"/>
      <c r="H38" s="4"/>
    </row>
    <row r="39" spans="5:8" x14ac:dyDescent="0.3">
      <c r="E39">
        <v>18</v>
      </c>
      <c r="F39" s="35">
        <v>390502903.23778719</v>
      </c>
      <c r="G39" s="4"/>
      <c r="H39" s="4"/>
    </row>
    <row r="40" spans="5:8" x14ac:dyDescent="0.3">
      <c r="E40">
        <v>19</v>
      </c>
      <c r="F40" s="35">
        <v>367011923.29625916</v>
      </c>
      <c r="G40" s="4"/>
      <c r="H40" s="4"/>
    </row>
    <row r="41" spans="5:8" x14ac:dyDescent="0.3">
      <c r="E41">
        <v>20</v>
      </c>
      <c r="F41" s="35">
        <v>376403748.99670672</v>
      </c>
      <c r="G41" s="4"/>
      <c r="H41" s="4"/>
    </row>
    <row r="42" spans="5:8" x14ac:dyDescent="0.3">
      <c r="E42">
        <v>21</v>
      </c>
      <c r="F42" s="35">
        <v>330169477.57417226</v>
      </c>
      <c r="G42" s="4"/>
      <c r="H42" s="4"/>
    </row>
    <row r="43" spans="5:8" x14ac:dyDescent="0.3">
      <c r="E43">
        <v>22</v>
      </c>
      <c r="F43" s="35">
        <v>321590936.87010032</v>
      </c>
      <c r="G43" s="4"/>
      <c r="H43" s="4"/>
    </row>
    <row r="44" spans="5:8" x14ac:dyDescent="0.3">
      <c r="E44">
        <v>23</v>
      </c>
      <c r="F44" s="35">
        <v>367305002.27377522</v>
      </c>
      <c r="G44" s="4"/>
      <c r="H44" s="4"/>
    </row>
    <row r="45" spans="5:8" x14ac:dyDescent="0.3">
      <c r="E45">
        <v>24</v>
      </c>
      <c r="F45" s="35">
        <v>315093807.45352018</v>
      </c>
      <c r="G45" s="4"/>
      <c r="H45" s="4"/>
    </row>
    <row r="46" spans="5:8" x14ac:dyDescent="0.3">
      <c r="E46">
        <v>25</v>
      </c>
      <c r="F46" s="35">
        <v>355359889.12543273</v>
      </c>
      <c r="G46" s="4"/>
      <c r="H46" s="4"/>
    </row>
    <row r="47" spans="5:8" x14ac:dyDescent="0.3">
      <c r="E47">
        <v>26</v>
      </c>
      <c r="F47" s="35">
        <v>361536400.67122996</v>
      </c>
      <c r="G47" s="4"/>
      <c r="H47" s="4"/>
    </row>
    <row r="48" spans="5:8" x14ac:dyDescent="0.3">
      <c r="E48">
        <v>27</v>
      </c>
      <c r="F48" s="35">
        <v>347148550.47054601</v>
      </c>
      <c r="G48" s="4"/>
      <c r="H48" s="4"/>
    </row>
    <row r="49" spans="5:8" x14ac:dyDescent="0.3">
      <c r="E49">
        <v>28</v>
      </c>
      <c r="F49" s="35">
        <v>337979519.4837023</v>
      </c>
      <c r="G49" s="4"/>
      <c r="H49" s="4"/>
    </row>
    <row r="50" spans="5:8" x14ac:dyDescent="0.3">
      <c r="E50">
        <v>29</v>
      </c>
      <c r="F50" s="35">
        <v>325638053.61485338</v>
      </c>
      <c r="G50" s="4"/>
      <c r="H50" s="4"/>
    </row>
    <row r="51" spans="5:8" x14ac:dyDescent="0.3">
      <c r="E51">
        <v>30</v>
      </c>
      <c r="F51" s="35">
        <v>331653273.39343011</v>
      </c>
      <c r="G51" s="4"/>
      <c r="H51" s="4"/>
    </row>
    <row r="52" spans="5:8" x14ac:dyDescent="0.3">
      <c r="E52">
        <v>31</v>
      </c>
      <c r="F52" s="35">
        <v>299430048.5880295</v>
      </c>
      <c r="G52" s="4"/>
      <c r="H52" s="4"/>
    </row>
    <row r="53" spans="5:8" x14ac:dyDescent="0.3">
      <c r="E53">
        <v>32</v>
      </c>
      <c r="F53" s="35">
        <v>339084382.95338398</v>
      </c>
      <c r="G53" s="4"/>
      <c r="H53" s="4"/>
    </row>
    <row r="54" spans="5:8" x14ac:dyDescent="0.3">
      <c r="E54">
        <v>33</v>
      </c>
      <c r="F54" s="35">
        <v>375699750.25041765</v>
      </c>
      <c r="G54" s="4"/>
      <c r="H54" s="4"/>
    </row>
    <row r="55" spans="5:8" x14ac:dyDescent="0.3">
      <c r="E55">
        <v>34</v>
      </c>
      <c r="F55" s="35">
        <v>301560129.13082558</v>
      </c>
      <c r="G55" s="4"/>
      <c r="H55" s="4"/>
    </row>
    <row r="56" spans="5:8" x14ac:dyDescent="0.3">
      <c r="E56">
        <v>35</v>
      </c>
      <c r="F56" s="35">
        <v>301378207.20022225</v>
      </c>
      <c r="G56" s="4"/>
      <c r="H56" s="4"/>
    </row>
    <row r="57" spans="5:8" x14ac:dyDescent="0.3">
      <c r="E57">
        <v>36</v>
      </c>
      <c r="F57" s="35">
        <v>354029393.47143948</v>
      </c>
      <c r="G57" s="4"/>
      <c r="H57" s="4"/>
    </row>
    <row r="58" spans="5:8" x14ac:dyDescent="0.3">
      <c r="E58">
        <v>37</v>
      </c>
      <c r="F58" s="35">
        <v>366948863.50989687</v>
      </c>
      <c r="G58" s="4"/>
      <c r="H58" s="4"/>
    </row>
    <row r="59" spans="5:8" x14ac:dyDescent="0.3">
      <c r="E59">
        <v>38</v>
      </c>
      <c r="F59" s="35">
        <v>362637047.9182415</v>
      </c>
      <c r="G59" s="4"/>
      <c r="H59" s="4"/>
    </row>
    <row r="60" spans="5:8" x14ac:dyDescent="0.3">
      <c r="E60">
        <v>39</v>
      </c>
      <c r="F60" s="35">
        <v>347774326.94313425</v>
      </c>
      <c r="G60" s="4"/>
      <c r="H60" s="4"/>
    </row>
    <row r="61" spans="5:8" x14ac:dyDescent="0.3">
      <c r="E61">
        <v>40</v>
      </c>
      <c r="F61" s="35">
        <v>337623523.68180156</v>
      </c>
      <c r="G61" s="4"/>
      <c r="H61" s="4"/>
    </row>
    <row r="62" spans="5:8" x14ac:dyDescent="0.3">
      <c r="E62">
        <v>41</v>
      </c>
      <c r="F62" s="35">
        <v>336315747.12736911</v>
      </c>
      <c r="G62" s="4"/>
      <c r="H62" s="4"/>
    </row>
    <row r="63" spans="5:8" x14ac:dyDescent="0.3">
      <c r="E63">
        <v>42</v>
      </c>
      <c r="F63" s="35">
        <v>332863822.91919339</v>
      </c>
      <c r="G63" s="4"/>
      <c r="H63" s="4"/>
    </row>
    <row r="64" spans="5:8" x14ac:dyDescent="0.3">
      <c r="E64">
        <v>43</v>
      </c>
      <c r="F64" s="35">
        <v>337325764.63867104</v>
      </c>
      <c r="G64" s="4"/>
      <c r="H64" s="4"/>
    </row>
    <row r="65" spans="5:8" x14ac:dyDescent="0.3">
      <c r="E65">
        <v>44</v>
      </c>
      <c r="F65" s="35">
        <v>312941921.7447089</v>
      </c>
      <c r="G65" s="4"/>
      <c r="H65" s="4"/>
    </row>
    <row r="66" spans="5:8" x14ac:dyDescent="0.3">
      <c r="E66">
        <v>45</v>
      </c>
      <c r="F66" s="35">
        <v>320032976.38990062</v>
      </c>
      <c r="G66" s="4"/>
      <c r="H66" s="4"/>
    </row>
    <row r="67" spans="5:8" x14ac:dyDescent="0.3">
      <c r="E67">
        <v>46</v>
      </c>
      <c r="F67" s="35">
        <v>366801277.04157251</v>
      </c>
      <c r="G67" s="4"/>
      <c r="H67" s="4"/>
    </row>
    <row r="68" spans="5:8" x14ac:dyDescent="0.3">
      <c r="E68">
        <v>47</v>
      </c>
      <c r="F68" s="35">
        <v>381391461.42243296</v>
      </c>
      <c r="G68" s="4"/>
      <c r="H68" s="4"/>
    </row>
    <row r="69" spans="5:8" x14ac:dyDescent="0.3">
      <c r="E69">
        <v>48</v>
      </c>
      <c r="F69" s="35">
        <v>365708714.08793437</v>
      </c>
      <c r="G69" s="4"/>
      <c r="H69" s="4"/>
    </row>
    <row r="70" spans="5:8" x14ac:dyDescent="0.3">
      <c r="E70">
        <v>49</v>
      </c>
      <c r="F70" s="35">
        <v>334839355.80351633</v>
      </c>
      <c r="G70" s="4"/>
      <c r="H70" s="4"/>
    </row>
    <row r="71" spans="5:8" x14ac:dyDescent="0.3">
      <c r="E71">
        <v>50</v>
      </c>
      <c r="F71" s="35">
        <v>332953031.65493697</v>
      </c>
      <c r="G71" s="4"/>
      <c r="H71" s="4"/>
    </row>
    <row r="72" spans="5:8" x14ac:dyDescent="0.3">
      <c r="E72">
        <v>51</v>
      </c>
      <c r="F72" s="35">
        <v>302084450.16281688</v>
      </c>
      <c r="G72" s="4"/>
      <c r="H72" s="4"/>
    </row>
    <row r="73" spans="5:8" x14ac:dyDescent="0.3">
      <c r="E73">
        <v>52</v>
      </c>
      <c r="F73" s="35">
        <v>367679237.46046841</v>
      </c>
      <c r="G73" s="4"/>
      <c r="H73" s="4"/>
    </row>
    <row r="74" spans="5:8" x14ac:dyDescent="0.3">
      <c r="E74">
        <v>53</v>
      </c>
      <c r="F74" s="35">
        <v>347098051.62699461</v>
      </c>
      <c r="G74" s="4"/>
      <c r="H74" s="4"/>
    </row>
    <row r="75" spans="5:8" x14ac:dyDescent="0.3">
      <c r="E75">
        <v>54</v>
      </c>
      <c r="F75" s="35">
        <v>366988299.3106035</v>
      </c>
      <c r="G75" s="4"/>
      <c r="H75" s="4"/>
    </row>
    <row r="76" spans="5:8" x14ac:dyDescent="0.3">
      <c r="E76">
        <v>55</v>
      </c>
      <c r="F76" s="35">
        <v>333890963.68612522</v>
      </c>
      <c r="G76" s="4"/>
      <c r="H76" s="4"/>
    </row>
    <row r="77" spans="5:8" x14ac:dyDescent="0.3">
      <c r="E77">
        <v>56</v>
      </c>
      <c r="F77" s="35">
        <v>331189782.56928885</v>
      </c>
      <c r="G77" s="4"/>
      <c r="H77" s="4"/>
    </row>
    <row r="78" spans="5:8" x14ac:dyDescent="0.3">
      <c r="E78">
        <v>57</v>
      </c>
      <c r="F78" s="35">
        <v>317502946.14249176</v>
      </c>
      <c r="G78" s="4"/>
      <c r="H78" s="4"/>
    </row>
    <row r="79" spans="5:8" x14ac:dyDescent="0.3">
      <c r="E79">
        <v>58</v>
      </c>
      <c r="F79" s="35">
        <v>339581639.21467108</v>
      </c>
      <c r="G79" s="4"/>
      <c r="H79" s="4"/>
    </row>
    <row r="80" spans="5:8" x14ac:dyDescent="0.3">
      <c r="E80">
        <v>59</v>
      </c>
      <c r="F80" s="35">
        <v>370190666.36758244</v>
      </c>
      <c r="G80" s="4"/>
      <c r="H80" s="4"/>
    </row>
    <row r="81" spans="5:8" x14ac:dyDescent="0.3">
      <c r="E81">
        <v>60</v>
      </c>
      <c r="F81" s="35">
        <v>348434852.38161951</v>
      </c>
      <c r="G81" s="4"/>
      <c r="H81" s="4"/>
    </row>
    <row r="82" spans="5:8" x14ac:dyDescent="0.3">
      <c r="E82">
        <v>61</v>
      </c>
      <c r="F82" s="35">
        <v>322075126.07105786</v>
      </c>
      <c r="G82" s="4"/>
      <c r="H82" s="4"/>
    </row>
    <row r="83" spans="5:8" x14ac:dyDescent="0.3">
      <c r="E83">
        <v>62</v>
      </c>
      <c r="F83" s="35">
        <v>306998739.13751823</v>
      </c>
      <c r="G83" s="4"/>
      <c r="H83" s="4"/>
    </row>
    <row r="84" spans="5:8" x14ac:dyDescent="0.3">
      <c r="E84">
        <v>63</v>
      </c>
      <c r="F84" s="35">
        <v>373974568.99477416</v>
      </c>
      <c r="G84" s="4"/>
      <c r="H84" s="4"/>
    </row>
    <row r="85" spans="5:8" x14ac:dyDescent="0.3">
      <c r="E85">
        <v>64</v>
      </c>
      <c r="F85" s="35">
        <v>331471423.34741837</v>
      </c>
      <c r="G85" s="4"/>
      <c r="H85" s="4"/>
    </row>
    <row r="86" spans="5:8" x14ac:dyDescent="0.3">
      <c r="E86">
        <v>65</v>
      </c>
      <c r="F86" s="35">
        <v>389895973.80629009</v>
      </c>
      <c r="G86" s="4"/>
      <c r="H86" s="4"/>
    </row>
    <row r="87" spans="5:8" x14ac:dyDescent="0.3">
      <c r="E87">
        <v>66</v>
      </c>
      <c r="F87" s="35">
        <v>312918866.14857018</v>
      </c>
      <c r="G87" s="4"/>
      <c r="H87" s="4"/>
    </row>
    <row r="88" spans="5:8" x14ac:dyDescent="0.3">
      <c r="E88">
        <v>67</v>
      </c>
      <c r="F88" s="35">
        <v>303107659.05901593</v>
      </c>
      <c r="G88" s="4"/>
      <c r="H88" s="4"/>
    </row>
    <row r="89" spans="5:8" x14ac:dyDescent="0.3">
      <c r="E89">
        <v>68</v>
      </c>
      <c r="F89" s="35">
        <v>327931154.81769383</v>
      </c>
      <c r="G89" s="4"/>
      <c r="H89" s="4"/>
    </row>
    <row r="90" spans="5:8" x14ac:dyDescent="0.3">
      <c r="E90">
        <v>69</v>
      </c>
      <c r="F90" s="35">
        <v>306850269.37466747</v>
      </c>
      <c r="G90" s="4"/>
      <c r="H90" s="4"/>
    </row>
    <row r="91" spans="5:8" x14ac:dyDescent="0.3">
      <c r="E91">
        <v>70</v>
      </c>
      <c r="F91" s="35">
        <v>306715104.72971648</v>
      </c>
      <c r="G91" s="4"/>
      <c r="H91" s="4"/>
    </row>
    <row r="92" spans="5:8" x14ac:dyDescent="0.3">
      <c r="E92">
        <v>71</v>
      </c>
      <c r="F92" s="35">
        <v>347958588.11132735</v>
      </c>
      <c r="G92" s="4"/>
      <c r="H92" s="4"/>
    </row>
    <row r="93" spans="5:8" x14ac:dyDescent="0.3">
      <c r="E93">
        <v>72</v>
      </c>
      <c r="F93" s="35">
        <v>317120239.02361596</v>
      </c>
      <c r="G93" s="4"/>
      <c r="H93" s="4"/>
    </row>
    <row r="94" spans="5:8" x14ac:dyDescent="0.3">
      <c r="E94">
        <v>73</v>
      </c>
      <c r="F94" s="35">
        <v>315985718.09392262</v>
      </c>
      <c r="G94" s="4"/>
      <c r="H94" s="4"/>
    </row>
    <row r="95" spans="5:8" x14ac:dyDescent="0.3">
      <c r="E95">
        <v>74</v>
      </c>
      <c r="F95" s="35">
        <v>280192925.1156503</v>
      </c>
      <c r="G95" s="4"/>
      <c r="H95" s="4"/>
    </row>
    <row r="96" spans="5:8" x14ac:dyDescent="0.3">
      <c r="E96">
        <v>75</v>
      </c>
      <c r="F96" s="35">
        <v>363691054.6709519</v>
      </c>
      <c r="G96" s="4"/>
      <c r="H96" s="4"/>
    </row>
    <row r="97" spans="5:8" x14ac:dyDescent="0.3">
      <c r="E97">
        <v>76</v>
      </c>
      <c r="F97" s="35">
        <v>287549712.75200403</v>
      </c>
      <c r="G97" s="4"/>
      <c r="H97" s="4"/>
    </row>
    <row r="98" spans="5:8" x14ac:dyDescent="0.3">
      <c r="E98">
        <v>77</v>
      </c>
      <c r="F98" s="35">
        <v>365771228.86306149</v>
      </c>
      <c r="G98" s="4"/>
      <c r="H98" s="4"/>
    </row>
    <row r="99" spans="5:8" x14ac:dyDescent="0.3">
      <c r="E99">
        <v>78</v>
      </c>
      <c r="F99" s="35">
        <v>397837806.91031134</v>
      </c>
      <c r="G99" s="4"/>
      <c r="H99" s="4"/>
    </row>
    <row r="100" spans="5:8" x14ac:dyDescent="0.3">
      <c r="E100">
        <v>79</v>
      </c>
      <c r="F100" s="35">
        <v>340297305.0561527</v>
      </c>
      <c r="G100" s="4"/>
      <c r="H100" s="4"/>
    </row>
    <row r="101" spans="5:8" x14ac:dyDescent="0.3">
      <c r="E101">
        <v>80</v>
      </c>
      <c r="F101" s="35">
        <v>317422747.41578829</v>
      </c>
      <c r="G101" s="4"/>
      <c r="H101" s="4"/>
    </row>
    <row r="102" spans="5:8" x14ac:dyDescent="0.3">
      <c r="E102">
        <v>81</v>
      </c>
      <c r="F102" s="35">
        <v>341052371.17030501</v>
      </c>
      <c r="G102" s="4"/>
      <c r="H102" s="4"/>
    </row>
    <row r="103" spans="5:8" x14ac:dyDescent="0.3">
      <c r="E103">
        <v>82</v>
      </c>
      <c r="F103" s="35">
        <v>387777877.46473998</v>
      </c>
      <c r="G103" s="4"/>
      <c r="H103" s="4"/>
    </row>
    <row r="104" spans="5:8" x14ac:dyDescent="0.3">
      <c r="E104">
        <v>83</v>
      </c>
      <c r="F104" s="35">
        <v>356279604.24583131</v>
      </c>
      <c r="G104" s="4"/>
      <c r="H104" s="4"/>
    </row>
    <row r="105" spans="5:8" x14ac:dyDescent="0.3">
      <c r="E105">
        <v>84</v>
      </c>
      <c r="F105" s="35">
        <v>297583715.192182</v>
      </c>
      <c r="G105" s="4"/>
      <c r="H105" s="4"/>
    </row>
    <row r="106" spans="5:8" x14ac:dyDescent="0.3">
      <c r="E106">
        <v>85</v>
      </c>
      <c r="F106" s="35">
        <v>364335999.76520836</v>
      </c>
      <c r="G106" s="4"/>
      <c r="H106" s="4"/>
    </row>
    <row r="107" spans="5:8" x14ac:dyDescent="0.3">
      <c r="E107">
        <v>86</v>
      </c>
      <c r="F107" s="35">
        <v>325347327.309986</v>
      </c>
      <c r="G107" s="4"/>
      <c r="H107" s="4"/>
    </row>
    <row r="108" spans="5:8" x14ac:dyDescent="0.3">
      <c r="E108">
        <v>87</v>
      </c>
      <c r="F108" s="35">
        <v>311352173.59359384</v>
      </c>
      <c r="G108" s="4"/>
      <c r="H108" s="4"/>
    </row>
    <row r="109" spans="5:8" x14ac:dyDescent="0.3">
      <c r="E109">
        <v>88</v>
      </c>
      <c r="F109" s="35">
        <v>361187660.99035704</v>
      </c>
      <c r="G109" s="4"/>
      <c r="H109" s="4"/>
    </row>
    <row r="110" spans="5:8" x14ac:dyDescent="0.3">
      <c r="E110">
        <v>89</v>
      </c>
      <c r="F110" s="35">
        <v>384923044.23316598</v>
      </c>
      <c r="G110" s="4"/>
      <c r="H110" s="4"/>
    </row>
    <row r="111" spans="5:8" x14ac:dyDescent="0.3">
      <c r="E111">
        <v>90</v>
      </c>
      <c r="F111" s="35">
        <v>350491046.24920869</v>
      </c>
      <c r="G111" s="4"/>
      <c r="H111" s="4"/>
    </row>
    <row r="112" spans="5:8" x14ac:dyDescent="0.3">
      <c r="E112">
        <v>91</v>
      </c>
      <c r="F112" s="35">
        <v>326361192.0861699</v>
      </c>
      <c r="G112" s="4"/>
      <c r="H112" s="4"/>
    </row>
    <row r="113" spans="5:8" x14ac:dyDescent="0.3">
      <c r="E113">
        <v>92</v>
      </c>
      <c r="F113" s="35">
        <v>387422209.32886243</v>
      </c>
      <c r="G113" s="4"/>
      <c r="H113" s="4"/>
    </row>
    <row r="114" spans="5:8" x14ac:dyDescent="0.3">
      <c r="E114">
        <v>93</v>
      </c>
      <c r="F114" s="35">
        <v>320677279.15400106</v>
      </c>
      <c r="G114" s="4"/>
      <c r="H114" s="4"/>
    </row>
    <row r="115" spans="5:8" x14ac:dyDescent="0.3">
      <c r="E115">
        <v>94</v>
      </c>
      <c r="F115" s="35">
        <v>356182680.36266285</v>
      </c>
      <c r="G115" s="4"/>
      <c r="H115" s="4"/>
    </row>
    <row r="116" spans="5:8" x14ac:dyDescent="0.3">
      <c r="E116">
        <v>95</v>
      </c>
      <c r="F116" s="35">
        <v>358063667.06038749</v>
      </c>
      <c r="G116" s="4"/>
      <c r="H116" s="4"/>
    </row>
    <row r="117" spans="5:8" x14ac:dyDescent="0.3">
      <c r="E117">
        <v>96</v>
      </c>
      <c r="F117" s="35">
        <v>337637231.58011019</v>
      </c>
      <c r="G117" s="4"/>
      <c r="H117" s="4"/>
    </row>
    <row r="118" spans="5:8" x14ac:dyDescent="0.3">
      <c r="E118">
        <v>97</v>
      </c>
      <c r="F118" s="35">
        <v>340563682.17492765</v>
      </c>
      <c r="G118" s="4"/>
      <c r="H118" s="4"/>
    </row>
    <row r="119" spans="5:8" x14ac:dyDescent="0.3">
      <c r="E119">
        <v>98</v>
      </c>
      <c r="F119" s="35">
        <v>324550089.91430318</v>
      </c>
      <c r="G119" s="4"/>
      <c r="H119" s="4"/>
    </row>
    <row r="120" spans="5:8" x14ac:dyDescent="0.3">
      <c r="E120">
        <v>99</v>
      </c>
      <c r="F120" s="35">
        <v>341629255.16991568</v>
      </c>
      <c r="G120" s="4"/>
      <c r="H120" s="4"/>
    </row>
    <row r="121" spans="5:8" x14ac:dyDescent="0.3">
      <c r="E121">
        <v>100</v>
      </c>
      <c r="F121" s="35">
        <v>343173822.67773235</v>
      </c>
      <c r="G121" s="4"/>
      <c r="H121" s="4"/>
    </row>
    <row r="122" spans="5:8" x14ac:dyDescent="0.3">
      <c r="E122">
        <v>101</v>
      </c>
      <c r="F122" s="35">
        <v>336060842.21739089</v>
      </c>
      <c r="G122" s="4"/>
      <c r="H122" s="4"/>
    </row>
    <row r="123" spans="5:8" x14ac:dyDescent="0.3">
      <c r="E123">
        <v>102</v>
      </c>
      <c r="F123" s="35">
        <v>302186174.66609132</v>
      </c>
      <c r="G123" s="4"/>
      <c r="H123" s="4"/>
    </row>
    <row r="124" spans="5:8" x14ac:dyDescent="0.3">
      <c r="E124">
        <v>103</v>
      </c>
      <c r="F124" s="35">
        <v>414684932.00376874</v>
      </c>
      <c r="G124" s="4"/>
      <c r="H124" s="4"/>
    </row>
    <row r="125" spans="5:8" x14ac:dyDescent="0.3">
      <c r="E125">
        <v>104</v>
      </c>
      <c r="F125" s="35">
        <v>289230269.73727912</v>
      </c>
      <c r="G125" s="4"/>
      <c r="H125" s="4"/>
    </row>
    <row r="126" spans="5:8" x14ac:dyDescent="0.3">
      <c r="E126">
        <v>105</v>
      </c>
      <c r="F126" s="35">
        <v>365176726.42094493</v>
      </c>
      <c r="G126" s="4"/>
      <c r="H126" s="4"/>
    </row>
    <row r="127" spans="5:8" x14ac:dyDescent="0.3">
      <c r="E127">
        <v>106</v>
      </c>
      <c r="F127" s="35">
        <v>359390699.59652472</v>
      </c>
      <c r="G127" s="4"/>
      <c r="H127" s="4"/>
    </row>
    <row r="128" spans="5:8" x14ac:dyDescent="0.3">
      <c r="E128">
        <v>107</v>
      </c>
      <c r="F128" s="35">
        <v>352373091.61080205</v>
      </c>
      <c r="G128" s="4"/>
      <c r="H128" s="4"/>
    </row>
    <row r="129" spans="5:8" x14ac:dyDescent="0.3">
      <c r="E129">
        <v>108</v>
      </c>
      <c r="F129" s="35">
        <v>335574389.25142288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_xlfn.NORM.INV(RAND(),Mappings!N18,Mappings!O18)</f>
        <v>1434.4672813470547</v>
      </c>
      <c r="C4" s="21">
        <f ca="1">_xlfn.NORM.INV(RAND(),Mappings!N19,Mappings!O19)</f>
        <v>294.30815967058089</v>
      </c>
      <c r="D4" s="21">
        <f ca="1">_xlfn.NORM.INV(RAND(),Mappings!N20,Mappings!O20)</f>
        <v>1660.3873072049726</v>
      </c>
    </row>
    <row r="5" spans="1:8" x14ac:dyDescent="0.3">
      <c r="A5" s="115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5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123.9437635142127</v>
      </c>
      <c r="C10" s="21">
        <f ca="1">IF(C9&gt;0,_xlfn.NORM.INV(RAND(),C9,C9*[6]Dairy_Income_Roadmap!L36),_xlfn.NORM.INV(RAND(),ABS(C9),ABS(C9)*[6]Dairy_Income_Roadmap!L36))</f>
        <v>731.8705128374994</v>
      </c>
      <c r="D10" s="21">
        <f ca="1">IF(D9&gt;0,_xlfn.NORM.INV(RAND(),D9,D9*[6]Dairy_Income_Roadmap!L38),_xlfn.NORM.INV(RAND(),ABS(D9),ABS(D9)*[6]Dairy_Income_Roadmap!L38))</f>
        <v>-269.43687886883464</v>
      </c>
    </row>
    <row r="11" spans="1:8" x14ac:dyDescent="0.3">
      <c r="A11" s="115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5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979.07712219403345</v>
      </c>
      <c r="C14" s="21">
        <f ca="1">C4*C6</f>
        <v>856.10135344514515</v>
      </c>
      <c r="D14" s="21">
        <f ca="1">D4*D6</f>
        <v>3270.8812212181701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123.94376351421261</v>
      </c>
      <c r="C15" s="21">
        <f t="shared" ref="C15:D15" ca="1" si="0">C8-IF(C9&gt;0,C8-C10,C8+C10)</f>
        <v>731.8705128374994</v>
      </c>
      <c r="D15" s="21">
        <f t="shared" ca="1" si="0"/>
        <v>-269.43687886883458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9579.4689672446875</v>
      </c>
      <c r="C16" s="21">
        <f ca="1">_xlfn.NORM.INV(RAND(),C11,C12)</f>
        <v>56862.705950310192</v>
      </c>
      <c r="D16" s="21">
        <f t="shared" ref="D16" ca="1" si="1">_xlfn.NORM.INV(RAND(),D11,D12)</f>
        <v>84876.59054652699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4">
        <f ca="1">(B14+B15)*B16</f>
        <v>10566354.344864894</v>
      </c>
      <c r="C18" s="4">
        <f t="shared" ref="C18:D18" ca="1" si="2">(C14+C15)*C16</f>
        <v>90296377.289795309</v>
      </c>
      <c r="D18" s="4">
        <f t="shared" ca="1" si="2"/>
        <v>254752362.49377456</v>
      </c>
      <c r="E18" s="4"/>
      <c r="F18" s="4">
        <f ca="1">SUM(B18:D18)</f>
        <v>355615094.12843478</v>
      </c>
      <c r="G18" s="4"/>
      <c r="H18" s="47"/>
      <c r="I18" s="46"/>
    </row>
    <row r="19" spans="1:9" x14ac:dyDescent="0.3">
      <c r="A19" s="115" t="str">
        <f>MC_High_ambition!A19</f>
        <v>SE population income (USD/yr)</v>
      </c>
      <c r="B19" s="4"/>
      <c r="C19" s="4"/>
      <c r="D19" s="4"/>
      <c r="E19" s="4"/>
      <c r="F19" s="4">
        <f ca="1">STDEV(F22:F129)</f>
        <v>56921859.22851295</v>
      </c>
      <c r="G19" s="4"/>
      <c r="H19" s="47"/>
      <c r="I19" s="46"/>
    </row>
    <row r="20" spans="1:9" x14ac:dyDescent="0.3">
      <c r="A20" s="115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426384819.12034059</v>
      </c>
      <c r="G20" s="4"/>
      <c r="H20" s="137" t="s">
        <v>51</v>
      </c>
      <c r="I20" s="46">
        <f ca="1">100*F19/F20</f>
        <v>13.349879422524101</v>
      </c>
    </row>
    <row r="21" spans="1:9" x14ac:dyDescent="0.3">
      <c r="F21" s="4"/>
      <c r="G21" s="4"/>
      <c r="H21" s="137"/>
    </row>
    <row r="22" spans="1:9" x14ac:dyDescent="0.3">
      <c r="B22" s="4"/>
      <c r="E22">
        <v>1</v>
      </c>
      <c r="F22" s="35">
        <f ca="1">F18</f>
        <v>355615094.12843478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445049159.00858378</v>
      </c>
      <c r="G23" s="4"/>
      <c r="H23" s="4"/>
      <c r="I23" s="137"/>
    </row>
    <row r="24" spans="1:9" x14ac:dyDescent="0.3">
      <c r="E24">
        <v>3</v>
      </c>
      <c r="F24" s="35">
        <v>475876107.82377434</v>
      </c>
      <c r="G24" s="4"/>
      <c r="H24" s="4"/>
      <c r="I24" s="137"/>
    </row>
    <row r="25" spans="1:9" x14ac:dyDescent="0.3">
      <c r="E25">
        <v>4</v>
      </c>
      <c r="F25" s="35">
        <v>465812652.47087616</v>
      </c>
      <c r="G25" s="4"/>
      <c r="H25" s="4"/>
    </row>
    <row r="26" spans="1:9" x14ac:dyDescent="0.3">
      <c r="E26">
        <v>5</v>
      </c>
      <c r="F26" s="35">
        <v>290136467.3509416</v>
      </c>
      <c r="G26" s="4"/>
      <c r="H26" s="4"/>
    </row>
    <row r="27" spans="1:9" x14ac:dyDescent="0.3">
      <c r="E27">
        <v>6</v>
      </c>
      <c r="F27" s="35">
        <v>436780550.12677985</v>
      </c>
      <c r="G27" s="4"/>
      <c r="H27" s="4"/>
    </row>
    <row r="28" spans="1:9" x14ac:dyDescent="0.3">
      <c r="E28">
        <v>7</v>
      </c>
      <c r="F28" s="35">
        <v>465366752.97078425</v>
      </c>
      <c r="G28" s="4"/>
      <c r="H28" s="4"/>
    </row>
    <row r="29" spans="1:9" x14ac:dyDescent="0.3">
      <c r="E29">
        <v>8</v>
      </c>
      <c r="F29" s="35">
        <v>515016399.86018264</v>
      </c>
      <c r="G29" s="4"/>
      <c r="H29" s="4"/>
    </row>
    <row r="30" spans="1:9" x14ac:dyDescent="0.3">
      <c r="E30">
        <v>9</v>
      </c>
      <c r="F30" s="35">
        <v>420233955.88556069</v>
      </c>
      <c r="G30" s="4"/>
      <c r="H30" s="4"/>
    </row>
    <row r="31" spans="1:9" x14ac:dyDescent="0.3">
      <c r="E31">
        <v>10</v>
      </c>
      <c r="F31" s="35">
        <v>457926617.59263134</v>
      </c>
      <c r="G31" s="4"/>
      <c r="H31" s="4"/>
    </row>
    <row r="32" spans="1:9" x14ac:dyDescent="0.3">
      <c r="E32">
        <v>11</v>
      </c>
      <c r="F32" s="35">
        <v>458931069.1077221</v>
      </c>
      <c r="G32" s="4"/>
      <c r="H32" s="4"/>
    </row>
    <row r="33" spans="5:8" x14ac:dyDescent="0.3">
      <c r="E33">
        <v>12</v>
      </c>
      <c r="F33" s="35">
        <v>371183939.52013516</v>
      </c>
      <c r="G33" s="4"/>
      <c r="H33" s="4"/>
    </row>
    <row r="34" spans="5:8" x14ac:dyDescent="0.3">
      <c r="E34">
        <v>13</v>
      </c>
      <c r="F34" s="35">
        <v>362151094.19120353</v>
      </c>
      <c r="G34" s="4"/>
      <c r="H34" s="4"/>
    </row>
    <row r="35" spans="5:8" x14ac:dyDescent="0.3">
      <c r="E35">
        <v>14</v>
      </c>
      <c r="F35" s="35">
        <v>379316155.5890007</v>
      </c>
      <c r="G35" s="4"/>
      <c r="H35" s="4"/>
    </row>
    <row r="36" spans="5:8" x14ac:dyDescent="0.3">
      <c r="E36">
        <v>15</v>
      </c>
      <c r="F36" s="35">
        <v>426619790.09778333</v>
      </c>
      <c r="G36" s="4"/>
      <c r="H36" s="4"/>
    </row>
    <row r="37" spans="5:8" x14ac:dyDescent="0.3">
      <c r="E37">
        <v>16</v>
      </c>
      <c r="F37" s="35">
        <v>367106826.26700306</v>
      </c>
      <c r="G37" s="4"/>
      <c r="H37" s="4"/>
    </row>
    <row r="38" spans="5:8" x14ac:dyDescent="0.3">
      <c r="E38">
        <v>17</v>
      </c>
      <c r="F38" s="35">
        <v>499019774.48743194</v>
      </c>
      <c r="G38" s="4"/>
      <c r="H38" s="4"/>
    </row>
    <row r="39" spans="5:8" x14ac:dyDescent="0.3">
      <c r="E39">
        <v>18</v>
      </c>
      <c r="F39" s="35">
        <v>422323794.06393462</v>
      </c>
      <c r="G39" s="4"/>
      <c r="H39" s="4"/>
    </row>
    <row r="40" spans="5:8" x14ac:dyDescent="0.3">
      <c r="E40">
        <v>19</v>
      </c>
      <c r="F40" s="35">
        <v>474717733.94553775</v>
      </c>
      <c r="G40" s="4"/>
      <c r="H40" s="4"/>
    </row>
    <row r="41" spans="5:8" x14ac:dyDescent="0.3">
      <c r="E41">
        <v>20</v>
      </c>
      <c r="F41" s="35">
        <v>444736724.70368385</v>
      </c>
      <c r="G41" s="4"/>
      <c r="H41" s="4"/>
    </row>
    <row r="42" spans="5:8" x14ac:dyDescent="0.3">
      <c r="E42">
        <v>21</v>
      </c>
      <c r="F42" s="35">
        <v>459391794.85290182</v>
      </c>
      <c r="G42" s="4"/>
      <c r="H42" s="4"/>
    </row>
    <row r="43" spans="5:8" x14ac:dyDescent="0.3">
      <c r="E43">
        <v>22</v>
      </c>
      <c r="F43" s="35">
        <v>430543374.11171424</v>
      </c>
      <c r="G43" s="4"/>
      <c r="H43" s="4"/>
    </row>
    <row r="44" spans="5:8" x14ac:dyDescent="0.3">
      <c r="E44">
        <v>23</v>
      </c>
      <c r="F44" s="35">
        <v>433322078.03685319</v>
      </c>
      <c r="G44" s="4"/>
      <c r="H44" s="4"/>
    </row>
    <row r="45" spans="5:8" x14ac:dyDescent="0.3">
      <c r="E45">
        <v>24</v>
      </c>
      <c r="F45" s="35">
        <v>414293777.77846384</v>
      </c>
      <c r="G45" s="4"/>
      <c r="H45" s="4"/>
    </row>
    <row r="46" spans="5:8" x14ac:dyDescent="0.3">
      <c r="E46">
        <v>25</v>
      </c>
      <c r="F46" s="35">
        <v>402094534.3037554</v>
      </c>
      <c r="G46" s="4"/>
      <c r="H46" s="4"/>
    </row>
    <row r="47" spans="5:8" x14ac:dyDescent="0.3">
      <c r="E47">
        <v>26</v>
      </c>
      <c r="F47" s="35">
        <v>399511507.47238952</v>
      </c>
      <c r="G47" s="4"/>
      <c r="H47" s="4"/>
    </row>
    <row r="48" spans="5:8" x14ac:dyDescent="0.3">
      <c r="E48">
        <v>27</v>
      </c>
      <c r="F48" s="35">
        <v>352162164.15087461</v>
      </c>
      <c r="G48" s="4"/>
      <c r="H48" s="4"/>
    </row>
    <row r="49" spans="5:8" x14ac:dyDescent="0.3">
      <c r="E49">
        <v>28</v>
      </c>
      <c r="F49" s="35">
        <v>439574559.71299356</v>
      </c>
      <c r="G49" s="4"/>
      <c r="H49" s="4"/>
    </row>
    <row r="50" spans="5:8" x14ac:dyDescent="0.3">
      <c r="E50">
        <v>29</v>
      </c>
      <c r="F50" s="35">
        <v>404805253.64501864</v>
      </c>
      <c r="G50" s="4"/>
      <c r="H50" s="4"/>
    </row>
    <row r="51" spans="5:8" x14ac:dyDescent="0.3">
      <c r="E51">
        <v>30</v>
      </c>
      <c r="F51" s="35">
        <v>286687358.32015628</v>
      </c>
      <c r="G51" s="4"/>
      <c r="H51" s="4"/>
    </row>
    <row r="52" spans="5:8" x14ac:dyDescent="0.3">
      <c r="E52">
        <v>31</v>
      </c>
      <c r="F52" s="35">
        <v>430925619.56286311</v>
      </c>
      <c r="G52" s="4"/>
      <c r="H52" s="4"/>
    </row>
    <row r="53" spans="5:8" x14ac:dyDescent="0.3">
      <c r="E53">
        <v>32</v>
      </c>
      <c r="F53" s="35">
        <v>405354862.33346832</v>
      </c>
      <c r="G53" s="4"/>
      <c r="H53" s="4"/>
    </row>
    <row r="54" spans="5:8" x14ac:dyDescent="0.3">
      <c r="E54">
        <v>33</v>
      </c>
      <c r="F54" s="35">
        <v>431828666.45284998</v>
      </c>
      <c r="G54" s="4"/>
      <c r="H54" s="4"/>
    </row>
    <row r="55" spans="5:8" x14ac:dyDescent="0.3">
      <c r="E55">
        <v>34</v>
      </c>
      <c r="F55" s="35">
        <v>365910118.4314636</v>
      </c>
      <c r="G55" s="4"/>
      <c r="H55" s="4"/>
    </row>
    <row r="56" spans="5:8" x14ac:dyDescent="0.3">
      <c r="E56">
        <v>35</v>
      </c>
      <c r="F56" s="35">
        <v>387685368.69185078</v>
      </c>
      <c r="G56" s="4"/>
      <c r="H56" s="4"/>
    </row>
    <row r="57" spans="5:8" x14ac:dyDescent="0.3">
      <c r="E57">
        <v>36</v>
      </c>
      <c r="F57" s="35">
        <v>425652271.13250601</v>
      </c>
      <c r="G57" s="4"/>
      <c r="H57" s="4"/>
    </row>
    <row r="58" spans="5:8" x14ac:dyDescent="0.3">
      <c r="E58">
        <v>37</v>
      </c>
      <c r="F58" s="35">
        <v>485949328.26984024</v>
      </c>
      <c r="G58" s="4"/>
      <c r="H58" s="4"/>
    </row>
    <row r="59" spans="5:8" x14ac:dyDescent="0.3">
      <c r="E59">
        <v>38</v>
      </c>
      <c r="F59" s="35">
        <v>474345879.59497058</v>
      </c>
      <c r="G59" s="4"/>
      <c r="H59" s="4"/>
    </row>
    <row r="60" spans="5:8" x14ac:dyDescent="0.3">
      <c r="E60">
        <v>39</v>
      </c>
      <c r="F60" s="35">
        <v>328553298.51702321</v>
      </c>
      <c r="G60" s="4"/>
      <c r="H60" s="4"/>
    </row>
    <row r="61" spans="5:8" x14ac:dyDescent="0.3">
      <c r="E61">
        <v>40</v>
      </c>
      <c r="F61" s="35">
        <v>348579569.14873636</v>
      </c>
      <c r="G61" s="4"/>
      <c r="H61" s="4"/>
    </row>
    <row r="62" spans="5:8" x14ac:dyDescent="0.3">
      <c r="E62">
        <v>41</v>
      </c>
      <c r="F62" s="35">
        <v>404085877.34139502</v>
      </c>
      <c r="G62" s="4"/>
      <c r="H62" s="4"/>
    </row>
    <row r="63" spans="5:8" x14ac:dyDescent="0.3">
      <c r="E63">
        <v>42</v>
      </c>
      <c r="F63" s="35">
        <v>406955931.76130474</v>
      </c>
      <c r="G63" s="4"/>
      <c r="H63" s="4"/>
    </row>
    <row r="64" spans="5:8" x14ac:dyDescent="0.3">
      <c r="E64">
        <v>43</v>
      </c>
      <c r="F64" s="35">
        <v>488571714.65800846</v>
      </c>
      <c r="G64" s="4"/>
      <c r="H64" s="4"/>
    </row>
    <row r="65" spans="5:8" x14ac:dyDescent="0.3">
      <c r="E65">
        <v>44</v>
      </c>
      <c r="F65" s="35">
        <v>537597951.31888163</v>
      </c>
      <c r="G65" s="4"/>
      <c r="H65" s="4"/>
    </row>
    <row r="66" spans="5:8" x14ac:dyDescent="0.3">
      <c r="E66">
        <v>45</v>
      </c>
      <c r="F66" s="35">
        <v>450587863.25838852</v>
      </c>
      <c r="G66" s="4"/>
      <c r="H66" s="4"/>
    </row>
    <row r="67" spans="5:8" x14ac:dyDescent="0.3">
      <c r="E67">
        <v>46</v>
      </c>
      <c r="F67" s="35">
        <v>418389540.49576855</v>
      </c>
      <c r="G67" s="4"/>
      <c r="H67" s="4"/>
    </row>
    <row r="68" spans="5:8" x14ac:dyDescent="0.3">
      <c r="E68">
        <v>47</v>
      </c>
      <c r="F68" s="35">
        <v>433436435.56306684</v>
      </c>
      <c r="G68" s="4"/>
      <c r="H68" s="4"/>
    </row>
    <row r="69" spans="5:8" x14ac:dyDescent="0.3">
      <c r="E69">
        <v>48</v>
      </c>
      <c r="F69" s="35">
        <v>436376919.78848171</v>
      </c>
      <c r="G69" s="4"/>
      <c r="H69" s="4"/>
    </row>
    <row r="70" spans="5:8" x14ac:dyDescent="0.3">
      <c r="E70">
        <v>49</v>
      </c>
      <c r="F70" s="35">
        <v>466142942.00245559</v>
      </c>
      <c r="G70" s="4"/>
      <c r="H70" s="4"/>
    </row>
    <row r="71" spans="5:8" x14ac:dyDescent="0.3">
      <c r="E71">
        <v>50</v>
      </c>
      <c r="F71" s="35">
        <v>418363152.96040052</v>
      </c>
      <c r="G71" s="4"/>
      <c r="H71" s="4"/>
    </row>
    <row r="72" spans="5:8" x14ac:dyDescent="0.3">
      <c r="E72">
        <v>51</v>
      </c>
      <c r="F72" s="35">
        <v>351428263.35284597</v>
      </c>
      <c r="G72" s="4"/>
      <c r="H72" s="4"/>
    </row>
    <row r="73" spans="5:8" x14ac:dyDescent="0.3">
      <c r="E73">
        <v>52</v>
      </c>
      <c r="F73" s="35">
        <v>333371598.48005342</v>
      </c>
      <c r="G73" s="4"/>
      <c r="H73" s="4"/>
    </row>
    <row r="74" spans="5:8" x14ac:dyDescent="0.3">
      <c r="E74">
        <v>53</v>
      </c>
      <c r="F74" s="35">
        <v>470880009.45474744</v>
      </c>
      <c r="G74" s="4"/>
      <c r="H74" s="4"/>
    </row>
    <row r="75" spans="5:8" x14ac:dyDescent="0.3">
      <c r="E75">
        <v>54</v>
      </c>
      <c r="F75" s="35">
        <v>447269584.38003647</v>
      </c>
      <c r="G75" s="4"/>
      <c r="H75" s="4"/>
    </row>
    <row r="76" spans="5:8" x14ac:dyDescent="0.3">
      <c r="E76">
        <v>55</v>
      </c>
      <c r="F76" s="35">
        <v>384327799.22439021</v>
      </c>
      <c r="G76" s="4"/>
      <c r="H76" s="4"/>
    </row>
    <row r="77" spans="5:8" x14ac:dyDescent="0.3">
      <c r="E77">
        <v>56</v>
      </c>
      <c r="F77" s="35">
        <v>426466515.57777739</v>
      </c>
      <c r="G77" s="4"/>
      <c r="H77" s="4"/>
    </row>
    <row r="78" spans="5:8" x14ac:dyDescent="0.3">
      <c r="E78">
        <v>57</v>
      </c>
      <c r="F78" s="35">
        <v>464703396.52306318</v>
      </c>
      <c r="G78" s="4"/>
      <c r="H78" s="4"/>
    </row>
    <row r="79" spans="5:8" x14ac:dyDescent="0.3">
      <c r="E79">
        <v>58</v>
      </c>
      <c r="F79" s="35">
        <v>326820509.33697706</v>
      </c>
      <c r="G79" s="4"/>
      <c r="H79" s="4"/>
    </row>
    <row r="80" spans="5:8" x14ac:dyDescent="0.3">
      <c r="E80">
        <v>59</v>
      </c>
      <c r="F80" s="35">
        <v>537579220.65318298</v>
      </c>
      <c r="G80" s="4"/>
      <c r="H80" s="4"/>
    </row>
    <row r="81" spans="5:8" x14ac:dyDescent="0.3">
      <c r="E81">
        <v>60</v>
      </c>
      <c r="F81" s="35">
        <v>379668324.99664581</v>
      </c>
      <c r="G81" s="4"/>
      <c r="H81" s="4"/>
    </row>
    <row r="82" spans="5:8" x14ac:dyDescent="0.3">
      <c r="E82">
        <v>61</v>
      </c>
      <c r="F82" s="35">
        <v>466370531.76395965</v>
      </c>
      <c r="G82" s="4"/>
      <c r="H82" s="4"/>
    </row>
    <row r="83" spans="5:8" x14ac:dyDescent="0.3">
      <c r="E83">
        <v>62</v>
      </c>
      <c r="F83" s="35">
        <v>400060739.76648432</v>
      </c>
      <c r="G83" s="4"/>
      <c r="H83" s="4"/>
    </row>
    <row r="84" spans="5:8" x14ac:dyDescent="0.3">
      <c r="E84">
        <v>63</v>
      </c>
      <c r="F84" s="35">
        <v>484887897.85587871</v>
      </c>
      <c r="G84" s="4"/>
      <c r="H84" s="4"/>
    </row>
    <row r="85" spans="5:8" x14ac:dyDescent="0.3">
      <c r="E85">
        <v>64</v>
      </c>
      <c r="F85" s="35">
        <v>339278482.1834538</v>
      </c>
      <c r="G85" s="4"/>
      <c r="H85" s="4"/>
    </row>
    <row r="86" spans="5:8" x14ac:dyDescent="0.3">
      <c r="E86">
        <v>65</v>
      </c>
      <c r="F86" s="35">
        <v>331672679.33663851</v>
      </c>
      <c r="G86" s="4"/>
      <c r="H86" s="4"/>
    </row>
    <row r="87" spans="5:8" x14ac:dyDescent="0.3">
      <c r="E87">
        <v>66</v>
      </c>
      <c r="F87" s="35">
        <v>561191999.53811347</v>
      </c>
      <c r="G87" s="4"/>
      <c r="H87" s="4"/>
    </row>
    <row r="88" spans="5:8" x14ac:dyDescent="0.3">
      <c r="E88">
        <v>67</v>
      </c>
      <c r="F88" s="35">
        <v>407447888.93427426</v>
      </c>
      <c r="G88" s="4"/>
      <c r="H88" s="4"/>
    </row>
    <row r="89" spans="5:8" x14ac:dyDescent="0.3">
      <c r="E89">
        <v>68</v>
      </c>
      <c r="F89" s="35">
        <v>498988898.65927261</v>
      </c>
      <c r="G89" s="4"/>
      <c r="H89" s="4"/>
    </row>
    <row r="90" spans="5:8" x14ac:dyDescent="0.3">
      <c r="E90">
        <v>69</v>
      </c>
      <c r="F90" s="35">
        <v>384723336.3021304</v>
      </c>
      <c r="G90" s="4"/>
      <c r="H90" s="4"/>
    </row>
    <row r="91" spans="5:8" x14ac:dyDescent="0.3">
      <c r="E91">
        <v>70</v>
      </c>
      <c r="F91" s="35">
        <v>463667579.97587484</v>
      </c>
      <c r="G91" s="4"/>
      <c r="H91" s="4"/>
    </row>
    <row r="92" spans="5:8" x14ac:dyDescent="0.3">
      <c r="E92">
        <v>71</v>
      </c>
      <c r="F92" s="35">
        <v>412434331.97489178</v>
      </c>
      <c r="G92" s="4"/>
      <c r="H92" s="4"/>
    </row>
    <row r="93" spans="5:8" x14ac:dyDescent="0.3">
      <c r="E93">
        <v>72</v>
      </c>
      <c r="F93" s="35">
        <v>471498776.24248672</v>
      </c>
      <c r="G93" s="4"/>
      <c r="H93" s="4"/>
    </row>
    <row r="94" spans="5:8" x14ac:dyDescent="0.3">
      <c r="E94">
        <v>73</v>
      </c>
      <c r="F94" s="35">
        <v>400055689.03307301</v>
      </c>
      <c r="G94" s="4"/>
      <c r="H94" s="4"/>
    </row>
    <row r="95" spans="5:8" x14ac:dyDescent="0.3">
      <c r="E95">
        <v>74</v>
      </c>
      <c r="F95" s="35">
        <v>486302824.8452931</v>
      </c>
      <c r="G95" s="4"/>
      <c r="H95" s="4"/>
    </row>
    <row r="96" spans="5:8" x14ac:dyDescent="0.3">
      <c r="E96">
        <v>75</v>
      </c>
      <c r="F96" s="35">
        <v>480068043.40551376</v>
      </c>
      <c r="G96" s="4"/>
      <c r="H96" s="4"/>
    </row>
    <row r="97" spans="5:8" x14ac:dyDescent="0.3">
      <c r="E97">
        <v>76</v>
      </c>
      <c r="F97" s="35">
        <v>427168456.41084474</v>
      </c>
      <c r="G97" s="4"/>
      <c r="H97" s="4"/>
    </row>
    <row r="98" spans="5:8" x14ac:dyDescent="0.3">
      <c r="E98">
        <v>77</v>
      </c>
      <c r="F98" s="35">
        <v>337653891.03508586</v>
      </c>
      <c r="G98" s="4"/>
      <c r="H98" s="4"/>
    </row>
    <row r="99" spans="5:8" x14ac:dyDescent="0.3">
      <c r="E99">
        <v>78</v>
      </c>
      <c r="F99" s="35">
        <v>427666727.90589851</v>
      </c>
      <c r="G99" s="4"/>
      <c r="H99" s="4"/>
    </row>
    <row r="100" spans="5:8" x14ac:dyDescent="0.3">
      <c r="E100">
        <v>79</v>
      </c>
      <c r="F100" s="35">
        <v>463708219.30317128</v>
      </c>
      <c r="G100" s="4"/>
      <c r="H100" s="4"/>
    </row>
    <row r="101" spans="5:8" x14ac:dyDescent="0.3">
      <c r="E101">
        <v>80</v>
      </c>
      <c r="F101" s="35">
        <v>446805727.31052947</v>
      </c>
      <c r="G101" s="4"/>
      <c r="H101" s="4"/>
    </row>
    <row r="102" spans="5:8" x14ac:dyDescent="0.3">
      <c r="E102">
        <v>81</v>
      </c>
      <c r="F102" s="35">
        <v>421097537.18397677</v>
      </c>
      <c r="G102" s="4"/>
      <c r="H102" s="4"/>
    </row>
    <row r="103" spans="5:8" x14ac:dyDescent="0.3">
      <c r="E103">
        <v>82</v>
      </c>
      <c r="F103" s="35">
        <v>495658550.52289301</v>
      </c>
      <c r="G103" s="4"/>
      <c r="H103" s="4"/>
    </row>
    <row r="104" spans="5:8" x14ac:dyDescent="0.3">
      <c r="E104">
        <v>83</v>
      </c>
      <c r="F104" s="35">
        <v>380085751.0136686</v>
      </c>
      <c r="G104" s="4"/>
      <c r="H104" s="4"/>
    </row>
    <row r="105" spans="5:8" x14ac:dyDescent="0.3">
      <c r="E105">
        <v>84</v>
      </c>
      <c r="F105" s="35">
        <v>453855216.00367534</v>
      </c>
      <c r="G105" s="4"/>
      <c r="H105" s="4"/>
    </row>
    <row r="106" spans="5:8" x14ac:dyDescent="0.3">
      <c r="E106">
        <v>85</v>
      </c>
      <c r="F106" s="35">
        <v>425219864.56927502</v>
      </c>
      <c r="G106" s="4"/>
      <c r="H106" s="4"/>
    </row>
    <row r="107" spans="5:8" x14ac:dyDescent="0.3">
      <c r="E107">
        <v>86</v>
      </c>
      <c r="F107" s="35">
        <v>387327368.30449593</v>
      </c>
      <c r="G107" s="4"/>
      <c r="H107" s="4"/>
    </row>
    <row r="108" spans="5:8" x14ac:dyDescent="0.3">
      <c r="E108">
        <v>87</v>
      </c>
      <c r="F108" s="35">
        <v>569077076.76903403</v>
      </c>
      <c r="G108" s="4"/>
      <c r="H108" s="4"/>
    </row>
    <row r="109" spans="5:8" x14ac:dyDescent="0.3">
      <c r="E109">
        <v>88</v>
      </c>
      <c r="F109" s="35">
        <v>387439675.31923079</v>
      </c>
      <c r="G109" s="4"/>
      <c r="H109" s="4"/>
    </row>
    <row r="110" spans="5:8" x14ac:dyDescent="0.3">
      <c r="E110">
        <v>89</v>
      </c>
      <c r="F110" s="35">
        <v>495817695.69704783</v>
      </c>
      <c r="G110" s="4"/>
      <c r="H110" s="4"/>
    </row>
    <row r="111" spans="5:8" x14ac:dyDescent="0.3">
      <c r="E111">
        <v>90</v>
      </c>
      <c r="F111" s="35">
        <v>413031236.27291465</v>
      </c>
      <c r="G111" s="4"/>
      <c r="H111" s="4"/>
    </row>
    <row r="112" spans="5:8" x14ac:dyDescent="0.3">
      <c r="E112">
        <v>91</v>
      </c>
      <c r="F112" s="35">
        <v>420860491.93810415</v>
      </c>
      <c r="G112" s="4"/>
      <c r="H112" s="4"/>
    </row>
    <row r="113" spans="5:8" x14ac:dyDescent="0.3">
      <c r="E113">
        <v>92</v>
      </c>
      <c r="F113" s="35">
        <v>471233097.84868693</v>
      </c>
      <c r="G113" s="4"/>
      <c r="H113" s="4"/>
    </row>
    <row r="114" spans="5:8" x14ac:dyDescent="0.3">
      <c r="E114">
        <v>93</v>
      </c>
      <c r="F114" s="35">
        <v>423297352.49293506</v>
      </c>
      <c r="G114" s="4"/>
      <c r="H114" s="4"/>
    </row>
    <row r="115" spans="5:8" x14ac:dyDescent="0.3">
      <c r="E115">
        <v>94</v>
      </c>
      <c r="F115" s="35">
        <v>376747120.14148271</v>
      </c>
      <c r="G115" s="4"/>
      <c r="H115" s="4"/>
    </row>
    <row r="116" spans="5:8" x14ac:dyDescent="0.3">
      <c r="E116">
        <v>95</v>
      </c>
      <c r="F116" s="35">
        <v>495985841.79358399</v>
      </c>
      <c r="G116" s="4"/>
      <c r="H116" s="4"/>
    </row>
    <row r="117" spans="5:8" x14ac:dyDescent="0.3">
      <c r="E117">
        <v>96</v>
      </c>
      <c r="F117" s="35">
        <v>550973213.43523288</v>
      </c>
      <c r="G117" s="4"/>
      <c r="H117" s="4"/>
    </row>
    <row r="118" spans="5:8" x14ac:dyDescent="0.3">
      <c r="E118">
        <v>97</v>
      </c>
      <c r="F118" s="35">
        <v>479122909.99991941</v>
      </c>
      <c r="G118" s="4"/>
      <c r="H118" s="4"/>
    </row>
    <row r="119" spans="5:8" x14ac:dyDescent="0.3">
      <c r="E119">
        <v>98</v>
      </c>
      <c r="F119" s="35">
        <v>446912406.65048337</v>
      </c>
      <c r="G119" s="4"/>
      <c r="H119" s="4"/>
    </row>
    <row r="120" spans="5:8" x14ac:dyDescent="0.3">
      <c r="E120">
        <v>99</v>
      </c>
      <c r="F120" s="35">
        <v>440710665.24140501</v>
      </c>
      <c r="G120" s="4"/>
      <c r="H120" s="4"/>
    </row>
    <row r="121" spans="5:8" x14ac:dyDescent="0.3">
      <c r="E121">
        <v>100</v>
      </c>
      <c r="F121" s="35">
        <v>339160842.14895838</v>
      </c>
      <c r="G121" s="4"/>
      <c r="H121" s="4"/>
    </row>
    <row r="122" spans="5:8" x14ac:dyDescent="0.3">
      <c r="E122">
        <v>101</v>
      </c>
      <c r="F122" s="35">
        <v>391898174.29075879</v>
      </c>
      <c r="G122" s="4"/>
      <c r="H122" s="4"/>
    </row>
    <row r="123" spans="5:8" x14ac:dyDescent="0.3">
      <c r="E123">
        <v>102</v>
      </c>
      <c r="F123" s="35">
        <v>446214785.38808239</v>
      </c>
      <c r="G123" s="4"/>
      <c r="H123" s="4"/>
    </row>
    <row r="124" spans="5:8" x14ac:dyDescent="0.3">
      <c r="E124">
        <v>103</v>
      </c>
      <c r="F124" s="35">
        <v>408157918.39317727</v>
      </c>
      <c r="G124" s="4"/>
      <c r="H124" s="4"/>
    </row>
    <row r="125" spans="5:8" x14ac:dyDescent="0.3">
      <c r="E125">
        <v>104</v>
      </c>
      <c r="F125" s="35">
        <v>410761612.40571719</v>
      </c>
      <c r="G125" s="4"/>
      <c r="H125" s="4"/>
    </row>
    <row r="126" spans="5:8" x14ac:dyDescent="0.3">
      <c r="E126">
        <v>105</v>
      </c>
      <c r="F126" s="35">
        <v>385876228.4213407</v>
      </c>
      <c r="G126" s="4"/>
      <c r="H126" s="4"/>
    </row>
    <row r="127" spans="5:8" x14ac:dyDescent="0.3">
      <c r="E127">
        <v>106</v>
      </c>
      <c r="F127" s="35">
        <v>485813070.7627055</v>
      </c>
      <c r="G127" s="4"/>
      <c r="H127" s="4"/>
    </row>
    <row r="128" spans="5:8" x14ac:dyDescent="0.3">
      <c r="E128">
        <v>107</v>
      </c>
      <c r="F128" s="35">
        <v>443154376.30238014</v>
      </c>
      <c r="G128" s="4"/>
      <c r="H128" s="4"/>
    </row>
    <row r="129" spans="5:8" x14ac:dyDescent="0.3">
      <c r="E129">
        <v>108</v>
      </c>
      <c r="F129" s="35">
        <v>288302069.06221092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2022-07-19T06:13:48Z</dcterms:modified>
</cp:coreProperties>
</file>