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wkj\Documents\GitHub\Tanzania Dairy Mitigation Assessment\"/>
    </mc:Choice>
  </mc:AlternateContent>
  <xr:revisionPtr revIDLastSave="0" documentId="8_{F6E31572-366D-4AEA-BB82-847BFA2ED539}" xr6:coauthVersionLast="46" xr6:coauthVersionMax="46" xr10:uidLastSave="{00000000-0000-0000-0000-000000000000}"/>
  <bookViews>
    <workbookView xWindow="-108" yWindow="-108" windowWidth="23256" windowHeight="12576" xr2:uid="{E5AB03EE-4122-49AE-958A-F6D61293CB28}"/>
  </bookViews>
  <sheets>
    <sheet name="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M3" i="1"/>
  <c r="M4" i="1" l="1"/>
  <c r="N13" i="1" l="1"/>
  <c r="N12" i="1"/>
  <c r="B12" i="1" l="1"/>
  <c r="B13" i="1"/>
  <c r="B7" i="1"/>
  <c r="B3" i="1"/>
  <c r="B4" i="1" s="1"/>
  <c r="V10" i="1" l="1"/>
  <c r="W10" i="1"/>
  <c r="X3" i="1"/>
  <c r="X4" i="1"/>
  <c r="X6" i="1"/>
  <c r="X7" i="1"/>
  <c r="X9" i="1"/>
  <c r="X10" i="1"/>
  <c r="T13" i="1"/>
  <c r="T12" i="1"/>
  <c r="T10" i="1"/>
  <c r="T9" i="1"/>
  <c r="T7" i="1"/>
  <c r="T6" i="1"/>
  <c r="T4" i="1"/>
  <c r="T3" i="1"/>
  <c r="F10" i="1"/>
  <c r="F4" i="1" l="1"/>
  <c r="F3" i="1"/>
  <c r="F7" i="1"/>
  <c r="F6" i="1"/>
  <c r="F9" i="1"/>
  <c r="F13" i="1"/>
  <c r="F12" i="1"/>
  <c r="L10" i="1"/>
  <c r="L13" i="1"/>
  <c r="L12" i="1"/>
  <c r="L4" i="1"/>
  <c r="L7" i="1"/>
  <c r="L6" i="1"/>
  <c r="H12" i="1"/>
  <c r="H13" i="1" l="1"/>
  <c r="L9" i="1"/>
  <c r="I10" i="1"/>
  <c r="I9" i="1"/>
  <c r="H10" i="1"/>
  <c r="H9" i="1"/>
  <c r="D13" i="1" l="1"/>
  <c r="D10" i="1"/>
  <c r="D4" i="1"/>
  <c r="D7" i="1"/>
  <c r="I6" i="1"/>
  <c r="H7" i="1"/>
  <c r="H6" i="1"/>
  <c r="I3" i="1" l="1"/>
</calcChain>
</file>

<file path=xl/sharedStrings.xml><?xml version="1.0" encoding="utf-8"?>
<sst xmlns="http://schemas.openxmlformats.org/spreadsheetml/2006/main" count="35" uniqueCount="31">
  <si>
    <t>Mufindi</t>
  </si>
  <si>
    <t>Strata</t>
  </si>
  <si>
    <t>Standard deviations</t>
  </si>
  <si>
    <t>Main household data</t>
  </si>
  <si>
    <t>Expense and revenue data</t>
  </si>
  <si>
    <t>Standard error herd size (Fraction)</t>
  </si>
  <si>
    <t>Sample size</t>
  </si>
  <si>
    <t>Njombe</t>
  </si>
  <si>
    <t>Mvomero</t>
  </si>
  <si>
    <t>Rungwe</t>
  </si>
  <si>
    <t>Average herd size (head)</t>
  </si>
  <si>
    <t>Household size (people)</t>
  </si>
  <si>
    <t>Fraction cows to total herd</t>
  </si>
  <si>
    <t>Standard deviation of household size</t>
  </si>
  <si>
    <t>Farm gate milk price (USD/litre)</t>
  </si>
  <si>
    <t>Price of a Heifer (USD/head)</t>
  </si>
  <si>
    <t>Cropland margin (USD/ha/yr)</t>
  </si>
  <si>
    <t>litres per kg FPCM</t>
  </si>
  <si>
    <t>Sources</t>
  </si>
  <si>
    <t>Directly from GLS (2019)</t>
  </si>
  <si>
    <t>Calculated from GLS (2019) based on description in SI</t>
  </si>
  <si>
    <t xml:space="preserve">Standard error non dairy household income </t>
  </si>
  <si>
    <t>Proportion households within region</t>
  </si>
  <si>
    <t>Non-dairy income (USD)</t>
  </si>
  <si>
    <t>Feeding expenses (USD/cow/yr)</t>
  </si>
  <si>
    <t>Replacements (USD/cow/yr)</t>
  </si>
  <si>
    <t>Health (USD/cow/yr)</t>
  </si>
  <si>
    <t>Reproduction (USD/cow/yr)</t>
  </si>
  <si>
    <t>Milk price (USD/cow/yr)</t>
  </si>
  <si>
    <t>Heifer (USD/cow/yr)</t>
  </si>
  <si>
    <t>Reproductive inputs (USD/cow/yr)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</si>
</sst>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000_);_(* \(#,##0.00000\);_(* &quot;-&quot;??_);_(@_)"/>
    <numFmt numFmtId="165" formatCode="0.0000"/>
    <numFmt numFmtId="166" formatCode="_(* #,##0.0_);_(* \(#,##0.0\);_(* &quot;-&quot;??_);_(@_)"/>
    <numFmt numFmtId="167" formatCode="0.000"/>
    <numFmt numFmtId="168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3399"/>
      <name val="Calibri"/>
      <family val="2"/>
      <scheme val="minor"/>
    </font>
    <font>
      <sz val="11"/>
      <color rgb="FF54823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165" fontId="4" fillId="0" borderId="0" xfId="0" applyNumberFormat="1" applyFont="1"/>
    <xf numFmtId="0" fontId="0" fillId="0" borderId="0" xfId="0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5" fillId="0" borderId="0" xfId="0" applyNumberFormat="1" applyFont="1"/>
    <xf numFmtId="43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99"/>
      <color rgb="FF5482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18F5-1B29-43D9-B188-1FD07458880D}">
  <dimension ref="A1:AB21"/>
  <sheetViews>
    <sheetView tabSelected="1" zoomScaleNormal="100" workbookViewId="0">
      <selection activeCell="H19" sqref="H19"/>
    </sheetView>
  </sheetViews>
  <sheetFormatPr defaultRowHeight="14.4" x14ac:dyDescent="0.3"/>
  <cols>
    <col min="1" max="1" width="13.77734375" customWidth="1"/>
    <col min="2" max="2" width="10.33203125" customWidth="1"/>
    <col min="4" max="4" width="9" bestFit="1" customWidth="1"/>
    <col min="5" max="6" width="11.109375" bestFit="1" customWidth="1"/>
    <col min="7" max="12" width="9" bestFit="1" customWidth="1"/>
    <col min="13" max="13" width="9.5546875" bestFit="1" customWidth="1"/>
    <col min="14" max="19" width="9" bestFit="1" customWidth="1"/>
    <col min="20" max="20" width="9.5546875" bestFit="1" customWidth="1"/>
    <col min="21" max="25" width="9" bestFit="1" customWidth="1"/>
  </cols>
  <sheetData>
    <row r="1" spans="1:28" x14ac:dyDescent="0.3">
      <c r="D1" s="23" t="s">
        <v>3</v>
      </c>
      <c r="E1" s="23"/>
      <c r="F1" s="23"/>
      <c r="G1" s="23"/>
      <c r="H1" s="23"/>
      <c r="I1" s="23"/>
      <c r="J1" s="4"/>
      <c r="K1" s="4"/>
      <c r="L1" s="23" t="s">
        <v>4</v>
      </c>
      <c r="M1" s="23"/>
      <c r="N1" s="23"/>
      <c r="O1" s="23"/>
      <c r="P1" s="23"/>
      <c r="Q1" s="23"/>
      <c r="R1" s="23"/>
      <c r="T1" s="23" t="s">
        <v>2</v>
      </c>
      <c r="U1" s="23"/>
      <c r="V1" s="23"/>
      <c r="W1" s="23"/>
      <c r="X1" s="23"/>
      <c r="Y1" s="23"/>
    </row>
    <row r="2" spans="1:28" x14ac:dyDescent="0.3">
      <c r="A2" s="2"/>
      <c r="B2" s="11" t="s">
        <v>6</v>
      </c>
      <c r="C2" s="11" t="s">
        <v>1</v>
      </c>
      <c r="D2" s="11" t="s">
        <v>22</v>
      </c>
      <c r="E2" s="11" t="s">
        <v>23</v>
      </c>
      <c r="F2" s="11" t="s">
        <v>21</v>
      </c>
      <c r="G2" s="11" t="s">
        <v>10</v>
      </c>
      <c r="H2" s="11" t="s">
        <v>5</v>
      </c>
      <c r="I2" s="11" t="s">
        <v>12</v>
      </c>
      <c r="J2" s="11" t="s">
        <v>11</v>
      </c>
      <c r="K2" s="11" t="s">
        <v>13</v>
      </c>
      <c r="L2" s="11" t="s">
        <v>14</v>
      </c>
      <c r="M2" s="11" t="s">
        <v>15</v>
      </c>
      <c r="N2" s="11" t="s">
        <v>16</v>
      </c>
      <c r="O2" s="11" t="s">
        <v>24</v>
      </c>
      <c r="P2" s="11" t="s">
        <v>25</v>
      </c>
      <c r="Q2" s="11" t="s">
        <v>26</v>
      </c>
      <c r="R2" s="11" t="s">
        <v>27</v>
      </c>
      <c r="S2" s="11" t="s">
        <v>28</v>
      </c>
      <c r="T2" s="11" t="s">
        <v>29</v>
      </c>
      <c r="U2" s="11" t="s">
        <v>16</v>
      </c>
      <c r="V2" s="11" t="s">
        <v>24</v>
      </c>
      <c r="W2" s="11" t="s">
        <v>25</v>
      </c>
      <c r="X2" s="11" t="s">
        <v>26</v>
      </c>
      <c r="Y2" s="11" t="s">
        <v>30</v>
      </c>
      <c r="Z2" s="2"/>
    </row>
    <row r="3" spans="1:28" x14ac:dyDescent="0.3">
      <c r="A3" s="22" t="s">
        <v>0</v>
      </c>
      <c r="B3" s="3">
        <f>120</f>
        <v>120</v>
      </c>
      <c r="C3" s="8">
        <v>1</v>
      </c>
      <c r="D3" s="13">
        <v>0.85899999999999999</v>
      </c>
      <c r="E3" s="9">
        <v>2758.8519999999999</v>
      </c>
      <c r="F3" s="19">
        <f>0.77*E3</f>
        <v>2124.3160400000002</v>
      </c>
      <c r="G3" s="14">
        <v>13.9</v>
      </c>
      <c r="H3" s="15">
        <v>0.64</v>
      </c>
      <c r="I3" s="15">
        <f>0.4</f>
        <v>0.4</v>
      </c>
      <c r="J3" s="15">
        <v>6.2</v>
      </c>
      <c r="K3" s="15">
        <v>2.2000000000000002</v>
      </c>
      <c r="L3" s="16">
        <f>0.4481*AA9</f>
        <v>0.43465699999999996</v>
      </c>
      <c r="M3" s="17">
        <f>700+770.3</f>
        <v>1470.3</v>
      </c>
      <c r="N3" s="20">
        <v>220</v>
      </c>
      <c r="O3" s="17">
        <v>1.3013561929000014E-4</v>
      </c>
      <c r="P3" s="17">
        <v>1.3013561929000014E-4</v>
      </c>
      <c r="Q3" s="17">
        <v>11.97247697468001</v>
      </c>
      <c r="R3" s="17">
        <v>1.3013561929000014E-4</v>
      </c>
      <c r="S3" s="16">
        <v>2.6027123858000024E-2</v>
      </c>
      <c r="T3" s="17">
        <f>450*0</f>
        <v>0</v>
      </c>
      <c r="U3" s="21">
        <v>155.1</v>
      </c>
      <c r="V3" s="17">
        <v>1.3013561929000014E-5</v>
      </c>
      <c r="W3" s="17">
        <v>1.3013561929000014E-4</v>
      </c>
      <c r="X3" s="17">
        <f>13.586158653876</f>
        <v>13.586158653876</v>
      </c>
      <c r="Y3" s="17">
        <v>1.3013561929000014E-5</v>
      </c>
    </row>
    <row r="4" spans="1:28" x14ac:dyDescent="0.3">
      <c r="A4" s="22"/>
      <c r="B4" s="3">
        <f>B3</f>
        <v>120</v>
      </c>
      <c r="C4" s="8">
        <v>2</v>
      </c>
      <c r="D4" s="13">
        <f>1-D3</f>
        <v>0.14100000000000001</v>
      </c>
      <c r="E4" s="9">
        <v>6214.9830000000002</v>
      </c>
      <c r="F4" s="9">
        <f>0.77*E4</f>
        <v>4785.5369099999998</v>
      </c>
      <c r="G4" s="15">
        <v>2.6</v>
      </c>
      <c r="H4" s="15">
        <v>0.27</v>
      </c>
      <c r="I4" s="15">
        <v>0.41699999999999998</v>
      </c>
      <c r="J4" s="15">
        <v>6</v>
      </c>
      <c r="K4" s="15">
        <v>2</v>
      </c>
      <c r="L4" s="16">
        <f>0.4481*AA9</f>
        <v>0.43465699999999996</v>
      </c>
      <c r="M4" s="17">
        <f>M3</f>
        <v>1470.3</v>
      </c>
      <c r="N4" s="20">
        <v>491</v>
      </c>
      <c r="O4" s="17">
        <v>3.4485939111850032</v>
      </c>
      <c r="P4" s="17">
        <v>1.3013561929000014E-4</v>
      </c>
      <c r="Q4" s="17">
        <v>35.136617208300031</v>
      </c>
      <c r="R4" s="17">
        <v>1.3013561929000014E-4</v>
      </c>
      <c r="S4" s="16">
        <v>9.1094933503000103E-2</v>
      </c>
      <c r="T4" s="17">
        <f>450*0</f>
        <v>0</v>
      </c>
      <c r="U4" s="21">
        <v>173.5</v>
      </c>
      <c r="V4" s="17">
        <v>5.5958316294700055</v>
      </c>
      <c r="W4" s="17">
        <v>1.3013561929000014E-4</v>
      </c>
      <c r="X4" s="17">
        <f>26.44</f>
        <v>26.44</v>
      </c>
      <c r="Y4" s="17">
        <v>7.2</v>
      </c>
    </row>
    <row r="5" spans="1:28" ht="15.6" x14ac:dyDescent="0.3">
      <c r="A5" s="5"/>
      <c r="B5" s="8"/>
      <c r="C5" s="8"/>
      <c r="D5" s="13"/>
      <c r="E5" s="9"/>
      <c r="F5" s="9"/>
      <c r="G5" s="15"/>
      <c r="H5" s="15"/>
      <c r="I5" s="15"/>
      <c r="J5" s="15"/>
      <c r="K5" s="15"/>
      <c r="L5" s="16"/>
      <c r="M5" s="17"/>
      <c r="N5" s="20"/>
      <c r="O5" s="17"/>
      <c r="P5" s="17"/>
      <c r="Q5" s="17"/>
      <c r="R5" s="17"/>
      <c r="S5" s="16"/>
      <c r="T5" s="17"/>
      <c r="U5" s="21"/>
      <c r="V5" s="17"/>
      <c r="W5" s="17"/>
      <c r="X5" s="17"/>
      <c r="Y5" s="17"/>
    </row>
    <row r="6" spans="1:28" x14ac:dyDescent="0.3">
      <c r="A6" s="22" t="s">
        <v>8</v>
      </c>
      <c r="B6" s="3">
        <v>115</v>
      </c>
      <c r="C6" s="8">
        <v>1</v>
      </c>
      <c r="D6" s="13">
        <v>0.80600000000000005</v>
      </c>
      <c r="E6" s="10">
        <v>2424</v>
      </c>
      <c r="F6" s="10">
        <f>1.14*E6</f>
        <v>2763.3599999999997</v>
      </c>
      <c r="G6" s="15">
        <v>23.3</v>
      </c>
      <c r="H6" s="15">
        <f>56.72/G6</f>
        <v>2.4343347639484976</v>
      </c>
      <c r="I6" s="15">
        <f>0.427</f>
        <v>0.42699999999999999</v>
      </c>
      <c r="J6" s="15">
        <v>7.76</v>
      </c>
      <c r="K6" s="15">
        <v>5.4</v>
      </c>
      <c r="L6" s="16">
        <f>0.2688 *AA9</f>
        <v>0.26073599999999997</v>
      </c>
      <c r="M6" s="17">
        <v>338</v>
      </c>
      <c r="N6" s="20">
        <v>111</v>
      </c>
      <c r="O6" s="17">
        <v>2.5600000000000001E-2</v>
      </c>
      <c r="P6" s="17">
        <v>0.51759999999999995</v>
      </c>
      <c r="Q6" s="17">
        <v>5.1820000000000004</v>
      </c>
      <c r="R6" s="17">
        <v>1.3013561929000014E-4</v>
      </c>
      <c r="S6" s="16">
        <v>2.6027123858000024E-2</v>
      </c>
      <c r="T6" s="17">
        <f>78.1*0</f>
        <v>0</v>
      </c>
      <c r="U6" s="21">
        <v>123.6</v>
      </c>
      <c r="V6" s="17">
        <v>1.3013561929000014E-5</v>
      </c>
      <c r="W6" s="17">
        <v>1.3013561929000014E-4</v>
      </c>
      <c r="X6" s="17">
        <f>14.5</f>
        <v>14.5</v>
      </c>
      <c r="Y6" s="17">
        <v>1.3013561929000014E-5</v>
      </c>
    </row>
    <row r="7" spans="1:28" x14ac:dyDescent="0.3">
      <c r="A7" s="22"/>
      <c r="B7" s="3">
        <f>B6</f>
        <v>115</v>
      </c>
      <c r="C7" s="8">
        <v>2</v>
      </c>
      <c r="D7" s="13">
        <f>1-D6</f>
        <v>0.19399999999999995</v>
      </c>
      <c r="E7" s="10">
        <v>3414.1379999999999</v>
      </c>
      <c r="F7" s="10">
        <f>0.82*E7</f>
        <v>2799.5931599999999</v>
      </c>
      <c r="G7" s="14">
        <v>4.3</v>
      </c>
      <c r="H7" s="15">
        <f>2.97/G7</f>
        <v>0.69069767441860475</v>
      </c>
      <c r="I7" s="15">
        <v>0.48299999999999998</v>
      </c>
      <c r="J7" s="15">
        <v>5.54</v>
      </c>
      <c r="K7" s="15">
        <v>1.5</v>
      </c>
      <c r="L7" s="16">
        <f>0.4481*AA9</f>
        <v>0.43465699999999996</v>
      </c>
      <c r="M7" s="17">
        <v>338</v>
      </c>
      <c r="N7" s="20">
        <v>397</v>
      </c>
      <c r="O7" s="17">
        <v>3.714</v>
      </c>
      <c r="P7" s="17">
        <v>9.9999999999999995E-7</v>
      </c>
      <c r="Q7" s="17">
        <v>16.8</v>
      </c>
      <c r="R7" s="17">
        <v>1.3013561929000014E-4</v>
      </c>
      <c r="S7" s="16">
        <v>9.1094933503000103E-2</v>
      </c>
      <c r="T7" s="17">
        <f>78.1*0</f>
        <v>0</v>
      </c>
      <c r="U7" s="21">
        <v>170.8</v>
      </c>
      <c r="V7" s="17">
        <v>7.75</v>
      </c>
      <c r="W7" s="17">
        <v>1.3013561929000014E-4</v>
      </c>
      <c r="X7" s="17">
        <f>28.5</f>
        <v>28.5</v>
      </c>
      <c r="Y7" s="17">
        <v>7.2</v>
      </c>
    </row>
    <row r="8" spans="1:28" ht="15.6" x14ac:dyDescent="0.3">
      <c r="A8" s="5"/>
      <c r="B8" s="8"/>
      <c r="C8" s="8"/>
      <c r="D8" s="13"/>
      <c r="E8" s="9"/>
      <c r="F8" s="9"/>
      <c r="G8" s="15"/>
      <c r="H8" s="15"/>
      <c r="I8" s="15"/>
      <c r="J8" s="15"/>
      <c r="K8" s="15"/>
      <c r="L8" s="16"/>
      <c r="M8" s="17"/>
      <c r="N8" s="20"/>
      <c r="O8" s="17"/>
      <c r="P8" s="17"/>
      <c r="Q8" s="17"/>
      <c r="R8" s="17"/>
      <c r="S8" s="16"/>
      <c r="T8" s="17"/>
      <c r="U8" s="21"/>
      <c r="V8" s="17"/>
      <c r="W8" s="17"/>
      <c r="X8" s="17"/>
      <c r="Y8" s="17"/>
    </row>
    <row r="9" spans="1:28" x14ac:dyDescent="0.3">
      <c r="A9" s="22" t="s">
        <v>7</v>
      </c>
      <c r="B9" s="3">
        <v>262</v>
      </c>
      <c r="C9" s="8">
        <v>1</v>
      </c>
      <c r="D9" s="13">
        <v>0.14699999999999999</v>
      </c>
      <c r="E9" s="10">
        <v>3075.7</v>
      </c>
      <c r="F9" s="9">
        <f>0.78*E9</f>
        <v>2399.0459999999998</v>
      </c>
      <c r="G9" s="15">
        <v>8.9</v>
      </c>
      <c r="H9" s="15">
        <f>4.119002/G9</f>
        <v>0.46280921348314608</v>
      </c>
      <c r="I9" s="15">
        <f>0.4075</f>
        <v>0.40749999999999997</v>
      </c>
      <c r="J9" s="15">
        <v>5.7949999999999999</v>
      </c>
      <c r="K9" s="15">
        <v>2.097391</v>
      </c>
      <c r="L9" s="16">
        <f xml:space="preserve"> 0.4481 *AA9</f>
        <v>0.43465699999999996</v>
      </c>
      <c r="M9" s="17">
        <v>719.6</v>
      </c>
      <c r="N9" s="20">
        <v>227</v>
      </c>
      <c r="O9" s="17">
        <v>1.3013561929000014E-4</v>
      </c>
      <c r="P9" s="17">
        <v>1.3013561929000014E-4</v>
      </c>
      <c r="Q9" s="17">
        <v>12.95</v>
      </c>
      <c r="R9" s="17">
        <v>1.3013561929000014E-4</v>
      </c>
      <c r="S9" s="16">
        <v>2.6027123858000024E-2</v>
      </c>
      <c r="T9" s="17">
        <f>133.8*0</f>
        <v>0</v>
      </c>
      <c r="U9" s="21">
        <v>141.5</v>
      </c>
      <c r="V9" s="17">
        <v>1E-3</v>
      </c>
      <c r="W9" s="17">
        <v>1.3013561929000014E-4</v>
      </c>
      <c r="X9" s="17">
        <f>14.53</f>
        <v>14.53</v>
      </c>
      <c r="Y9" s="17">
        <v>1.3013561929000014E-5</v>
      </c>
      <c r="AA9">
        <v>0.97</v>
      </c>
      <c r="AB9" t="s">
        <v>17</v>
      </c>
    </row>
    <row r="10" spans="1:28" x14ac:dyDescent="0.3">
      <c r="A10" s="22"/>
      <c r="B10" s="3">
        <v>262</v>
      </c>
      <c r="C10" s="8">
        <v>2</v>
      </c>
      <c r="D10" s="13">
        <f>1-D9</f>
        <v>0.85299999999999998</v>
      </c>
      <c r="E10" s="10">
        <v>2815</v>
      </c>
      <c r="F10" s="9">
        <f>0.79*E10</f>
        <v>2223.85</v>
      </c>
      <c r="G10" s="15">
        <v>3.1</v>
      </c>
      <c r="H10" s="15">
        <f>2.327872/G10</f>
        <v>0.75092645161290328</v>
      </c>
      <c r="I10" s="15">
        <f>0.5184</f>
        <v>0.51839999999999997</v>
      </c>
      <c r="J10" s="15">
        <v>5.0780000000000003</v>
      </c>
      <c r="K10" s="15">
        <v>1.77267</v>
      </c>
      <c r="L10" s="16">
        <f>0.3479*AA9</f>
        <v>0.33746299999999996</v>
      </c>
      <c r="M10" s="17">
        <v>719.6</v>
      </c>
      <c r="N10" s="20">
        <v>229</v>
      </c>
      <c r="O10" s="17">
        <v>172</v>
      </c>
      <c r="P10" s="17">
        <v>6.0110000000000001</v>
      </c>
      <c r="Q10" s="17">
        <v>24</v>
      </c>
      <c r="R10" s="17">
        <v>0.95</v>
      </c>
      <c r="S10" s="16">
        <v>9.1094933503000103E-2</v>
      </c>
      <c r="T10" s="17">
        <f>133.8*0</f>
        <v>0</v>
      </c>
      <c r="U10" s="21">
        <v>152.30000000000001</v>
      </c>
      <c r="V10" s="17">
        <f>103.98</f>
        <v>103.98</v>
      </c>
      <c r="W10" s="17">
        <f>43.74</f>
        <v>43.74</v>
      </c>
      <c r="X10" s="17">
        <f>16.77</f>
        <v>16.77</v>
      </c>
      <c r="Y10" s="17">
        <v>4.0999999999999996</v>
      </c>
    </row>
    <row r="11" spans="1:28" ht="15.6" x14ac:dyDescent="0.3">
      <c r="A11" s="5"/>
      <c r="B11" s="8"/>
      <c r="C11" s="8"/>
      <c r="D11" s="13"/>
      <c r="E11" s="9"/>
      <c r="F11" s="9"/>
      <c r="G11" s="15"/>
      <c r="H11" s="15"/>
      <c r="I11" s="15"/>
      <c r="J11" s="15"/>
      <c r="K11" s="15"/>
      <c r="L11" s="16"/>
      <c r="M11" s="17"/>
      <c r="N11" s="20"/>
      <c r="O11" s="17"/>
      <c r="P11" s="17"/>
      <c r="Q11" s="17"/>
      <c r="R11" s="17"/>
      <c r="S11" s="16"/>
      <c r="T11" s="17"/>
      <c r="U11" s="21"/>
      <c r="V11" s="17"/>
      <c r="W11" s="17"/>
      <c r="X11" s="17"/>
      <c r="Y11" s="17"/>
    </row>
    <row r="12" spans="1:28" x14ac:dyDescent="0.3">
      <c r="A12" s="22" t="s">
        <v>9</v>
      </c>
      <c r="B12" s="3">
        <f>259</f>
        <v>259</v>
      </c>
      <c r="C12" s="8">
        <v>1</v>
      </c>
      <c r="D12" s="13">
        <v>0.246</v>
      </c>
      <c r="E12" s="10">
        <v>1465.8779999999999</v>
      </c>
      <c r="F12" s="9">
        <f>0.86*E12</f>
        <v>1260.65508</v>
      </c>
      <c r="G12" s="15">
        <v>4.8</v>
      </c>
      <c r="H12" s="15">
        <f>3.661422/G12</f>
        <v>0.76279625000000006</v>
      </c>
      <c r="I12" s="15">
        <v>0.4541</v>
      </c>
      <c r="J12" s="15">
        <v>5.8360000000000003</v>
      </c>
      <c r="K12" s="14">
        <v>2.138382</v>
      </c>
      <c r="L12" s="16">
        <f>0.4033*AA9</f>
        <v>0.39120099999999997</v>
      </c>
      <c r="M12" s="17">
        <v>529</v>
      </c>
      <c r="N12" s="20">
        <f>209</f>
        <v>209</v>
      </c>
      <c r="O12" s="17">
        <v>26.48</v>
      </c>
      <c r="P12" s="17">
        <v>2.8980000000000001</v>
      </c>
      <c r="Q12" s="17">
        <v>10.885</v>
      </c>
      <c r="R12" s="17">
        <v>1.3013561929000014E-4</v>
      </c>
      <c r="S12" s="16">
        <v>2.6027123858000024E-2</v>
      </c>
      <c r="T12" s="17">
        <f>200*0</f>
        <v>0</v>
      </c>
      <c r="U12" s="21">
        <v>154.1</v>
      </c>
      <c r="V12" s="17">
        <v>1.3013561929000014E-5</v>
      </c>
      <c r="W12" s="17">
        <v>0.66200000000000003</v>
      </c>
      <c r="X12" s="17">
        <v>1.3586158653875999</v>
      </c>
      <c r="Y12" s="17">
        <v>1.3013561929000014E-5</v>
      </c>
    </row>
    <row r="13" spans="1:28" x14ac:dyDescent="0.3">
      <c r="A13" s="22"/>
      <c r="B13" s="3">
        <f>B12</f>
        <v>259</v>
      </c>
      <c r="C13" s="8">
        <v>2</v>
      </c>
      <c r="D13" s="13">
        <f>1-0.246</f>
        <v>0.754</v>
      </c>
      <c r="E13" s="9">
        <v>1476</v>
      </c>
      <c r="F13" s="9">
        <f>0.8*E13</f>
        <v>1180.8</v>
      </c>
      <c r="G13" s="15">
        <v>2.8</v>
      </c>
      <c r="H13" s="15">
        <f>1.339676/G13</f>
        <v>0.47845571428571437</v>
      </c>
      <c r="I13" s="15">
        <v>0.55710000000000004</v>
      </c>
      <c r="J13" s="15">
        <v>5.6630000000000003</v>
      </c>
      <c r="K13" s="14">
        <v>2.170093</v>
      </c>
      <c r="L13" s="16">
        <f>0.2913 *AA9</f>
        <v>0.28256100000000001</v>
      </c>
      <c r="M13" s="17">
        <v>529</v>
      </c>
      <c r="N13" s="20">
        <f>232</f>
        <v>232</v>
      </c>
      <c r="O13" s="18">
        <v>202.3</v>
      </c>
      <c r="P13" s="17">
        <v>1.873</v>
      </c>
      <c r="Q13" s="17">
        <v>8</v>
      </c>
      <c r="R13" s="17">
        <v>1.3013561929000014E-4</v>
      </c>
      <c r="S13" s="16">
        <v>9.1094933503000103E-2</v>
      </c>
      <c r="T13" s="17">
        <f>200*0</f>
        <v>0</v>
      </c>
      <c r="U13" s="21">
        <v>174.3</v>
      </c>
      <c r="V13" s="17">
        <v>5.5958316294700055</v>
      </c>
      <c r="W13" s="17">
        <v>0.105</v>
      </c>
      <c r="X13" s="17">
        <v>2.6440000000000001</v>
      </c>
      <c r="Y13" s="17">
        <v>1E-4</v>
      </c>
    </row>
    <row r="14" spans="1:28" x14ac:dyDescent="0.3">
      <c r="D14" s="2"/>
      <c r="E14" s="6"/>
      <c r="F14" s="2"/>
      <c r="G14" s="2"/>
      <c r="H14" s="2"/>
      <c r="I14" s="2"/>
      <c r="J14" s="2"/>
      <c r="K14" s="1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8" x14ac:dyDescent="0.3">
      <c r="D15" s="2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8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3:21" x14ac:dyDescent="0.3">
      <c r="C17" t="s">
        <v>18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3:21" x14ac:dyDescent="0.3">
      <c r="C18" s="12" t="s">
        <v>19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3:21" x14ac:dyDescent="0.3">
      <c r="C19" s="6" t="s">
        <v>20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3:21" x14ac:dyDescent="0.3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3:21" x14ac:dyDescent="0.3"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</sheetData>
  <mergeCells count="7">
    <mergeCell ref="A12:A13"/>
    <mergeCell ref="A3:A4"/>
    <mergeCell ref="D1:I1"/>
    <mergeCell ref="L1:R1"/>
    <mergeCell ref="T1:Y1"/>
    <mergeCell ref="A9:A10"/>
    <mergeCell ref="A6:A7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2021-05-25T11:46:29Z</dcterms:created>
  <dcterms:modified xsi:type="dcterms:W3CDTF">2021-11-25T12:37:53Z</dcterms:modified>
</cp:coreProperties>
</file>