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2C2D25E9-1E22-41EC-9C48-B5CE5F7F0E68}" xr6:coauthVersionLast="46" xr6:coauthVersionMax="46" xr10:uidLastSave="{00000000-0000-0000-0000-000000000000}"/>
  <bookViews>
    <workbookView xWindow="-108" yWindow="-108" windowWidth="23256" windowHeight="12576" activeTab="2" xr2:uid="{64B7B528-6AFC-453E-A699-FBF307BA8192}"/>
  </bookViews>
  <sheets>
    <sheet name="NPV_Roadmap" sheetId="27" r:id="rId1"/>
    <sheet name="NPV_Baseline" sheetId="26" r:id="rId2"/>
    <sheet name="Mappings" sheetId="1" r:id="rId3"/>
    <sheet name="MC_Baseline" sheetId="25" r:id="rId4"/>
    <sheet name="MC_Inclusive" sheetId="20" r:id="rId5"/>
    <sheet name="MC_Inequitable" sheetId="18" r:id="rId6"/>
    <sheet name="MC_Status_quo" sheetId="19" r:id="rId7"/>
    <sheet name="MC_Middle_rd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1" i="1" l="1"/>
  <c r="L40" i="26" l="1"/>
  <c r="L39" i="26"/>
  <c r="L34" i="26"/>
  <c r="L33" i="26"/>
  <c r="L31" i="26"/>
  <c r="L43" i="27"/>
  <c r="L41" i="27"/>
  <c r="L14" i="27"/>
  <c r="L33" i="27"/>
  <c r="L32" i="27"/>
  <c r="L29" i="27"/>
  <c r="L25" i="27"/>
  <c r="L26" i="26" s="1"/>
  <c r="L17" i="27"/>
  <c r="G3" i="27" s="1"/>
  <c r="D574" i="26"/>
  <c r="D573" i="26"/>
  <c r="D572" i="26"/>
  <c r="D571" i="26"/>
  <c r="D570" i="26"/>
  <c r="D569" i="26"/>
  <c r="D568" i="26"/>
  <c r="D567" i="26"/>
  <c r="D566" i="26"/>
  <c r="D565" i="26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K45" i="26"/>
  <c r="K44" i="26"/>
  <c r="K43" i="26"/>
  <c r="K42" i="26"/>
  <c r="K40" i="26"/>
  <c r="K39" i="26"/>
  <c r="K37" i="26"/>
  <c r="K36" i="26"/>
  <c r="K34" i="26"/>
  <c r="K33" i="26"/>
  <c r="K31" i="26"/>
  <c r="K29" i="26"/>
  <c r="K26" i="26"/>
  <c r="K25" i="26"/>
  <c r="K17" i="26"/>
  <c r="L15" i="26"/>
  <c r="K15" i="26"/>
  <c r="L14" i="26"/>
  <c r="K14" i="26"/>
  <c r="L12" i="26"/>
  <c r="K12" i="26"/>
  <c r="L11" i="26"/>
  <c r="K11" i="26"/>
  <c r="K10" i="26"/>
  <c r="D3" i="20"/>
  <c r="D3" i="18"/>
  <c r="D3" i="19"/>
  <c r="C12" i="27" l="1"/>
  <c r="L36" i="27"/>
  <c r="L37" i="26" s="1"/>
  <c r="C25" i="27"/>
  <c r="G25" i="27"/>
  <c r="L29" i="26"/>
  <c r="L42" i="26"/>
  <c r="L42" i="27"/>
  <c r="L43" i="26" s="1"/>
  <c r="L44" i="26"/>
  <c r="L44" i="27"/>
  <c r="L45" i="26" s="1"/>
  <c r="C3" i="27"/>
  <c r="L15" i="27"/>
  <c r="E25" i="27"/>
  <c r="L35" i="27"/>
  <c r="L36" i="26" s="1"/>
  <c r="E51" i="1"/>
  <c r="H51" i="1"/>
  <c r="C46" i="27" l="1"/>
  <c r="C57" i="27" s="1"/>
  <c r="G46" i="27"/>
  <c r="G57" i="27" s="1"/>
  <c r="E46" i="27"/>
  <c r="E57" i="27" s="1"/>
  <c r="E47" i="1"/>
  <c r="W4" i="1"/>
  <c r="E46" i="1"/>
  <c r="E45" i="1" l="1"/>
  <c r="E44" i="1"/>
  <c r="J3" i="1" l="1"/>
  <c r="J7" i="1" s="1"/>
  <c r="J11" i="1" s="1"/>
  <c r="J15" i="1" s="1"/>
  <c r="J19" i="1" s="1"/>
  <c r="J4" i="1"/>
  <c r="J8" i="1" s="1"/>
  <c r="J12" i="1" s="1"/>
  <c r="J16" i="1" s="1"/>
  <c r="J20" i="1" s="1"/>
  <c r="J13" i="1"/>
  <c r="J17" i="1" s="1"/>
  <c r="J6" i="1" l="1"/>
  <c r="J10" i="1" s="1"/>
  <c r="J14" i="1" s="1"/>
  <c r="J18" i="1" s="1"/>
  <c r="H3" i="1" l="1"/>
  <c r="E43" i="1"/>
  <c r="E53" i="1" l="1"/>
  <c r="E49" i="1"/>
  <c r="G6" i="1" l="1"/>
  <c r="E54" i="1"/>
  <c r="H4" i="1"/>
  <c r="W3" i="1"/>
  <c r="K4" i="1"/>
  <c r="G3" i="1"/>
  <c r="E9" i="25" l="1"/>
  <c r="D9" i="25"/>
  <c r="E7" i="25"/>
  <c r="E8" i="25" s="1"/>
  <c r="Z13" i="1"/>
  <c r="N12" i="1" l="1"/>
  <c r="C20" i="21" l="1"/>
  <c r="C18" i="21"/>
  <c r="C16" i="21"/>
  <c r="C15" i="21"/>
  <c r="C14" i="21"/>
  <c r="C12" i="21"/>
  <c r="C11" i="21"/>
  <c r="C10" i="21"/>
  <c r="C9" i="21"/>
  <c r="C8" i="21"/>
  <c r="C7" i="21"/>
  <c r="C6" i="21"/>
  <c r="C5" i="21"/>
  <c r="C20" i="19"/>
  <c r="C18" i="19"/>
  <c r="C16" i="19"/>
  <c r="C15" i="19"/>
  <c r="C14" i="19"/>
  <c r="C12" i="19"/>
  <c r="C11" i="19"/>
  <c r="C10" i="19"/>
  <c r="C9" i="19"/>
  <c r="C8" i="19"/>
  <c r="C7" i="19"/>
  <c r="C6" i="19"/>
  <c r="C5" i="19"/>
  <c r="C6" i="18"/>
  <c r="C7" i="18"/>
  <c r="C8" i="18"/>
  <c r="C9" i="18"/>
  <c r="C10" i="18"/>
  <c r="C11" i="18"/>
  <c r="C12" i="18"/>
  <c r="C14" i="18"/>
  <c r="C15" i="18"/>
  <c r="C16" i="18"/>
  <c r="C18" i="18"/>
  <c r="C20" i="18"/>
  <c r="C5" i="18"/>
  <c r="D3" i="21"/>
  <c r="E26" i="1" l="1"/>
  <c r="E25" i="1"/>
  <c r="AD11" i="1" l="1"/>
  <c r="W6" i="1" l="1"/>
  <c r="D9" i="20" s="1"/>
  <c r="D10" i="20" s="1"/>
  <c r="E50" i="1" l="1"/>
  <c r="N20" i="1" l="1"/>
  <c r="N18" i="1"/>
  <c r="D15" i="20" l="1"/>
  <c r="N6" i="1"/>
  <c r="G7" i="1" l="1"/>
  <c r="G11" i="1" l="1"/>
  <c r="G8" i="1" l="1"/>
  <c r="G12" i="1" s="1"/>
  <c r="G16" i="1" s="1"/>
  <c r="G20" i="1" s="1"/>
  <c r="G10" i="1" l="1"/>
  <c r="G14" i="1" s="1"/>
  <c r="G18" i="1" s="1"/>
  <c r="G15" i="1"/>
  <c r="G19" i="1" s="1"/>
  <c r="N14" i="1" l="1"/>
  <c r="N10" i="1"/>
  <c r="A33" i="1" l="1"/>
  <c r="A18" i="1" s="1"/>
  <c r="A31" i="1"/>
  <c r="A14" i="1" s="1"/>
  <c r="A29" i="1"/>
  <c r="A10" i="1" s="1"/>
  <c r="A27" i="1"/>
  <c r="A6" i="1" s="1"/>
  <c r="K8" i="1"/>
  <c r="K12" i="1" l="1"/>
  <c r="AD15" i="1"/>
  <c r="K16" i="1" l="1"/>
  <c r="AD19" i="1"/>
  <c r="K20" i="1" l="1"/>
  <c r="W7" i="1"/>
  <c r="W8" i="1"/>
  <c r="E9" i="20" l="1"/>
  <c r="E10" i="20" s="1"/>
  <c r="F9" i="20"/>
  <c r="F10" i="20" s="1"/>
  <c r="W12" i="1"/>
  <c r="W10" i="1"/>
  <c r="W11" i="1"/>
  <c r="F15" i="20" l="1"/>
  <c r="E15" i="20"/>
  <c r="E9" i="18"/>
  <c r="E10" i="18" s="1"/>
  <c r="D9" i="18"/>
  <c r="D10" i="18" s="1"/>
  <c r="F9" i="18"/>
  <c r="F10" i="18" s="1"/>
  <c r="W14" i="1"/>
  <c r="W15" i="1"/>
  <c r="W16" i="1"/>
  <c r="F15" i="18" l="1"/>
  <c r="E15" i="18"/>
  <c r="D15" i="18"/>
  <c r="F9" i="19"/>
  <c r="F10" i="19" s="1"/>
  <c r="E9" i="19"/>
  <c r="E10" i="19" s="1"/>
  <c r="D9" i="19"/>
  <c r="D10" i="19" s="1"/>
  <c r="W19" i="1"/>
  <c r="W20" i="1"/>
  <c r="W18" i="1"/>
  <c r="F15" i="19" l="1"/>
  <c r="E15" i="19"/>
  <c r="D15" i="19"/>
  <c r="F9" i="21"/>
  <c r="F10" i="21" s="1"/>
  <c r="D9" i="21"/>
  <c r="D10" i="21" s="1"/>
  <c r="E9" i="21"/>
  <c r="E10" i="21" s="1"/>
  <c r="N8" i="1"/>
  <c r="N16" i="1"/>
  <c r="F15" i="21" l="1"/>
  <c r="E15" i="21"/>
  <c r="D15" i="21"/>
  <c r="Q56" i="1" l="1"/>
  <c r="X4" i="1" l="1"/>
  <c r="X3" i="1"/>
  <c r="E10" i="25" l="1"/>
  <c r="E15" i="25" s="1"/>
  <c r="X8" i="1"/>
  <c r="X12" i="1" s="1"/>
  <c r="X16" i="1" s="1"/>
  <c r="X20" i="1" s="1"/>
  <c r="D10" i="25"/>
  <c r="D15" i="25" s="1"/>
  <c r="X7" i="1"/>
  <c r="X11" i="1" s="1"/>
  <c r="X15" i="1" s="1"/>
  <c r="X19" i="1" s="1"/>
  <c r="X6" i="1"/>
  <c r="X10" i="1" s="1"/>
  <c r="X14" i="1" s="1"/>
  <c r="X18" i="1" s="1"/>
  <c r="K3" i="1" l="1"/>
  <c r="D7" i="25" l="1"/>
  <c r="D8" i="25" s="1"/>
  <c r="K7" i="1"/>
  <c r="K15" i="1"/>
  <c r="K6" i="1"/>
  <c r="K10" i="1" l="1"/>
  <c r="K11" i="1"/>
  <c r="K19" i="1"/>
  <c r="K14" i="1" l="1"/>
  <c r="K18" i="1" l="1"/>
  <c r="L17" i="26" l="1"/>
  <c r="C47" i="26" l="1"/>
  <c r="E43" i="27" s="1"/>
  <c r="E8" i="26"/>
  <c r="E47" i="26"/>
  <c r="C11" i="26"/>
  <c r="E46" i="26"/>
  <c r="C10" i="26"/>
  <c r="E45" i="26"/>
  <c r="C9" i="26"/>
  <c r="E44" i="26"/>
  <c r="C8" i="26"/>
  <c r="C42" i="26"/>
  <c r="E38" i="27" s="1"/>
  <c r="E42" i="26"/>
  <c r="E3" i="26"/>
  <c r="C3" i="26"/>
  <c r="C44" i="26"/>
  <c r="E11" i="26"/>
  <c r="C45" i="26"/>
  <c r="E41" i="27" s="1"/>
  <c r="E10" i="26"/>
  <c r="C12" i="26"/>
  <c r="C46" i="26"/>
  <c r="E42" i="27" s="1"/>
  <c r="E9" i="26"/>
  <c r="E12" i="26"/>
  <c r="B25" i="26"/>
  <c r="C50" i="26" s="1"/>
  <c r="C62" i="26" s="1"/>
  <c r="E25" i="26"/>
  <c r="E50" i="26" s="1"/>
  <c r="E62" i="26" s="1"/>
  <c r="C38" i="27" l="1"/>
  <c r="C49" i="27" s="1"/>
  <c r="G38" i="27"/>
  <c r="G49" i="27" s="1"/>
  <c r="G9" i="27"/>
  <c r="C9" i="27"/>
  <c r="E57" i="26"/>
  <c r="E9" i="27"/>
  <c r="C57" i="26"/>
  <c r="E11" i="27"/>
  <c r="E54" i="27" s="1"/>
  <c r="C59" i="26"/>
  <c r="C14" i="26"/>
  <c r="C56" i="26"/>
  <c r="E10" i="27"/>
  <c r="E53" i="27" s="1"/>
  <c r="C58" i="26"/>
  <c r="C43" i="27"/>
  <c r="G43" i="27"/>
  <c r="C48" i="26"/>
  <c r="E44" i="27" s="1"/>
  <c r="E12" i="27"/>
  <c r="G10" i="27"/>
  <c r="C10" i="27"/>
  <c r="E58" i="26"/>
  <c r="C42" i="27"/>
  <c r="G42" i="27"/>
  <c r="C54" i="26"/>
  <c r="E56" i="26"/>
  <c r="E14" i="26"/>
  <c r="E48" i="26"/>
  <c r="G12" i="27"/>
  <c r="G41" i="27"/>
  <c r="C41" i="27"/>
  <c r="G11" i="27"/>
  <c r="G54" i="27" s="1"/>
  <c r="C11" i="27"/>
  <c r="E59" i="26"/>
  <c r="E54" i="26"/>
  <c r="C54" i="27" l="1"/>
  <c r="C53" i="27"/>
  <c r="G53" i="27"/>
  <c r="E52" i="27"/>
  <c r="G44" i="27"/>
  <c r="C44" i="27"/>
  <c r="C52" i="27"/>
  <c r="G52" i="27"/>
  <c r="C64" i="26"/>
  <c r="E64" i="26"/>
  <c r="E3" i="27" l="1"/>
  <c r="E49" i="27" l="1"/>
  <c r="C8" i="27" l="1"/>
  <c r="G8" i="27" l="1"/>
  <c r="C14" i="27"/>
  <c r="C40" i="27"/>
  <c r="C51" i="27" s="1"/>
  <c r="C59" i="27" s="1"/>
  <c r="E8" i="27"/>
  <c r="E40" i="27" l="1"/>
  <c r="E51" i="27" s="1"/>
  <c r="E59" i="27" s="1"/>
  <c r="E14" i="27"/>
  <c r="G40" i="27"/>
  <c r="G51" i="27" s="1"/>
  <c r="G59" i="27" s="1"/>
  <c r="G14" i="27"/>
  <c r="E27" i="27" l="1"/>
  <c r="C27" i="27"/>
  <c r="G27" i="27"/>
  <c r="B28" i="26" l="1"/>
  <c r="B29" i="26" s="1"/>
  <c r="E28" i="26"/>
  <c r="E29" i="26" s="1"/>
  <c r="G26" i="27" l="1"/>
  <c r="G28" i="27" s="1"/>
  <c r="C26" i="27"/>
  <c r="C28" i="27" s="1"/>
  <c r="E26" i="27"/>
  <c r="E28" i="27" s="1"/>
  <c r="G45" i="27" l="1"/>
  <c r="G56" i="27" s="1"/>
  <c r="G60" i="27" s="1"/>
  <c r="G29" i="27"/>
  <c r="G30" i="27" s="1"/>
  <c r="E26" i="26"/>
  <c r="E27" i="26" s="1"/>
  <c r="E30" i="26" s="1"/>
  <c r="B26" i="26"/>
  <c r="B27" i="26" s="1"/>
  <c r="B30" i="26" s="1"/>
  <c r="C29" i="27"/>
  <c r="C30" i="27" s="1"/>
  <c r="C45" i="27"/>
  <c r="C56" i="27" s="1"/>
  <c r="C60" i="27" s="1"/>
  <c r="E29" i="27"/>
  <c r="E30" i="27" s="1"/>
  <c r="E45" i="27"/>
  <c r="E56" i="27" s="1"/>
  <c r="E60" i="27" s="1"/>
  <c r="C49" i="26" l="1"/>
  <c r="C61" i="26" s="1"/>
  <c r="C65" i="26" s="1"/>
  <c r="B31" i="26"/>
  <c r="B32" i="26" s="1"/>
  <c r="E49" i="26"/>
  <c r="E61" i="26" s="1"/>
  <c r="E65" i="26" s="1"/>
  <c r="E31" i="26"/>
  <c r="D32" i="26" s="1"/>
  <c r="F26" i="1" l="1"/>
  <c r="F25" i="1" l="1"/>
  <c r="O3" i="1" l="1"/>
  <c r="C3" i="1" s="1"/>
  <c r="O4" i="1"/>
  <c r="C4" i="1" s="1"/>
  <c r="E4" i="26"/>
  <c r="C4" i="26"/>
  <c r="E3" i="1" l="1"/>
  <c r="C5" i="26"/>
  <c r="C67" i="26"/>
  <c r="C69" i="26" s="1"/>
  <c r="C75" i="26" s="1"/>
  <c r="E5" i="26"/>
  <c r="E67" i="26"/>
  <c r="E69" i="26" s="1"/>
  <c r="E75" i="26" s="1"/>
  <c r="H26" i="1"/>
  <c r="L26" i="1" s="1"/>
  <c r="H25" i="1"/>
  <c r="L25" i="1" l="1"/>
  <c r="O31" i="1"/>
  <c r="AB3" i="1"/>
  <c r="D3" i="1"/>
  <c r="F3" i="1" s="1"/>
  <c r="E4" i="1"/>
  <c r="C72" i="26"/>
  <c r="R3" i="1" s="1"/>
  <c r="U3" i="1" s="1"/>
  <c r="C71" i="26"/>
  <c r="E71" i="26"/>
  <c r="E72" i="26"/>
  <c r="R4" i="1" s="1"/>
  <c r="U4" i="1" s="1"/>
  <c r="E20" i="26"/>
  <c r="E19" i="26"/>
  <c r="E18" i="26"/>
  <c r="E21" i="26"/>
  <c r="E17" i="26"/>
  <c r="C18" i="26"/>
  <c r="C20" i="26"/>
  <c r="C21" i="26"/>
  <c r="C19" i="26"/>
  <c r="C17" i="26"/>
  <c r="C22" i="26" s="1"/>
  <c r="B34" i="26" s="1"/>
  <c r="Q3" i="1" s="1"/>
  <c r="P32" i="1" l="1"/>
  <c r="P31" i="1"/>
  <c r="P15" i="1" s="1"/>
  <c r="L15" i="1" s="1"/>
  <c r="F15" i="1"/>
  <c r="L3" i="1"/>
  <c r="D11" i="25"/>
  <c r="D12" i="25" s="1"/>
  <c r="D16" i="25" s="1"/>
  <c r="F11" i="1"/>
  <c r="F6" i="1"/>
  <c r="F19" i="1"/>
  <c r="F10" i="1"/>
  <c r="F18" i="1"/>
  <c r="F14" i="1"/>
  <c r="AB7" i="1"/>
  <c r="AB11" i="1"/>
  <c r="AB15" i="1" s="1"/>
  <c r="AB6" i="1"/>
  <c r="P34" i="1"/>
  <c r="P33" i="1"/>
  <c r="P19" i="1" s="1"/>
  <c r="L19" i="1" s="1"/>
  <c r="D6" i="25"/>
  <c r="D14" i="25" s="1"/>
  <c r="D5" i="25"/>
  <c r="AB4" i="1"/>
  <c r="AB8" i="1" s="1"/>
  <c r="AB12" i="1" s="1"/>
  <c r="AB16" i="1" s="1"/>
  <c r="D4" i="1"/>
  <c r="F4" i="1" s="1"/>
  <c r="E22" i="26"/>
  <c r="E34" i="26" s="1"/>
  <c r="Q4" i="1" s="1"/>
  <c r="M26" i="1"/>
  <c r="N25" i="1"/>
  <c r="M25" i="1"/>
  <c r="D18" i="25" l="1"/>
  <c r="AB20" i="1"/>
  <c r="D11" i="18"/>
  <c r="E11" i="21"/>
  <c r="F8" i="1"/>
  <c r="AG4" i="1"/>
  <c r="E11" i="25"/>
  <c r="E12" i="25" s="1"/>
  <c r="E16" i="25" s="1"/>
  <c r="F12" i="1"/>
  <c r="L4" i="1"/>
  <c r="D11" i="21"/>
  <c r="F7" i="1"/>
  <c r="AG6" i="1" s="1"/>
  <c r="D11" i="20"/>
  <c r="P28" i="1"/>
  <c r="P27" i="1"/>
  <c r="P7" i="1" s="1"/>
  <c r="L7" i="1" s="1"/>
  <c r="P30" i="1"/>
  <c r="P29" i="1"/>
  <c r="P11" i="1" s="1"/>
  <c r="L11" i="1" s="1"/>
  <c r="H11" i="1" s="1"/>
  <c r="H19" i="1"/>
  <c r="E11" i="19"/>
  <c r="P18" i="1"/>
  <c r="L18" i="1" s="1"/>
  <c r="H18" i="1" s="1"/>
  <c r="P20" i="1"/>
  <c r="L20" i="1" s="1"/>
  <c r="Q34" i="1"/>
  <c r="AB10" i="1"/>
  <c r="D12" i="20"/>
  <c r="AB19" i="1"/>
  <c r="E12" i="21" s="1"/>
  <c r="E12" i="19"/>
  <c r="P26" i="1"/>
  <c r="P25" i="1"/>
  <c r="P3" i="1" s="1"/>
  <c r="V3" i="1" s="1"/>
  <c r="Y3" i="1" s="1"/>
  <c r="H15" i="1"/>
  <c r="D11" i="19"/>
  <c r="E11" i="18"/>
  <c r="E12" i="18" s="1"/>
  <c r="E16" i="18" s="1"/>
  <c r="E5" i="25"/>
  <c r="E6" i="25"/>
  <c r="E14" i="25" s="1"/>
  <c r="AG3" i="1"/>
  <c r="Q32" i="1"/>
  <c r="P14" i="1"/>
  <c r="L14" i="1" s="1"/>
  <c r="H14" i="1" s="1"/>
  <c r="P16" i="1"/>
  <c r="L16" i="1" s="1"/>
  <c r="E4" i="27"/>
  <c r="S19" i="1" l="1"/>
  <c r="P4" i="1"/>
  <c r="I4" i="1" s="1"/>
  <c r="M4" i="1" s="1"/>
  <c r="S4" i="1" s="1"/>
  <c r="Q26" i="1"/>
  <c r="S15" i="1"/>
  <c r="E6" i="1"/>
  <c r="S18" i="1"/>
  <c r="S14" i="1"/>
  <c r="E12" i="20"/>
  <c r="E16" i="19"/>
  <c r="H7" i="1"/>
  <c r="S7" i="1" s="1"/>
  <c r="E16" i="21"/>
  <c r="M11" i="1"/>
  <c r="F16" i="1"/>
  <c r="H16" i="1" s="1"/>
  <c r="E12" i="1"/>
  <c r="F11" i="18"/>
  <c r="F12" i="18" s="1"/>
  <c r="F16" i="18" s="1"/>
  <c r="AG12" i="1"/>
  <c r="E11" i="1"/>
  <c r="AB14" i="1"/>
  <c r="D12" i="18"/>
  <c r="D16" i="18" s="1"/>
  <c r="Q28" i="1"/>
  <c r="P6" i="1"/>
  <c r="L6" i="1" s="1"/>
  <c r="H6" i="1" s="1"/>
  <c r="S6" i="1" s="1"/>
  <c r="P8" i="1"/>
  <c r="L8" i="1" s="1"/>
  <c r="H8" i="1" s="1"/>
  <c r="S8" i="1" s="1"/>
  <c r="F11" i="20"/>
  <c r="F12" i="20" s="1"/>
  <c r="F16" i="20" s="1"/>
  <c r="AG8" i="1"/>
  <c r="E8" i="1"/>
  <c r="D16" i="20"/>
  <c r="AG11" i="1"/>
  <c r="D7" i="21"/>
  <c r="D8" i="21" s="1"/>
  <c r="M18" i="1"/>
  <c r="Q30" i="1"/>
  <c r="P12" i="1"/>
  <c r="L12" i="1" s="1"/>
  <c r="H12" i="1" s="1"/>
  <c r="P10" i="1"/>
  <c r="L10" i="1" s="1"/>
  <c r="H10" i="1" s="1"/>
  <c r="AG10" i="1"/>
  <c r="E10" i="1"/>
  <c r="E18" i="25"/>
  <c r="G18" i="25" s="1"/>
  <c r="G22" i="25" s="1"/>
  <c r="E7" i="1"/>
  <c r="E11" i="20"/>
  <c r="AG7" i="1"/>
  <c r="E7" i="19"/>
  <c r="E8" i="19" s="1"/>
  <c r="M15" i="1"/>
  <c r="M14" i="1"/>
  <c r="D7" i="19"/>
  <c r="D8" i="19" s="1"/>
  <c r="I3" i="1"/>
  <c r="E5" i="27"/>
  <c r="E62" i="27"/>
  <c r="E64" i="27" s="1"/>
  <c r="E70" i="27" s="1"/>
  <c r="C4" i="27"/>
  <c r="G4" i="27"/>
  <c r="M19" i="1"/>
  <c r="E7" i="21"/>
  <c r="E8" i="21" s="1"/>
  <c r="T4" i="1" l="1"/>
  <c r="Z4" i="1" s="1"/>
  <c r="AC4" i="1" s="1"/>
  <c r="V4" i="1"/>
  <c r="V8" i="1" s="1"/>
  <c r="V12" i="1" s="1"/>
  <c r="Y12" i="1" s="1"/>
  <c r="S16" i="1"/>
  <c r="S10" i="1"/>
  <c r="S12" i="1"/>
  <c r="E16" i="20"/>
  <c r="S11" i="1"/>
  <c r="E7" i="18"/>
  <c r="E8" i="18" s="1"/>
  <c r="M7" i="1"/>
  <c r="E7" i="20"/>
  <c r="E8" i="20" s="1"/>
  <c r="F52" i="1"/>
  <c r="M8" i="1"/>
  <c r="F7" i="18"/>
  <c r="F8" i="18" s="1"/>
  <c r="F7" i="20"/>
  <c r="F8" i="20" s="1"/>
  <c r="D7" i="20"/>
  <c r="D8" i="20" s="1"/>
  <c r="M6" i="1"/>
  <c r="M3" i="1"/>
  <c r="S3" i="1" s="1"/>
  <c r="G20" i="25"/>
  <c r="G19" i="25"/>
  <c r="D12" i="19"/>
  <c r="D16" i="19" s="1"/>
  <c r="AB18" i="1"/>
  <c r="D12" i="21" s="1"/>
  <c r="D16" i="21" s="1"/>
  <c r="D7" i="18"/>
  <c r="D8" i="18" s="1"/>
  <c r="M10" i="1"/>
  <c r="M16" i="1"/>
  <c r="F7" i="19"/>
  <c r="F8" i="19" s="1"/>
  <c r="M12" i="1"/>
  <c r="F51" i="1"/>
  <c r="F20" i="1"/>
  <c r="E16" i="1"/>
  <c r="AG16" i="1"/>
  <c r="F11" i="19"/>
  <c r="E14" i="1"/>
  <c r="F12" i="19"/>
  <c r="E15" i="1"/>
  <c r="AG14" i="1"/>
  <c r="AG15" i="1"/>
  <c r="V7" i="1"/>
  <c r="V6" i="1"/>
  <c r="C5" i="27"/>
  <c r="C62" i="27"/>
  <c r="C64" i="27" s="1"/>
  <c r="C70" i="27" s="1"/>
  <c r="E66" i="27"/>
  <c r="E67" i="27"/>
  <c r="G5" i="27"/>
  <c r="G62" i="27"/>
  <c r="G64" i="27" s="1"/>
  <c r="G70" i="27" s="1"/>
  <c r="E19" i="27"/>
  <c r="E17" i="27"/>
  <c r="E21" i="27"/>
  <c r="E20" i="27"/>
  <c r="E16" i="27"/>
  <c r="E18" i="27"/>
  <c r="Y8" i="1" l="1"/>
  <c r="Y4" i="1"/>
  <c r="AD4" i="1" s="1"/>
  <c r="AD8" i="1" s="1"/>
  <c r="V16" i="1"/>
  <c r="T3" i="1"/>
  <c r="J20" i="25"/>
  <c r="AJ4" i="1" s="1"/>
  <c r="Y6" i="1"/>
  <c r="V10" i="1"/>
  <c r="Y7" i="1"/>
  <c r="V11" i="1"/>
  <c r="G67" i="27"/>
  <c r="G66" i="27"/>
  <c r="Y16" i="1"/>
  <c r="V20" i="1"/>
  <c r="Y20" i="1" s="1"/>
  <c r="G17" i="27"/>
  <c r="G16" i="27"/>
  <c r="G18" i="27"/>
  <c r="G20" i="27"/>
  <c r="G21" i="27"/>
  <c r="G19" i="27"/>
  <c r="AH4" i="1"/>
  <c r="F53" i="1"/>
  <c r="F16" i="19"/>
  <c r="R11" i="1"/>
  <c r="U11" i="1" s="1"/>
  <c r="R15" i="1"/>
  <c r="U15" i="1" s="1"/>
  <c r="R19" i="1"/>
  <c r="U19" i="1" s="1"/>
  <c r="R7" i="1"/>
  <c r="U7" i="1" s="1"/>
  <c r="E22" i="27"/>
  <c r="E33" i="27" s="1"/>
  <c r="C67" i="27"/>
  <c r="C66" i="27"/>
  <c r="F11" i="21"/>
  <c r="AG20" i="1"/>
  <c r="E20" i="1"/>
  <c r="AG18" i="1"/>
  <c r="E18" i="1"/>
  <c r="E19" i="1"/>
  <c r="AG19" i="1"/>
  <c r="F12" i="21"/>
  <c r="H20" i="1"/>
  <c r="S20" i="1" s="1"/>
  <c r="C16" i="27"/>
  <c r="C21" i="27"/>
  <c r="C20" i="27"/>
  <c r="C17" i="27"/>
  <c r="C18" i="27"/>
  <c r="C19" i="27"/>
  <c r="Z3" i="1" l="1"/>
  <c r="AC3" i="1" s="1"/>
  <c r="F54" i="1"/>
  <c r="AD3" i="1"/>
  <c r="R20" i="1"/>
  <c r="U20" i="1" s="1"/>
  <c r="R8" i="1"/>
  <c r="U8" i="1" s="1"/>
  <c r="R12" i="1"/>
  <c r="U12" i="1" s="1"/>
  <c r="R16" i="1"/>
  <c r="U16" i="1" s="1"/>
  <c r="M20" i="1"/>
  <c r="F7" i="21"/>
  <c r="F8" i="21" s="1"/>
  <c r="F16" i="21"/>
  <c r="Y11" i="1"/>
  <c r="V15" i="1"/>
  <c r="R6" i="1"/>
  <c r="U6" i="1" s="1"/>
  <c r="R10" i="1"/>
  <c r="U10" i="1" s="1"/>
  <c r="R18" i="1"/>
  <c r="U18" i="1" s="1"/>
  <c r="R14" i="1"/>
  <c r="U14" i="1" s="1"/>
  <c r="V14" i="1"/>
  <c r="Y10" i="1"/>
  <c r="AD12" i="1"/>
  <c r="C22" i="27"/>
  <c r="C33" i="27" s="1"/>
  <c r="Q15" i="1"/>
  <c r="E34" i="27"/>
  <c r="Q11" i="1"/>
  <c r="Q7" i="1"/>
  <c r="Q19" i="1"/>
  <c r="G22" i="27"/>
  <c r="G33" i="27" s="1"/>
  <c r="E6" i="18" l="1"/>
  <c r="E14" i="18" s="1"/>
  <c r="E18" i="18" s="1"/>
  <c r="E5" i="18"/>
  <c r="T11" i="1"/>
  <c r="Z11" i="1" s="1"/>
  <c r="Q10" i="1"/>
  <c r="Q6" i="1"/>
  <c r="T6" i="1" s="1"/>
  <c r="Q14" i="1"/>
  <c r="Q18" i="1"/>
  <c r="C34" i="27"/>
  <c r="Y15" i="1"/>
  <c r="V19" i="1"/>
  <c r="Y19" i="1" s="1"/>
  <c r="E5" i="19"/>
  <c r="E6" i="19"/>
  <c r="E14" i="19" s="1"/>
  <c r="E18" i="19" s="1"/>
  <c r="F5" i="21"/>
  <c r="F5" i="19"/>
  <c r="T15" i="1"/>
  <c r="Z15" i="1" s="1"/>
  <c r="AD16" i="1"/>
  <c r="V18" i="1"/>
  <c r="Y18" i="1" s="1"/>
  <c r="Y14" i="1"/>
  <c r="Q12" i="1"/>
  <c r="Q16" i="1"/>
  <c r="Q8" i="1"/>
  <c r="Q20" i="1"/>
  <c r="F6" i="21" s="1"/>
  <c r="F14" i="21" s="1"/>
  <c r="F18" i="21" s="1"/>
  <c r="G34" i="27"/>
  <c r="E5" i="21"/>
  <c r="E6" i="21"/>
  <c r="E14" i="21" s="1"/>
  <c r="E18" i="21" s="1"/>
  <c r="T19" i="1"/>
  <c r="Z19" i="1" s="1"/>
  <c r="E5" i="20"/>
  <c r="E6" i="20"/>
  <c r="E14" i="20" s="1"/>
  <c r="E18" i="20" s="1"/>
  <c r="T7" i="1"/>
  <c r="Z7" i="1" s="1"/>
  <c r="AD6" i="1"/>
  <c r="AD10" i="1" s="1"/>
  <c r="AH3" i="1"/>
  <c r="F5" i="18" l="1"/>
  <c r="F6" i="18"/>
  <c r="F14" i="18" s="1"/>
  <c r="F18" i="18" s="1"/>
  <c r="T12" i="1"/>
  <c r="Z12" i="1" s="1"/>
  <c r="F5" i="20"/>
  <c r="F6" i="20"/>
  <c r="F14" i="20" s="1"/>
  <c r="F18" i="20" s="1"/>
  <c r="T8" i="1"/>
  <c r="Z8" i="1" s="1"/>
  <c r="D5" i="21"/>
  <c r="D6" i="21"/>
  <c r="D14" i="21" s="1"/>
  <c r="D18" i="21" s="1"/>
  <c r="H18" i="21" s="1"/>
  <c r="H22" i="21" s="1"/>
  <c r="T18" i="1"/>
  <c r="Z18" i="1" s="1"/>
  <c r="AC19" i="1"/>
  <c r="AE19" i="1" s="1"/>
  <c r="AA19" i="1"/>
  <c r="D5" i="18"/>
  <c r="D6" i="18"/>
  <c r="D14" i="18" s="1"/>
  <c r="D18" i="18" s="1"/>
  <c r="T10" i="1"/>
  <c r="Z10" i="1" s="1"/>
  <c r="AD14" i="1"/>
  <c r="AK11" i="1"/>
  <c r="AK10" i="1"/>
  <c r="AC11" i="1"/>
  <c r="AE11" i="1" s="1"/>
  <c r="AA11" i="1"/>
  <c r="F6" i="19"/>
  <c r="F14" i="19" s="1"/>
  <c r="F18" i="19" s="1"/>
  <c r="T16" i="1"/>
  <c r="Z16" i="1" s="1"/>
  <c r="D5" i="19"/>
  <c r="D6" i="19"/>
  <c r="D14" i="19" s="1"/>
  <c r="D18" i="19" s="1"/>
  <c r="T14" i="1"/>
  <c r="Z14" i="1" s="1"/>
  <c r="AD20" i="1"/>
  <c r="T20" i="1"/>
  <c r="Z20" i="1" s="1"/>
  <c r="AA15" i="1"/>
  <c r="AC15" i="1"/>
  <c r="AE15" i="1" s="1"/>
  <c r="AC7" i="1"/>
  <c r="AE7" i="1" s="1"/>
  <c r="AA7" i="1"/>
  <c r="D5" i="20"/>
  <c r="D6" i="20"/>
  <c r="D14" i="20" s="1"/>
  <c r="D18" i="20" s="1"/>
  <c r="Z6" i="1"/>
  <c r="H18" i="20" l="1"/>
  <c r="H22" i="20" s="1"/>
  <c r="H19" i="20" s="1"/>
  <c r="H18" i="19"/>
  <c r="H22" i="19" s="1"/>
  <c r="H19" i="19" s="1"/>
  <c r="AC14" i="1"/>
  <c r="AA14" i="1"/>
  <c r="AA18" i="1"/>
  <c r="AC18" i="1"/>
  <c r="H20" i="21"/>
  <c r="H19" i="21"/>
  <c r="AC20" i="1"/>
  <c r="AF20" i="1" s="1"/>
  <c r="AA20" i="1"/>
  <c r="AD18" i="1"/>
  <c r="AK15" i="1"/>
  <c r="AK14" i="1"/>
  <c r="AC12" i="1"/>
  <c r="AA12" i="1"/>
  <c r="AA16" i="1"/>
  <c r="AC16" i="1"/>
  <c r="AC8" i="1"/>
  <c r="AA8" i="1"/>
  <c r="AC10" i="1"/>
  <c r="AA10" i="1"/>
  <c r="AC6" i="1"/>
  <c r="AI8" i="1" s="1"/>
  <c r="AA6" i="1"/>
  <c r="H18" i="18"/>
  <c r="H22" i="18" s="1"/>
  <c r="AI20" i="1" l="1"/>
  <c r="AK20" i="1" s="1"/>
  <c r="AI12" i="1"/>
  <c r="AK12" i="1" s="1"/>
  <c r="AI16" i="1"/>
  <c r="AK16" i="1" s="1"/>
  <c r="K20" i="21"/>
  <c r="AH20" i="1" s="1"/>
  <c r="H20" i="19"/>
  <c r="K20" i="19" s="1"/>
  <c r="H20" i="20"/>
  <c r="K20" i="20" s="1"/>
  <c r="AJ8" i="1" s="1"/>
  <c r="AF10" i="1"/>
  <c r="AE10" i="1"/>
  <c r="AE6" i="1"/>
  <c r="AK8" i="1"/>
  <c r="AF6" i="1"/>
  <c r="AE8" i="1"/>
  <c r="AF8" i="1"/>
  <c r="AE18" i="1"/>
  <c r="AF18" i="1"/>
  <c r="AE16" i="1"/>
  <c r="AF16" i="1"/>
  <c r="H20" i="18"/>
  <c r="H19" i="18"/>
  <c r="AF12" i="1"/>
  <c r="AE12" i="1"/>
  <c r="AE20" i="1"/>
  <c r="AK19" i="1"/>
  <c r="AK18" i="1"/>
  <c r="AF14" i="1"/>
  <c r="AE14" i="1"/>
  <c r="AH19" i="1" l="1"/>
  <c r="AJ20" i="1"/>
  <c r="AH18" i="1"/>
  <c r="AH14" i="1"/>
  <c r="AH16" i="1"/>
  <c r="AH15" i="1"/>
  <c r="AH8" i="1"/>
  <c r="AH7" i="1"/>
  <c r="AH6" i="1"/>
  <c r="AJ16" i="1"/>
  <c r="K20" i="18"/>
  <c r="AH11" i="1" s="1"/>
  <c r="AJ12" i="1" l="1"/>
  <c r="AH12" i="1"/>
  <c r="AH10" i="1"/>
</calcChain>
</file>

<file path=xl/sharedStrings.xml><?xml version="1.0" encoding="utf-8"?>
<sst xmlns="http://schemas.openxmlformats.org/spreadsheetml/2006/main" count="296" uniqueCount="160">
  <si>
    <t>Herd growth rate (% per year)</t>
  </si>
  <si>
    <t>Reference herd size</t>
  </si>
  <si>
    <t>Relative change in total herd size (compared to base)</t>
  </si>
  <si>
    <t>Adjusted total herd size (adjusted based on required production change) for each breed</t>
  </si>
  <si>
    <t>Local</t>
  </si>
  <si>
    <t>Improved</t>
  </si>
  <si>
    <t>Feeding expenses</t>
  </si>
  <si>
    <t>Replacements</t>
  </si>
  <si>
    <t>Health</t>
  </si>
  <si>
    <t>New animal</t>
  </si>
  <si>
    <t>Total expenses (USD/head/year)</t>
  </si>
  <si>
    <t>NPV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</si>
  <si>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</si>
  <si>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</si>
  <si>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</si>
  <si>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</si>
  <si>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</si>
  <si>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Relative change in income per hhold</t>
  </si>
  <si>
    <t>Price</t>
  </si>
  <si>
    <t>Feed expenses</t>
  </si>
  <si>
    <t>Standard deviation</t>
  </si>
  <si>
    <t>Reproductive inputs</t>
  </si>
  <si>
    <t>Mean</t>
  </si>
  <si>
    <t>Ratio improved cattle for which new adopters adopt (biased)</t>
  </si>
  <si>
    <t>Gilbert et al. (2018)</t>
  </si>
  <si>
    <t>Ratio improved cattle for which new adopters adopt (pro-poor)</t>
  </si>
  <si>
    <t>Targeted value (for adoption rate)</t>
  </si>
  <si>
    <t>Ratio improved cattle for which new adopters adopt (middle road)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</si>
  <si>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</si>
  <si>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</si>
  <si>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</si>
  <si>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</si>
  <si>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</si>
  <si>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</si>
  <si>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Total net income base</t>
  </si>
  <si>
    <t>Updated total net income</t>
  </si>
  <si>
    <t>Scenario</t>
  </si>
  <si>
    <t>GLS (2019) and typology</t>
  </si>
  <si>
    <t>Uncertainty in population percentage</t>
  </si>
  <si>
    <t>Household type</t>
  </si>
  <si>
    <t>Inferred households of breed type local or improved</t>
  </si>
  <si>
    <t>% of households of given breed</t>
  </si>
  <si>
    <t xml:space="preserve">Actual estimated no of farms </t>
  </si>
  <si>
    <t>Relative population level change in income compared to Base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</si>
  <si>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</si>
  <si>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</si>
  <si>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</si>
  <si>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</si>
  <si>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GDP deflator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</si>
  <si>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</si>
  <si>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</si>
  <si>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</si>
  <si>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</si>
  <si>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</si>
  <si>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Local </t>
  </si>
  <si>
    <t xml:space="preserve">Improved  </t>
  </si>
  <si>
    <t xml:space="preserve">Feeding expenses </t>
  </si>
  <si>
    <t>Aggregate income farm type base</t>
  </si>
  <si>
    <t>Adoption rate (% of hholds) toggle pro poo</t>
  </si>
  <si>
    <t>Adoption rate (% of hholds) toggle biased</t>
  </si>
  <si>
    <t>Ratio improved cattle for which new adopters adopt (bifurcated)</t>
  </si>
  <si>
    <t>Adoption rate (% of hholds) toggle middle road</t>
  </si>
  <si>
    <t>Adoption rate (% of hholds) toggle bifurcatd</t>
  </si>
  <si>
    <t xml:space="preserve">Opportunity cost land strata 1 </t>
  </si>
  <si>
    <t>Opportunity cost land strata 2</t>
  </si>
  <si>
    <t>Base 2018 animals in subsector</t>
  </si>
  <si>
    <t>Fraction Improved owned by larger farms final year</t>
  </si>
  <si>
    <t>Fraction Improved owned by larger farms first year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</si>
  <si>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</si>
  <si>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</si>
  <si>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</si>
  <si>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</si>
  <si>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</si>
  <si>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Proportion of specific farm type's herd of cattle to total herd of same breed in population</t>
  </si>
  <si>
    <t>Standard deviation net income per cow per year</t>
  </si>
  <si>
    <t>Aggregate income per household type intervention scenario</t>
  </si>
  <si>
    <t xml:space="preserve">Aggregate change in income population for household type </t>
  </si>
  <si>
    <t xml:space="preserve">Relative population of household to total </t>
  </si>
  <si>
    <t>2030 Populations</t>
  </si>
  <si>
    <t>2030 Ratios</t>
  </si>
  <si>
    <t>Sectoral herd calibration</t>
  </si>
  <si>
    <t>Adopting</t>
  </si>
  <si>
    <t>Dairy Income (USD/household/year)</t>
  </si>
  <si>
    <t>Non dairy income (USD/household/year)</t>
  </si>
  <si>
    <t>Estimated non dairy income (USD/person/day)</t>
  </si>
  <si>
    <t>Aggregated</t>
  </si>
  <si>
    <t>Aggregate absolute welfare gain/loss (fraction)</t>
  </si>
  <si>
    <t>Aggregate per capita growth income (USD/capita/yr)</t>
  </si>
  <si>
    <t>Income per cow (USD/day)</t>
  </si>
  <si>
    <t>Random value income per cow (USD/day)</t>
  </si>
  <si>
    <t>Average number of cows per household (head)</t>
  </si>
  <si>
    <t>Random value cows per household (head)</t>
  </si>
  <si>
    <t>Random value non dairy income (USD/person/day)</t>
  </si>
  <si>
    <t>Quantity households</t>
  </si>
  <si>
    <t>SD quantity households</t>
  </si>
  <si>
    <t>Estimated population income (USD/yr)</t>
  </si>
  <si>
    <t>Mean population income (USD/yr)</t>
  </si>
  <si>
    <t xml:space="preserve">Net income </t>
  </si>
  <si>
    <t>Uncertainty (SE) in total income per household type</t>
  </si>
  <si>
    <t># projected animals in subsector (final year)</t>
  </si>
  <si>
    <t>Change in income from cropping (USD/TLU)</t>
  </si>
  <si>
    <t>Std. dev. dairy income (USD per household)</t>
  </si>
  <si>
    <t>Dairy income base year</t>
  </si>
  <si>
    <t xml:space="preserve">Net income base scenario not including dairy </t>
  </si>
  <si>
    <t xml:space="preserve">Net household income intervention scenario not including dairy </t>
  </si>
  <si>
    <t>Parameters (as defined in Table 1 of text)</t>
  </si>
  <si>
    <t>Dairy expenses</t>
  </si>
  <si>
    <t>Forage expenses</t>
  </si>
  <si>
    <t>--</t>
  </si>
  <si>
    <t>SE population income (USD/yr)</t>
  </si>
  <si>
    <t xml:space="preserve">Change in napier allocation (ha) </t>
  </si>
  <si>
    <t>Pasture yield (Mg/ha)</t>
  </si>
  <si>
    <t>Change in herd size relative to Base year (for baseline scenario only)</t>
  </si>
  <si>
    <t xml:space="preserve">frac improved hholds that are &gt; 5 head </t>
  </si>
  <si>
    <t>Standard error (%) district level</t>
  </si>
  <si>
    <t>Traditional</t>
  </si>
  <si>
    <t>Modern</t>
  </si>
  <si>
    <t>Household income</t>
  </si>
  <si>
    <t>District aggregation</t>
  </si>
  <si>
    <t xml:space="preserve">proportion of households within region  </t>
  </si>
  <si>
    <t>Change herd relative to base (fraction)</t>
  </si>
  <si>
    <t>Net income from milk, cash expenses, and opportunity costs of land (USD per household)</t>
  </si>
  <si>
    <t>Standard error of imputed income at population level (%)</t>
  </si>
  <si>
    <t xml:space="preserve"> Dairy NPV by household</t>
  </si>
  <si>
    <t>Revenue</t>
  </si>
  <si>
    <t>Variable expenses (USD/cow/year)</t>
  </si>
  <si>
    <t>Health inputs/services</t>
  </si>
  <si>
    <t>Reproductive inputs/services</t>
  </si>
  <si>
    <t>Heifer</t>
  </si>
  <si>
    <t>Net present value calculations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</si>
  <si>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</si>
  <si>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</si>
  <si>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</si>
  <si>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</si>
  <si>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</si>
  <si>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Forage crop allocation</t>
  </si>
  <si>
    <t>Monte carlo simulations (n = 500)</t>
  </si>
  <si>
    <t>Milk price (USD/litre)</t>
  </si>
  <si>
    <t>Milk yield (litre/cow/year)</t>
  </si>
  <si>
    <t>Value milk produced (USD/year/cow)</t>
  </si>
  <si>
    <t>Basic NPV parameters</t>
  </si>
  <si>
    <t>NPV horizon (years)</t>
  </si>
  <si>
    <t>Interest rate (fraction)</t>
  </si>
  <si>
    <t>Price acquring new animal (USD/head)</t>
  </si>
  <si>
    <t>Standard error animal price (fraction)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</si>
  <si>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</si>
  <si>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</si>
  <si>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</si>
  <si>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</si>
  <si>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</si>
  <si>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</si>
  <si>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</si>
  <si>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Monte carlo simulations (n = 100)</t>
  </si>
  <si>
    <t>Baseline</t>
  </si>
  <si>
    <t>Sectoral mappings</t>
  </si>
  <si>
    <t>Total planted forage allocation (ha)</t>
  </si>
  <si>
    <t>Dairy NPV data</t>
  </si>
  <si>
    <t>Net dairy income per cow (USD per cow per yr)</t>
  </si>
  <si>
    <t xml:space="preserve">Sources </t>
  </si>
  <si>
    <t>Total herd size base year (head)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</si>
</sst>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_(* #,##0_);_(* \(#,##0\);_(* &quot;-&quot;??_);_(@_)"/>
    <numFmt numFmtId="170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rgb="FF000000"/>
      <name val="Courier New"/>
      <family val="3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4" fillId="0" borderId="0" xfId="0" applyNumberFormat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3" fontId="12" fillId="0" borderId="0" xfId="1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43" fontId="15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0" xfId="0" applyNumberFormat="1"/>
    <xf numFmtId="0" fontId="18" fillId="0" borderId="0" xfId="0" applyFont="1"/>
    <xf numFmtId="0" fontId="0" fillId="0" borderId="0" xfId="0" quotePrefix="1"/>
    <xf numFmtId="169" fontId="0" fillId="0" borderId="0" xfId="0" applyNumberFormat="1"/>
    <xf numFmtId="166" fontId="0" fillId="0" borderId="0" xfId="1" applyNumberFormat="1" applyFont="1"/>
    <xf numFmtId="0" fontId="0" fillId="0" borderId="0" xfId="0" quotePrefix="1" applyNumberFormat="1"/>
    <xf numFmtId="8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" fillId="0" borderId="0" xfId="0" applyNumberFormat="1" applyFont="1"/>
    <xf numFmtId="43" fontId="2" fillId="0" borderId="0" xfId="0" applyNumberFormat="1" applyFont="1"/>
    <xf numFmtId="0" fontId="2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/>
    <xf numFmtId="170" fontId="0" fillId="0" borderId="0" xfId="0" applyNumberFormat="1" applyAlignment="1">
      <alignment horizontal="center"/>
    </xf>
    <xf numFmtId="170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1" applyNumberFormat="1" applyFont="1" applyAlignment="1"/>
    <xf numFmtId="166" fontId="3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6" fontId="2" fillId="0" borderId="0" xfId="0" applyNumberFormat="1" applyFont="1" applyAlignment="1">
      <alignment horizontal="center" vertical="top"/>
    </xf>
    <xf numFmtId="0" fontId="19" fillId="0" borderId="0" xfId="0" applyFont="1"/>
    <xf numFmtId="0" fontId="4" fillId="0" borderId="0" xfId="0" applyFont="1"/>
    <xf numFmtId="167" fontId="4" fillId="0" borderId="0" xfId="0" applyNumberFormat="1" applyFont="1"/>
    <xf numFmtId="43" fontId="6" fillId="0" borderId="0" xfId="0" applyNumberFormat="1" applyFont="1"/>
    <xf numFmtId="168" fontId="12" fillId="0" borderId="0" xfId="0" applyNumberFormat="1" applyFont="1"/>
    <xf numFmtId="43" fontId="12" fillId="0" borderId="0" xfId="0" applyNumberFormat="1" applyFont="1"/>
    <xf numFmtId="167" fontId="12" fillId="0" borderId="0" xfId="0" applyNumberFormat="1" applyFont="1"/>
    <xf numFmtId="0" fontId="12" fillId="0" borderId="0" xfId="0" applyFont="1"/>
    <xf numFmtId="168" fontId="12" fillId="0" borderId="0" xfId="1" applyNumberFormat="1" applyFont="1" applyAlignme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43" fontId="20" fillId="0" borderId="0" xfId="0" applyNumberFormat="1" applyFont="1"/>
    <xf numFmtId="0" fontId="21" fillId="0" borderId="0" xfId="0" applyFont="1"/>
    <xf numFmtId="43" fontId="21" fillId="0" borderId="0" xfId="0" applyNumberFormat="1" applyFont="1"/>
    <xf numFmtId="168" fontId="21" fillId="0" borderId="0" xfId="0" applyNumberFormat="1" applyFont="1"/>
    <xf numFmtId="0" fontId="22" fillId="0" borderId="0" xfId="0" applyFont="1"/>
    <xf numFmtId="0" fontId="23" fillId="0" borderId="0" xfId="0" applyFont="1"/>
    <xf numFmtId="43" fontId="2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88C00"/>
      <color rgb="FFCC00CC"/>
      <color rgb="FF003399"/>
      <color rgb="FF00B0F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Rungw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Tanzania%20Dairy%20Mitigation%20Assessment/scenario_parameters_LS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n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gional_herd_pop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>
        <row r="10">
          <cell r="K10" t="str">
            <v>Basic NPV parameters</v>
          </cell>
        </row>
        <row r="11">
          <cell r="K11" t="str">
            <v>NPV horizon (years)</v>
          </cell>
          <cell r="L11">
            <v>5</v>
          </cell>
        </row>
        <row r="12">
          <cell r="K12" t="str">
            <v>Interest rate (fraction)</v>
          </cell>
          <cell r="L12">
            <v>0.17</v>
          </cell>
        </row>
        <row r="14">
          <cell r="K14" t="str">
            <v>Price acquring new animal (USD/head)</v>
          </cell>
          <cell r="L14">
            <v>529</v>
          </cell>
        </row>
        <row r="15">
          <cell r="K15" t="str">
            <v>Standard error animal price (fraction)</v>
          </cell>
          <cell r="L15">
            <v>0</v>
          </cell>
        </row>
        <row r="17">
          <cell r="K17" t="str">
            <v>GDP deflator</v>
          </cell>
          <cell r="L17">
            <v>1.3155644843884766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</row>
        <row r="28">
          <cell r="K28" t="str">
            <v>Use efficiency napier</v>
          </cell>
        </row>
        <row r="29">
          <cell r="K29" t="str">
            <v>Use efficiency pasture</v>
          </cell>
        </row>
        <row r="31">
          <cell r="K31" t="str">
            <v>Standard error (%) improved forage yield</v>
          </cell>
        </row>
        <row r="32">
          <cell r="K32" t="str">
            <v>Standard error (%) improved forage yield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</row>
        <row r="38">
          <cell r="K38" t="str">
            <v>Pasture yield (Mg/ha)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>
        <row r="3">
          <cell r="C3">
            <v>0.51465014185725644</v>
          </cell>
        </row>
        <row r="33">
          <cell r="C33">
            <v>102.38197935134957</v>
          </cell>
          <cell r="E33">
            <v>159.61062489481509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</sheetNames>
    <sheetDataSet>
      <sheetData sheetId="0">
        <row r="3">
          <cell r="E3">
            <v>2758.8519999999999</v>
          </cell>
          <cell r="F3">
            <v>2124.3160400000002</v>
          </cell>
          <cell r="G3">
            <v>13.9</v>
          </cell>
          <cell r="H3">
            <v>0.64</v>
          </cell>
          <cell r="I3">
            <v>0.4</v>
          </cell>
          <cell r="J3">
            <v>6.2</v>
          </cell>
          <cell r="L3">
            <v>0.43465699999999996</v>
          </cell>
          <cell r="N3">
            <v>220</v>
          </cell>
          <cell r="O3">
            <v>1.3013561929000014E-4</v>
          </cell>
          <cell r="P3">
            <v>1.3013561929000014E-4</v>
          </cell>
          <cell r="R3">
            <v>1.3013561929000014E-4</v>
          </cell>
          <cell r="S3">
            <v>2.6027123858000024E-2</v>
          </cell>
          <cell r="U3">
            <v>155.1</v>
          </cell>
          <cell r="V3">
            <v>1.3013561929000014E-5</v>
          </cell>
          <cell r="W3">
            <v>1.3013561929000014E-4</v>
          </cell>
          <cell r="X3">
            <v>13.586158653876</v>
          </cell>
          <cell r="Y3">
            <v>1.3013561929000014E-5</v>
          </cell>
        </row>
        <row r="4">
          <cell r="E4">
            <v>6214.9830000000002</v>
          </cell>
          <cell r="F4">
            <v>4785.5369099999998</v>
          </cell>
          <cell r="G4">
            <v>2.6</v>
          </cell>
          <cell r="I4">
            <v>0.41699999999999998</v>
          </cell>
          <cell r="J4">
            <v>6</v>
          </cell>
          <cell r="L4">
            <v>0.43465699999999996</v>
          </cell>
          <cell r="M4">
            <v>1470.3</v>
          </cell>
          <cell r="N4">
            <v>491</v>
          </cell>
          <cell r="O4">
            <v>3.4485939111850032</v>
          </cell>
          <cell r="P4">
            <v>1.3013561929000014E-4</v>
          </cell>
          <cell r="Q4">
            <v>35.136617208300031</v>
          </cell>
          <cell r="R4">
            <v>1.3013561929000014E-4</v>
          </cell>
          <cell r="S4">
            <v>9.1094933503000103E-2</v>
          </cell>
          <cell r="U4">
            <v>173.5</v>
          </cell>
          <cell r="V4">
            <v>5.5958316294700055</v>
          </cell>
          <cell r="W4">
            <v>1.3013561929000014E-4</v>
          </cell>
          <cell r="X4">
            <v>26.44</v>
          </cell>
          <cell r="Y4">
            <v>7.2</v>
          </cell>
        </row>
        <row r="7">
          <cell r="L7">
            <v>0.43465699999999996</v>
          </cell>
        </row>
        <row r="12">
          <cell r="B12">
            <v>259</v>
          </cell>
          <cell r="T1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/>
      <sheetData sheetId="1">
        <row r="17">
          <cell r="F17">
            <v>129.32006793157544</v>
          </cell>
        </row>
        <row r="18">
          <cell r="F18">
            <v>446.60583445404086</v>
          </cell>
        </row>
        <row r="20">
          <cell r="F20">
            <v>502.97093060585917</v>
          </cell>
        </row>
        <row r="21">
          <cell r="F21">
            <v>1117.6594270549749</v>
          </cell>
        </row>
        <row r="23">
          <cell r="F23">
            <v>502.97093060585917</v>
          </cell>
        </row>
        <row r="24">
          <cell r="F24">
            <v>1117.6594270549749</v>
          </cell>
        </row>
      </sheetData>
      <sheetData sheetId="2">
        <row r="3">
          <cell r="F3">
            <v>0.16769999999999999</v>
          </cell>
        </row>
        <row r="5">
          <cell r="D5">
            <v>0.89239148711842686</v>
          </cell>
          <cell r="E5">
            <v>0.10760851288157314</v>
          </cell>
        </row>
        <row r="8">
          <cell r="F8">
            <v>1330580.6470453946</v>
          </cell>
          <cell r="G8">
            <v>135988.75682193215</v>
          </cell>
        </row>
        <row r="16">
          <cell r="F16">
            <v>304.18471215696854</v>
          </cell>
        </row>
        <row r="17">
          <cell r="F17">
            <v>1515.4072443683947</v>
          </cell>
        </row>
        <row r="24">
          <cell r="A24" t="str">
            <v>Inclusive</v>
          </cell>
          <cell r="F24">
            <v>0.6</v>
          </cell>
          <cell r="G24">
            <v>0.6</v>
          </cell>
        </row>
        <row r="25">
          <cell r="F25">
            <v>0.4</v>
          </cell>
          <cell r="G25">
            <v>0.4</v>
          </cell>
        </row>
        <row r="30">
          <cell r="F30">
            <v>2147150.5998351467</v>
          </cell>
          <cell r="G30">
            <v>187755.69748236542</v>
          </cell>
        </row>
        <row r="33">
          <cell r="A33" t="str">
            <v>Inequitable</v>
          </cell>
          <cell r="F33">
            <v>0.6</v>
          </cell>
          <cell r="G33">
            <v>0.6</v>
          </cell>
        </row>
        <row r="34">
          <cell r="F34">
            <v>0.4</v>
          </cell>
          <cell r="G34">
            <v>0.4</v>
          </cell>
        </row>
        <row r="37">
          <cell r="F37">
            <v>605.62497672603388</v>
          </cell>
        </row>
        <row r="38">
          <cell r="F38">
            <v>3344.2335136915035</v>
          </cell>
        </row>
        <row r="39">
          <cell r="F39">
            <v>2147150.5998351467</v>
          </cell>
          <cell r="G39">
            <v>187755.69748236542</v>
          </cell>
        </row>
        <row r="42">
          <cell r="A42" t="str">
            <v>Status quo</v>
          </cell>
          <cell r="F42">
            <v>0.18595814952960762</v>
          </cell>
          <cell r="G42">
            <v>0.18595814952960762</v>
          </cell>
        </row>
        <row r="43">
          <cell r="F43">
            <v>0.81404185047039235</v>
          </cell>
          <cell r="G43">
            <v>0.81404185047039235</v>
          </cell>
        </row>
        <row r="48">
          <cell r="F48">
            <v>4614898.3812760003</v>
          </cell>
          <cell r="G48">
            <v>391637.62594253873</v>
          </cell>
        </row>
        <row r="49">
          <cell r="D49">
            <v>3.0670204847437246</v>
          </cell>
          <cell r="E49">
            <v>2.4260491028753504</v>
          </cell>
        </row>
        <row r="51">
          <cell r="A51" t="str">
            <v>Middle road</v>
          </cell>
          <cell r="F51">
            <v>0.6</v>
          </cell>
          <cell r="G51">
            <v>0.6</v>
          </cell>
        </row>
        <row r="52">
          <cell r="F52">
            <v>0.4</v>
          </cell>
          <cell r="G52">
            <v>0.4</v>
          </cell>
        </row>
        <row r="57">
          <cell r="F57">
            <v>2628955.2365775732</v>
          </cell>
          <cell r="G57">
            <v>229886.68057631212</v>
          </cell>
        </row>
      </sheetData>
      <sheetData sheetId="3">
        <row r="4">
          <cell r="F4">
            <v>0.33055487566983349</v>
          </cell>
          <cell r="G4">
            <v>3.3783556602590067E-2</v>
          </cell>
        </row>
        <row r="19">
          <cell r="F19">
            <v>436.15230183328157</v>
          </cell>
        </row>
        <row r="22">
          <cell r="F22">
            <v>2320.3268215150797</v>
          </cell>
        </row>
        <row r="25">
          <cell r="F25">
            <v>2937.4401944387337</v>
          </cell>
        </row>
      </sheetData>
      <sheetData sheetId="4">
        <row r="4">
          <cell r="F4">
            <v>0.33055487566983349</v>
          </cell>
          <cell r="G4">
            <v>3.3783556602590067E-2</v>
          </cell>
        </row>
        <row r="19">
          <cell r="F19">
            <v>-542.46704789375553</v>
          </cell>
        </row>
        <row r="22">
          <cell r="F22">
            <v>-311.82221018060864</v>
          </cell>
        </row>
        <row r="25">
          <cell r="F25">
            <v>850.48752664318874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orld bank data"/>
    </sheetNames>
    <sheetDataSet>
      <sheetData sheetId="0">
        <row r="7">
          <cell r="B7">
            <v>1.3155644843884766</v>
          </cell>
        </row>
        <row r="9">
          <cell r="B9">
            <v>1.7273258708170587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307.59532875454562</v>
          </cell>
          <cell r="QH2">
            <v>2.1697311292536861</v>
          </cell>
          <cell r="QO2">
            <v>521.54763435875611</v>
          </cell>
          <cell r="QP2">
            <v>100.7146301776547</v>
          </cell>
        </row>
        <row r="11">
          <cell r="QG11">
            <v>1213.219553163158</v>
          </cell>
          <cell r="QH11">
            <v>564.25088971387015</v>
          </cell>
          <cell r="QO11">
            <v>604.2954682746963</v>
          </cell>
          <cell r="QP11">
            <v>633.79509349073146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findi"/>
      <sheetName val="Mvomero"/>
      <sheetName val="Njombe"/>
      <sheetName val="Rungwe"/>
    </sheetNames>
    <sheetDataSet>
      <sheetData sheetId="0">
        <row r="3">
          <cell r="C3">
            <v>0.39429999999999998</v>
          </cell>
        </row>
        <row r="19">
          <cell r="D19">
            <v>1.0324753493684273</v>
          </cell>
        </row>
        <row r="20">
          <cell r="D20">
            <v>1.0433322562243532</v>
          </cell>
        </row>
      </sheetData>
      <sheetData sheetId="1">
        <row r="3">
          <cell r="C3">
            <v>0.38590000000000002</v>
          </cell>
        </row>
      </sheetData>
      <sheetData sheetId="2">
        <row r="3">
          <cell r="C3">
            <v>0.40560000000000002</v>
          </cell>
        </row>
      </sheetData>
      <sheetData sheetId="3">
        <row r="3">
          <cell r="C3">
            <v>0.44080000000000003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0F15-C477-4BA6-893B-82C05841FF6B}">
  <dimension ref="A1:L569"/>
  <sheetViews>
    <sheetView topLeftCell="A16" workbookViewId="0">
      <selection activeCell="G28" sqref="G28"/>
    </sheetView>
  </sheetViews>
  <sheetFormatPr defaultRowHeight="14.4" x14ac:dyDescent="0.3"/>
  <cols>
    <col min="1" max="1" width="30.6640625" customWidth="1"/>
    <col min="2" max="2" width="4.6640625" customWidth="1"/>
    <col min="4" max="4" width="4.44140625" customWidth="1"/>
    <col min="5" max="5" width="9.21875" bestFit="1" customWidth="1"/>
    <col min="6" max="6" width="6.33203125" customWidth="1"/>
    <col min="7" max="7" width="11.5546875" bestFit="1" customWidth="1"/>
  </cols>
  <sheetData>
    <row r="1" spans="1:12" x14ac:dyDescent="0.3">
      <c r="C1" s="75" t="s">
        <v>123</v>
      </c>
      <c r="D1" s="75"/>
      <c r="E1" s="75"/>
      <c r="F1" s="75"/>
      <c r="G1" s="75"/>
    </row>
    <row r="2" spans="1:12" x14ac:dyDescent="0.3">
      <c r="A2" s="2" t="s">
        <v>124</v>
      </c>
      <c r="C2" s="76" t="s">
        <v>81</v>
      </c>
      <c r="D2" s="76"/>
      <c r="E2" s="76" t="s">
        <v>115</v>
      </c>
      <c r="F2" s="76"/>
      <c r="G2" s="5" t="s">
        <v>116</v>
      </c>
    </row>
    <row r="3" spans="1:12" x14ac:dyDescent="0.3">
      <c r="A3" t="s">
        <v>137</v>
      </c>
      <c r="C3" s="77">
        <f>G3</f>
        <v>0.57181931209084202</v>
      </c>
      <c r="D3" s="77"/>
      <c r="E3" s="77">
        <f>[1]NPV_Baseline!C3</f>
        <v>0.51465014185725644</v>
      </c>
      <c r="F3" s="77"/>
      <c r="G3" s="21">
        <f>[2]All!$L$7*L17</f>
        <v>0.57181931209084202</v>
      </c>
    </row>
    <row r="4" spans="1:12" x14ac:dyDescent="0.3">
      <c r="A4" t="s">
        <v>138</v>
      </c>
      <c r="C4" s="78">
        <f>[3]prod_herd_data!F38</f>
        <v>3344.2335136915035</v>
      </c>
      <c r="D4" s="78"/>
      <c r="E4" s="78">
        <f>[3]prod_herd_data!F37</f>
        <v>605.62497672603388</v>
      </c>
      <c r="F4" s="78"/>
      <c r="G4" s="36">
        <f>[3]prod_herd_data!F38</f>
        <v>3344.2335136915035</v>
      </c>
    </row>
    <row r="5" spans="1:12" x14ac:dyDescent="0.3">
      <c r="A5" t="s">
        <v>139</v>
      </c>
      <c r="C5" s="78">
        <f t="shared" ref="C5" si="0">C4*C3</f>
        <v>1912.297307270215</v>
      </c>
      <c r="D5" s="78"/>
      <c r="E5" s="78">
        <f t="shared" ref="E5:G5" si="1">E4*E3</f>
        <v>311.68498018435099</v>
      </c>
      <c r="F5" s="78"/>
      <c r="G5" s="36">
        <f t="shared" si="1"/>
        <v>1912.297307270215</v>
      </c>
    </row>
    <row r="6" spans="1:12" x14ac:dyDescent="0.3">
      <c r="C6" s="79"/>
      <c r="D6" s="79"/>
      <c r="E6" s="79"/>
      <c r="F6" s="79"/>
    </row>
    <row r="7" spans="1:12" x14ac:dyDescent="0.3">
      <c r="A7" s="2" t="s">
        <v>125</v>
      </c>
      <c r="C7" s="79"/>
      <c r="D7" s="79"/>
      <c r="E7" s="79"/>
      <c r="F7" s="79"/>
    </row>
    <row r="8" spans="1:12" x14ac:dyDescent="0.3">
      <c r="A8" t="s">
        <v>56</v>
      </c>
      <c r="C8" s="78">
        <f>(([3]concentrate_feeding!$F$23*L35)+([3]concentrate_feeding!$F$24*L36))</f>
        <v>474.19681330007688</v>
      </c>
      <c r="D8" s="78"/>
      <c r="E8" s="78">
        <f>(([3]concentrate_feeding!$F$17*L35)+([3]concentrate_feeding!$F$18*L36))</f>
        <v>165.91536473133871</v>
      </c>
      <c r="F8" s="78"/>
      <c r="G8" s="36">
        <f>(([3]concentrate_feeding!$F$20*L35)+([3]concentrate_feeding!$F$21*L36))</f>
        <v>474.19681330007688</v>
      </c>
    </row>
    <row r="9" spans="1:12" x14ac:dyDescent="0.3">
      <c r="A9" t="s">
        <v>7</v>
      </c>
      <c r="C9" s="78">
        <f>NPV_Baseline!E9</f>
        <v>1.7120179889182412E-4</v>
      </c>
      <c r="D9" s="78"/>
      <c r="E9" s="78">
        <f>NPV_Baseline!C9</f>
        <v>1.7120179889182412E-4</v>
      </c>
      <c r="F9" s="78"/>
      <c r="G9" s="36">
        <f>NPV_Baseline!E9</f>
        <v>1.7120179889182412E-4</v>
      </c>
    </row>
    <row r="10" spans="1:12" x14ac:dyDescent="0.3">
      <c r="A10" t="s">
        <v>126</v>
      </c>
      <c r="C10" s="78">
        <f>NPV_Baseline!E10</f>
        <v>46.224485700792506</v>
      </c>
      <c r="D10" s="78"/>
      <c r="E10" s="78">
        <f>NPV_Baseline!C10</f>
        <v>46.224485700792506</v>
      </c>
      <c r="F10" s="78"/>
      <c r="G10" s="36">
        <f>NPV_Baseline!E10</f>
        <v>46.224485700792506</v>
      </c>
      <c r="K10" s="2" t="s">
        <v>140</v>
      </c>
    </row>
    <row r="11" spans="1:12" x14ac:dyDescent="0.3">
      <c r="A11" t="s">
        <v>127</v>
      </c>
      <c r="C11" s="78">
        <f>NPV_Baseline!E11</f>
        <v>1.7120179889182412E-4</v>
      </c>
      <c r="D11" s="78"/>
      <c r="E11" s="78">
        <f>NPV_Baseline!C11</f>
        <v>1.7120179889182412E-4</v>
      </c>
      <c r="F11" s="78"/>
      <c r="G11" s="36">
        <f>NPV_Baseline!E11</f>
        <v>1.7120179889182412E-4</v>
      </c>
      <c r="K11" t="s">
        <v>141</v>
      </c>
      <c r="L11">
        <v>5</v>
      </c>
    </row>
    <row r="12" spans="1:12" x14ac:dyDescent="0.3">
      <c r="A12" t="s">
        <v>128</v>
      </c>
      <c r="C12" s="78">
        <f>L14*L17</f>
        <v>1934.2744613963771</v>
      </c>
      <c r="D12" s="78"/>
      <c r="E12" s="78">
        <f>NPV_Baseline!C12</f>
        <v>0</v>
      </c>
      <c r="F12" s="78"/>
      <c r="G12" s="36">
        <f>NPV_Baseline!E12</f>
        <v>0</v>
      </c>
      <c r="K12" t="s">
        <v>142</v>
      </c>
      <c r="L12">
        <v>0.17</v>
      </c>
    </row>
    <row r="13" spans="1:12" x14ac:dyDescent="0.3">
      <c r="C13" s="79"/>
      <c r="D13" s="79"/>
      <c r="E13" s="79"/>
      <c r="F13" s="79"/>
    </row>
    <row r="14" spans="1:12" x14ac:dyDescent="0.3">
      <c r="A14" s="2" t="s">
        <v>10</v>
      </c>
      <c r="C14" s="78">
        <f>SUM(C8:C12)</f>
        <v>2454.6961028008445</v>
      </c>
      <c r="D14" s="78"/>
      <c r="E14" s="78">
        <f>SUM(E8:E12)</f>
        <v>212.14019283572898</v>
      </c>
      <c r="F14" s="78"/>
      <c r="G14" s="36">
        <f>SUM(G8:G12)</f>
        <v>520.42164140446721</v>
      </c>
      <c r="K14" t="s">
        <v>143</v>
      </c>
      <c r="L14">
        <f>[2]All!$M$4</f>
        <v>1470.3</v>
      </c>
    </row>
    <row r="15" spans="1:12" x14ac:dyDescent="0.3">
      <c r="C15" s="79"/>
      <c r="D15" s="79"/>
      <c r="E15" s="79"/>
      <c r="F15" s="79"/>
      <c r="K15" t="s">
        <v>144</v>
      </c>
      <c r="L15">
        <f>[2]All!$T$12/L14</f>
        <v>0</v>
      </c>
    </row>
    <row r="16" spans="1:12" x14ac:dyDescent="0.3">
      <c r="A16" t="s">
        <v>129</v>
      </c>
      <c r="C16" s="78">
        <f>C5-C14</f>
        <v>-542.39879553062951</v>
      </c>
      <c r="D16" s="78"/>
      <c r="E16" s="78">
        <f>E5-E14</f>
        <v>99.544787348622009</v>
      </c>
      <c r="F16" s="78"/>
      <c r="G16" s="36">
        <f>G5-G14</f>
        <v>1391.8756658657478</v>
      </c>
    </row>
    <row r="17" spans="1:12" x14ac:dyDescent="0.3">
      <c r="C17" s="78">
        <f>C5-C14</f>
        <v>-542.39879553062951</v>
      </c>
      <c r="D17" s="78"/>
      <c r="E17" s="78">
        <f>E5-E14</f>
        <v>99.544787348622009</v>
      </c>
      <c r="F17" s="78"/>
      <c r="G17" s="36">
        <f>G5-G14</f>
        <v>1391.8756658657478</v>
      </c>
      <c r="K17" t="s">
        <v>48</v>
      </c>
      <c r="L17" s="21">
        <f>[4]Sheet1!$B$7</f>
        <v>1.3155644843884766</v>
      </c>
    </row>
    <row r="18" spans="1:12" x14ac:dyDescent="0.3">
      <c r="C18" s="78">
        <f>C5-C14</f>
        <v>-542.39879553062951</v>
      </c>
      <c r="D18" s="78"/>
      <c r="E18" s="78">
        <f>E5-E14</f>
        <v>99.544787348622009</v>
      </c>
      <c r="F18" s="78"/>
      <c r="G18" s="36">
        <f>G5-G14</f>
        <v>1391.8756658657478</v>
      </c>
    </row>
    <row r="19" spans="1:12" x14ac:dyDescent="0.3">
      <c r="C19" s="78">
        <f>C5-C14</f>
        <v>-542.39879553062951</v>
      </c>
      <c r="D19" s="78"/>
      <c r="E19" s="78">
        <f>E5-E14</f>
        <v>99.544787348622009</v>
      </c>
      <c r="F19" s="78"/>
      <c r="G19" s="36">
        <f>G5-G14</f>
        <v>1391.8756658657478</v>
      </c>
    </row>
    <row r="20" spans="1:12" x14ac:dyDescent="0.3">
      <c r="C20" s="78">
        <f>C5-C14</f>
        <v>-542.39879553062951</v>
      </c>
      <c r="D20" s="78"/>
      <c r="E20" s="78">
        <f>E5-E14</f>
        <v>99.544787348622009</v>
      </c>
      <c r="F20" s="78"/>
      <c r="G20" s="36">
        <f>G5-G14</f>
        <v>1391.8756658657478</v>
      </c>
    </row>
    <row r="21" spans="1:12" x14ac:dyDescent="0.3">
      <c r="C21" s="78">
        <f>C5-C14</f>
        <v>-542.39879553062951</v>
      </c>
      <c r="D21" s="78"/>
      <c r="E21" s="78">
        <f>E5-E14</f>
        <v>99.544787348622009</v>
      </c>
      <c r="F21" s="78"/>
      <c r="G21" s="36">
        <f>G5-G14</f>
        <v>1391.8756658657478</v>
      </c>
    </row>
    <row r="22" spans="1:12" x14ac:dyDescent="0.3">
      <c r="A22" s="2" t="s">
        <v>11</v>
      </c>
      <c r="C22" s="78">
        <f>NPV(L12,C16:C20)/L11</f>
        <v>-347.06430102997354</v>
      </c>
      <c r="D22" s="78"/>
      <c r="E22" s="78">
        <f>NPV(L12,E16:E20)/L11</f>
        <v>63.69564668470192</v>
      </c>
      <c r="F22" s="78"/>
      <c r="G22" s="36">
        <f>NPV(L12,G18:I21:G20)/L11</f>
        <v>763.64841134344829</v>
      </c>
    </row>
    <row r="23" spans="1:12" x14ac:dyDescent="0.3">
      <c r="C23" s="79"/>
      <c r="D23" s="79"/>
      <c r="E23" s="79"/>
      <c r="F23" s="79"/>
    </row>
    <row r="24" spans="1:12" x14ac:dyDescent="0.3">
      <c r="C24" s="75" t="s">
        <v>145</v>
      </c>
      <c r="D24" s="75"/>
      <c r="E24" s="75"/>
      <c r="F24" s="75"/>
      <c r="G24" s="75"/>
      <c r="K24" s="2" t="s">
        <v>146</v>
      </c>
    </row>
    <row r="25" spans="1:12" x14ac:dyDescent="0.3">
      <c r="A25" t="s">
        <v>15</v>
      </c>
      <c r="C25" s="78">
        <f>L41*L17</f>
        <v>289.42418656546488</v>
      </c>
      <c r="D25" s="78"/>
      <c r="E25" s="78">
        <f>L41*L17</f>
        <v>289.42418656546488</v>
      </c>
      <c r="F25" s="78"/>
      <c r="G25" s="64">
        <f>L43*L17</f>
        <v>645.94216183474202</v>
      </c>
      <c r="K25" t="s">
        <v>147</v>
      </c>
      <c r="L25">
        <f>[5]Sheet1!$B$5</f>
        <v>28</v>
      </c>
    </row>
    <row r="26" spans="1:12" x14ac:dyDescent="0.3">
      <c r="A26" t="s">
        <v>110</v>
      </c>
      <c r="C26" s="78">
        <f>(((1/1000)*(1/L29)*[3]feeding_change_data!$F$25/L38))</f>
        <v>0.30127591737833165</v>
      </c>
      <c r="D26" s="78"/>
      <c r="E26" s="78">
        <f>(((1/1000)*(1/L29)*[3]feeding_change_data!$F$19/L38))</f>
        <v>4.4733569418798108E-2</v>
      </c>
      <c r="F26" s="78"/>
      <c r="G26" s="64">
        <f>(((1/1000)*(1/L29)*[3]feeding_change_data!$F$22/L38))</f>
        <v>0.23798223810411073</v>
      </c>
    </row>
    <row r="27" spans="1:12" x14ac:dyDescent="0.3">
      <c r="A27" t="s">
        <v>148</v>
      </c>
      <c r="C27" s="78">
        <f>(((1/1000)*(1/L30)*[3]feeding_change_data_pasture!$F$25/L39))</f>
        <v>0.34019501065727548</v>
      </c>
      <c r="D27" s="78"/>
      <c r="E27" s="78">
        <f>(((1/1000)*(1/L30)*[3]feeding_change_data_pasture!$F$19/L39))</f>
        <v>-0.21698681915750223</v>
      </c>
      <c r="F27" s="78"/>
      <c r="G27" s="64">
        <f>(((1/1000)*(1/L30)*[3]feeding_change_data_pasture!$F$22/L39))</f>
        <v>-0.12472888407224345</v>
      </c>
    </row>
    <row r="28" spans="1:12" x14ac:dyDescent="0.3">
      <c r="C28" s="78">
        <f>SUM(C26:D27)</f>
        <v>0.64147092803560712</v>
      </c>
      <c r="D28" s="78"/>
      <c r="E28" s="78">
        <f>SUM(E26:E27)</f>
        <v>-0.17225324973870412</v>
      </c>
      <c r="F28" s="78"/>
      <c r="G28" s="72">
        <f t="shared" ref="G28" si="2">SUM(G26:H27)</f>
        <v>0.11325335403186729</v>
      </c>
    </row>
    <row r="29" spans="1:12" x14ac:dyDescent="0.3">
      <c r="A29" t="s">
        <v>149</v>
      </c>
      <c r="C29" s="78">
        <f>L25*(C26+C27)</f>
        <v>17.961185984996998</v>
      </c>
      <c r="D29" s="78"/>
      <c r="E29" s="78">
        <f>L25*(E26+E27)</f>
        <v>-4.8230909926837153</v>
      </c>
      <c r="F29" s="78"/>
      <c r="G29" s="64">
        <f>L25*(G26+G27)</f>
        <v>3.1710939128922839</v>
      </c>
      <c r="K29" t="s">
        <v>150</v>
      </c>
      <c r="L29">
        <f>[5]Sheet1!$B$6</f>
        <v>0.75</v>
      </c>
    </row>
    <row r="30" spans="1:12" x14ac:dyDescent="0.3">
      <c r="A30" t="s">
        <v>16</v>
      </c>
      <c r="C30" s="78">
        <f>(C26+C27)*C25+C29</f>
        <v>203.61838753709645</v>
      </c>
      <c r="D30" s="78"/>
      <c r="E30" s="78">
        <f>(E26+E27)*E25+E29</f>
        <v>-54.677347681566033</v>
      </c>
      <c r="F30" s="78"/>
      <c r="G30" s="64">
        <f>(G26+G27)*G25+G29</f>
        <v>76.326210251272045</v>
      </c>
      <c r="K30" t="s">
        <v>151</v>
      </c>
      <c r="L30">
        <v>0.5</v>
      </c>
    </row>
    <row r="31" spans="1:12" x14ac:dyDescent="0.3">
      <c r="C31" s="79"/>
      <c r="D31" s="79"/>
      <c r="E31" s="79"/>
      <c r="F31" s="79"/>
      <c r="G31" s="59"/>
    </row>
    <row r="32" spans="1:12" x14ac:dyDescent="0.3">
      <c r="C32" s="79"/>
      <c r="D32" s="79"/>
      <c r="E32" s="79"/>
      <c r="F32" s="79"/>
      <c r="G32" s="59"/>
      <c r="K32" t="s">
        <v>47</v>
      </c>
      <c r="L32">
        <f>7.5</f>
        <v>7.5</v>
      </c>
    </row>
    <row r="33" spans="1:12" x14ac:dyDescent="0.3">
      <c r="A33" t="s">
        <v>97</v>
      </c>
      <c r="C33" s="78">
        <f>C22</f>
        <v>-347.06430102997354</v>
      </c>
      <c r="D33" s="78"/>
      <c r="E33" s="78">
        <f>E22</f>
        <v>63.69564668470192</v>
      </c>
      <c r="F33" s="78"/>
      <c r="G33" s="64">
        <f>G22</f>
        <v>763.64841134344829</v>
      </c>
      <c r="K33" t="s">
        <v>47</v>
      </c>
      <c r="L33">
        <f>20</f>
        <v>20</v>
      </c>
    </row>
    <row r="34" spans="1:12" x14ac:dyDescent="0.3">
      <c r="A34" t="s">
        <v>14</v>
      </c>
      <c r="C34" s="78">
        <f>C33-[1]NPV_Baseline!C33</f>
        <v>-449.44628038132311</v>
      </c>
      <c r="D34" s="78"/>
      <c r="E34" s="78">
        <f>E33-[1]NPV_Baseline!E33</f>
        <v>-95.914978210113162</v>
      </c>
      <c r="F34" s="78"/>
      <c r="G34" s="64">
        <f>G33-[1]NPV_Baseline!E33</f>
        <v>604.03778644863314</v>
      </c>
    </row>
    <row r="35" spans="1:12" x14ac:dyDescent="0.3">
      <c r="C35" s="79"/>
      <c r="D35" s="79"/>
      <c r="E35" s="79"/>
      <c r="F35" s="79"/>
      <c r="K35" t="s">
        <v>50</v>
      </c>
      <c r="L35" s="21">
        <f>0.25*L17</f>
        <v>0.32889112109711915</v>
      </c>
    </row>
    <row r="36" spans="1:12" x14ac:dyDescent="0.3">
      <c r="A36" s="75" t="s">
        <v>132</v>
      </c>
      <c r="B36" s="75"/>
      <c r="C36" s="75"/>
      <c r="D36" s="75"/>
      <c r="E36" s="75"/>
      <c r="F36" s="75"/>
      <c r="G36" s="75"/>
      <c r="K36" t="s">
        <v>49</v>
      </c>
      <c r="L36" s="21">
        <f>0.21*L17</f>
        <v>0.27626854172158005</v>
      </c>
    </row>
    <row r="37" spans="1:12" x14ac:dyDescent="0.3">
      <c r="A37" s="79" t="s">
        <v>133</v>
      </c>
      <c r="B37" s="79"/>
      <c r="C37" s="79"/>
      <c r="D37" s="79"/>
      <c r="E37" s="79"/>
      <c r="F37" s="79"/>
      <c r="G37" s="79"/>
    </row>
    <row r="38" spans="1:12" x14ac:dyDescent="0.3">
      <c r="A38" t="s">
        <v>30</v>
      </c>
      <c r="C38" s="74">
        <f>NPV_Baseline!E42</f>
        <v>0.11984125922427689</v>
      </c>
      <c r="D38" s="74"/>
      <c r="E38" s="74">
        <f>NPV_Baseline!C42</f>
        <v>3.4240359778364822E-2</v>
      </c>
      <c r="F38" s="74"/>
      <c r="G38" s="63">
        <f>NPV_Baseline!E42</f>
        <v>0.11984125922427689</v>
      </c>
      <c r="K38" t="s">
        <v>51</v>
      </c>
      <c r="L38">
        <v>13</v>
      </c>
    </row>
    <row r="39" spans="1:12" x14ac:dyDescent="0.3">
      <c r="C39" s="79"/>
      <c r="D39" s="79"/>
      <c r="E39" s="79"/>
      <c r="F39" s="79"/>
      <c r="K39" t="s">
        <v>111</v>
      </c>
      <c r="L39">
        <v>5</v>
      </c>
    </row>
    <row r="40" spans="1:12" x14ac:dyDescent="0.3">
      <c r="A40" t="s">
        <v>6</v>
      </c>
      <c r="C40" s="78">
        <f>C8*0.2</f>
        <v>94.839362660015382</v>
      </c>
      <c r="D40" s="78"/>
      <c r="E40" s="78">
        <f>E8*0.2</f>
        <v>33.183072946267743</v>
      </c>
      <c r="F40" s="78"/>
      <c r="G40" s="36">
        <f>G8*0.2</f>
        <v>94.839362660015382</v>
      </c>
    </row>
    <row r="41" spans="1:12" x14ac:dyDescent="0.3">
      <c r="A41" t="s">
        <v>7</v>
      </c>
      <c r="C41" s="78">
        <f>NPV_Baseline!E45</f>
        <v>1.7120179889182412E-4</v>
      </c>
      <c r="D41" s="78"/>
      <c r="E41" s="78">
        <f>NPV_Baseline!C45</f>
        <v>1.7120179889182412E-4</v>
      </c>
      <c r="F41" s="78"/>
      <c r="G41" s="36">
        <f>NPV_Baseline!E45</f>
        <v>1.7120179889182412E-4</v>
      </c>
      <c r="K41" t="s">
        <v>63</v>
      </c>
      <c r="L41" s="61">
        <f>[2]All!$N$3</f>
        <v>220</v>
      </c>
    </row>
    <row r="42" spans="1:12" x14ac:dyDescent="0.3">
      <c r="A42" t="s">
        <v>8</v>
      </c>
      <c r="C42" s="78">
        <f>NPV_Baseline!E46</f>
        <v>34.783524967231322</v>
      </c>
      <c r="D42" s="78"/>
      <c r="E42" s="78">
        <f>NPV_Baseline!C46</f>
        <v>17.873467804306419</v>
      </c>
      <c r="F42" s="78"/>
      <c r="G42" s="36">
        <f>NPV_Baseline!E46</f>
        <v>34.783524967231322</v>
      </c>
      <c r="K42" t="s">
        <v>45</v>
      </c>
      <c r="L42" s="21">
        <f>[2]All!$U$3/L41</f>
        <v>0.70499999999999996</v>
      </c>
    </row>
    <row r="43" spans="1:12" x14ac:dyDescent="0.3">
      <c r="A43" t="s">
        <v>13</v>
      </c>
      <c r="C43" s="78">
        <f>NPV_Baseline!E47</f>
        <v>9.472064287597032</v>
      </c>
      <c r="D43" s="78"/>
      <c r="E43" s="78">
        <f>NPV_Baseline!C47</f>
        <v>1.7120179889182413E-5</v>
      </c>
      <c r="F43" s="78"/>
      <c r="G43" s="36">
        <f>NPV_Baseline!E47</f>
        <v>9.472064287597032</v>
      </c>
      <c r="K43" t="s">
        <v>64</v>
      </c>
      <c r="L43" s="61">
        <f>[2]All!$N$4</f>
        <v>491</v>
      </c>
    </row>
    <row r="44" spans="1:12" x14ac:dyDescent="0.3">
      <c r="A44" t="s">
        <v>9</v>
      </c>
      <c r="C44" s="78">
        <f>NPV_Baseline!E48</f>
        <v>0</v>
      </c>
      <c r="D44" s="78"/>
      <c r="E44" s="78">
        <f>NPV_Baseline!C48</f>
        <v>0</v>
      </c>
      <c r="F44" s="78"/>
      <c r="G44" s="36">
        <f>NPV_Baseline!E48</f>
        <v>0</v>
      </c>
      <c r="K44" t="s">
        <v>45</v>
      </c>
      <c r="L44" s="21">
        <f>[2]All!$U$4/L43</f>
        <v>0.35336048879837068</v>
      </c>
    </row>
    <row r="45" spans="1:12" x14ac:dyDescent="0.3">
      <c r="A45" t="s">
        <v>31</v>
      </c>
      <c r="C45" s="78">
        <f>(C26*L32+C27*L33)/100</f>
        <v>9.0634695934829979E-2</v>
      </c>
      <c r="D45" s="78"/>
      <c r="E45" s="78">
        <f>(E26*L32+E27*L33)/100</f>
        <v>-4.004234612509059E-2</v>
      </c>
      <c r="F45" s="78"/>
      <c r="G45" s="36">
        <f>(G26*L32+G27*L33)/100</f>
        <v>-7.0971089566403854E-3</v>
      </c>
    </row>
    <row r="46" spans="1:12" x14ac:dyDescent="0.3">
      <c r="A46" t="s">
        <v>32</v>
      </c>
      <c r="C46" s="78">
        <f>C25*L42</f>
        <v>204.04405152865272</v>
      </c>
      <c r="D46" s="78"/>
      <c r="E46" s="78">
        <f>E25*L42</f>
        <v>204.04405152865272</v>
      </c>
      <c r="F46" s="78"/>
      <c r="G46" s="36">
        <f>G25*L44</f>
        <v>228.25043804140068</v>
      </c>
    </row>
    <row r="47" spans="1:12" x14ac:dyDescent="0.3">
      <c r="C47" s="79"/>
      <c r="D47" s="79"/>
      <c r="E47" s="79"/>
      <c r="F47" s="79"/>
    </row>
    <row r="48" spans="1:12" x14ac:dyDescent="0.3">
      <c r="B48" s="2" t="s">
        <v>134</v>
      </c>
    </row>
    <row r="49" spans="1:7" x14ac:dyDescent="0.3">
      <c r="A49" t="s">
        <v>18</v>
      </c>
      <c r="C49" s="74">
        <f ca="1">_xlfn.NORM.INV(RAND(),C3,C38)</f>
        <v>0.56133241057231431</v>
      </c>
      <c r="D49" s="74"/>
      <c r="E49" s="74">
        <f ca="1">_xlfn.NORM.INV(RAND(),E3,E38)</f>
        <v>0.49464870298492852</v>
      </c>
      <c r="F49" s="74"/>
      <c r="G49" s="62">
        <f ca="1">_xlfn.NORM.INV(RAND(),G3,G38)</f>
        <v>0.42782153956712676</v>
      </c>
    </row>
    <row r="50" spans="1:7" x14ac:dyDescent="0.3">
      <c r="C50" s="79"/>
      <c r="D50" s="79"/>
      <c r="E50" s="79"/>
      <c r="F50" s="79"/>
      <c r="G50" s="59"/>
    </row>
    <row r="51" spans="1:7" x14ac:dyDescent="0.3">
      <c r="A51" t="s">
        <v>19</v>
      </c>
      <c r="C51" s="78">
        <f ca="1">_xlfn.NORM.INV(RAND(),C8,C40)</f>
        <v>580.63700011343451</v>
      </c>
      <c r="D51" s="78"/>
      <c r="E51" s="78">
        <f ca="1">_xlfn.NORM.INV(RAND(),E8,E40)</f>
        <v>167.47991912451005</v>
      </c>
      <c r="F51" s="78"/>
      <c r="G51" s="64">
        <f ca="1">_xlfn.NORM.INV(RAND(),G8,G40)</f>
        <v>296.33676469880481</v>
      </c>
    </row>
    <row r="52" spans="1:7" x14ac:dyDescent="0.3">
      <c r="A52" t="s">
        <v>7</v>
      </c>
      <c r="C52" s="78">
        <f ca="1">_xlfn.NORM.INV(RAND(),C9,C41)</f>
        <v>8.9272791998695544E-5</v>
      </c>
      <c r="D52" s="78"/>
      <c r="E52" s="78">
        <f ca="1">_xlfn.NORM.INV(RAND(),E9,E41)</f>
        <v>3.4736838118660704E-4</v>
      </c>
      <c r="F52" s="78"/>
      <c r="G52" s="64">
        <f ca="1">_xlfn.NORM.INV(RAND(),G9,G41)</f>
        <v>4.0855863252386955E-4</v>
      </c>
    </row>
    <row r="53" spans="1:7" x14ac:dyDescent="0.3">
      <c r="A53" t="s">
        <v>8</v>
      </c>
      <c r="C53" s="78">
        <f ca="1">_xlfn.NORM.INV(RAND(),C10,C42)</f>
        <v>11.670741031541205</v>
      </c>
      <c r="D53" s="78"/>
      <c r="E53" s="78">
        <f ca="1">_xlfn.NORM.INV(RAND(),E10,E42)</f>
        <v>49.195427366509278</v>
      </c>
      <c r="F53" s="78"/>
      <c r="G53" s="64">
        <f ca="1">_xlfn.NORM.INV(RAND(),G10,G42)</f>
        <v>34.479549266038269</v>
      </c>
    </row>
    <row r="54" spans="1:7" x14ac:dyDescent="0.3">
      <c r="A54" t="s">
        <v>21</v>
      </c>
      <c r="C54" s="78">
        <f ca="1">_xlfn.NORM.INV(RAND(),C11,C43)</f>
        <v>0.56728046355606454</v>
      </c>
      <c r="D54" s="78"/>
      <c r="E54" s="78">
        <f ca="1">_xlfn.NORM.INV(RAND(),E11,E43)</f>
        <v>1.7755498840718088E-4</v>
      </c>
      <c r="F54" s="78"/>
      <c r="G54" s="64">
        <f ca="1">_xlfn.NORM.INV(RAND(),G11,G43)</f>
        <v>4.9869037828735268</v>
      </c>
    </row>
    <row r="55" spans="1:7" x14ac:dyDescent="0.3">
      <c r="A55" t="s">
        <v>9</v>
      </c>
      <c r="C55" s="78">
        <v>1E-4</v>
      </c>
      <c r="D55" s="78"/>
      <c r="E55" s="78">
        <v>1E-4</v>
      </c>
      <c r="F55" s="78"/>
      <c r="G55" s="64">
        <v>1E-4</v>
      </c>
    </row>
    <row r="56" spans="1:7" x14ac:dyDescent="0.3">
      <c r="A56" t="s">
        <v>31</v>
      </c>
      <c r="C56" s="78">
        <f ca="1">_xlfn.NORM.INV(RAND(),C26+C27,C45)</f>
        <v>0.63295799484864979</v>
      </c>
      <c r="D56" s="78"/>
      <c r="E56" s="78">
        <f ca="1">_xlfn.NORM.INV(RAND(),E26+ABS(E27),ABS(E45))</f>
        <v>0.24880784440695292</v>
      </c>
      <c r="F56" s="78"/>
      <c r="G56" s="64">
        <f ca="1">_xlfn.NORM.INV(RAND(),ABS(G26+G27),ABS(G45))</f>
        <v>0.1154061787281757</v>
      </c>
    </row>
    <row r="57" spans="1:7" x14ac:dyDescent="0.3">
      <c r="A57" t="s">
        <v>32</v>
      </c>
      <c r="C57" s="78">
        <f ca="1">_xlfn.NORM.INV(RAND(),C25,C46)</f>
        <v>231.20522105000259</v>
      </c>
      <c r="D57" s="78"/>
      <c r="E57" s="78">
        <f ca="1">_xlfn.NORM.INV(RAND(),E25,E46)</f>
        <v>24.415612138428969</v>
      </c>
      <c r="F57" s="78"/>
      <c r="G57" s="64">
        <f ca="1">_xlfn.NORM.INV(RAND(),G25,G46)</f>
        <v>999.73360570003729</v>
      </c>
    </row>
    <row r="58" spans="1:7" x14ac:dyDescent="0.3">
      <c r="C58" s="78"/>
      <c r="D58" s="78"/>
      <c r="E58" s="78"/>
      <c r="F58" s="78"/>
      <c r="G58" s="64"/>
    </row>
    <row r="59" spans="1:7" x14ac:dyDescent="0.3">
      <c r="A59" t="s">
        <v>33</v>
      </c>
      <c r="C59" s="78">
        <f ca="1">SUM(C51:C55)</f>
        <v>592.87521088132371</v>
      </c>
      <c r="D59" s="78"/>
      <c r="E59" s="78">
        <f ca="1">SUM(E51:E55)</f>
        <v>216.67597141438893</v>
      </c>
      <c r="F59" s="78"/>
      <c r="G59" s="64">
        <f ca="1">SUM(G51:G55)</f>
        <v>335.80372630634906</v>
      </c>
    </row>
    <row r="60" spans="1:7" x14ac:dyDescent="0.3">
      <c r="A60" t="s">
        <v>107</v>
      </c>
      <c r="C60" s="78">
        <f ca="1">C56*C57</f>
        <v>146.34319311434848</v>
      </c>
      <c r="D60" s="78"/>
      <c r="E60" s="78">
        <f t="shared" ref="E60" ca="1" si="3">E56*E57</f>
        <v>6.0747958260387458</v>
      </c>
      <c r="F60" s="78"/>
      <c r="G60" s="64">
        <f ca="1">G56*G57</f>
        <v>115.37543517998203</v>
      </c>
    </row>
    <row r="61" spans="1:7" x14ac:dyDescent="0.3">
      <c r="C61" s="78"/>
      <c r="D61" s="78"/>
      <c r="E61" s="78"/>
      <c r="F61" s="78"/>
      <c r="G61" s="64"/>
    </row>
    <row r="62" spans="1:7" x14ac:dyDescent="0.3">
      <c r="A62" s="2" t="s">
        <v>97</v>
      </c>
      <c r="C62" s="78">
        <f ca="1">C49*C4-C59-C60</f>
        <v>1138.0082557615003</v>
      </c>
      <c r="D62" s="78"/>
      <c r="E62" s="78">
        <f ca="1">E49*E4-E59-E60</f>
        <v>76.820841992382526</v>
      </c>
      <c r="F62" s="78"/>
      <c r="G62" s="64">
        <f ca="1">G49*G4-G59-G60</f>
        <v>979.55596901314982</v>
      </c>
    </row>
    <row r="63" spans="1:7" x14ac:dyDescent="0.3">
      <c r="A63" s="2"/>
      <c r="C63" s="78"/>
      <c r="D63" s="78"/>
      <c r="E63" s="78"/>
      <c r="F63" s="78"/>
      <c r="G63" s="64"/>
    </row>
    <row r="64" spans="1:7" x14ac:dyDescent="0.3">
      <c r="A64" s="2" t="s">
        <v>11</v>
      </c>
      <c r="C64" s="78">
        <f ca="1">NPV(L12,C62*5)/L11</f>
        <v>972.65662885598317</v>
      </c>
      <c r="D64" s="78"/>
      <c r="E64" s="78">
        <f ca="1">NPV(L12,E62*5)/L11</f>
        <v>65.658839309728648</v>
      </c>
      <c r="F64" s="78"/>
      <c r="G64" s="64">
        <f ca="1">NPV(L12,G62*5)/L11</f>
        <v>837.22732394286322</v>
      </c>
    </row>
    <row r="65" spans="1:7" x14ac:dyDescent="0.3">
      <c r="A65" s="2"/>
      <c r="C65" s="78"/>
      <c r="D65" s="78"/>
      <c r="E65" s="78"/>
      <c r="F65" s="78"/>
      <c r="G65" s="64"/>
    </row>
    <row r="66" spans="1:7" x14ac:dyDescent="0.3">
      <c r="A66" s="2" t="s">
        <v>22</v>
      </c>
      <c r="C66" s="78">
        <f ca="1">AVERAGE(C70:C569)</f>
        <v>898.84842142070829</v>
      </c>
      <c r="D66" s="78"/>
      <c r="E66" s="78">
        <f ca="1">AVERAGE(E70:E569)</f>
        <v>6.4017633326702938</v>
      </c>
      <c r="F66" s="78"/>
      <c r="G66" s="64">
        <f ca="1">AVERAGE(G70:G569)</f>
        <v>946.20743990161839</v>
      </c>
    </row>
    <row r="67" spans="1:7" x14ac:dyDescent="0.3">
      <c r="A67" s="2" t="s">
        <v>20</v>
      </c>
      <c r="C67" s="78">
        <f ca="1">STDEVA(C70:C569)</f>
        <v>314.70051264256352</v>
      </c>
      <c r="D67" s="78"/>
      <c r="E67" s="78">
        <f t="shared" ref="E67" ca="1" si="4">STDEVA(E70:E569)</f>
        <v>26.452367731094434</v>
      </c>
      <c r="F67" s="78"/>
      <c r="G67" s="64">
        <f ca="1">STDEVA(G70:G569)</f>
        <v>285.15126574697467</v>
      </c>
    </row>
    <row r="68" spans="1:7" x14ac:dyDescent="0.3">
      <c r="A68" s="2"/>
      <c r="C68" s="79"/>
      <c r="D68" s="79"/>
      <c r="E68" s="79"/>
      <c r="F68" s="79"/>
    </row>
    <row r="69" spans="1:7" x14ac:dyDescent="0.3">
      <c r="A69" s="2" t="s">
        <v>152</v>
      </c>
      <c r="C69" s="79"/>
      <c r="D69" s="79"/>
      <c r="E69" s="79"/>
      <c r="F69" s="79"/>
    </row>
    <row r="70" spans="1:7" x14ac:dyDescent="0.3">
      <c r="B70">
        <v>1</v>
      </c>
      <c r="C70" s="36">
        <f ca="1">C64</f>
        <v>972.65662885598317</v>
      </c>
      <c r="D70">
        <v>1</v>
      </c>
      <c r="E70" s="36">
        <f ca="1">E64</f>
        <v>65.658839309728648</v>
      </c>
      <c r="F70">
        <v>1</v>
      </c>
      <c r="G70" s="36">
        <f ca="1">G64</f>
        <v>837.22732394286322</v>
      </c>
    </row>
    <row r="71" spans="1:7" x14ac:dyDescent="0.3">
      <c r="B71">
        <v>2</v>
      </c>
      <c r="C71" s="36">
        <v>707.88840906720384</v>
      </c>
      <c r="D71">
        <v>2</v>
      </c>
      <c r="E71" s="36">
        <v>28.806659002733994</v>
      </c>
      <c r="F71">
        <v>2</v>
      </c>
      <c r="G71" s="36">
        <v>1014.2291412637121</v>
      </c>
    </row>
    <row r="72" spans="1:7" x14ac:dyDescent="0.3">
      <c r="B72">
        <v>3</v>
      </c>
      <c r="C72" s="36">
        <v>1374.9138148690067</v>
      </c>
      <c r="D72">
        <v>3</v>
      </c>
      <c r="E72" s="36">
        <v>-0.58582997748964183</v>
      </c>
      <c r="F72">
        <v>3</v>
      </c>
      <c r="G72" s="36">
        <v>1080.8217218282134</v>
      </c>
    </row>
    <row r="73" spans="1:7" x14ac:dyDescent="0.3">
      <c r="B73">
        <v>4</v>
      </c>
      <c r="C73" s="36">
        <v>512.66755501554508</v>
      </c>
      <c r="D73">
        <v>4</v>
      </c>
      <c r="E73" s="36">
        <v>21.112479299518487</v>
      </c>
      <c r="F73">
        <v>4</v>
      </c>
      <c r="G73" s="36">
        <v>979.39895996095913</v>
      </c>
    </row>
    <row r="74" spans="1:7" x14ac:dyDescent="0.3">
      <c r="B74">
        <v>5</v>
      </c>
      <c r="C74" s="36">
        <v>1553.6215041255828</v>
      </c>
      <c r="D74">
        <v>5</v>
      </c>
      <c r="E74" s="36">
        <v>-7.3748447954331242</v>
      </c>
      <c r="F74">
        <v>5</v>
      </c>
      <c r="G74" s="36">
        <v>1168.2398876393856</v>
      </c>
    </row>
    <row r="75" spans="1:7" x14ac:dyDescent="0.3">
      <c r="B75">
        <v>6</v>
      </c>
      <c r="C75" s="36">
        <v>958.28187453807607</v>
      </c>
      <c r="D75">
        <v>6</v>
      </c>
      <c r="E75" s="36">
        <v>-32.031469240705015</v>
      </c>
      <c r="F75">
        <v>6</v>
      </c>
      <c r="G75" s="36">
        <v>1397.9772094004597</v>
      </c>
    </row>
    <row r="76" spans="1:7" x14ac:dyDescent="0.3">
      <c r="B76">
        <v>7</v>
      </c>
      <c r="C76" s="36">
        <v>970.42464604096313</v>
      </c>
      <c r="D76">
        <v>7</v>
      </c>
      <c r="E76" s="36">
        <v>-0.74846859926802245</v>
      </c>
      <c r="F76">
        <v>7</v>
      </c>
      <c r="G76" s="36">
        <v>1248.6519098095941</v>
      </c>
    </row>
    <row r="77" spans="1:7" x14ac:dyDescent="0.3">
      <c r="B77">
        <v>8</v>
      </c>
      <c r="C77" s="36">
        <v>765.89572398433097</v>
      </c>
      <c r="D77">
        <v>8</v>
      </c>
      <c r="E77" s="36">
        <v>-2.1465775638353497</v>
      </c>
      <c r="F77">
        <v>8</v>
      </c>
      <c r="G77" s="36">
        <v>573.18064669742967</v>
      </c>
    </row>
    <row r="78" spans="1:7" x14ac:dyDescent="0.3">
      <c r="B78">
        <v>9</v>
      </c>
      <c r="C78" s="36">
        <v>1045.1448240414622</v>
      </c>
      <c r="D78">
        <v>9</v>
      </c>
      <c r="E78" s="36">
        <v>12.85068310538262</v>
      </c>
      <c r="F78">
        <v>9</v>
      </c>
      <c r="G78" s="36">
        <v>1207.6671897027977</v>
      </c>
    </row>
    <row r="79" spans="1:7" x14ac:dyDescent="0.3">
      <c r="B79">
        <v>10</v>
      </c>
      <c r="C79" s="36">
        <v>297.67818893100622</v>
      </c>
      <c r="D79">
        <v>10</v>
      </c>
      <c r="E79" s="36">
        <v>5.8517181437931409</v>
      </c>
      <c r="F79">
        <v>10</v>
      </c>
      <c r="G79" s="36">
        <v>893.11375352773416</v>
      </c>
    </row>
    <row r="80" spans="1:7" x14ac:dyDescent="0.3">
      <c r="B80">
        <v>11</v>
      </c>
      <c r="C80" s="36">
        <v>621.53540008377979</v>
      </c>
      <c r="D80">
        <v>11</v>
      </c>
      <c r="E80" s="36">
        <v>11.142027449716704</v>
      </c>
      <c r="F80">
        <v>11</v>
      </c>
      <c r="G80" s="36">
        <v>770.84921554058394</v>
      </c>
    </row>
    <row r="81" spans="2:7" x14ac:dyDescent="0.3">
      <c r="B81">
        <v>12</v>
      </c>
      <c r="C81" s="36">
        <v>1160.9528960704954</v>
      </c>
      <c r="D81">
        <v>12</v>
      </c>
      <c r="E81" s="36">
        <v>-16.652020010646815</v>
      </c>
      <c r="F81">
        <v>12</v>
      </c>
      <c r="G81" s="36">
        <v>1286.719852600047</v>
      </c>
    </row>
    <row r="82" spans="2:7" x14ac:dyDescent="0.3">
      <c r="B82">
        <v>13</v>
      </c>
      <c r="C82" s="36">
        <v>713.36884686256258</v>
      </c>
      <c r="D82">
        <v>13</v>
      </c>
      <c r="E82" s="36">
        <v>26.191839562363064</v>
      </c>
      <c r="F82">
        <v>13</v>
      </c>
      <c r="G82" s="36">
        <v>775.37480565169835</v>
      </c>
    </row>
    <row r="83" spans="2:7" x14ac:dyDescent="0.3">
      <c r="B83">
        <v>14</v>
      </c>
      <c r="C83" s="36">
        <v>814.88436800351133</v>
      </c>
      <c r="D83">
        <v>14</v>
      </c>
      <c r="E83" s="36">
        <v>28.278223628765851</v>
      </c>
      <c r="F83">
        <v>14</v>
      </c>
      <c r="G83" s="36">
        <v>1259.1213138958044</v>
      </c>
    </row>
    <row r="84" spans="2:7" x14ac:dyDescent="0.3">
      <c r="B84">
        <v>15</v>
      </c>
      <c r="C84" s="36">
        <v>423.24498170428825</v>
      </c>
      <c r="D84">
        <v>15</v>
      </c>
      <c r="E84" s="36">
        <v>23.073824382668942</v>
      </c>
      <c r="F84">
        <v>15</v>
      </c>
      <c r="G84" s="36">
        <v>1109.3906921420999</v>
      </c>
    </row>
    <row r="85" spans="2:7" x14ac:dyDescent="0.3">
      <c r="B85">
        <v>16</v>
      </c>
      <c r="C85" s="36">
        <v>698.69297249360511</v>
      </c>
      <c r="D85">
        <v>16</v>
      </c>
      <c r="E85" s="36">
        <v>18.358308792029913</v>
      </c>
      <c r="F85">
        <v>16</v>
      </c>
      <c r="G85" s="36">
        <v>1102.5197822700595</v>
      </c>
    </row>
    <row r="86" spans="2:7" x14ac:dyDescent="0.3">
      <c r="B86">
        <v>17</v>
      </c>
      <c r="C86" s="36">
        <v>1560.9395024172613</v>
      </c>
      <c r="D86">
        <v>17</v>
      </c>
      <c r="E86" s="36">
        <v>-7.2212207273079869</v>
      </c>
      <c r="F86">
        <v>17</v>
      </c>
      <c r="G86" s="36">
        <v>589.10257353793816</v>
      </c>
    </row>
    <row r="87" spans="2:7" x14ac:dyDescent="0.3">
      <c r="B87">
        <v>18</v>
      </c>
      <c r="C87" s="36">
        <v>286.73376257291</v>
      </c>
      <c r="D87">
        <v>18</v>
      </c>
      <c r="E87" s="36">
        <v>15.823000211505388</v>
      </c>
      <c r="F87">
        <v>18</v>
      </c>
      <c r="G87" s="36">
        <v>417.11855018845773</v>
      </c>
    </row>
    <row r="88" spans="2:7" x14ac:dyDescent="0.3">
      <c r="B88">
        <v>19</v>
      </c>
      <c r="C88" s="36">
        <v>905.16582355681965</v>
      </c>
      <c r="D88">
        <v>19</v>
      </c>
      <c r="E88" s="36">
        <v>-12.939889848677089</v>
      </c>
      <c r="F88">
        <v>19</v>
      </c>
      <c r="G88" s="36">
        <v>1082.7657399710206</v>
      </c>
    </row>
    <row r="89" spans="2:7" x14ac:dyDescent="0.3">
      <c r="B89">
        <v>20</v>
      </c>
      <c r="C89" s="36">
        <v>606.91991915364019</v>
      </c>
      <c r="D89">
        <v>20</v>
      </c>
      <c r="E89" s="36">
        <v>3.2125156705582171E-2</v>
      </c>
      <c r="F89">
        <v>20</v>
      </c>
      <c r="G89" s="36">
        <v>963.39690845986809</v>
      </c>
    </row>
    <row r="90" spans="2:7" x14ac:dyDescent="0.3">
      <c r="B90">
        <v>21</v>
      </c>
      <c r="C90" s="36">
        <v>1252.9835441593668</v>
      </c>
      <c r="D90">
        <v>21</v>
      </c>
      <c r="E90" s="36">
        <v>-5.271658761009399</v>
      </c>
      <c r="F90">
        <v>21</v>
      </c>
      <c r="G90" s="36">
        <v>511.86975921577277</v>
      </c>
    </row>
    <row r="91" spans="2:7" x14ac:dyDescent="0.3">
      <c r="B91">
        <v>22</v>
      </c>
      <c r="C91" s="36">
        <v>1123.5624883118485</v>
      </c>
      <c r="D91">
        <v>22</v>
      </c>
      <c r="E91" s="36">
        <v>17.47812057405924</v>
      </c>
      <c r="F91">
        <v>22</v>
      </c>
      <c r="G91" s="36">
        <v>1347.701518110702</v>
      </c>
    </row>
    <row r="92" spans="2:7" x14ac:dyDescent="0.3">
      <c r="B92">
        <v>23</v>
      </c>
      <c r="C92" s="36">
        <v>1045.1480783451134</v>
      </c>
      <c r="D92">
        <v>23</v>
      </c>
      <c r="E92" s="36">
        <v>52.333867276290349</v>
      </c>
      <c r="F92">
        <v>23</v>
      </c>
      <c r="G92" s="36">
        <v>874.80328329579845</v>
      </c>
    </row>
    <row r="93" spans="2:7" x14ac:dyDescent="0.3">
      <c r="B93">
        <v>24</v>
      </c>
      <c r="C93" s="36">
        <v>1159.0518537920084</v>
      </c>
      <c r="D93">
        <v>24</v>
      </c>
      <c r="E93" s="36">
        <v>-1.5271440948930397</v>
      </c>
      <c r="F93">
        <v>24</v>
      </c>
      <c r="G93" s="36">
        <v>1007.6394731746796</v>
      </c>
    </row>
    <row r="94" spans="2:7" x14ac:dyDescent="0.3">
      <c r="B94">
        <v>25</v>
      </c>
      <c r="C94" s="36">
        <v>34.013400811163521</v>
      </c>
      <c r="D94">
        <v>25</v>
      </c>
      <c r="E94" s="36">
        <v>6.182726181496343</v>
      </c>
      <c r="F94">
        <v>25</v>
      </c>
      <c r="G94" s="36">
        <v>1007.8068843170615</v>
      </c>
    </row>
    <row r="95" spans="2:7" x14ac:dyDescent="0.3">
      <c r="B95">
        <v>26</v>
      </c>
      <c r="C95" s="36">
        <v>788.94563987280651</v>
      </c>
      <c r="D95">
        <v>26</v>
      </c>
      <c r="E95" s="36">
        <v>44.484036889874154</v>
      </c>
      <c r="F95">
        <v>26</v>
      </c>
      <c r="G95" s="36">
        <v>1078.5849001911786</v>
      </c>
    </row>
    <row r="96" spans="2:7" x14ac:dyDescent="0.3">
      <c r="B96">
        <v>27</v>
      </c>
      <c r="C96" s="36">
        <v>599.68474565392819</v>
      </c>
      <c r="D96">
        <v>27</v>
      </c>
      <c r="E96" s="36">
        <v>-30.340515807822094</v>
      </c>
      <c r="F96">
        <v>27</v>
      </c>
      <c r="G96" s="36">
        <v>1477.8496304014911</v>
      </c>
    </row>
    <row r="97" spans="2:7" x14ac:dyDescent="0.3">
      <c r="B97">
        <v>28</v>
      </c>
      <c r="C97" s="36">
        <v>1169.5000831735251</v>
      </c>
      <c r="D97">
        <v>28</v>
      </c>
      <c r="E97" s="36">
        <v>10.179002972323875</v>
      </c>
      <c r="F97">
        <v>28</v>
      </c>
      <c r="G97" s="36">
        <v>1132.9667285154749</v>
      </c>
    </row>
    <row r="98" spans="2:7" x14ac:dyDescent="0.3">
      <c r="B98">
        <v>29</v>
      </c>
      <c r="C98" s="36">
        <v>1013.7907247905902</v>
      </c>
      <c r="D98">
        <v>29</v>
      </c>
      <c r="E98" s="36">
        <v>4.986508413220438</v>
      </c>
      <c r="F98">
        <v>29</v>
      </c>
      <c r="G98" s="36">
        <v>530.91165158429612</v>
      </c>
    </row>
    <row r="99" spans="2:7" x14ac:dyDescent="0.3">
      <c r="B99">
        <v>30</v>
      </c>
      <c r="C99" s="36">
        <v>975.16577964692533</v>
      </c>
      <c r="D99">
        <v>30</v>
      </c>
      <c r="E99" s="36">
        <v>-4.3672007942190012</v>
      </c>
      <c r="F99">
        <v>30</v>
      </c>
      <c r="G99" s="36">
        <v>958.62027426855661</v>
      </c>
    </row>
    <row r="100" spans="2:7" x14ac:dyDescent="0.3">
      <c r="B100">
        <v>31</v>
      </c>
      <c r="C100" s="36">
        <v>538.95436358488496</v>
      </c>
      <c r="D100">
        <v>31</v>
      </c>
      <c r="E100" s="36">
        <v>-22.199461134471651</v>
      </c>
      <c r="F100">
        <v>31</v>
      </c>
      <c r="G100" s="36">
        <v>410.19958490362376</v>
      </c>
    </row>
    <row r="101" spans="2:7" x14ac:dyDescent="0.3">
      <c r="B101">
        <v>32</v>
      </c>
      <c r="C101" s="36">
        <v>719.97377393017109</v>
      </c>
      <c r="D101">
        <v>32</v>
      </c>
      <c r="E101" s="36">
        <v>58.028415346810881</v>
      </c>
      <c r="F101">
        <v>32</v>
      </c>
      <c r="G101" s="36">
        <v>811.62159653039566</v>
      </c>
    </row>
    <row r="102" spans="2:7" x14ac:dyDescent="0.3">
      <c r="B102">
        <v>33</v>
      </c>
      <c r="C102" s="36">
        <v>467.47030583268651</v>
      </c>
      <c r="D102">
        <v>33</v>
      </c>
      <c r="E102" s="36">
        <v>23.427963572526366</v>
      </c>
      <c r="F102">
        <v>33</v>
      </c>
      <c r="G102" s="36">
        <v>984.07743547439952</v>
      </c>
    </row>
    <row r="103" spans="2:7" x14ac:dyDescent="0.3">
      <c r="B103">
        <v>34</v>
      </c>
      <c r="C103" s="36">
        <v>753.35013958090224</v>
      </c>
      <c r="D103">
        <v>34</v>
      </c>
      <c r="E103" s="36">
        <v>6.1511290247808956</v>
      </c>
      <c r="F103">
        <v>34</v>
      </c>
      <c r="G103" s="36">
        <v>428.90584141221973</v>
      </c>
    </row>
    <row r="104" spans="2:7" x14ac:dyDescent="0.3">
      <c r="B104">
        <v>35</v>
      </c>
      <c r="C104" s="36">
        <v>236.03672847336026</v>
      </c>
      <c r="D104">
        <v>35</v>
      </c>
      <c r="E104" s="36">
        <v>-27.801982580400498</v>
      </c>
      <c r="F104">
        <v>35</v>
      </c>
      <c r="G104" s="36">
        <v>750.53916882469082</v>
      </c>
    </row>
    <row r="105" spans="2:7" x14ac:dyDescent="0.3">
      <c r="B105">
        <v>36</v>
      </c>
      <c r="C105" s="36">
        <v>1046.1860157475128</v>
      </c>
      <c r="D105">
        <v>36</v>
      </c>
      <c r="E105" s="36">
        <v>-26.093830658683707</v>
      </c>
      <c r="F105">
        <v>36</v>
      </c>
      <c r="G105" s="36">
        <v>1243.8558778999468</v>
      </c>
    </row>
    <row r="106" spans="2:7" x14ac:dyDescent="0.3">
      <c r="B106">
        <v>37</v>
      </c>
      <c r="C106" s="36">
        <v>1046.4790835457409</v>
      </c>
      <c r="D106">
        <v>37</v>
      </c>
      <c r="E106" s="36">
        <v>39.610131633853641</v>
      </c>
      <c r="F106">
        <v>37</v>
      </c>
      <c r="G106" s="36">
        <v>769.94621022010426</v>
      </c>
    </row>
    <row r="107" spans="2:7" x14ac:dyDescent="0.3">
      <c r="B107">
        <v>38</v>
      </c>
      <c r="C107" s="36">
        <v>978.53409777626109</v>
      </c>
      <c r="D107">
        <v>38</v>
      </c>
      <c r="E107" s="36">
        <v>-1.5020251950172234</v>
      </c>
      <c r="F107">
        <v>38</v>
      </c>
      <c r="G107" s="36">
        <v>911.61368698537694</v>
      </c>
    </row>
    <row r="108" spans="2:7" x14ac:dyDescent="0.3">
      <c r="B108">
        <v>39</v>
      </c>
      <c r="C108" s="36">
        <v>1431.0530502377292</v>
      </c>
      <c r="D108">
        <v>39</v>
      </c>
      <c r="E108" s="36">
        <v>-13.91751397297736</v>
      </c>
      <c r="F108">
        <v>39</v>
      </c>
      <c r="G108" s="36">
        <v>1094.4544546678376</v>
      </c>
    </row>
    <row r="109" spans="2:7" x14ac:dyDescent="0.3">
      <c r="B109">
        <v>40</v>
      </c>
      <c r="C109" s="36">
        <v>1188.7860817015894</v>
      </c>
      <c r="D109">
        <v>40</v>
      </c>
      <c r="E109" s="36">
        <v>4.7223697552650492</v>
      </c>
      <c r="F109">
        <v>40</v>
      </c>
      <c r="G109" s="36">
        <v>1543.2838356297918</v>
      </c>
    </row>
    <row r="110" spans="2:7" x14ac:dyDescent="0.3">
      <c r="B110">
        <v>41</v>
      </c>
      <c r="C110" s="36">
        <v>461.43699853443286</v>
      </c>
      <c r="D110">
        <v>41</v>
      </c>
      <c r="E110" s="36">
        <v>3.2078910226128285</v>
      </c>
      <c r="F110">
        <v>41</v>
      </c>
      <c r="G110" s="36">
        <v>481.42293811182924</v>
      </c>
    </row>
    <row r="111" spans="2:7" x14ac:dyDescent="0.3">
      <c r="B111">
        <v>42</v>
      </c>
      <c r="C111" s="36">
        <v>824.89953870434022</v>
      </c>
      <c r="D111">
        <v>42</v>
      </c>
      <c r="E111" s="36">
        <v>37.632413793008922</v>
      </c>
      <c r="F111">
        <v>42</v>
      </c>
      <c r="G111" s="36">
        <v>1087.7707078160615</v>
      </c>
    </row>
    <row r="112" spans="2:7" x14ac:dyDescent="0.3">
      <c r="B112">
        <v>43</v>
      </c>
      <c r="C112" s="36">
        <v>419.37043427396111</v>
      </c>
      <c r="D112">
        <v>43</v>
      </c>
      <c r="E112" s="36">
        <v>-31.274279939977013</v>
      </c>
      <c r="F112">
        <v>43</v>
      </c>
      <c r="G112" s="36">
        <v>1032.9169954160213</v>
      </c>
    </row>
    <row r="113" spans="2:7" x14ac:dyDescent="0.3">
      <c r="B113">
        <v>44</v>
      </c>
      <c r="C113" s="36">
        <v>877.36913746310233</v>
      </c>
      <c r="D113">
        <v>44</v>
      </c>
      <c r="E113" s="36">
        <v>-3.2628595955235076</v>
      </c>
      <c r="F113">
        <v>44</v>
      </c>
      <c r="G113" s="36">
        <v>911.30957966572237</v>
      </c>
    </row>
    <row r="114" spans="2:7" x14ac:dyDescent="0.3">
      <c r="B114">
        <v>45</v>
      </c>
      <c r="C114" s="36">
        <v>328.94649609220698</v>
      </c>
      <c r="D114">
        <v>45</v>
      </c>
      <c r="E114" s="36">
        <v>-21.97835946076254</v>
      </c>
      <c r="F114">
        <v>45</v>
      </c>
      <c r="G114" s="36">
        <v>927.20709932002796</v>
      </c>
    </row>
    <row r="115" spans="2:7" x14ac:dyDescent="0.3">
      <c r="B115">
        <v>46</v>
      </c>
      <c r="C115" s="36">
        <v>642.96962092549609</v>
      </c>
      <c r="D115">
        <v>46</v>
      </c>
      <c r="E115" s="36">
        <v>-11.570557068316681</v>
      </c>
      <c r="F115">
        <v>46</v>
      </c>
      <c r="G115" s="36">
        <v>1279.4163143262053</v>
      </c>
    </row>
    <row r="116" spans="2:7" x14ac:dyDescent="0.3">
      <c r="B116">
        <v>47</v>
      </c>
      <c r="C116" s="36">
        <v>1333.7978261525809</v>
      </c>
      <c r="D116">
        <v>47</v>
      </c>
      <c r="E116" s="36">
        <v>-39.377194120075096</v>
      </c>
      <c r="F116">
        <v>47</v>
      </c>
      <c r="G116" s="36">
        <v>1389.107665404114</v>
      </c>
    </row>
    <row r="117" spans="2:7" x14ac:dyDescent="0.3">
      <c r="B117">
        <v>48</v>
      </c>
      <c r="C117" s="36">
        <v>294.42090598418037</v>
      </c>
      <c r="D117">
        <v>48</v>
      </c>
      <c r="E117" s="36">
        <v>-14.94406023332731</v>
      </c>
      <c r="F117">
        <v>48</v>
      </c>
      <c r="G117" s="36">
        <v>1268.4610612768847</v>
      </c>
    </row>
    <row r="118" spans="2:7" x14ac:dyDescent="0.3">
      <c r="B118">
        <v>49</v>
      </c>
      <c r="C118" s="36">
        <v>1023.6590627407168</v>
      </c>
      <c r="D118">
        <v>49</v>
      </c>
      <c r="E118" s="36">
        <v>-28.24147514540142</v>
      </c>
      <c r="F118">
        <v>49</v>
      </c>
      <c r="G118" s="36">
        <v>889.74228079746683</v>
      </c>
    </row>
    <row r="119" spans="2:7" x14ac:dyDescent="0.3">
      <c r="B119">
        <v>50</v>
      </c>
      <c r="C119" s="36">
        <v>912.32191664067466</v>
      </c>
      <c r="D119">
        <v>50</v>
      </c>
      <c r="E119" s="36">
        <v>45.307289173493949</v>
      </c>
      <c r="F119">
        <v>50</v>
      </c>
      <c r="G119" s="36">
        <v>720.41829789624342</v>
      </c>
    </row>
    <row r="120" spans="2:7" x14ac:dyDescent="0.3">
      <c r="B120">
        <v>51</v>
      </c>
      <c r="C120" s="36">
        <v>348.69212758274409</v>
      </c>
      <c r="D120">
        <v>51</v>
      </c>
      <c r="E120" s="36">
        <v>42.520076853708773</v>
      </c>
      <c r="F120">
        <v>51</v>
      </c>
      <c r="G120" s="36">
        <v>1268.3379056533829</v>
      </c>
    </row>
    <row r="121" spans="2:7" x14ac:dyDescent="0.3">
      <c r="B121">
        <v>52</v>
      </c>
      <c r="C121" s="36">
        <v>583.69876810785604</v>
      </c>
      <c r="D121">
        <v>52</v>
      </c>
      <c r="E121" s="36">
        <v>4.5214013061866298</v>
      </c>
      <c r="F121">
        <v>52</v>
      </c>
      <c r="G121" s="36">
        <v>959.67252650965804</v>
      </c>
    </row>
    <row r="122" spans="2:7" x14ac:dyDescent="0.3">
      <c r="B122">
        <v>53</v>
      </c>
      <c r="C122" s="36">
        <v>1277.7578192791289</v>
      </c>
      <c r="D122">
        <v>53</v>
      </c>
      <c r="E122" s="36">
        <v>-35.459300727677224</v>
      </c>
      <c r="F122">
        <v>53</v>
      </c>
      <c r="G122" s="36">
        <v>900.84061601182714</v>
      </c>
    </row>
    <row r="123" spans="2:7" x14ac:dyDescent="0.3">
      <c r="B123">
        <v>54</v>
      </c>
      <c r="C123" s="36">
        <v>1041.0287958395618</v>
      </c>
      <c r="D123">
        <v>54</v>
      </c>
      <c r="E123" s="36">
        <v>13.185278912284698</v>
      </c>
      <c r="F123">
        <v>54</v>
      </c>
      <c r="G123" s="36">
        <v>929.72572602681589</v>
      </c>
    </row>
    <row r="124" spans="2:7" x14ac:dyDescent="0.3">
      <c r="B124">
        <v>55</v>
      </c>
      <c r="C124" s="36">
        <v>911.2363849013276</v>
      </c>
      <c r="D124">
        <v>55</v>
      </c>
      <c r="E124" s="36">
        <v>21.937679276939182</v>
      </c>
      <c r="F124">
        <v>55</v>
      </c>
      <c r="G124" s="36">
        <v>1061.1921597240914</v>
      </c>
    </row>
    <row r="125" spans="2:7" x14ac:dyDescent="0.3">
      <c r="B125">
        <v>56</v>
      </c>
      <c r="C125" s="36">
        <v>930.02738146315494</v>
      </c>
      <c r="D125">
        <v>56</v>
      </c>
      <c r="E125" s="36">
        <v>43.542979839017647</v>
      </c>
      <c r="F125">
        <v>56</v>
      </c>
      <c r="G125" s="36">
        <v>791.51527281428548</v>
      </c>
    </row>
    <row r="126" spans="2:7" x14ac:dyDescent="0.3">
      <c r="B126">
        <v>57</v>
      </c>
      <c r="C126" s="36">
        <v>1090.9022848012487</v>
      </c>
      <c r="D126">
        <v>57</v>
      </c>
      <c r="E126" s="36">
        <v>15.080911354996852</v>
      </c>
      <c r="F126">
        <v>57</v>
      </c>
      <c r="G126" s="36">
        <v>949.85416191831007</v>
      </c>
    </row>
    <row r="127" spans="2:7" x14ac:dyDescent="0.3">
      <c r="B127">
        <v>58</v>
      </c>
      <c r="C127" s="36">
        <v>660.39489881287682</v>
      </c>
      <c r="D127">
        <v>58</v>
      </c>
      <c r="E127" s="36">
        <v>22.284518965557908</v>
      </c>
      <c r="F127">
        <v>58</v>
      </c>
      <c r="G127" s="36">
        <v>895.32881451976391</v>
      </c>
    </row>
    <row r="128" spans="2:7" x14ac:dyDescent="0.3">
      <c r="B128">
        <v>59</v>
      </c>
      <c r="C128" s="36">
        <v>397.0525675914518</v>
      </c>
      <c r="D128">
        <v>59</v>
      </c>
      <c r="E128" s="36">
        <v>18.268436377558814</v>
      </c>
      <c r="F128">
        <v>59</v>
      </c>
      <c r="G128" s="36">
        <v>1222.8329981421443</v>
      </c>
    </row>
    <row r="129" spans="2:7" x14ac:dyDescent="0.3">
      <c r="B129">
        <v>60</v>
      </c>
      <c r="C129" s="36">
        <v>1269.1479662135387</v>
      </c>
      <c r="D129">
        <v>60</v>
      </c>
      <c r="E129" s="36">
        <v>33.57607832879394</v>
      </c>
      <c r="F129">
        <v>60</v>
      </c>
      <c r="G129" s="36">
        <v>1107.6984581227139</v>
      </c>
    </row>
    <row r="130" spans="2:7" x14ac:dyDescent="0.3">
      <c r="B130">
        <v>61</v>
      </c>
      <c r="C130" s="36">
        <v>1306.187045984655</v>
      </c>
      <c r="D130">
        <v>61</v>
      </c>
      <c r="E130" s="36">
        <v>-51.603322339389123</v>
      </c>
      <c r="F130">
        <v>61</v>
      </c>
      <c r="G130" s="36">
        <v>870.1340337759857</v>
      </c>
    </row>
    <row r="131" spans="2:7" x14ac:dyDescent="0.3">
      <c r="B131">
        <v>62</v>
      </c>
      <c r="C131" s="36">
        <v>729.26852459372981</v>
      </c>
      <c r="D131">
        <v>62</v>
      </c>
      <c r="E131" s="36">
        <v>-22.640440639402364</v>
      </c>
      <c r="F131">
        <v>62</v>
      </c>
      <c r="G131" s="36">
        <v>518.06564418475637</v>
      </c>
    </row>
    <row r="132" spans="2:7" x14ac:dyDescent="0.3">
      <c r="B132">
        <v>63</v>
      </c>
      <c r="C132" s="36">
        <v>1026.2224535140379</v>
      </c>
      <c r="D132">
        <v>63</v>
      </c>
      <c r="E132" s="36">
        <v>-13.711856571175607</v>
      </c>
      <c r="F132">
        <v>63</v>
      </c>
      <c r="G132" s="36">
        <v>1263.6230378195198</v>
      </c>
    </row>
    <row r="133" spans="2:7" x14ac:dyDescent="0.3">
      <c r="B133">
        <v>64</v>
      </c>
      <c r="C133" s="36">
        <v>1257.6329390703534</v>
      </c>
      <c r="D133">
        <v>64</v>
      </c>
      <c r="E133" s="36">
        <v>4.2226476069631556</v>
      </c>
      <c r="F133">
        <v>64</v>
      </c>
      <c r="G133" s="36">
        <v>898.72678563516206</v>
      </c>
    </row>
    <row r="134" spans="2:7" x14ac:dyDescent="0.3">
      <c r="B134">
        <v>65</v>
      </c>
      <c r="C134" s="36">
        <v>316.07255762062118</v>
      </c>
      <c r="D134">
        <v>65</v>
      </c>
      <c r="E134" s="36">
        <v>31.655702712957456</v>
      </c>
      <c r="F134">
        <v>65</v>
      </c>
      <c r="G134" s="36">
        <v>1453.7504909448778</v>
      </c>
    </row>
    <row r="135" spans="2:7" x14ac:dyDescent="0.3">
      <c r="B135">
        <v>66</v>
      </c>
      <c r="C135" s="36">
        <v>486.8464269166393</v>
      </c>
      <c r="D135">
        <v>66</v>
      </c>
      <c r="E135" s="36">
        <v>-16.853448963239199</v>
      </c>
      <c r="F135">
        <v>66</v>
      </c>
      <c r="G135" s="36">
        <v>943.71116181476191</v>
      </c>
    </row>
    <row r="136" spans="2:7" x14ac:dyDescent="0.3">
      <c r="B136">
        <v>67</v>
      </c>
      <c r="C136" s="36">
        <v>965.90926252501208</v>
      </c>
      <c r="D136">
        <v>67</v>
      </c>
      <c r="E136" s="36">
        <v>15.896074699478936</v>
      </c>
      <c r="F136">
        <v>67</v>
      </c>
      <c r="G136" s="36">
        <v>1056.8856770548873</v>
      </c>
    </row>
    <row r="137" spans="2:7" x14ac:dyDescent="0.3">
      <c r="B137">
        <v>68</v>
      </c>
      <c r="C137" s="36">
        <v>1242.9899525974995</v>
      </c>
      <c r="D137">
        <v>68</v>
      </c>
      <c r="E137" s="36">
        <v>-0.92180267406494676</v>
      </c>
      <c r="F137">
        <v>68</v>
      </c>
      <c r="G137" s="36">
        <v>552.58342457053925</v>
      </c>
    </row>
    <row r="138" spans="2:7" x14ac:dyDescent="0.3">
      <c r="B138">
        <v>69</v>
      </c>
      <c r="C138" s="36">
        <v>558.67805307174808</v>
      </c>
      <c r="D138">
        <v>69</v>
      </c>
      <c r="E138" s="36">
        <v>8.4545603147304025</v>
      </c>
      <c r="F138">
        <v>69</v>
      </c>
      <c r="G138" s="36">
        <v>1166.0400174427782</v>
      </c>
    </row>
    <row r="139" spans="2:7" x14ac:dyDescent="0.3">
      <c r="B139">
        <v>70</v>
      </c>
      <c r="C139" s="36">
        <v>882.92822009754968</v>
      </c>
      <c r="D139">
        <v>70</v>
      </c>
      <c r="E139" s="36">
        <v>30.046609516314483</v>
      </c>
      <c r="F139">
        <v>70</v>
      </c>
      <c r="G139" s="36">
        <v>739.66230896097591</v>
      </c>
    </row>
    <row r="140" spans="2:7" x14ac:dyDescent="0.3">
      <c r="B140">
        <v>71</v>
      </c>
      <c r="C140" s="36">
        <v>560.48664839102389</v>
      </c>
      <c r="D140">
        <v>71</v>
      </c>
      <c r="E140" s="36">
        <v>37.952442893854503</v>
      </c>
      <c r="F140">
        <v>71</v>
      </c>
      <c r="G140" s="36">
        <v>1633.2151886961708</v>
      </c>
    </row>
    <row r="141" spans="2:7" x14ac:dyDescent="0.3">
      <c r="B141">
        <v>72</v>
      </c>
      <c r="C141" s="36">
        <v>590.04847669570529</v>
      </c>
      <c r="D141">
        <v>72</v>
      </c>
      <c r="E141" s="36">
        <v>25.133778302444401</v>
      </c>
      <c r="F141">
        <v>72</v>
      </c>
      <c r="G141" s="36">
        <v>927.54000004170371</v>
      </c>
    </row>
    <row r="142" spans="2:7" x14ac:dyDescent="0.3">
      <c r="B142">
        <v>73</v>
      </c>
      <c r="C142" s="36">
        <v>564.75536026989471</v>
      </c>
      <c r="D142">
        <v>73</v>
      </c>
      <c r="E142" s="36">
        <v>-1.7826781458193306</v>
      </c>
      <c r="F142">
        <v>73</v>
      </c>
      <c r="G142" s="36">
        <v>1018.4097290785136</v>
      </c>
    </row>
    <row r="143" spans="2:7" x14ac:dyDescent="0.3">
      <c r="B143">
        <v>74</v>
      </c>
      <c r="C143" s="36">
        <v>436.39760403664559</v>
      </c>
      <c r="D143">
        <v>74</v>
      </c>
      <c r="E143" s="36">
        <v>31.829785677594863</v>
      </c>
      <c r="F143">
        <v>74</v>
      </c>
      <c r="G143" s="36">
        <v>727.9646002941804</v>
      </c>
    </row>
    <row r="144" spans="2:7" x14ac:dyDescent="0.3">
      <c r="B144">
        <v>75</v>
      </c>
      <c r="C144" s="36">
        <v>1093.2835417263159</v>
      </c>
      <c r="D144">
        <v>75</v>
      </c>
      <c r="E144" s="36">
        <v>-6.6573307743284946</v>
      </c>
      <c r="F144">
        <v>75</v>
      </c>
      <c r="G144" s="36">
        <v>874.09146740353322</v>
      </c>
    </row>
    <row r="145" spans="2:7" x14ac:dyDescent="0.3">
      <c r="B145">
        <v>76</v>
      </c>
      <c r="C145" s="36">
        <v>716.81562104192801</v>
      </c>
      <c r="D145">
        <v>76</v>
      </c>
      <c r="E145" s="36">
        <v>8.9866472821337489</v>
      </c>
      <c r="F145">
        <v>76</v>
      </c>
      <c r="G145" s="36">
        <v>913.05298076358849</v>
      </c>
    </row>
    <row r="146" spans="2:7" x14ac:dyDescent="0.3">
      <c r="B146">
        <v>77</v>
      </c>
      <c r="C146" s="36">
        <v>662.30533503801439</v>
      </c>
      <c r="D146">
        <v>77</v>
      </c>
      <c r="E146" s="36">
        <v>55.177242548623518</v>
      </c>
      <c r="F146">
        <v>77</v>
      </c>
      <c r="G146" s="36">
        <v>1363.8122376609349</v>
      </c>
    </row>
    <row r="147" spans="2:7" x14ac:dyDescent="0.3">
      <c r="B147">
        <v>78</v>
      </c>
      <c r="C147" s="36">
        <v>1704.8365583528193</v>
      </c>
      <c r="D147">
        <v>78</v>
      </c>
      <c r="E147" s="36">
        <v>-29.124765022532394</v>
      </c>
      <c r="F147">
        <v>78</v>
      </c>
      <c r="G147" s="36">
        <v>705.79490714094277</v>
      </c>
    </row>
    <row r="148" spans="2:7" x14ac:dyDescent="0.3">
      <c r="B148">
        <v>79</v>
      </c>
      <c r="C148" s="36">
        <v>1322.3394218196524</v>
      </c>
      <c r="D148">
        <v>79</v>
      </c>
      <c r="E148" s="36">
        <v>-26.59968096464554</v>
      </c>
      <c r="F148">
        <v>79</v>
      </c>
      <c r="G148" s="36">
        <v>683.84916826658559</v>
      </c>
    </row>
    <row r="149" spans="2:7" x14ac:dyDescent="0.3">
      <c r="B149">
        <v>80</v>
      </c>
      <c r="C149" s="36">
        <v>729.65463254312658</v>
      </c>
      <c r="D149">
        <v>80</v>
      </c>
      <c r="E149" s="36">
        <v>3.6218047209608715</v>
      </c>
      <c r="F149">
        <v>80</v>
      </c>
      <c r="G149" s="36">
        <v>904.9029548712399</v>
      </c>
    </row>
    <row r="150" spans="2:7" x14ac:dyDescent="0.3">
      <c r="B150">
        <v>81</v>
      </c>
      <c r="C150" s="36">
        <v>613.0963517686456</v>
      </c>
      <c r="D150">
        <v>81</v>
      </c>
      <c r="E150" s="36">
        <v>-17.168461469623558</v>
      </c>
      <c r="F150">
        <v>81</v>
      </c>
      <c r="G150" s="36">
        <v>880.615332547555</v>
      </c>
    </row>
    <row r="151" spans="2:7" x14ac:dyDescent="0.3">
      <c r="B151">
        <v>82</v>
      </c>
      <c r="C151" s="36">
        <v>1049.9532287780969</v>
      </c>
      <c r="D151">
        <v>82</v>
      </c>
      <c r="E151" s="36">
        <v>-14.072455629219741</v>
      </c>
      <c r="F151">
        <v>82</v>
      </c>
      <c r="G151" s="36">
        <v>754.81709741515283</v>
      </c>
    </row>
    <row r="152" spans="2:7" x14ac:dyDescent="0.3">
      <c r="B152">
        <v>83</v>
      </c>
      <c r="C152" s="36">
        <v>981.82709330702835</v>
      </c>
      <c r="D152">
        <v>83</v>
      </c>
      <c r="E152" s="36">
        <v>20.80625612172015</v>
      </c>
      <c r="F152">
        <v>83</v>
      </c>
      <c r="G152" s="36">
        <v>892.73051919584509</v>
      </c>
    </row>
    <row r="153" spans="2:7" x14ac:dyDescent="0.3">
      <c r="B153">
        <v>84</v>
      </c>
      <c r="C153" s="36">
        <v>857.55776683705585</v>
      </c>
      <c r="D153">
        <v>84</v>
      </c>
      <c r="E153" s="36">
        <v>45.276743407343062</v>
      </c>
      <c r="F153">
        <v>84</v>
      </c>
      <c r="G153" s="36">
        <v>935.68677523423571</v>
      </c>
    </row>
    <row r="154" spans="2:7" x14ac:dyDescent="0.3">
      <c r="B154">
        <v>85</v>
      </c>
      <c r="C154" s="36">
        <v>755.92209452761995</v>
      </c>
      <c r="D154">
        <v>85</v>
      </c>
      <c r="E154" s="36">
        <v>23.539364779805112</v>
      </c>
      <c r="F154">
        <v>85</v>
      </c>
      <c r="G154" s="36">
        <v>1413.1520113612391</v>
      </c>
    </row>
    <row r="155" spans="2:7" x14ac:dyDescent="0.3">
      <c r="B155">
        <v>86</v>
      </c>
      <c r="C155" s="36">
        <v>773.70041648036556</v>
      </c>
      <c r="D155">
        <v>86</v>
      </c>
      <c r="E155" s="36">
        <v>20.29152677482897</v>
      </c>
      <c r="F155">
        <v>86</v>
      </c>
      <c r="G155" s="36">
        <v>1339.3000393685074</v>
      </c>
    </row>
    <row r="156" spans="2:7" x14ac:dyDescent="0.3">
      <c r="B156">
        <v>87</v>
      </c>
      <c r="C156" s="36">
        <v>1402.6567669816839</v>
      </c>
      <c r="D156">
        <v>87</v>
      </c>
      <c r="E156" s="36">
        <v>-27.731513969939602</v>
      </c>
      <c r="F156">
        <v>87</v>
      </c>
      <c r="G156" s="36">
        <v>1042.4844875543408</v>
      </c>
    </row>
    <row r="157" spans="2:7" x14ac:dyDescent="0.3">
      <c r="B157">
        <v>88</v>
      </c>
      <c r="C157" s="36">
        <v>1776.870770755221</v>
      </c>
      <c r="D157">
        <v>88</v>
      </c>
      <c r="E157" s="36">
        <v>49.402719295264987</v>
      </c>
      <c r="F157">
        <v>88</v>
      </c>
      <c r="G157" s="36">
        <v>1079.7772354262411</v>
      </c>
    </row>
    <row r="158" spans="2:7" x14ac:dyDescent="0.3">
      <c r="B158">
        <v>89</v>
      </c>
      <c r="C158" s="36">
        <v>1172.0480244652895</v>
      </c>
      <c r="D158">
        <v>89</v>
      </c>
      <c r="E158" s="36">
        <v>11.696667728807238</v>
      </c>
      <c r="F158">
        <v>89</v>
      </c>
      <c r="G158" s="36">
        <v>1108.8283607989774</v>
      </c>
    </row>
    <row r="159" spans="2:7" x14ac:dyDescent="0.3">
      <c r="B159">
        <v>90</v>
      </c>
      <c r="C159" s="36">
        <v>939.09537246821674</v>
      </c>
      <c r="D159">
        <v>90</v>
      </c>
      <c r="E159" s="36">
        <v>-10.231166948390252</v>
      </c>
      <c r="F159">
        <v>90</v>
      </c>
      <c r="G159" s="36">
        <v>851.16611058642047</v>
      </c>
    </row>
    <row r="160" spans="2:7" x14ac:dyDescent="0.3">
      <c r="B160">
        <v>91</v>
      </c>
      <c r="C160" s="36">
        <v>1236.9004759589297</v>
      </c>
      <c r="D160">
        <v>91</v>
      </c>
      <c r="E160" s="36">
        <v>47.177790129807313</v>
      </c>
      <c r="F160">
        <v>91</v>
      </c>
      <c r="G160" s="36">
        <v>1086.2302934727875</v>
      </c>
    </row>
    <row r="161" spans="2:7" x14ac:dyDescent="0.3">
      <c r="B161">
        <v>92</v>
      </c>
      <c r="C161" s="36">
        <v>1030.8820513853423</v>
      </c>
      <c r="D161">
        <v>92</v>
      </c>
      <c r="E161" s="36">
        <v>41.169039915279086</v>
      </c>
      <c r="F161">
        <v>92</v>
      </c>
      <c r="G161" s="36">
        <v>1159.8854141427425</v>
      </c>
    </row>
    <row r="162" spans="2:7" x14ac:dyDescent="0.3">
      <c r="B162">
        <v>93</v>
      </c>
      <c r="C162" s="36">
        <v>241.22395168736813</v>
      </c>
      <c r="D162">
        <v>93</v>
      </c>
      <c r="E162" s="36">
        <v>6.4711029569899328</v>
      </c>
      <c r="F162">
        <v>93</v>
      </c>
      <c r="G162" s="36">
        <v>728.90577710292007</v>
      </c>
    </row>
    <row r="163" spans="2:7" x14ac:dyDescent="0.3">
      <c r="B163">
        <v>94</v>
      </c>
      <c r="C163" s="36">
        <v>695.07453864293313</v>
      </c>
      <c r="D163">
        <v>94</v>
      </c>
      <c r="E163" s="36">
        <v>26.159840611542261</v>
      </c>
      <c r="F163">
        <v>94</v>
      </c>
      <c r="G163" s="36">
        <v>306.29464837775276</v>
      </c>
    </row>
    <row r="164" spans="2:7" x14ac:dyDescent="0.3">
      <c r="B164">
        <v>95</v>
      </c>
      <c r="C164" s="36">
        <v>772.46659248297055</v>
      </c>
      <c r="D164">
        <v>95</v>
      </c>
      <c r="E164" s="36">
        <v>43.385092986914884</v>
      </c>
      <c r="F164">
        <v>95</v>
      </c>
      <c r="G164" s="36">
        <v>558.37995666495203</v>
      </c>
    </row>
    <row r="165" spans="2:7" x14ac:dyDescent="0.3">
      <c r="B165">
        <v>96</v>
      </c>
      <c r="C165" s="36">
        <v>509.01768133477907</v>
      </c>
      <c r="D165">
        <v>96</v>
      </c>
      <c r="E165" s="36">
        <v>-24.317023463846915</v>
      </c>
      <c r="F165">
        <v>96</v>
      </c>
      <c r="G165" s="36">
        <v>824.23151293450064</v>
      </c>
    </row>
    <row r="166" spans="2:7" x14ac:dyDescent="0.3">
      <c r="B166">
        <v>97</v>
      </c>
      <c r="C166" s="36">
        <v>1282.50410207967</v>
      </c>
      <c r="D166">
        <v>97</v>
      </c>
      <c r="E166" s="36">
        <v>29.812048155944886</v>
      </c>
      <c r="F166">
        <v>97</v>
      </c>
      <c r="G166" s="36">
        <v>1065.8312466760285</v>
      </c>
    </row>
    <row r="167" spans="2:7" x14ac:dyDescent="0.3">
      <c r="B167">
        <v>98</v>
      </c>
      <c r="C167" s="36">
        <v>1145.2494003352406</v>
      </c>
      <c r="D167">
        <v>98</v>
      </c>
      <c r="E167" s="36">
        <v>-0.91858933051692804</v>
      </c>
      <c r="F167">
        <v>98</v>
      </c>
      <c r="G167" s="36">
        <v>1105.0022222414557</v>
      </c>
    </row>
    <row r="168" spans="2:7" x14ac:dyDescent="0.3">
      <c r="B168">
        <v>99</v>
      </c>
      <c r="C168" s="36">
        <v>919.69929185785691</v>
      </c>
      <c r="D168">
        <v>99</v>
      </c>
      <c r="E168" s="36">
        <v>10.905561358633644</v>
      </c>
      <c r="F168">
        <v>99</v>
      </c>
      <c r="G168" s="36">
        <v>742.50531014321803</v>
      </c>
    </row>
    <row r="169" spans="2:7" x14ac:dyDescent="0.3">
      <c r="B169">
        <v>100</v>
      </c>
      <c r="C169" s="36">
        <v>805.92206375180626</v>
      </c>
      <c r="D169">
        <v>100</v>
      </c>
      <c r="E169" s="36">
        <v>6.38767610138233</v>
      </c>
      <c r="F169">
        <v>100</v>
      </c>
      <c r="G169" s="36">
        <v>731.80134024623965</v>
      </c>
    </row>
    <row r="170" spans="2:7" x14ac:dyDescent="0.3">
      <c r="B170">
        <v>101</v>
      </c>
      <c r="C170" s="36">
        <v>808.37933043622252</v>
      </c>
      <c r="D170">
        <v>101</v>
      </c>
      <c r="E170" s="36">
        <v>41.233042632272529</v>
      </c>
      <c r="F170">
        <v>101</v>
      </c>
      <c r="G170" s="36">
        <v>758.96179981741147</v>
      </c>
    </row>
    <row r="171" spans="2:7" x14ac:dyDescent="0.3">
      <c r="B171">
        <v>102</v>
      </c>
      <c r="C171" s="36">
        <v>1173.1143646636349</v>
      </c>
      <c r="D171">
        <v>102</v>
      </c>
      <c r="E171" s="36">
        <v>-23.478234757162419</v>
      </c>
      <c r="F171">
        <v>102</v>
      </c>
      <c r="G171" s="36">
        <v>1591.496526976995</v>
      </c>
    </row>
    <row r="172" spans="2:7" x14ac:dyDescent="0.3">
      <c r="B172">
        <v>103</v>
      </c>
      <c r="C172" s="36">
        <v>645.21818629508266</v>
      </c>
      <c r="D172">
        <v>103</v>
      </c>
      <c r="E172" s="36">
        <v>30.730221926022246</v>
      </c>
      <c r="F172">
        <v>103</v>
      </c>
      <c r="G172" s="36">
        <v>937.01661113736225</v>
      </c>
    </row>
    <row r="173" spans="2:7" x14ac:dyDescent="0.3">
      <c r="B173">
        <v>104</v>
      </c>
      <c r="C173" s="36">
        <v>1293.6916318797471</v>
      </c>
      <c r="D173">
        <v>104</v>
      </c>
      <c r="E173" s="36">
        <v>8.8501715439391386</v>
      </c>
      <c r="F173">
        <v>104</v>
      </c>
      <c r="G173" s="36">
        <v>1266.9730771356765</v>
      </c>
    </row>
    <row r="174" spans="2:7" x14ac:dyDescent="0.3">
      <c r="B174">
        <v>105</v>
      </c>
      <c r="C174" s="36">
        <v>1170.9325318424349</v>
      </c>
      <c r="D174">
        <v>105</v>
      </c>
      <c r="E174" s="36">
        <v>-2.7882100669024807</v>
      </c>
      <c r="F174">
        <v>105</v>
      </c>
      <c r="G174" s="36">
        <v>690.024717454501</v>
      </c>
    </row>
    <row r="175" spans="2:7" x14ac:dyDescent="0.3">
      <c r="B175">
        <v>106</v>
      </c>
      <c r="C175" s="36">
        <v>758.27368830494697</v>
      </c>
      <c r="D175">
        <v>106</v>
      </c>
      <c r="E175" s="36">
        <v>2.9299840093161515</v>
      </c>
      <c r="F175">
        <v>106</v>
      </c>
      <c r="G175" s="36">
        <v>793.2753231306117</v>
      </c>
    </row>
    <row r="176" spans="2:7" x14ac:dyDescent="0.3">
      <c r="B176">
        <v>107</v>
      </c>
      <c r="C176" s="36">
        <v>905.3998950513253</v>
      </c>
      <c r="D176">
        <v>107</v>
      </c>
      <c r="E176" s="36">
        <v>11.868858799893571</v>
      </c>
      <c r="F176">
        <v>107</v>
      </c>
      <c r="G176" s="36">
        <v>1400.6279374991816</v>
      </c>
    </row>
    <row r="177" spans="2:7" x14ac:dyDescent="0.3">
      <c r="B177">
        <v>108</v>
      </c>
      <c r="C177" s="36">
        <v>349.76548830367915</v>
      </c>
      <c r="D177">
        <v>108</v>
      </c>
      <c r="E177" s="36">
        <v>17.842149727354816</v>
      </c>
      <c r="F177">
        <v>108</v>
      </c>
      <c r="G177" s="36">
        <v>1177.9631915311793</v>
      </c>
    </row>
    <row r="178" spans="2:7" x14ac:dyDescent="0.3">
      <c r="B178">
        <v>109</v>
      </c>
      <c r="C178" s="36">
        <v>-8.5633029032260648</v>
      </c>
      <c r="D178">
        <v>109</v>
      </c>
      <c r="E178" s="36">
        <v>-6.8651930395442431</v>
      </c>
      <c r="F178">
        <v>109</v>
      </c>
      <c r="G178" s="36">
        <v>1136.3557407694443</v>
      </c>
    </row>
    <row r="179" spans="2:7" x14ac:dyDescent="0.3">
      <c r="B179">
        <v>110</v>
      </c>
      <c r="C179" s="36">
        <v>1320.2972878043768</v>
      </c>
      <c r="D179">
        <v>110</v>
      </c>
      <c r="E179" s="36">
        <v>31.636672451893968</v>
      </c>
      <c r="F179">
        <v>110</v>
      </c>
      <c r="G179" s="36">
        <v>620.16573248276018</v>
      </c>
    </row>
    <row r="180" spans="2:7" x14ac:dyDescent="0.3">
      <c r="B180">
        <v>111</v>
      </c>
      <c r="C180" s="36">
        <v>740.53577109406262</v>
      </c>
      <c r="D180">
        <v>111</v>
      </c>
      <c r="E180" s="36">
        <v>-47.67744449463455</v>
      </c>
      <c r="F180">
        <v>111</v>
      </c>
      <c r="G180" s="36">
        <v>786.43354382144832</v>
      </c>
    </row>
    <row r="181" spans="2:7" x14ac:dyDescent="0.3">
      <c r="B181">
        <v>112</v>
      </c>
      <c r="C181" s="36">
        <v>1042.6998607551295</v>
      </c>
      <c r="D181">
        <v>112</v>
      </c>
      <c r="E181" s="36">
        <v>-23.765304667186061</v>
      </c>
      <c r="F181">
        <v>112</v>
      </c>
      <c r="G181" s="36">
        <v>856.88968151462359</v>
      </c>
    </row>
    <row r="182" spans="2:7" x14ac:dyDescent="0.3">
      <c r="B182">
        <v>113</v>
      </c>
      <c r="C182" s="36">
        <v>747.81619545145077</v>
      </c>
      <c r="D182">
        <v>113</v>
      </c>
      <c r="E182" s="36">
        <v>-27.885586775679759</v>
      </c>
      <c r="F182">
        <v>113</v>
      </c>
      <c r="G182" s="36">
        <v>603.0812784388927</v>
      </c>
    </row>
    <row r="183" spans="2:7" x14ac:dyDescent="0.3">
      <c r="B183">
        <v>114</v>
      </c>
      <c r="C183" s="36">
        <v>1096.9389020287219</v>
      </c>
      <c r="D183">
        <v>114</v>
      </c>
      <c r="E183" s="36">
        <v>15.696698858778461</v>
      </c>
      <c r="F183">
        <v>114</v>
      </c>
      <c r="G183" s="36">
        <v>1255.8120654319378</v>
      </c>
    </row>
    <row r="184" spans="2:7" x14ac:dyDescent="0.3">
      <c r="B184">
        <v>115</v>
      </c>
      <c r="C184" s="36">
        <v>889.17170981756794</v>
      </c>
      <c r="D184">
        <v>115</v>
      </c>
      <c r="E184" s="36">
        <v>-43.604335018251838</v>
      </c>
      <c r="F184">
        <v>115</v>
      </c>
      <c r="G184" s="36">
        <v>1091.1026598613348</v>
      </c>
    </row>
    <row r="185" spans="2:7" x14ac:dyDescent="0.3">
      <c r="B185">
        <v>116</v>
      </c>
      <c r="C185" s="36">
        <v>1059.7734137667569</v>
      </c>
      <c r="D185">
        <v>116</v>
      </c>
      <c r="E185" s="36">
        <v>-18.674423251687148</v>
      </c>
      <c r="F185">
        <v>116</v>
      </c>
      <c r="G185" s="36">
        <v>950.74803017236513</v>
      </c>
    </row>
    <row r="186" spans="2:7" x14ac:dyDescent="0.3">
      <c r="B186">
        <v>117</v>
      </c>
      <c r="C186" s="36">
        <v>1161.3618814557362</v>
      </c>
      <c r="D186">
        <v>117</v>
      </c>
      <c r="E186" s="36">
        <v>31.356003189548204</v>
      </c>
      <c r="F186">
        <v>117</v>
      </c>
      <c r="G186" s="36">
        <v>1021.589612633243</v>
      </c>
    </row>
    <row r="187" spans="2:7" x14ac:dyDescent="0.3">
      <c r="B187">
        <v>118</v>
      </c>
      <c r="C187" s="36">
        <v>973.17029044672108</v>
      </c>
      <c r="D187">
        <v>118</v>
      </c>
      <c r="E187" s="36">
        <v>33.14174758537655</v>
      </c>
      <c r="F187">
        <v>118</v>
      </c>
      <c r="G187" s="36">
        <v>1267.5519016001058</v>
      </c>
    </row>
    <row r="188" spans="2:7" x14ac:dyDescent="0.3">
      <c r="B188">
        <v>119</v>
      </c>
      <c r="C188" s="36">
        <v>394.51841880676312</v>
      </c>
      <c r="D188">
        <v>119</v>
      </c>
      <c r="E188" s="36">
        <v>60.371032746451718</v>
      </c>
      <c r="F188">
        <v>119</v>
      </c>
      <c r="G188" s="36">
        <v>1030.8685228440522</v>
      </c>
    </row>
    <row r="189" spans="2:7" x14ac:dyDescent="0.3">
      <c r="B189">
        <v>120</v>
      </c>
      <c r="C189" s="36">
        <v>1175.0906131612394</v>
      </c>
      <c r="D189">
        <v>120</v>
      </c>
      <c r="E189" s="36">
        <v>0.7812014591850025</v>
      </c>
      <c r="F189">
        <v>120</v>
      </c>
      <c r="G189" s="36">
        <v>1476.6717546722425</v>
      </c>
    </row>
    <row r="190" spans="2:7" x14ac:dyDescent="0.3">
      <c r="B190">
        <v>121</v>
      </c>
      <c r="C190" s="36">
        <v>790.98641140326799</v>
      </c>
      <c r="D190">
        <v>121</v>
      </c>
      <c r="E190" s="36">
        <v>53.07024483298725</v>
      </c>
      <c r="F190">
        <v>121</v>
      </c>
      <c r="G190" s="36">
        <v>1315.2808371713411</v>
      </c>
    </row>
    <row r="191" spans="2:7" x14ac:dyDescent="0.3">
      <c r="B191">
        <v>122</v>
      </c>
      <c r="C191" s="36">
        <v>1045.2894299211396</v>
      </c>
      <c r="D191">
        <v>122</v>
      </c>
      <c r="E191" s="36">
        <v>-27.272178579394385</v>
      </c>
      <c r="F191">
        <v>122</v>
      </c>
      <c r="G191" s="36">
        <v>709.66655755787986</v>
      </c>
    </row>
    <row r="192" spans="2:7" x14ac:dyDescent="0.3">
      <c r="B192">
        <v>123</v>
      </c>
      <c r="C192" s="36">
        <v>983.70925644060094</v>
      </c>
      <c r="D192">
        <v>123</v>
      </c>
      <c r="E192" s="36">
        <v>10.063837515567027</v>
      </c>
      <c r="F192">
        <v>123</v>
      </c>
      <c r="G192" s="36">
        <v>763.82387414198297</v>
      </c>
    </row>
    <row r="193" spans="2:7" x14ac:dyDescent="0.3">
      <c r="B193">
        <v>124</v>
      </c>
      <c r="C193" s="36">
        <v>891.10682406861656</v>
      </c>
      <c r="D193">
        <v>124</v>
      </c>
      <c r="E193" s="36">
        <v>1.2811414053857046</v>
      </c>
      <c r="F193">
        <v>124</v>
      </c>
      <c r="G193" s="36">
        <v>1248.4374293456385</v>
      </c>
    </row>
    <row r="194" spans="2:7" x14ac:dyDescent="0.3">
      <c r="B194">
        <v>125</v>
      </c>
      <c r="C194" s="36">
        <v>996.67132002342476</v>
      </c>
      <c r="D194">
        <v>125</v>
      </c>
      <c r="E194" s="36">
        <v>38.87076583142678</v>
      </c>
      <c r="F194">
        <v>125</v>
      </c>
      <c r="G194" s="36">
        <v>938.5980627949175</v>
      </c>
    </row>
    <row r="195" spans="2:7" x14ac:dyDescent="0.3">
      <c r="B195">
        <v>126</v>
      </c>
      <c r="C195" s="36">
        <v>355.57300000901779</v>
      </c>
      <c r="D195">
        <v>126</v>
      </c>
      <c r="E195" s="36">
        <v>-11.42921945317921</v>
      </c>
      <c r="F195">
        <v>126</v>
      </c>
      <c r="G195" s="36">
        <v>351.36060013867939</v>
      </c>
    </row>
    <row r="196" spans="2:7" x14ac:dyDescent="0.3">
      <c r="B196">
        <v>127</v>
      </c>
      <c r="C196" s="36">
        <v>1190.1968314173598</v>
      </c>
      <c r="D196">
        <v>127</v>
      </c>
      <c r="E196" s="36">
        <v>8.6916286381791696</v>
      </c>
      <c r="F196">
        <v>127</v>
      </c>
      <c r="G196" s="36">
        <v>750.94553404092517</v>
      </c>
    </row>
    <row r="197" spans="2:7" x14ac:dyDescent="0.3">
      <c r="B197">
        <v>128</v>
      </c>
      <c r="C197" s="36">
        <v>1257.7147184931887</v>
      </c>
      <c r="D197">
        <v>128</v>
      </c>
      <c r="E197" s="36">
        <v>33.582962970088985</v>
      </c>
      <c r="F197">
        <v>128</v>
      </c>
      <c r="G197" s="36">
        <v>1353.4334090404202</v>
      </c>
    </row>
    <row r="198" spans="2:7" x14ac:dyDescent="0.3">
      <c r="B198">
        <v>129</v>
      </c>
      <c r="C198" s="36">
        <v>418.72476730957703</v>
      </c>
      <c r="D198">
        <v>129</v>
      </c>
      <c r="E198" s="36">
        <v>45.053817810437991</v>
      </c>
      <c r="F198">
        <v>129</v>
      </c>
      <c r="G198" s="36">
        <v>737.39864453057987</v>
      </c>
    </row>
    <row r="199" spans="2:7" x14ac:dyDescent="0.3">
      <c r="B199">
        <v>130</v>
      </c>
      <c r="C199" s="36">
        <v>823.14630812604139</v>
      </c>
      <c r="D199">
        <v>130</v>
      </c>
      <c r="E199" s="36">
        <v>-27.018301499174793</v>
      </c>
      <c r="F199">
        <v>130</v>
      </c>
      <c r="G199" s="36">
        <v>1359.8208467023992</v>
      </c>
    </row>
    <row r="200" spans="2:7" x14ac:dyDescent="0.3">
      <c r="B200">
        <v>131</v>
      </c>
      <c r="C200" s="36">
        <v>894.77347991388046</v>
      </c>
      <c r="D200">
        <v>131</v>
      </c>
      <c r="E200" s="36">
        <v>62.117564560470008</v>
      </c>
      <c r="F200">
        <v>131</v>
      </c>
      <c r="G200" s="36">
        <v>918.19925302979448</v>
      </c>
    </row>
    <row r="201" spans="2:7" x14ac:dyDescent="0.3">
      <c r="B201">
        <v>132</v>
      </c>
      <c r="C201" s="36">
        <v>1032.6957246318241</v>
      </c>
      <c r="D201">
        <v>132</v>
      </c>
      <c r="E201" s="36">
        <v>-51.183045037651844</v>
      </c>
      <c r="F201">
        <v>132</v>
      </c>
      <c r="G201" s="36">
        <v>804.05420601997116</v>
      </c>
    </row>
    <row r="202" spans="2:7" x14ac:dyDescent="0.3">
      <c r="B202">
        <v>133</v>
      </c>
      <c r="C202" s="36">
        <v>1045.3969829518849</v>
      </c>
      <c r="D202">
        <v>133</v>
      </c>
      <c r="E202" s="36">
        <v>24.495332983798811</v>
      </c>
      <c r="F202">
        <v>133</v>
      </c>
      <c r="G202" s="36">
        <v>974.86758505477633</v>
      </c>
    </row>
    <row r="203" spans="2:7" x14ac:dyDescent="0.3">
      <c r="B203">
        <v>134</v>
      </c>
      <c r="C203" s="36">
        <v>477.6853447894735</v>
      </c>
      <c r="D203">
        <v>134</v>
      </c>
      <c r="E203" s="36">
        <v>-10.332776214267371</v>
      </c>
      <c r="F203">
        <v>134</v>
      </c>
      <c r="G203" s="36">
        <v>643.79071981884704</v>
      </c>
    </row>
    <row r="204" spans="2:7" x14ac:dyDescent="0.3">
      <c r="B204">
        <v>135</v>
      </c>
      <c r="C204" s="36">
        <v>964.22743923098938</v>
      </c>
      <c r="D204">
        <v>135</v>
      </c>
      <c r="E204" s="36">
        <v>50.353554532678181</v>
      </c>
      <c r="F204">
        <v>135</v>
      </c>
      <c r="G204" s="36">
        <v>922.98835938196385</v>
      </c>
    </row>
    <row r="205" spans="2:7" x14ac:dyDescent="0.3">
      <c r="B205">
        <v>136</v>
      </c>
      <c r="C205" s="36">
        <v>301.63516094785575</v>
      </c>
      <c r="D205">
        <v>136</v>
      </c>
      <c r="E205" s="36">
        <v>10.496132513304607</v>
      </c>
      <c r="F205">
        <v>136</v>
      </c>
      <c r="G205" s="36">
        <v>968.21942133593438</v>
      </c>
    </row>
    <row r="206" spans="2:7" x14ac:dyDescent="0.3">
      <c r="B206">
        <v>137</v>
      </c>
      <c r="C206" s="36">
        <v>1465.5065837192001</v>
      </c>
      <c r="D206">
        <v>137</v>
      </c>
      <c r="E206" s="36">
        <v>38.119723351501349</v>
      </c>
      <c r="F206">
        <v>137</v>
      </c>
      <c r="G206" s="36">
        <v>790.86252712241571</v>
      </c>
    </row>
    <row r="207" spans="2:7" x14ac:dyDescent="0.3">
      <c r="B207">
        <v>138</v>
      </c>
      <c r="C207" s="36">
        <v>952.30865222453087</v>
      </c>
      <c r="D207">
        <v>138</v>
      </c>
      <c r="E207" s="36">
        <v>40.337959224345056</v>
      </c>
      <c r="F207">
        <v>138</v>
      </c>
      <c r="G207" s="36">
        <v>757.28482947096734</v>
      </c>
    </row>
    <row r="208" spans="2:7" x14ac:dyDescent="0.3">
      <c r="B208">
        <v>139</v>
      </c>
      <c r="C208" s="36">
        <v>857.88495764324966</v>
      </c>
      <c r="D208">
        <v>139</v>
      </c>
      <c r="E208" s="36">
        <v>-33.980133678336543</v>
      </c>
      <c r="F208">
        <v>139</v>
      </c>
      <c r="G208" s="36">
        <v>1395.1301802295025</v>
      </c>
    </row>
    <row r="209" spans="2:7" x14ac:dyDescent="0.3">
      <c r="B209">
        <v>140</v>
      </c>
      <c r="C209" s="36">
        <v>1139.4075914665118</v>
      </c>
      <c r="D209">
        <v>140</v>
      </c>
      <c r="E209" s="36">
        <v>-22.09093646170723</v>
      </c>
      <c r="F209">
        <v>140</v>
      </c>
      <c r="G209" s="36">
        <v>973.24021916416223</v>
      </c>
    </row>
    <row r="210" spans="2:7" x14ac:dyDescent="0.3">
      <c r="B210">
        <v>141</v>
      </c>
      <c r="C210" s="36">
        <v>1123.0400800667837</v>
      </c>
      <c r="D210">
        <v>141</v>
      </c>
      <c r="E210" s="36">
        <v>-9.4204106452155152</v>
      </c>
      <c r="F210">
        <v>141</v>
      </c>
      <c r="G210" s="36">
        <v>781.73021054673484</v>
      </c>
    </row>
    <row r="211" spans="2:7" x14ac:dyDescent="0.3">
      <c r="B211">
        <v>142</v>
      </c>
      <c r="C211" s="36">
        <v>712.66138843117915</v>
      </c>
      <c r="D211">
        <v>142</v>
      </c>
      <c r="E211" s="36">
        <v>-10.335096897745183</v>
      </c>
      <c r="F211">
        <v>142</v>
      </c>
      <c r="G211" s="36">
        <v>654.92512790178239</v>
      </c>
    </row>
    <row r="212" spans="2:7" x14ac:dyDescent="0.3">
      <c r="B212">
        <v>143</v>
      </c>
      <c r="C212" s="36">
        <v>902.25452504982093</v>
      </c>
      <c r="D212">
        <v>143</v>
      </c>
      <c r="E212" s="36">
        <v>-21.462487402084601</v>
      </c>
      <c r="F212">
        <v>143</v>
      </c>
      <c r="G212" s="36">
        <v>1300.0706467767534</v>
      </c>
    </row>
    <row r="213" spans="2:7" x14ac:dyDescent="0.3">
      <c r="B213">
        <v>144</v>
      </c>
      <c r="C213" s="36">
        <v>1205.7295145615167</v>
      </c>
      <c r="D213">
        <v>144</v>
      </c>
      <c r="E213" s="36">
        <v>22.555674094629165</v>
      </c>
      <c r="F213">
        <v>144</v>
      </c>
      <c r="G213" s="36">
        <v>847.45406147310985</v>
      </c>
    </row>
    <row r="214" spans="2:7" x14ac:dyDescent="0.3">
      <c r="B214">
        <v>145</v>
      </c>
      <c r="C214" s="36">
        <v>1087.5801236374114</v>
      </c>
      <c r="D214">
        <v>145</v>
      </c>
      <c r="E214" s="36">
        <v>-8.2761872109049417</v>
      </c>
      <c r="F214">
        <v>145</v>
      </c>
      <c r="G214" s="36">
        <v>982.31810333943179</v>
      </c>
    </row>
    <row r="215" spans="2:7" x14ac:dyDescent="0.3">
      <c r="B215">
        <v>146</v>
      </c>
      <c r="C215" s="36">
        <v>470.47854043688295</v>
      </c>
      <c r="D215">
        <v>146</v>
      </c>
      <c r="E215" s="36">
        <v>-43.340202918787817</v>
      </c>
      <c r="F215">
        <v>146</v>
      </c>
      <c r="G215" s="36">
        <v>956.67420245161395</v>
      </c>
    </row>
    <row r="216" spans="2:7" x14ac:dyDescent="0.3">
      <c r="B216">
        <v>147</v>
      </c>
      <c r="C216" s="36">
        <v>1188.5024908318603</v>
      </c>
      <c r="D216">
        <v>147</v>
      </c>
      <c r="E216" s="36">
        <v>39.62867673637566</v>
      </c>
      <c r="F216">
        <v>147</v>
      </c>
      <c r="G216" s="36">
        <v>826.28227793721396</v>
      </c>
    </row>
    <row r="217" spans="2:7" x14ac:dyDescent="0.3">
      <c r="B217">
        <v>148</v>
      </c>
      <c r="C217" s="36">
        <v>1077.8019870728776</v>
      </c>
      <c r="D217">
        <v>148</v>
      </c>
      <c r="E217" s="36">
        <v>-18.319573702222876</v>
      </c>
      <c r="F217">
        <v>148</v>
      </c>
      <c r="G217" s="36">
        <v>1422.1453943557133</v>
      </c>
    </row>
    <row r="218" spans="2:7" x14ac:dyDescent="0.3">
      <c r="B218">
        <v>149</v>
      </c>
      <c r="C218" s="36">
        <v>671.68905530861446</v>
      </c>
      <c r="D218">
        <v>149</v>
      </c>
      <c r="E218" s="36">
        <v>-1.2339658297549554</v>
      </c>
      <c r="F218">
        <v>149</v>
      </c>
      <c r="G218" s="36">
        <v>1082.7129464972777</v>
      </c>
    </row>
    <row r="219" spans="2:7" x14ac:dyDescent="0.3">
      <c r="B219">
        <v>150</v>
      </c>
      <c r="C219" s="36">
        <v>1210.275003260637</v>
      </c>
      <c r="D219">
        <v>150</v>
      </c>
      <c r="E219" s="36">
        <v>29.885049868480497</v>
      </c>
      <c r="F219">
        <v>150</v>
      </c>
      <c r="G219" s="36">
        <v>1094.9817908614932</v>
      </c>
    </row>
    <row r="220" spans="2:7" x14ac:dyDescent="0.3">
      <c r="B220">
        <v>151</v>
      </c>
      <c r="C220" s="36">
        <v>512.1040133789802</v>
      </c>
      <c r="D220">
        <v>151</v>
      </c>
      <c r="E220" s="36">
        <v>25.851834798608781</v>
      </c>
      <c r="F220">
        <v>151</v>
      </c>
      <c r="G220" s="36">
        <v>786.17009169717949</v>
      </c>
    </row>
    <row r="221" spans="2:7" x14ac:dyDescent="0.3">
      <c r="B221">
        <v>152</v>
      </c>
      <c r="C221" s="36">
        <v>952.77353855297008</v>
      </c>
      <c r="D221">
        <v>152</v>
      </c>
      <c r="E221" s="36">
        <v>-11.156528397885257</v>
      </c>
      <c r="F221">
        <v>152</v>
      </c>
      <c r="G221" s="36">
        <v>1006.3403548256156</v>
      </c>
    </row>
    <row r="222" spans="2:7" x14ac:dyDescent="0.3">
      <c r="B222">
        <v>153</v>
      </c>
      <c r="C222" s="36">
        <v>753.56726895527527</v>
      </c>
      <c r="D222">
        <v>153</v>
      </c>
      <c r="E222" s="36">
        <v>21.131433873928895</v>
      </c>
      <c r="F222">
        <v>153</v>
      </c>
      <c r="G222" s="36">
        <v>456.52925030941816</v>
      </c>
    </row>
    <row r="223" spans="2:7" x14ac:dyDescent="0.3">
      <c r="B223">
        <v>154</v>
      </c>
      <c r="C223" s="36">
        <v>1140.7512894352201</v>
      </c>
      <c r="D223">
        <v>154</v>
      </c>
      <c r="E223" s="36">
        <v>5.3316365707988869</v>
      </c>
      <c r="F223">
        <v>154</v>
      </c>
      <c r="G223" s="36">
        <v>1665.3403240374064</v>
      </c>
    </row>
    <row r="224" spans="2:7" x14ac:dyDescent="0.3">
      <c r="B224">
        <v>155</v>
      </c>
      <c r="C224" s="36">
        <v>1049.2131293522009</v>
      </c>
      <c r="D224">
        <v>155</v>
      </c>
      <c r="E224" s="36">
        <v>-2.0263745827071693</v>
      </c>
      <c r="F224">
        <v>155</v>
      </c>
      <c r="G224" s="36">
        <v>1021.6586507009475</v>
      </c>
    </row>
    <row r="225" spans="2:7" x14ac:dyDescent="0.3">
      <c r="B225">
        <v>156</v>
      </c>
      <c r="C225" s="36">
        <v>1605.8126470226284</v>
      </c>
      <c r="D225">
        <v>156</v>
      </c>
      <c r="E225" s="36">
        <v>47.607619512115299</v>
      </c>
      <c r="F225">
        <v>156</v>
      </c>
      <c r="G225" s="36">
        <v>1162.051994355101</v>
      </c>
    </row>
    <row r="226" spans="2:7" x14ac:dyDescent="0.3">
      <c r="B226">
        <v>157</v>
      </c>
      <c r="C226" s="36">
        <v>564.54379112040272</v>
      </c>
      <c r="D226">
        <v>157</v>
      </c>
      <c r="E226" s="36">
        <v>4.7594129522201722</v>
      </c>
      <c r="F226">
        <v>157</v>
      </c>
      <c r="G226" s="36">
        <v>710.04333771112147</v>
      </c>
    </row>
    <row r="227" spans="2:7" x14ac:dyDescent="0.3">
      <c r="B227">
        <v>158</v>
      </c>
      <c r="C227" s="36">
        <v>1184.684831315798</v>
      </c>
      <c r="D227">
        <v>158</v>
      </c>
      <c r="E227" s="36">
        <v>48.006434754820717</v>
      </c>
      <c r="F227">
        <v>158</v>
      </c>
      <c r="G227" s="36">
        <v>475.75182201995767</v>
      </c>
    </row>
    <row r="228" spans="2:7" x14ac:dyDescent="0.3">
      <c r="B228">
        <v>159</v>
      </c>
      <c r="C228" s="36">
        <v>1318.5226139475537</v>
      </c>
      <c r="D228">
        <v>159</v>
      </c>
      <c r="E228" s="36">
        <v>-32.640461128774191</v>
      </c>
      <c r="F228">
        <v>159</v>
      </c>
      <c r="G228" s="36">
        <v>887.99904024206717</v>
      </c>
    </row>
    <row r="229" spans="2:7" x14ac:dyDescent="0.3">
      <c r="B229">
        <v>160</v>
      </c>
      <c r="C229" s="36">
        <v>732.9318550229757</v>
      </c>
      <c r="D229">
        <v>160</v>
      </c>
      <c r="E229" s="36">
        <v>-52.114841678631478</v>
      </c>
      <c r="F229">
        <v>160</v>
      </c>
      <c r="G229" s="36">
        <v>1563.5895990007641</v>
      </c>
    </row>
    <row r="230" spans="2:7" x14ac:dyDescent="0.3">
      <c r="B230">
        <v>161</v>
      </c>
      <c r="C230" s="36">
        <v>1217.0644101142061</v>
      </c>
      <c r="D230">
        <v>161</v>
      </c>
      <c r="E230" s="36">
        <v>6.2757270518299055</v>
      </c>
      <c r="F230">
        <v>161</v>
      </c>
      <c r="G230" s="36">
        <v>940.35257536043923</v>
      </c>
    </row>
    <row r="231" spans="2:7" x14ac:dyDescent="0.3">
      <c r="B231">
        <v>162</v>
      </c>
      <c r="C231" s="36">
        <v>1056.8888169311781</v>
      </c>
      <c r="D231">
        <v>162</v>
      </c>
      <c r="E231" s="36">
        <v>14.535416660935663</v>
      </c>
      <c r="F231">
        <v>162</v>
      </c>
      <c r="G231" s="36">
        <v>1031.2083549822296</v>
      </c>
    </row>
    <row r="232" spans="2:7" x14ac:dyDescent="0.3">
      <c r="B232">
        <v>163</v>
      </c>
      <c r="C232" s="36">
        <v>1108.3450777610765</v>
      </c>
      <c r="D232">
        <v>163</v>
      </c>
      <c r="E232" s="36">
        <v>-18.123208865735855</v>
      </c>
      <c r="F232">
        <v>163</v>
      </c>
      <c r="G232" s="36">
        <v>1331.0287332907317</v>
      </c>
    </row>
    <row r="233" spans="2:7" x14ac:dyDescent="0.3">
      <c r="B233">
        <v>164</v>
      </c>
      <c r="C233" s="36">
        <v>1023.2247054524329</v>
      </c>
      <c r="D233">
        <v>164</v>
      </c>
      <c r="E233" s="36">
        <v>17.059193615226775</v>
      </c>
      <c r="F233">
        <v>164</v>
      </c>
      <c r="G233" s="36">
        <v>631.5761509535929</v>
      </c>
    </row>
    <row r="234" spans="2:7" x14ac:dyDescent="0.3">
      <c r="B234">
        <v>165</v>
      </c>
      <c r="C234" s="36">
        <v>1012.4663745110216</v>
      </c>
      <c r="D234">
        <v>165</v>
      </c>
      <c r="E234" s="36">
        <v>19.037423770584589</v>
      </c>
      <c r="F234">
        <v>165</v>
      </c>
      <c r="G234" s="36">
        <v>1061.9939730178123</v>
      </c>
    </row>
    <row r="235" spans="2:7" x14ac:dyDescent="0.3">
      <c r="B235">
        <v>166</v>
      </c>
      <c r="C235" s="36">
        <v>744.2241033159745</v>
      </c>
      <c r="D235">
        <v>166</v>
      </c>
      <c r="E235" s="36">
        <v>22.592627698524481</v>
      </c>
      <c r="F235">
        <v>166</v>
      </c>
      <c r="G235" s="36">
        <v>942.46869148550559</v>
      </c>
    </row>
    <row r="236" spans="2:7" x14ac:dyDescent="0.3">
      <c r="B236">
        <v>167</v>
      </c>
      <c r="C236" s="36">
        <v>764.12915111297752</v>
      </c>
      <c r="D236">
        <v>167</v>
      </c>
      <c r="E236" s="36">
        <v>-8.2374628078641017</v>
      </c>
      <c r="F236">
        <v>167</v>
      </c>
      <c r="G236" s="36">
        <v>895.18815861815222</v>
      </c>
    </row>
    <row r="237" spans="2:7" x14ac:dyDescent="0.3">
      <c r="B237">
        <v>168</v>
      </c>
      <c r="C237" s="36">
        <v>916.88003455575017</v>
      </c>
      <c r="D237">
        <v>168</v>
      </c>
      <c r="E237" s="36">
        <v>-1.7221162563083172</v>
      </c>
      <c r="F237">
        <v>168</v>
      </c>
      <c r="G237" s="36">
        <v>714.24298331960608</v>
      </c>
    </row>
    <row r="238" spans="2:7" x14ac:dyDescent="0.3">
      <c r="B238">
        <v>169</v>
      </c>
      <c r="C238" s="36">
        <v>1572.3855215385408</v>
      </c>
      <c r="D238">
        <v>169</v>
      </c>
      <c r="E238" s="36">
        <v>-26.114265697402139</v>
      </c>
      <c r="F238">
        <v>169</v>
      </c>
      <c r="G238" s="36">
        <v>996.76597280864223</v>
      </c>
    </row>
    <row r="239" spans="2:7" x14ac:dyDescent="0.3">
      <c r="B239">
        <v>170</v>
      </c>
      <c r="C239" s="36">
        <v>826.60531698401587</v>
      </c>
      <c r="D239">
        <v>170</v>
      </c>
      <c r="E239" s="36">
        <v>7.9127159649592</v>
      </c>
      <c r="F239">
        <v>170</v>
      </c>
      <c r="G239" s="36">
        <v>691.58399413514439</v>
      </c>
    </row>
    <row r="240" spans="2:7" x14ac:dyDescent="0.3">
      <c r="B240">
        <v>171</v>
      </c>
      <c r="C240" s="36">
        <v>1012.5666689242611</v>
      </c>
      <c r="D240">
        <v>171</v>
      </c>
      <c r="E240" s="36">
        <v>-13.679555197842683</v>
      </c>
      <c r="F240">
        <v>171</v>
      </c>
      <c r="G240" s="36">
        <v>1217.3611558921507</v>
      </c>
    </row>
    <row r="241" spans="2:7" x14ac:dyDescent="0.3">
      <c r="B241">
        <v>172</v>
      </c>
      <c r="C241" s="36">
        <v>675.79223097591455</v>
      </c>
      <c r="D241">
        <v>172</v>
      </c>
      <c r="E241" s="36">
        <v>-6.9167442951269553</v>
      </c>
      <c r="F241">
        <v>172</v>
      </c>
      <c r="G241" s="36">
        <v>890.51227218690622</v>
      </c>
    </row>
    <row r="242" spans="2:7" x14ac:dyDescent="0.3">
      <c r="B242">
        <v>173</v>
      </c>
      <c r="C242" s="36">
        <v>949.81679704828241</v>
      </c>
      <c r="D242">
        <v>173</v>
      </c>
      <c r="E242" s="36">
        <v>12.923333947031768</v>
      </c>
      <c r="F242">
        <v>173</v>
      </c>
      <c r="G242" s="36">
        <v>1525.5246361611994</v>
      </c>
    </row>
    <row r="243" spans="2:7" x14ac:dyDescent="0.3">
      <c r="B243">
        <v>174</v>
      </c>
      <c r="C243" s="36">
        <v>830.67578276608219</v>
      </c>
      <c r="D243">
        <v>174</v>
      </c>
      <c r="E243" s="36">
        <v>14.360104073421681</v>
      </c>
      <c r="F243">
        <v>174</v>
      </c>
      <c r="G243" s="36">
        <v>842.24483605630428</v>
      </c>
    </row>
    <row r="244" spans="2:7" x14ac:dyDescent="0.3">
      <c r="B244">
        <v>175</v>
      </c>
      <c r="C244" s="36">
        <v>1043.6597833636165</v>
      </c>
      <c r="D244">
        <v>175</v>
      </c>
      <c r="E244" s="36">
        <v>17.600550550950445</v>
      </c>
      <c r="F244">
        <v>175</v>
      </c>
      <c r="G244" s="36">
        <v>893.23613943848045</v>
      </c>
    </row>
    <row r="245" spans="2:7" x14ac:dyDescent="0.3">
      <c r="B245">
        <v>176</v>
      </c>
      <c r="C245" s="36">
        <v>935.95764284009203</v>
      </c>
      <c r="D245">
        <v>176</v>
      </c>
      <c r="E245" s="36">
        <v>-2.3666182798288782</v>
      </c>
      <c r="F245">
        <v>176</v>
      </c>
      <c r="G245" s="36">
        <v>720.46514515111551</v>
      </c>
    </row>
    <row r="246" spans="2:7" x14ac:dyDescent="0.3">
      <c r="B246">
        <v>177</v>
      </c>
      <c r="C246" s="36">
        <v>587.18026967216224</v>
      </c>
      <c r="D246">
        <v>177</v>
      </c>
      <c r="E246" s="36">
        <v>15.539156094777059</v>
      </c>
      <c r="F246">
        <v>177</v>
      </c>
      <c r="G246" s="36">
        <v>958.18245746346815</v>
      </c>
    </row>
    <row r="247" spans="2:7" x14ac:dyDescent="0.3">
      <c r="B247">
        <v>178</v>
      </c>
      <c r="C247" s="36">
        <v>914.1774519226459</v>
      </c>
      <c r="D247">
        <v>178</v>
      </c>
      <c r="E247" s="36">
        <v>22.801044139109699</v>
      </c>
      <c r="F247">
        <v>178</v>
      </c>
      <c r="G247" s="36">
        <v>533.26746548671861</v>
      </c>
    </row>
    <row r="248" spans="2:7" x14ac:dyDescent="0.3">
      <c r="B248">
        <v>179</v>
      </c>
      <c r="C248" s="36">
        <v>1394.2575367136826</v>
      </c>
      <c r="D248">
        <v>179</v>
      </c>
      <c r="E248" s="36">
        <v>63.282671439644709</v>
      </c>
      <c r="F248">
        <v>179</v>
      </c>
      <c r="G248" s="36">
        <v>517.6902887652767</v>
      </c>
    </row>
    <row r="249" spans="2:7" x14ac:dyDescent="0.3">
      <c r="B249">
        <v>180</v>
      </c>
      <c r="C249" s="36">
        <v>522.42825340156639</v>
      </c>
      <c r="D249">
        <v>180</v>
      </c>
      <c r="E249" s="36">
        <v>-5.7835531876268016</v>
      </c>
      <c r="F249">
        <v>180</v>
      </c>
      <c r="G249" s="36">
        <v>862.70791793240551</v>
      </c>
    </row>
    <row r="250" spans="2:7" x14ac:dyDescent="0.3">
      <c r="B250">
        <v>181</v>
      </c>
      <c r="C250" s="36">
        <v>1339.4034165736673</v>
      </c>
      <c r="D250">
        <v>181</v>
      </c>
      <c r="E250" s="36">
        <v>-50.724919437816531</v>
      </c>
      <c r="F250">
        <v>181</v>
      </c>
      <c r="G250" s="36">
        <v>823.62284921790888</v>
      </c>
    </row>
    <row r="251" spans="2:7" x14ac:dyDescent="0.3">
      <c r="B251">
        <v>182</v>
      </c>
      <c r="C251" s="36">
        <v>1361.7000734977262</v>
      </c>
      <c r="D251">
        <v>182</v>
      </c>
      <c r="E251" s="36">
        <v>-46.947532615903597</v>
      </c>
      <c r="F251">
        <v>182</v>
      </c>
      <c r="G251" s="36">
        <v>867.73158528537283</v>
      </c>
    </row>
    <row r="252" spans="2:7" x14ac:dyDescent="0.3">
      <c r="B252">
        <v>183</v>
      </c>
      <c r="C252" s="36">
        <v>1179.0653351436208</v>
      </c>
      <c r="D252">
        <v>183</v>
      </c>
      <c r="E252" s="36">
        <v>44.599915771269721</v>
      </c>
      <c r="F252">
        <v>183</v>
      </c>
      <c r="G252" s="36">
        <v>1349.9946331802651</v>
      </c>
    </row>
    <row r="253" spans="2:7" x14ac:dyDescent="0.3">
      <c r="B253">
        <v>184</v>
      </c>
      <c r="C253" s="36">
        <v>615.24590258860746</v>
      </c>
      <c r="D253">
        <v>184</v>
      </c>
      <c r="E253" s="36">
        <v>-24.733771717977664</v>
      </c>
      <c r="F253">
        <v>184</v>
      </c>
      <c r="G253" s="36">
        <v>918.88528450185709</v>
      </c>
    </row>
    <row r="254" spans="2:7" x14ac:dyDescent="0.3">
      <c r="B254">
        <v>185</v>
      </c>
      <c r="C254" s="36">
        <v>1095.5201335463621</v>
      </c>
      <c r="D254">
        <v>185</v>
      </c>
      <c r="E254" s="36">
        <v>-2.5646987814688682</v>
      </c>
      <c r="F254">
        <v>185</v>
      </c>
      <c r="G254" s="36">
        <v>962.33718542751672</v>
      </c>
    </row>
    <row r="255" spans="2:7" x14ac:dyDescent="0.3">
      <c r="B255">
        <v>186</v>
      </c>
      <c r="C255" s="36">
        <v>589.92612609020011</v>
      </c>
      <c r="D255">
        <v>186</v>
      </c>
      <c r="E255" s="36">
        <v>-33.944456339229831</v>
      </c>
      <c r="F255">
        <v>186</v>
      </c>
      <c r="G255" s="36">
        <v>716.12138448345445</v>
      </c>
    </row>
    <row r="256" spans="2:7" x14ac:dyDescent="0.3">
      <c r="B256">
        <v>187</v>
      </c>
      <c r="C256" s="36">
        <v>1041.3119721473636</v>
      </c>
      <c r="D256">
        <v>187</v>
      </c>
      <c r="E256" s="36">
        <v>13.920129088445909</v>
      </c>
      <c r="F256">
        <v>187</v>
      </c>
      <c r="G256" s="36">
        <v>1393.4795974067317</v>
      </c>
    </row>
    <row r="257" spans="2:7" x14ac:dyDescent="0.3">
      <c r="B257">
        <v>188</v>
      </c>
      <c r="C257" s="36">
        <v>922.56117664473618</v>
      </c>
      <c r="D257">
        <v>188</v>
      </c>
      <c r="E257" s="36">
        <v>15.283077484852573</v>
      </c>
      <c r="F257">
        <v>188</v>
      </c>
      <c r="G257" s="36">
        <v>744.06943813841076</v>
      </c>
    </row>
    <row r="258" spans="2:7" x14ac:dyDescent="0.3">
      <c r="B258">
        <v>189</v>
      </c>
      <c r="C258" s="36">
        <v>1350.3624750969993</v>
      </c>
      <c r="D258">
        <v>189</v>
      </c>
      <c r="E258" s="36">
        <v>55.20004213862147</v>
      </c>
      <c r="F258">
        <v>189</v>
      </c>
      <c r="G258" s="36">
        <v>1265.9497310738413</v>
      </c>
    </row>
    <row r="259" spans="2:7" x14ac:dyDescent="0.3">
      <c r="B259">
        <v>190</v>
      </c>
      <c r="C259" s="36">
        <v>543.23131377482196</v>
      </c>
      <c r="D259">
        <v>190</v>
      </c>
      <c r="E259" s="36">
        <v>-2.514893994063069</v>
      </c>
      <c r="F259">
        <v>190</v>
      </c>
      <c r="G259" s="36">
        <v>1093.2143843505105</v>
      </c>
    </row>
    <row r="260" spans="2:7" x14ac:dyDescent="0.3">
      <c r="B260">
        <v>191</v>
      </c>
      <c r="C260" s="36">
        <v>1131.6850201171796</v>
      </c>
      <c r="D260">
        <v>191</v>
      </c>
      <c r="E260" s="36">
        <v>7.1221707309011579</v>
      </c>
      <c r="F260">
        <v>191</v>
      </c>
      <c r="G260" s="36">
        <v>927.7600291502149</v>
      </c>
    </row>
    <row r="261" spans="2:7" x14ac:dyDescent="0.3">
      <c r="B261">
        <v>192</v>
      </c>
      <c r="C261" s="36">
        <v>655.00305899558293</v>
      </c>
      <c r="D261">
        <v>192</v>
      </c>
      <c r="E261" s="36">
        <v>29.352120428827345</v>
      </c>
      <c r="F261">
        <v>192</v>
      </c>
      <c r="G261" s="36">
        <v>1134.9469374660152</v>
      </c>
    </row>
    <row r="262" spans="2:7" x14ac:dyDescent="0.3">
      <c r="B262">
        <v>193</v>
      </c>
      <c r="C262" s="36">
        <v>1217.0400748411982</v>
      </c>
      <c r="D262">
        <v>193</v>
      </c>
      <c r="E262" s="36">
        <v>-10.712570199631973</v>
      </c>
      <c r="F262">
        <v>193</v>
      </c>
      <c r="G262" s="36">
        <v>1417.7985618397529</v>
      </c>
    </row>
    <row r="263" spans="2:7" x14ac:dyDescent="0.3">
      <c r="B263">
        <v>194</v>
      </c>
      <c r="C263" s="36">
        <v>503.02353416494361</v>
      </c>
      <c r="D263">
        <v>194</v>
      </c>
      <c r="E263" s="36">
        <v>7.1926842291931141</v>
      </c>
      <c r="F263">
        <v>194</v>
      </c>
      <c r="G263" s="36">
        <v>1156.8450454054341</v>
      </c>
    </row>
    <row r="264" spans="2:7" x14ac:dyDescent="0.3">
      <c r="B264">
        <v>195</v>
      </c>
      <c r="C264" s="36">
        <v>1050.3490788530501</v>
      </c>
      <c r="D264">
        <v>195</v>
      </c>
      <c r="E264" s="36">
        <v>-21.888090472632037</v>
      </c>
      <c r="F264">
        <v>195</v>
      </c>
      <c r="G264" s="36">
        <v>1096.3827051041442</v>
      </c>
    </row>
    <row r="265" spans="2:7" x14ac:dyDescent="0.3">
      <c r="B265">
        <v>196</v>
      </c>
      <c r="C265" s="36">
        <v>1174.9869986406104</v>
      </c>
      <c r="D265">
        <v>196</v>
      </c>
      <c r="E265" s="36">
        <v>4.9115319175844556</v>
      </c>
      <c r="F265">
        <v>196</v>
      </c>
      <c r="G265" s="36">
        <v>1158.84628289291</v>
      </c>
    </row>
    <row r="266" spans="2:7" x14ac:dyDescent="0.3">
      <c r="B266">
        <v>197</v>
      </c>
      <c r="C266" s="36">
        <v>698.60838799701901</v>
      </c>
      <c r="D266">
        <v>197</v>
      </c>
      <c r="E266" s="36">
        <v>26.848040904706618</v>
      </c>
      <c r="F266">
        <v>197</v>
      </c>
      <c r="G266" s="36">
        <v>1301.7768360093023</v>
      </c>
    </row>
    <row r="267" spans="2:7" x14ac:dyDescent="0.3">
      <c r="B267">
        <v>198</v>
      </c>
      <c r="C267" s="36">
        <v>593.70611100432939</v>
      </c>
      <c r="D267">
        <v>198</v>
      </c>
      <c r="E267" s="36">
        <v>7.9897915236069208</v>
      </c>
      <c r="F267">
        <v>198</v>
      </c>
      <c r="G267" s="36">
        <v>634.11767403439637</v>
      </c>
    </row>
    <row r="268" spans="2:7" x14ac:dyDescent="0.3">
      <c r="B268">
        <v>199</v>
      </c>
      <c r="C268" s="36">
        <v>747.88069948521286</v>
      </c>
      <c r="D268">
        <v>199</v>
      </c>
      <c r="E268" s="36">
        <v>18.080510907404438</v>
      </c>
      <c r="F268">
        <v>199</v>
      </c>
      <c r="G268" s="36">
        <v>451.37466955084409</v>
      </c>
    </row>
    <row r="269" spans="2:7" x14ac:dyDescent="0.3">
      <c r="B269">
        <v>200</v>
      </c>
      <c r="C269" s="36">
        <v>786.47800439125081</v>
      </c>
      <c r="D269">
        <v>200</v>
      </c>
      <c r="E269" s="36">
        <v>1.4986516647765642</v>
      </c>
      <c r="F269">
        <v>200</v>
      </c>
      <c r="G269" s="36">
        <v>1019.4060469624977</v>
      </c>
    </row>
    <row r="270" spans="2:7" x14ac:dyDescent="0.3">
      <c r="B270">
        <v>201</v>
      </c>
      <c r="C270" s="36">
        <v>1455.4648031902318</v>
      </c>
      <c r="D270">
        <v>201</v>
      </c>
      <c r="E270" s="36">
        <v>22.720315849374167</v>
      </c>
      <c r="F270">
        <v>201</v>
      </c>
      <c r="G270" s="36">
        <v>870.85781640198854</v>
      </c>
    </row>
    <row r="271" spans="2:7" x14ac:dyDescent="0.3">
      <c r="B271">
        <v>202</v>
      </c>
      <c r="C271" s="36">
        <v>1356.4637120952289</v>
      </c>
      <c r="D271">
        <v>202</v>
      </c>
      <c r="E271" s="36">
        <v>38.47228043961168</v>
      </c>
      <c r="F271">
        <v>202</v>
      </c>
      <c r="G271" s="36">
        <v>1053.7695674349748</v>
      </c>
    </row>
    <row r="272" spans="2:7" x14ac:dyDescent="0.3">
      <c r="B272">
        <v>203</v>
      </c>
      <c r="C272" s="36">
        <v>781.9755343044842</v>
      </c>
      <c r="D272">
        <v>203</v>
      </c>
      <c r="E272" s="36">
        <v>-5.7857267182640969E-2</v>
      </c>
      <c r="F272">
        <v>203</v>
      </c>
      <c r="G272" s="36">
        <v>1191.9881775692879</v>
      </c>
    </row>
    <row r="273" spans="2:7" x14ac:dyDescent="0.3">
      <c r="B273">
        <v>204</v>
      </c>
      <c r="C273" s="36">
        <v>881.17253381668274</v>
      </c>
      <c r="D273">
        <v>204</v>
      </c>
      <c r="E273" s="36">
        <v>32.237529986110509</v>
      </c>
      <c r="F273">
        <v>204</v>
      </c>
      <c r="G273" s="36">
        <v>992.76514360895123</v>
      </c>
    </row>
    <row r="274" spans="2:7" x14ac:dyDescent="0.3">
      <c r="B274">
        <v>205</v>
      </c>
      <c r="C274" s="36">
        <v>693.59764607990087</v>
      </c>
      <c r="D274">
        <v>205</v>
      </c>
      <c r="E274" s="36">
        <v>-15.007152405022959</v>
      </c>
      <c r="F274">
        <v>205</v>
      </c>
      <c r="G274" s="36">
        <v>584.1388537152452</v>
      </c>
    </row>
    <row r="275" spans="2:7" x14ac:dyDescent="0.3">
      <c r="B275">
        <v>206</v>
      </c>
      <c r="C275" s="36">
        <v>1115.357183781884</v>
      </c>
      <c r="D275">
        <v>206</v>
      </c>
      <c r="E275" s="36">
        <v>49.659650958015249</v>
      </c>
      <c r="F275">
        <v>206</v>
      </c>
      <c r="G275" s="36">
        <v>1154.0309367271309</v>
      </c>
    </row>
    <row r="276" spans="2:7" x14ac:dyDescent="0.3">
      <c r="B276">
        <v>207</v>
      </c>
      <c r="C276" s="36">
        <v>466.23592056475263</v>
      </c>
      <c r="D276">
        <v>207</v>
      </c>
      <c r="E276" s="36">
        <v>44.474286068027773</v>
      </c>
      <c r="F276">
        <v>207</v>
      </c>
      <c r="G276" s="36">
        <v>802.36989853470527</v>
      </c>
    </row>
    <row r="277" spans="2:7" x14ac:dyDescent="0.3">
      <c r="B277">
        <v>208</v>
      </c>
      <c r="C277" s="36">
        <v>1046.0282331584713</v>
      </c>
      <c r="D277">
        <v>208</v>
      </c>
      <c r="E277" s="36">
        <v>23.243689535119255</v>
      </c>
      <c r="F277">
        <v>208</v>
      </c>
      <c r="G277" s="36">
        <v>1019.4341495897021</v>
      </c>
    </row>
    <row r="278" spans="2:7" x14ac:dyDescent="0.3">
      <c r="B278">
        <v>209</v>
      </c>
      <c r="C278" s="36">
        <v>524.79816427434582</v>
      </c>
      <c r="D278">
        <v>209</v>
      </c>
      <c r="E278" s="36">
        <v>22.306924279712991</v>
      </c>
      <c r="F278">
        <v>209</v>
      </c>
      <c r="G278" s="36">
        <v>1117.8903846977528</v>
      </c>
    </row>
    <row r="279" spans="2:7" x14ac:dyDescent="0.3">
      <c r="B279">
        <v>210</v>
      </c>
      <c r="C279" s="36">
        <v>748.19693521786758</v>
      </c>
      <c r="D279">
        <v>210</v>
      </c>
      <c r="E279" s="36">
        <v>0.75749505808141848</v>
      </c>
      <c r="F279">
        <v>210</v>
      </c>
      <c r="G279" s="36">
        <v>1294.861039758443</v>
      </c>
    </row>
    <row r="280" spans="2:7" x14ac:dyDescent="0.3">
      <c r="B280">
        <v>211</v>
      </c>
      <c r="C280" s="36">
        <v>1088.9102377943193</v>
      </c>
      <c r="D280">
        <v>211</v>
      </c>
      <c r="E280" s="36">
        <v>-6.3913884887329795</v>
      </c>
      <c r="F280">
        <v>211</v>
      </c>
      <c r="G280" s="36">
        <v>787.42067094960782</v>
      </c>
    </row>
    <row r="281" spans="2:7" x14ac:dyDescent="0.3">
      <c r="B281">
        <v>212</v>
      </c>
      <c r="C281" s="36">
        <v>1149.8293903365779</v>
      </c>
      <c r="D281">
        <v>212</v>
      </c>
      <c r="E281" s="36">
        <v>36.317473640441015</v>
      </c>
      <c r="F281">
        <v>212</v>
      </c>
      <c r="G281" s="36">
        <v>548.14002022388979</v>
      </c>
    </row>
    <row r="282" spans="2:7" x14ac:dyDescent="0.3">
      <c r="B282">
        <v>213</v>
      </c>
      <c r="C282" s="36">
        <v>666.20237172203895</v>
      </c>
      <c r="D282">
        <v>213</v>
      </c>
      <c r="E282" s="36">
        <v>4.166513822884804</v>
      </c>
      <c r="F282">
        <v>213</v>
      </c>
      <c r="G282" s="36">
        <v>878.43763168970634</v>
      </c>
    </row>
    <row r="283" spans="2:7" x14ac:dyDescent="0.3">
      <c r="B283">
        <v>214</v>
      </c>
      <c r="C283" s="36">
        <v>656.91387947431713</v>
      </c>
      <c r="D283">
        <v>214</v>
      </c>
      <c r="E283" s="36">
        <v>25.464577593312374</v>
      </c>
      <c r="F283">
        <v>214</v>
      </c>
      <c r="G283" s="36">
        <v>847.11078594111791</v>
      </c>
    </row>
    <row r="284" spans="2:7" x14ac:dyDescent="0.3">
      <c r="B284">
        <v>215</v>
      </c>
      <c r="C284" s="36">
        <v>861.20242712034849</v>
      </c>
      <c r="D284">
        <v>215</v>
      </c>
      <c r="E284" s="36">
        <v>15.250761902317667</v>
      </c>
      <c r="F284">
        <v>215</v>
      </c>
      <c r="G284" s="36">
        <v>915.93688532331635</v>
      </c>
    </row>
    <row r="285" spans="2:7" x14ac:dyDescent="0.3">
      <c r="B285">
        <v>216</v>
      </c>
      <c r="C285" s="36">
        <v>1294.1259053158105</v>
      </c>
      <c r="D285">
        <v>216</v>
      </c>
      <c r="E285" s="36">
        <v>59.950903436961269</v>
      </c>
      <c r="F285">
        <v>216</v>
      </c>
      <c r="G285" s="36">
        <v>1499.4372795829468</v>
      </c>
    </row>
    <row r="286" spans="2:7" x14ac:dyDescent="0.3">
      <c r="B286">
        <v>217</v>
      </c>
      <c r="C286" s="36">
        <v>367.99648652188455</v>
      </c>
      <c r="D286">
        <v>217</v>
      </c>
      <c r="E286" s="36">
        <v>-8.3735218233470761</v>
      </c>
      <c r="F286">
        <v>217</v>
      </c>
      <c r="G286" s="36">
        <v>875.27436731475041</v>
      </c>
    </row>
    <row r="287" spans="2:7" x14ac:dyDescent="0.3">
      <c r="B287">
        <v>218</v>
      </c>
      <c r="C287" s="36">
        <v>556.0460019699733</v>
      </c>
      <c r="D287">
        <v>218</v>
      </c>
      <c r="E287" s="36">
        <v>18.858070139172348</v>
      </c>
      <c r="F287">
        <v>218</v>
      </c>
      <c r="G287" s="36">
        <v>1111.3968949957712</v>
      </c>
    </row>
    <row r="288" spans="2:7" x14ac:dyDescent="0.3">
      <c r="B288">
        <v>219</v>
      </c>
      <c r="C288" s="36">
        <v>713.04063969470417</v>
      </c>
      <c r="D288">
        <v>219</v>
      </c>
      <c r="E288" s="36">
        <v>8.1469402842614151</v>
      </c>
      <c r="F288">
        <v>219</v>
      </c>
      <c r="G288" s="36">
        <v>980.54165200580371</v>
      </c>
    </row>
    <row r="289" spans="2:7" x14ac:dyDescent="0.3">
      <c r="B289">
        <v>220</v>
      </c>
      <c r="C289" s="36">
        <v>917.04422523753817</v>
      </c>
      <c r="D289">
        <v>220</v>
      </c>
      <c r="E289" s="36">
        <v>55.351027796821825</v>
      </c>
      <c r="F289">
        <v>220</v>
      </c>
      <c r="G289" s="36">
        <v>687.3046959912034</v>
      </c>
    </row>
    <row r="290" spans="2:7" x14ac:dyDescent="0.3">
      <c r="B290">
        <v>221</v>
      </c>
      <c r="C290" s="36">
        <v>1210.190197135955</v>
      </c>
      <c r="D290">
        <v>221</v>
      </c>
      <c r="E290" s="36">
        <v>-5.4671494531446125</v>
      </c>
      <c r="F290">
        <v>221</v>
      </c>
      <c r="G290" s="36">
        <v>1136.0266473944728</v>
      </c>
    </row>
    <row r="291" spans="2:7" x14ac:dyDescent="0.3">
      <c r="B291">
        <v>222</v>
      </c>
      <c r="C291" s="36">
        <v>995.32132464983647</v>
      </c>
      <c r="D291">
        <v>222</v>
      </c>
      <c r="E291" s="36">
        <v>-2.9956222862210384</v>
      </c>
      <c r="F291">
        <v>222</v>
      </c>
      <c r="G291" s="36">
        <v>1283.5406768606038</v>
      </c>
    </row>
    <row r="292" spans="2:7" x14ac:dyDescent="0.3">
      <c r="B292">
        <v>223</v>
      </c>
      <c r="C292" s="36">
        <v>1005.6750185240328</v>
      </c>
      <c r="D292">
        <v>223</v>
      </c>
      <c r="E292" s="36">
        <v>-26.644919045925509</v>
      </c>
      <c r="F292">
        <v>223</v>
      </c>
      <c r="G292" s="36">
        <v>1277.7393505850039</v>
      </c>
    </row>
    <row r="293" spans="2:7" x14ac:dyDescent="0.3">
      <c r="B293">
        <v>224</v>
      </c>
      <c r="C293" s="36">
        <v>751.33812511262784</v>
      </c>
      <c r="D293">
        <v>224</v>
      </c>
      <c r="E293" s="36">
        <v>28.513882317922061</v>
      </c>
      <c r="F293">
        <v>224</v>
      </c>
      <c r="G293" s="36">
        <v>1214.4038432696307</v>
      </c>
    </row>
    <row r="294" spans="2:7" x14ac:dyDescent="0.3">
      <c r="B294">
        <v>225</v>
      </c>
      <c r="C294" s="36">
        <v>575.43585624127354</v>
      </c>
      <c r="D294">
        <v>225</v>
      </c>
      <c r="E294" s="36">
        <v>18.108035427455039</v>
      </c>
      <c r="F294">
        <v>225</v>
      </c>
      <c r="G294" s="36">
        <v>1077.5247866972591</v>
      </c>
    </row>
    <row r="295" spans="2:7" x14ac:dyDescent="0.3">
      <c r="B295">
        <v>226</v>
      </c>
      <c r="C295" s="36">
        <v>881.91887876466808</v>
      </c>
      <c r="D295">
        <v>226</v>
      </c>
      <c r="E295" s="36">
        <v>2.9311484916492225</v>
      </c>
      <c r="F295">
        <v>226</v>
      </c>
      <c r="G295" s="36">
        <v>399.89936853699191</v>
      </c>
    </row>
    <row r="296" spans="2:7" x14ac:dyDescent="0.3">
      <c r="B296">
        <v>227</v>
      </c>
      <c r="C296" s="36">
        <v>928.72029408058609</v>
      </c>
      <c r="D296">
        <v>227</v>
      </c>
      <c r="E296" s="36">
        <v>-5.9630807194512929</v>
      </c>
      <c r="F296">
        <v>227</v>
      </c>
      <c r="G296" s="36">
        <v>919.24871132050464</v>
      </c>
    </row>
    <row r="297" spans="2:7" x14ac:dyDescent="0.3">
      <c r="B297">
        <v>228</v>
      </c>
      <c r="C297" s="36">
        <v>1035.5753093399769</v>
      </c>
      <c r="D297">
        <v>228</v>
      </c>
      <c r="E297" s="36">
        <v>1.3791048416318465</v>
      </c>
      <c r="F297">
        <v>228</v>
      </c>
      <c r="G297" s="36">
        <v>1087.9778486951705</v>
      </c>
    </row>
    <row r="298" spans="2:7" x14ac:dyDescent="0.3">
      <c r="B298">
        <v>229</v>
      </c>
      <c r="C298" s="36">
        <v>697.93560190165783</v>
      </c>
      <c r="D298">
        <v>229</v>
      </c>
      <c r="E298" s="36">
        <v>-7.3600629842511962</v>
      </c>
      <c r="F298">
        <v>229</v>
      </c>
      <c r="G298" s="36">
        <v>1523.2653274128013</v>
      </c>
    </row>
    <row r="299" spans="2:7" x14ac:dyDescent="0.3">
      <c r="B299">
        <v>230</v>
      </c>
      <c r="C299" s="36">
        <v>956.23476327620415</v>
      </c>
      <c r="D299">
        <v>230</v>
      </c>
      <c r="E299" s="36">
        <v>57.599498683712056</v>
      </c>
      <c r="F299">
        <v>230</v>
      </c>
      <c r="G299" s="36">
        <v>950.2722745122486</v>
      </c>
    </row>
    <row r="300" spans="2:7" x14ac:dyDescent="0.3">
      <c r="B300">
        <v>231</v>
      </c>
      <c r="C300" s="36">
        <v>327.90233519318571</v>
      </c>
      <c r="D300">
        <v>231</v>
      </c>
      <c r="E300" s="36">
        <v>14.980738735899177</v>
      </c>
      <c r="F300">
        <v>231</v>
      </c>
      <c r="G300" s="36">
        <v>1221.5792911593906</v>
      </c>
    </row>
    <row r="301" spans="2:7" x14ac:dyDescent="0.3">
      <c r="B301">
        <v>232</v>
      </c>
      <c r="C301" s="36">
        <v>455.38951086498048</v>
      </c>
      <c r="D301">
        <v>232</v>
      </c>
      <c r="E301" s="36">
        <v>-23.158585082729509</v>
      </c>
      <c r="F301">
        <v>232</v>
      </c>
      <c r="G301" s="36">
        <v>1333.8667958063061</v>
      </c>
    </row>
    <row r="302" spans="2:7" x14ac:dyDescent="0.3">
      <c r="B302">
        <v>233</v>
      </c>
      <c r="C302" s="36">
        <v>813.57055221500241</v>
      </c>
      <c r="D302">
        <v>233</v>
      </c>
      <c r="E302" s="36">
        <v>7.9471108138395934</v>
      </c>
      <c r="F302">
        <v>233</v>
      </c>
      <c r="G302" s="36">
        <v>875.8401063190513</v>
      </c>
    </row>
    <row r="303" spans="2:7" x14ac:dyDescent="0.3">
      <c r="B303">
        <v>234</v>
      </c>
      <c r="C303" s="36">
        <v>727.77903731388346</v>
      </c>
      <c r="D303">
        <v>234</v>
      </c>
      <c r="E303" s="36">
        <v>-5.808444584737801</v>
      </c>
      <c r="F303">
        <v>234</v>
      </c>
      <c r="G303" s="36">
        <v>642.59036297538535</v>
      </c>
    </row>
    <row r="304" spans="2:7" x14ac:dyDescent="0.3">
      <c r="B304">
        <v>235</v>
      </c>
      <c r="C304" s="36">
        <v>226.14677074788693</v>
      </c>
      <c r="D304">
        <v>235</v>
      </c>
      <c r="E304" s="36">
        <v>-34.734769358448915</v>
      </c>
      <c r="F304">
        <v>235</v>
      </c>
      <c r="G304" s="36">
        <v>694.43034766385199</v>
      </c>
    </row>
    <row r="305" spans="2:7" x14ac:dyDescent="0.3">
      <c r="B305">
        <v>236</v>
      </c>
      <c r="C305" s="36">
        <v>103.72740283636037</v>
      </c>
      <c r="D305">
        <v>236</v>
      </c>
      <c r="E305" s="36">
        <v>-0.1394955433039835</v>
      </c>
      <c r="F305">
        <v>236</v>
      </c>
      <c r="G305" s="36">
        <v>775.75061296537353</v>
      </c>
    </row>
    <row r="306" spans="2:7" x14ac:dyDescent="0.3">
      <c r="B306">
        <v>237</v>
      </c>
      <c r="C306" s="36">
        <v>1105.6490605088941</v>
      </c>
      <c r="D306">
        <v>237</v>
      </c>
      <c r="E306" s="36">
        <v>14.361180184967631</v>
      </c>
      <c r="F306">
        <v>237</v>
      </c>
      <c r="G306" s="36">
        <v>1236.2553953943902</v>
      </c>
    </row>
    <row r="307" spans="2:7" x14ac:dyDescent="0.3">
      <c r="B307">
        <v>238</v>
      </c>
      <c r="C307" s="36">
        <v>1762.565629431454</v>
      </c>
      <c r="D307">
        <v>238</v>
      </c>
      <c r="E307" s="36">
        <v>-4.4137022322514401</v>
      </c>
      <c r="F307">
        <v>238</v>
      </c>
      <c r="G307" s="36">
        <v>741.93158762021687</v>
      </c>
    </row>
    <row r="308" spans="2:7" x14ac:dyDescent="0.3">
      <c r="B308">
        <v>239</v>
      </c>
      <c r="C308" s="36">
        <v>1432.7609369860265</v>
      </c>
      <c r="D308">
        <v>239</v>
      </c>
      <c r="E308" s="36">
        <v>8.9063635415719169</v>
      </c>
      <c r="F308">
        <v>239</v>
      </c>
      <c r="G308" s="36">
        <v>1392.2823426970376</v>
      </c>
    </row>
    <row r="309" spans="2:7" x14ac:dyDescent="0.3">
      <c r="B309">
        <v>240</v>
      </c>
      <c r="C309" s="36">
        <v>672.67820547888027</v>
      </c>
      <c r="D309">
        <v>240</v>
      </c>
      <c r="E309" s="36">
        <v>13.582058402694722</v>
      </c>
      <c r="F309">
        <v>240</v>
      </c>
      <c r="G309" s="36">
        <v>1402.8663470117899</v>
      </c>
    </row>
    <row r="310" spans="2:7" x14ac:dyDescent="0.3">
      <c r="B310">
        <v>241</v>
      </c>
      <c r="C310" s="36">
        <v>695.34812761961746</v>
      </c>
      <c r="D310">
        <v>241</v>
      </c>
      <c r="E310" s="36">
        <v>-8.3875141360881731</v>
      </c>
      <c r="F310">
        <v>241</v>
      </c>
      <c r="G310" s="36">
        <v>1046.908035256972</v>
      </c>
    </row>
    <row r="311" spans="2:7" x14ac:dyDescent="0.3">
      <c r="B311">
        <v>242</v>
      </c>
      <c r="C311" s="36">
        <v>581.79100619099222</v>
      </c>
      <c r="D311">
        <v>242</v>
      </c>
      <c r="E311" s="36">
        <v>-31.047828292888425</v>
      </c>
      <c r="F311">
        <v>242</v>
      </c>
      <c r="G311" s="36">
        <v>929.97011396489177</v>
      </c>
    </row>
    <row r="312" spans="2:7" x14ac:dyDescent="0.3">
      <c r="B312">
        <v>243</v>
      </c>
      <c r="C312" s="36">
        <v>513.86120542666617</v>
      </c>
      <c r="D312">
        <v>243</v>
      </c>
      <c r="E312" s="36">
        <v>23.146146531568597</v>
      </c>
      <c r="F312">
        <v>243</v>
      </c>
      <c r="G312" s="36">
        <v>1387.2940620026859</v>
      </c>
    </row>
    <row r="313" spans="2:7" x14ac:dyDescent="0.3">
      <c r="B313">
        <v>244</v>
      </c>
      <c r="C313" s="36">
        <v>909.67346156338385</v>
      </c>
      <c r="D313">
        <v>244</v>
      </c>
      <c r="E313" s="36">
        <v>24.651013118294813</v>
      </c>
      <c r="F313">
        <v>244</v>
      </c>
      <c r="G313" s="36">
        <v>814.25639628896022</v>
      </c>
    </row>
    <row r="314" spans="2:7" x14ac:dyDescent="0.3">
      <c r="B314">
        <v>245</v>
      </c>
      <c r="C314" s="36">
        <v>1181.3320471606494</v>
      </c>
      <c r="D314">
        <v>245</v>
      </c>
      <c r="E314" s="36">
        <v>-21.133610768960136</v>
      </c>
      <c r="F314">
        <v>245</v>
      </c>
      <c r="G314" s="36">
        <v>739.04096492105759</v>
      </c>
    </row>
    <row r="315" spans="2:7" x14ac:dyDescent="0.3">
      <c r="B315">
        <v>246</v>
      </c>
      <c r="C315" s="36">
        <v>1213.7179497387701</v>
      </c>
      <c r="D315">
        <v>246</v>
      </c>
      <c r="E315" s="36">
        <v>26.024027885245562</v>
      </c>
      <c r="F315">
        <v>246</v>
      </c>
      <c r="G315" s="36">
        <v>606.1155368800022</v>
      </c>
    </row>
    <row r="316" spans="2:7" x14ac:dyDescent="0.3">
      <c r="B316">
        <v>247</v>
      </c>
      <c r="C316" s="36">
        <v>529.7897359258393</v>
      </c>
      <c r="D316">
        <v>247</v>
      </c>
      <c r="E316" s="36">
        <v>-8.6724312899833791</v>
      </c>
      <c r="F316">
        <v>247</v>
      </c>
      <c r="G316" s="36">
        <v>892.89678749398774</v>
      </c>
    </row>
    <row r="317" spans="2:7" x14ac:dyDescent="0.3">
      <c r="B317">
        <v>248</v>
      </c>
      <c r="C317" s="36">
        <v>990.10069149255798</v>
      </c>
      <c r="D317">
        <v>248</v>
      </c>
      <c r="E317" s="36">
        <v>-8.7815898864608606</v>
      </c>
      <c r="F317">
        <v>248</v>
      </c>
      <c r="G317" s="36">
        <v>939.28931214216448</v>
      </c>
    </row>
    <row r="318" spans="2:7" x14ac:dyDescent="0.3">
      <c r="B318">
        <v>249</v>
      </c>
      <c r="C318" s="36">
        <v>1054.9965095284072</v>
      </c>
      <c r="D318">
        <v>249</v>
      </c>
      <c r="E318" s="36">
        <v>43.570257622040458</v>
      </c>
      <c r="F318">
        <v>249</v>
      </c>
      <c r="G318" s="36">
        <v>1054.600772743903</v>
      </c>
    </row>
    <row r="319" spans="2:7" x14ac:dyDescent="0.3">
      <c r="B319">
        <v>250</v>
      </c>
      <c r="C319" s="36">
        <v>814.37484913385811</v>
      </c>
      <c r="D319">
        <v>250</v>
      </c>
      <c r="E319" s="36">
        <v>-0.20000032871488321</v>
      </c>
      <c r="F319">
        <v>250</v>
      </c>
      <c r="G319" s="36">
        <v>1171.1802507748284</v>
      </c>
    </row>
    <row r="320" spans="2:7" x14ac:dyDescent="0.3">
      <c r="B320">
        <v>251</v>
      </c>
      <c r="C320" s="36">
        <v>1279.851039612659</v>
      </c>
      <c r="D320">
        <v>251</v>
      </c>
      <c r="E320" s="36">
        <v>30.644282784271876</v>
      </c>
      <c r="F320">
        <v>251</v>
      </c>
      <c r="G320" s="36">
        <v>947.95784730383127</v>
      </c>
    </row>
    <row r="321" spans="2:7" x14ac:dyDescent="0.3">
      <c r="B321">
        <v>252</v>
      </c>
      <c r="C321" s="36">
        <v>1754.4004955120272</v>
      </c>
      <c r="D321">
        <v>252</v>
      </c>
      <c r="E321" s="36">
        <v>-17.338554677867748</v>
      </c>
      <c r="F321">
        <v>252</v>
      </c>
      <c r="G321" s="36">
        <v>1220.6411751927672</v>
      </c>
    </row>
    <row r="322" spans="2:7" x14ac:dyDescent="0.3">
      <c r="B322">
        <v>253</v>
      </c>
      <c r="C322" s="36">
        <v>581.02387098427312</v>
      </c>
      <c r="D322">
        <v>253</v>
      </c>
      <c r="E322" s="36">
        <v>21.628019337938582</v>
      </c>
      <c r="F322">
        <v>253</v>
      </c>
      <c r="G322" s="36">
        <v>1122.306937842071</v>
      </c>
    </row>
    <row r="323" spans="2:7" x14ac:dyDescent="0.3">
      <c r="B323">
        <v>254</v>
      </c>
      <c r="C323" s="36">
        <v>1436.5030629868465</v>
      </c>
      <c r="D323">
        <v>254</v>
      </c>
      <c r="E323" s="36">
        <v>-16.157340008917625</v>
      </c>
      <c r="F323">
        <v>254</v>
      </c>
      <c r="G323" s="36">
        <v>1525.8870450543116</v>
      </c>
    </row>
    <row r="324" spans="2:7" x14ac:dyDescent="0.3">
      <c r="B324">
        <v>255</v>
      </c>
      <c r="C324" s="36">
        <v>1327.6870454658617</v>
      </c>
      <c r="D324">
        <v>255</v>
      </c>
      <c r="E324" s="36">
        <v>1.9476987986154621</v>
      </c>
      <c r="F324">
        <v>255</v>
      </c>
      <c r="G324" s="36">
        <v>747.02014634625243</v>
      </c>
    </row>
    <row r="325" spans="2:7" x14ac:dyDescent="0.3">
      <c r="B325">
        <v>256</v>
      </c>
      <c r="C325" s="36">
        <v>321.86732539669163</v>
      </c>
      <c r="D325">
        <v>256</v>
      </c>
      <c r="E325" s="36">
        <v>-65.987792789089028</v>
      </c>
      <c r="F325">
        <v>256</v>
      </c>
      <c r="G325" s="36">
        <v>352.76413752200108</v>
      </c>
    </row>
    <row r="326" spans="2:7" x14ac:dyDescent="0.3">
      <c r="B326">
        <v>257</v>
      </c>
      <c r="C326" s="36">
        <v>1018.4701445594983</v>
      </c>
      <c r="D326">
        <v>257</v>
      </c>
      <c r="E326" s="36">
        <v>14.018315425942513</v>
      </c>
      <c r="F326">
        <v>257</v>
      </c>
      <c r="G326" s="36">
        <v>902.24737572161325</v>
      </c>
    </row>
    <row r="327" spans="2:7" x14ac:dyDescent="0.3">
      <c r="B327">
        <v>258</v>
      </c>
      <c r="C327" s="36">
        <v>666.11354202114342</v>
      </c>
      <c r="D327">
        <v>258</v>
      </c>
      <c r="E327" s="36">
        <v>88.877554704209516</v>
      </c>
      <c r="F327">
        <v>258</v>
      </c>
      <c r="G327" s="36">
        <v>1334.4657954566214</v>
      </c>
    </row>
    <row r="328" spans="2:7" x14ac:dyDescent="0.3">
      <c r="B328">
        <v>259</v>
      </c>
      <c r="C328" s="36">
        <v>1371.0419729754572</v>
      </c>
      <c r="D328">
        <v>259</v>
      </c>
      <c r="E328" s="36">
        <v>0.6807877282393634</v>
      </c>
      <c r="F328">
        <v>259</v>
      </c>
      <c r="G328" s="36">
        <v>1185.4918508599144</v>
      </c>
    </row>
    <row r="329" spans="2:7" x14ac:dyDescent="0.3">
      <c r="B329">
        <v>260</v>
      </c>
      <c r="C329" s="36">
        <v>1425.0886812524548</v>
      </c>
      <c r="D329">
        <v>260</v>
      </c>
      <c r="E329" s="36">
        <v>9.6315218648754026</v>
      </c>
      <c r="F329">
        <v>260</v>
      </c>
      <c r="G329" s="36">
        <v>907.68587806634628</v>
      </c>
    </row>
    <row r="330" spans="2:7" x14ac:dyDescent="0.3">
      <c r="B330">
        <v>261</v>
      </c>
      <c r="C330" s="36">
        <v>953.99992103924046</v>
      </c>
      <c r="D330">
        <v>261</v>
      </c>
      <c r="E330" s="36">
        <v>-14.713743667722463</v>
      </c>
      <c r="F330">
        <v>261</v>
      </c>
      <c r="G330" s="36">
        <v>1244.4100014589517</v>
      </c>
    </row>
    <row r="331" spans="2:7" x14ac:dyDescent="0.3">
      <c r="B331">
        <v>262</v>
      </c>
      <c r="C331" s="36">
        <v>978.8183805923361</v>
      </c>
      <c r="D331">
        <v>262</v>
      </c>
      <c r="E331" s="36">
        <v>17.388152263278609</v>
      </c>
      <c r="F331">
        <v>262</v>
      </c>
      <c r="G331" s="36">
        <v>738.7188537675288</v>
      </c>
    </row>
    <row r="332" spans="2:7" x14ac:dyDescent="0.3">
      <c r="B332">
        <v>263</v>
      </c>
      <c r="C332" s="36">
        <v>117.91825062082323</v>
      </c>
      <c r="D332">
        <v>263</v>
      </c>
      <c r="E332" s="36">
        <v>4.2742521924533312</v>
      </c>
      <c r="F332">
        <v>263</v>
      </c>
      <c r="G332" s="36">
        <v>1035.2498785912628</v>
      </c>
    </row>
    <row r="333" spans="2:7" x14ac:dyDescent="0.3">
      <c r="B333">
        <v>264</v>
      </c>
      <c r="C333" s="36">
        <v>756.88562064530424</v>
      </c>
      <c r="D333">
        <v>264</v>
      </c>
      <c r="E333" s="36">
        <v>-6.6494709749864809</v>
      </c>
      <c r="F333">
        <v>264</v>
      </c>
      <c r="G333" s="36">
        <v>955.87381424624834</v>
      </c>
    </row>
    <row r="334" spans="2:7" x14ac:dyDescent="0.3">
      <c r="B334">
        <v>265</v>
      </c>
      <c r="C334" s="36">
        <v>724.39919775225735</v>
      </c>
      <c r="D334">
        <v>265</v>
      </c>
      <c r="E334" s="36">
        <v>-3.3536099879360384</v>
      </c>
      <c r="F334">
        <v>265</v>
      </c>
      <c r="G334" s="36">
        <v>884.01120170161812</v>
      </c>
    </row>
    <row r="335" spans="2:7" x14ac:dyDescent="0.3">
      <c r="B335">
        <v>266</v>
      </c>
      <c r="C335" s="36">
        <v>837.01243283138569</v>
      </c>
      <c r="D335">
        <v>266</v>
      </c>
      <c r="E335" s="36">
        <v>-18.229434065091816</v>
      </c>
      <c r="F335">
        <v>266</v>
      </c>
      <c r="G335" s="36">
        <v>747.56862209518124</v>
      </c>
    </row>
    <row r="336" spans="2:7" x14ac:dyDescent="0.3">
      <c r="B336">
        <v>267</v>
      </c>
      <c r="C336" s="36">
        <v>854.89599728780399</v>
      </c>
      <c r="D336">
        <v>267</v>
      </c>
      <c r="E336" s="36">
        <v>3.7469944563588919</v>
      </c>
      <c r="F336">
        <v>267</v>
      </c>
      <c r="G336" s="36">
        <v>1100.2387775300654</v>
      </c>
    </row>
    <row r="337" spans="2:7" x14ac:dyDescent="0.3">
      <c r="B337">
        <v>268</v>
      </c>
      <c r="C337" s="36">
        <v>917.36294917536202</v>
      </c>
      <c r="D337">
        <v>268</v>
      </c>
      <c r="E337" s="36">
        <v>0.98799341910290583</v>
      </c>
      <c r="F337">
        <v>268</v>
      </c>
      <c r="G337" s="36">
        <v>1273.0374515825754</v>
      </c>
    </row>
    <row r="338" spans="2:7" x14ac:dyDescent="0.3">
      <c r="B338">
        <v>269</v>
      </c>
      <c r="C338" s="36">
        <v>671.92781683168744</v>
      </c>
      <c r="D338">
        <v>269</v>
      </c>
      <c r="E338" s="36">
        <v>-18.210693150275244</v>
      </c>
      <c r="F338">
        <v>269</v>
      </c>
      <c r="G338" s="36">
        <v>1003.1706107592263</v>
      </c>
    </row>
    <row r="339" spans="2:7" x14ac:dyDescent="0.3">
      <c r="B339">
        <v>270</v>
      </c>
      <c r="C339" s="36">
        <v>1028.2708189525733</v>
      </c>
      <c r="D339">
        <v>270</v>
      </c>
      <c r="E339" s="36">
        <v>-23.164312975829326</v>
      </c>
      <c r="F339">
        <v>270</v>
      </c>
      <c r="G339" s="36">
        <v>964.39090449997605</v>
      </c>
    </row>
    <row r="340" spans="2:7" x14ac:dyDescent="0.3">
      <c r="B340">
        <v>271</v>
      </c>
      <c r="C340" s="36">
        <v>1065.2007129497451</v>
      </c>
      <c r="D340">
        <v>271</v>
      </c>
      <c r="E340" s="36">
        <v>29.919450788737475</v>
      </c>
      <c r="F340">
        <v>271</v>
      </c>
      <c r="G340" s="36">
        <v>1076.6301473338594</v>
      </c>
    </row>
    <row r="341" spans="2:7" x14ac:dyDescent="0.3">
      <c r="B341">
        <v>272</v>
      </c>
      <c r="C341" s="36">
        <v>1003.731732419886</v>
      </c>
      <c r="D341">
        <v>272</v>
      </c>
      <c r="E341" s="36">
        <v>48.857191914923426</v>
      </c>
      <c r="F341">
        <v>272</v>
      </c>
      <c r="G341" s="36">
        <v>1125.1423338211869</v>
      </c>
    </row>
    <row r="342" spans="2:7" x14ac:dyDescent="0.3">
      <c r="B342">
        <v>273</v>
      </c>
      <c r="C342" s="36">
        <v>434.10064371704436</v>
      </c>
      <c r="D342">
        <v>273</v>
      </c>
      <c r="E342" s="36">
        <v>9.4246683693367892</v>
      </c>
      <c r="F342">
        <v>273</v>
      </c>
      <c r="G342" s="36">
        <v>1298.8527259169307</v>
      </c>
    </row>
    <row r="343" spans="2:7" x14ac:dyDescent="0.3">
      <c r="B343">
        <v>274</v>
      </c>
      <c r="C343" s="36">
        <v>721.66626644715984</v>
      </c>
      <c r="D343">
        <v>274</v>
      </c>
      <c r="E343" s="36">
        <v>15.515685071972612</v>
      </c>
      <c r="F343">
        <v>274</v>
      </c>
      <c r="G343" s="36">
        <v>837.75511715595144</v>
      </c>
    </row>
    <row r="344" spans="2:7" x14ac:dyDescent="0.3">
      <c r="B344">
        <v>275</v>
      </c>
      <c r="C344" s="36">
        <v>1022.6032617908759</v>
      </c>
      <c r="D344">
        <v>275</v>
      </c>
      <c r="E344" s="36">
        <v>11.843775831578787</v>
      </c>
      <c r="F344">
        <v>275</v>
      </c>
      <c r="G344" s="36">
        <v>701.01845324173632</v>
      </c>
    </row>
    <row r="345" spans="2:7" x14ac:dyDescent="0.3">
      <c r="B345">
        <v>276</v>
      </c>
      <c r="C345" s="36">
        <v>765.00141876125429</v>
      </c>
      <c r="D345">
        <v>276</v>
      </c>
      <c r="E345" s="36">
        <v>2.3978885875188962</v>
      </c>
      <c r="F345">
        <v>276</v>
      </c>
      <c r="G345" s="36">
        <v>1713.4415663249638</v>
      </c>
    </row>
    <row r="346" spans="2:7" x14ac:dyDescent="0.3">
      <c r="B346">
        <v>277</v>
      </c>
      <c r="C346" s="36">
        <v>1283.9937298769996</v>
      </c>
      <c r="D346">
        <v>277</v>
      </c>
      <c r="E346" s="36">
        <v>-2.9946886798818491</v>
      </c>
      <c r="F346">
        <v>277</v>
      </c>
      <c r="G346" s="36">
        <v>844.4658234816095</v>
      </c>
    </row>
    <row r="347" spans="2:7" x14ac:dyDescent="0.3">
      <c r="B347">
        <v>278</v>
      </c>
      <c r="C347" s="36">
        <v>1157.0654894284864</v>
      </c>
      <c r="D347">
        <v>278</v>
      </c>
      <c r="E347" s="36">
        <v>5.006109436828206</v>
      </c>
      <c r="F347">
        <v>278</v>
      </c>
      <c r="G347" s="36">
        <v>939.11330160760485</v>
      </c>
    </row>
    <row r="348" spans="2:7" x14ac:dyDescent="0.3">
      <c r="B348">
        <v>279</v>
      </c>
      <c r="C348" s="36">
        <v>655.80216799857328</v>
      </c>
      <c r="D348">
        <v>279</v>
      </c>
      <c r="E348" s="36">
        <v>-24.144075823159341</v>
      </c>
      <c r="F348">
        <v>279</v>
      </c>
      <c r="G348" s="36">
        <v>687.81526994349406</v>
      </c>
    </row>
    <row r="349" spans="2:7" x14ac:dyDescent="0.3">
      <c r="B349">
        <v>280</v>
      </c>
      <c r="C349" s="36">
        <v>972.58764268622508</v>
      </c>
      <c r="D349">
        <v>280</v>
      </c>
      <c r="E349" s="36">
        <v>-0.27369796188484441</v>
      </c>
      <c r="F349">
        <v>280</v>
      </c>
      <c r="G349" s="36">
        <v>846.94834470411752</v>
      </c>
    </row>
    <row r="350" spans="2:7" x14ac:dyDescent="0.3">
      <c r="B350">
        <v>281</v>
      </c>
      <c r="C350" s="36">
        <v>1123.462979640638</v>
      </c>
      <c r="D350">
        <v>281</v>
      </c>
      <c r="E350" s="36">
        <v>26.068601125995873</v>
      </c>
      <c r="F350">
        <v>281</v>
      </c>
      <c r="G350" s="36">
        <v>818.23649909865981</v>
      </c>
    </row>
    <row r="351" spans="2:7" x14ac:dyDescent="0.3">
      <c r="B351">
        <v>282</v>
      </c>
      <c r="C351" s="36">
        <v>1197.207346787045</v>
      </c>
      <c r="D351">
        <v>282</v>
      </c>
      <c r="E351" s="36">
        <v>38.345925691393305</v>
      </c>
      <c r="F351">
        <v>282</v>
      </c>
      <c r="G351" s="36">
        <v>1003.6392749981827</v>
      </c>
    </row>
    <row r="352" spans="2:7" x14ac:dyDescent="0.3">
      <c r="B352">
        <v>283</v>
      </c>
      <c r="C352" s="36">
        <v>575.29743270033725</v>
      </c>
      <c r="D352">
        <v>283</v>
      </c>
      <c r="E352" s="36">
        <v>-3.321467089956573</v>
      </c>
      <c r="F352">
        <v>283</v>
      </c>
      <c r="G352" s="36">
        <v>795.08888497146086</v>
      </c>
    </row>
    <row r="353" spans="2:7" x14ac:dyDescent="0.3">
      <c r="B353">
        <v>284</v>
      </c>
      <c r="C353" s="36">
        <v>747.25303417354223</v>
      </c>
      <c r="D353">
        <v>284</v>
      </c>
      <c r="E353" s="36">
        <v>34.344693933980125</v>
      </c>
      <c r="F353">
        <v>284</v>
      </c>
      <c r="G353" s="36">
        <v>1021.2056163903029</v>
      </c>
    </row>
    <row r="354" spans="2:7" x14ac:dyDescent="0.3">
      <c r="B354">
        <v>285</v>
      </c>
      <c r="C354" s="36">
        <v>543.06220953924412</v>
      </c>
      <c r="D354">
        <v>285</v>
      </c>
      <c r="E354" s="36">
        <v>8.4435317846856854</v>
      </c>
      <c r="F354">
        <v>285</v>
      </c>
      <c r="G354" s="36">
        <v>737.34778831125391</v>
      </c>
    </row>
    <row r="355" spans="2:7" x14ac:dyDescent="0.3">
      <c r="B355">
        <v>286</v>
      </c>
      <c r="C355" s="36">
        <v>954.90748055862332</v>
      </c>
      <c r="D355">
        <v>286</v>
      </c>
      <c r="E355" s="36">
        <v>15.270514996880788</v>
      </c>
      <c r="F355">
        <v>286</v>
      </c>
      <c r="G355" s="36">
        <v>1181.9040229969673</v>
      </c>
    </row>
    <row r="356" spans="2:7" x14ac:dyDescent="0.3">
      <c r="B356">
        <v>287</v>
      </c>
      <c r="C356" s="36">
        <v>1002.0522413371758</v>
      </c>
      <c r="D356">
        <v>287</v>
      </c>
      <c r="E356" s="36">
        <v>26.992858701672294</v>
      </c>
      <c r="F356">
        <v>287</v>
      </c>
      <c r="G356" s="36">
        <v>1193.1767603683704</v>
      </c>
    </row>
    <row r="357" spans="2:7" x14ac:dyDescent="0.3">
      <c r="B357">
        <v>288</v>
      </c>
      <c r="C357" s="36">
        <v>845.88159647396094</v>
      </c>
      <c r="D357">
        <v>288</v>
      </c>
      <c r="E357" s="36">
        <v>48.699260264232933</v>
      </c>
      <c r="F357">
        <v>288</v>
      </c>
      <c r="G357" s="36">
        <v>898.25562791336984</v>
      </c>
    </row>
    <row r="358" spans="2:7" x14ac:dyDescent="0.3">
      <c r="B358">
        <v>289</v>
      </c>
      <c r="C358" s="36">
        <v>807.66911735432757</v>
      </c>
      <c r="D358">
        <v>289</v>
      </c>
      <c r="E358" s="36">
        <v>34.161093155253738</v>
      </c>
      <c r="F358">
        <v>289</v>
      </c>
      <c r="G358" s="36">
        <v>737.94536007881231</v>
      </c>
    </row>
    <row r="359" spans="2:7" x14ac:dyDescent="0.3">
      <c r="B359">
        <v>290</v>
      </c>
      <c r="C359" s="36">
        <v>938.25442278707669</v>
      </c>
      <c r="D359">
        <v>290</v>
      </c>
      <c r="E359" s="36">
        <v>-25.432802338440784</v>
      </c>
      <c r="F359">
        <v>290</v>
      </c>
      <c r="G359" s="36">
        <v>127.79017867209703</v>
      </c>
    </row>
    <row r="360" spans="2:7" x14ac:dyDescent="0.3">
      <c r="B360">
        <v>291</v>
      </c>
      <c r="C360" s="36">
        <v>645.01411738818115</v>
      </c>
      <c r="D360">
        <v>291</v>
      </c>
      <c r="E360" s="36">
        <v>9.1747458329842839</v>
      </c>
      <c r="F360">
        <v>291</v>
      </c>
      <c r="G360" s="36">
        <v>940.59274690552559</v>
      </c>
    </row>
    <row r="361" spans="2:7" x14ac:dyDescent="0.3">
      <c r="B361">
        <v>292</v>
      </c>
      <c r="C361" s="36">
        <v>663.52052713689613</v>
      </c>
      <c r="D361">
        <v>292</v>
      </c>
      <c r="E361" s="36">
        <v>5.4875463165564256</v>
      </c>
      <c r="F361">
        <v>292</v>
      </c>
      <c r="G361" s="36">
        <v>1127.2663017734535</v>
      </c>
    </row>
    <row r="362" spans="2:7" x14ac:dyDescent="0.3">
      <c r="B362">
        <v>293</v>
      </c>
      <c r="C362" s="36">
        <v>968.67404189515491</v>
      </c>
      <c r="D362">
        <v>293</v>
      </c>
      <c r="E362" s="36">
        <v>-2.7608094476026488</v>
      </c>
      <c r="F362">
        <v>293</v>
      </c>
      <c r="G362" s="36">
        <v>972.57858714219219</v>
      </c>
    </row>
    <row r="363" spans="2:7" x14ac:dyDescent="0.3">
      <c r="B363">
        <v>294</v>
      </c>
      <c r="C363" s="36">
        <v>606.29682993070844</v>
      </c>
      <c r="D363">
        <v>294</v>
      </c>
      <c r="E363" s="36">
        <v>-33.038153671599808</v>
      </c>
      <c r="F363">
        <v>294</v>
      </c>
      <c r="G363" s="36">
        <v>1316.2264005190091</v>
      </c>
    </row>
    <row r="364" spans="2:7" x14ac:dyDescent="0.3">
      <c r="B364">
        <v>295</v>
      </c>
      <c r="C364" s="36">
        <v>1016.5780853214212</v>
      </c>
      <c r="D364">
        <v>295</v>
      </c>
      <c r="E364" s="36">
        <v>6.5866762288354348</v>
      </c>
      <c r="F364">
        <v>295</v>
      </c>
      <c r="G364" s="36">
        <v>1148.9419984544809</v>
      </c>
    </row>
    <row r="365" spans="2:7" x14ac:dyDescent="0.3">
      <c r="B365">
        <v>296</v>
      </c>
      <c r="C365" s="36">
        <v>954.42800478746392</v>
      </c>
      <c r="D365">
        <v>296</v>
      </c>
      <c r="E365" s="36">
        <v>4.1242721364934116</v>
      </c>
      <c r="F365">
        <v>296</v>
      </c>
      <c r="G365" s="36">
        <v>207.0475728904118</v>
      </c>
    </row>
    <row r="366" spans="2:7" x14ac:dyDescent="0.3">
      <c r="B366">
        <v>297</v>
      </c>
      <c r="C366" s="36">
        <v>583.24961308362231</v>
      </c>
      <c r="D366">
        <v>297</v>
      </c>
      <c r="E366" s="36">
        <v>0.31927492494853854</v>
      </c>
      <c r="F366">
        <v>297</v>
      </c>
      <c r="G366" s="36">
        <v>1062.718782954435</v>
      </c>
    </row>
    <row r="367" spans="2:7" x14ac:dyDescent="0.3">
      <c r="B367">
        <v>298</v>
      </c>
      <c r="C367" s="36">
        <v>718.26408681804912</v>
      </c>
      <c r="D367">
        <v>298</v>
      </c>
      <c r="E367" s="36">
        <v>-7.0494859465205497</v>
      </c>
      <c r="F367">
        <v>298</v>
      </c>
      <c r="G367" s="36">
        <v>909.68918804889631</v>
      </c>
    </row>
    <row r="368" spans="2:7" x14ac:dyDescent="0.3">
      <c r="B368">
        <v>299</v>
      </c>
      <c r="C368" s="36">
        <v>855.79184729426174</v>
      </c>
      <c r="D368">
        <v>299</v>
      </c>
      <c r="E368" s="36">
        <v>-14.656404947889882</v>
      </c>
      <c r="F368">
        <v>299</v>
      </c>
      <c r="G368" s="36">
        <v>801.75860331099716</v>
      </c>
    </row>
    <row r="369" spans="2:7" x14ac:dyDescent="0.3">
      <c r="B369">
        <v>300</v>
      </c>
      <c r="C369" s="36">
        <v>683.02096563183318</v>
      </c>
      <c r="D369">
        <v>300</v>
      </c>
      <c r="E369" s="36">
        <v>3.4049942946504723</v>
      </c>
      <c r="F369">
        <v>300</v>
      </c>
      <c r="G369" s="36">
        <v>787.39936306142931</v>
      </c>
    </row>
    <row r="370" spans="2:7" x14ac:dyDescent="0.3">
      <c r="B370">
        <v>301</v>
      </c>
      <c r="C370" s="36">
        <v>977.41411118397605</v>
      </c>
      <c r="D370">
        <v>301</v>
      </c>
      <c r="E370" s="36">
        <v>7.8473368465575319</v>
      </c>
      <c r="F370">
        <v>301</v>
      </c>
      <c r="G370" s="36">
        <v>1082.8039323181642</v>
      </c>
    </row>
    <row r="371" spans="2:7" x14ac:dyDescent="0.3">
      <c r="B371">
        <v>302</v>
      </c>
      <c r="C371" s="36">
        <v>1104.0722314771976</v>
      </c>
      <c r="D371">
        <v>302</v>
      </c>
      <c r="E371" s="36">
        <v>3.9318538775925966</v>
      </c>
      <c r="F371">
        <v>302</v>
      </c>
      <c r="G371" s="36">
        <v>1185.3234558983088</v>
      </c>
    </row>
    <row r="372" spans="2:7" x14ac:dyDescent="0.3">
      <c r="B372">
        <v>303</v>
      </c>
      <c r="C372" s="36">
        <v>785.7358352574538</v>
      </c>
      <c r="D372">
        <v>303</v>
      </c>
      <c r="E372" s="36">
        <v>-17.791964562499729</v>
      </c>
      <c r="F372">
        <v>303</v>
      </c>
      <c r="G372" s="36">
        <v>1037.183623777581</v>
      </c>
    </row>
    <row r="373" spans="2:7" x14ac:dyDescent="0.3">
      <c r="B373">
        <v>304</v>
      </c>
      <c r="C373" s="36">
        <v>977.65953508125108</v>
      </c>
      <c r="D373">
        <v>304</v>
      </c>
      <c r="E373" s="36">
        <v>1.3584580446812562E-2</v>
      </c>
      <c r="F373">
        <v>304</v>
      </c>
      <c r="G373" s="36">
        <v>1494.2015986979045</v>
      </c>
    </row>
    <row r="374" spans="2:7" x14ac:dyDescent="0.3">
      <c r="B374">
        <v>305</v>
      </c>
      <c r="C374" s="36">
        <v>1481.8958223464404</v>
      </c>
      <c r="D374">
        <v>305</v>
      </c>
      <c r="E374" s="36">
        <v>-4.3373050478433814</v>
      </c>
      <c r="F374">
        <v>305</v>
      </c>
      <c r="G374" s="36">
        <v>910.608460669078</v>
      </c>
    </row>
    <row r="375" spans="2:7" x14ac:dyDescent="0.3">
      <c r="B375">
        <v>306</v>
      </c>
      <c r="C375" s="36">
        <v>1116.5532600437923</v>
      </c>
      <c r="D375">
        <v>306</v>
      </c>
      <c r="E375" s="36">
        <v>60.329786456413686</v>
      </c>
      <c r="F375">
        <v>306</v>
      </c>
      <c r="G375" s="36">
        <v>986.38900500056059</v>
      </c>
    </row>
    <row r="376" spans="2:7" x14ac:dyDescent="0.3">
      <c r="B376">
        <v>307</v>
      </c>
      <c r="C376" s="36">
        <v>312.40519876073279</v>
      </c>
      <c r="D376">
        <v>307</v>
      </c>
      <c r="E376" s="36">
        <v>-14.700249489655599</v>
      </c>
      <c r="F376">
        <v>307</v>
      </c>
      <c r="G376" s="36">
        <v>582.93237832022419</v>
      </c>
    </row>
    <row r="377" spans="2:7" x14ac:dyDescent="0.3">
      <c r="B377">
        <v>308</v>
      </c>
      <c r="C377" s="36">
        <v>723.50990938465156</v>
      </c>
      <c r="D377">
        <v>308</v>
      </c>
      <c r="E377" s="36">
        <v>-4.276104654132495</v>
      </c>
      <c r="F377">
        <v>308</v>
      </c>
      <c r="G377" s="36">
        <v>718.1382600575995</v>
      </c>
    </row>
    <row r="378" spans="2:7" x14ac:dyDescent="0.3">
      <c r="B378">
        <v>309</v>
      </c>
      <c r="C378" s="36">
        <v>1184.9868274412727</v>
      </c>
      <c r="D378">
        <v>309</v>
      </c>
      <c r="E378" s="36">
        <v>49.03819159558153</v>
      </c>
      <c r="F378">
        <v>309</v>
      </c>
      <c r="G378" s="36">
        <v>1049.0735901513165</v>
      </c>
    </row>
    <row r="379" spans="2:7" x14ac:dyDescent="0.3">
      <c r="B379">
        <v>310</v>
      </c>
      <c r="C379" s="36">
        <v>742.02782715910166</v>
      </c>
      <c r="D379">
        <v>310</v>
      </c>
      <c r="E379" s="36">
        <v>30.989400914436793</v>
      </c>
      <c r="F379">
        <v>310</v>
      </c>
      <c r="G379" s="36">
        <v>1338.1660524673111</v>
      </c>
    </row>
    <row r="380" spans="2:7" x14ac:dyDescent="0.3">
      <c r="B380">
        <v>311</v>
      </c>
      <c r="C380" s="36">
        <v>966.55581755353558</v>
      </c>
      <c r="D380">
        <v>311</v>
      </c>
      <c r="E380" s="36">
        <v>1.013978365550281</v>
      </c>
      <c r="F380">
        <v>311</v>
      </c>
      <c r="G380" s="36">
        <v>833.74135513482815</v>
      </c>
    </row>
    <row r="381" spans="2:7" x14ac:dyDescent="0.3">
      <c r="B381">
        <v>312</v>
      </c>
      <c r="C381" s="36">
        <v>840.85112503667665</v>
      </c>
      <c r="D381">
        <v>312</v>
      </c>
      <c r="E381" s="36">
        <v>-12.211506596385393</v>
      </c>
      <c r="F381">
        <v>312</v>
      </c>
      <c r="G381" s="36">
        <v>442.20575173095841</v>
      </c>
    </row>
    <row r="382" spans="2:7" x14ac:dyDescent="0.3">
      <c r="B382">
        <v>313</v>
      </c>
      <c r="C382" s="36">
        <v>481.10684495988772</v>
      </c>
      <c r="D382">
        <v>313</v>
      </c>
      <c r="E382" s="36">
        <v>19.760708292321137</v>
      </c>
      <c r="F382">
        <v>313</v>
      </c>
      <c r="G382" s="36">
        <v>984.69799365052313</v>
      </c>
    </row>
    <row r="383" spans="2:7" x14ac:dyDescent="0.3">
      <c r="B383">
        <v>314</v>
      </c>
      <c r="C383" s="36">
        <v>624.42646107182077</v>
      </c>
      <c r="D383">
        <v>314</v>
      </c>
      <c r="E383" s="36">
        <v>26.488140004011861</v>
      </c>
      <c r="F383">
        <v>314</v>
      </c>
      <c r="G383" s="36">
        <v>1072.1621092277089</v>
      </c>
    </row>
    <row r="384" spans="2:7" x14ac:dyDescent="0.3">
      <c r="B384">
        <v>315</v>
      </c>
      <c r="C384" s="36">
        <v>1050.6494654315838</v>
      </c>
      <c r="D384">
        <v>315</v>
      </c>
      <c r="E384" s="36">
        <v>7.3029886198753404</v>
      </c>
      <c r="F384">
        <v>315</v>
      </c>
      <c r="G384" s="36">
        <v>938.8198126512583</v>
      </c>
    </row>
    <row r="385" spans="2:7" x14ac:dyDescent="0.3">
      <c r="B385">
        <v>316</v>
      </c>
      <c r="C385" s="36">
        <v>1336.2902050678777</v>
      </c>
      <c r="D385">
        <v>316</v>
      </c>
      <c r="E385" s="36">
        <v>31.585016878741577</v>
      </c>
      <c r="F385">
        <v>316</v>
      </c>
      <c r="G385" s="36">
        <v>1226.2168508088046</v>
      </c>
    </row>
    <row r="386" spans="2:7" x14ac:dyDescent="0.3">
      <c r="B386">
        <v>317</v>
      </c>
      <c r="C386" s="36">
        <v>1322.6002722826611</v>
      </c>
      <c r="D386">
        <v>317</v>
      </c>
      <c r="E386" s="36">
        <v>-29.447097881786704</v>
      </c>
      <c r="F386">
        <v>317</v>
      </c>
      <c r="G386" s="36">
        <v>1347.3036695902183</v>
      </c>
    </row>
    <row r="387" spans="2:7" x14ac:dyDescent="0.3">
      <c r="B387">
        <v>318</v>
      </c>
      <c r="C387" s="36">
        <v>1015.1595666380347</v>
      </c>
      <c r="D387">
        <v>318</v>
      </c>
      <c r="E387" s="36">
        <v>-14.969239092492469</v>
      </c>
      <c r="F387">
        <v>318</v>
      </c>
      <c r="G387" s="36">
        <v>601.17421979478763</v>
      </c>
    </row>
    <row r="388" spans="2:7" x14ac:dyDescent="0.3">
      <c r="B388">
        <v>319</v>
      </c>
      <c r="C388" s="36">
        <v>1332.1116714826526</v>
      </c>
      <c r="D388">
        <v>319</v>
      </c>
      <c r="E388" s="36">
        <v>35.66057551906276</v>
      </c>
      <c r="F388">
        <v>319</v>
      </c>
      <c r="G388" s="36">
        <v>958.48152025341119</v>
      </c>
    </row>
    <row r="389" spans="2:7" x14ac:dyDescent="0.3">
      <c r="B389">
        <v>320</v>
      </c>
      <c r="C389" s="36">
        <v>703.18021864260868</v>
      </c>
      <c r="D389">
        <v>320</v>
      </c>
      <c r="E389" s="36">
        <v>47.188526977163072</v>
      </c>
      <c r="F389">
        <v>320</v>
      </c>
      <c r="G389" s="36">
        <v>696.84213151462825</v>
      </c>
    </row>
    <row r="390" spans="2:7" x14ac:dyDescent="0.3">
      <c r="B390">
        <v>321</v>
      </c>
      <c r="C390" s="36">
        <v>635.12628696993283</v>
      </c>
      <c r="D390">
        <v>321</v>
      </c>
      <c r="E390" s="36">
        <v>-34.741217147789513</v>
      </c>
      <c r="F390">
        <v>321</v>
      </c>
      <c r="G390" s="36">
        <v>1050.4864615149966</v>
      </c>
    </row>
    <row r="391" spans="2:7" x14ac:dyDescent="0.3">
      <c r="B391">
        <v>322</v>
      </c>
      <c r="C391" s="36">
        <v>912.66387922489434</v>
      </c>
      <c r="D391">
        <v>322</v>
      </c>
      <c r="E391" s="36">
        <v>16.459045690327549</v>
      </c>
      <c r="F391">
        <v>322</v>
      </c>
      <c r="G391" s="36">
        <v>727.70945149766999</v>
      </c>
    </row>
    <row r="392" spans="2:7" x14ac:dyDescent="0.3">
      <c r="B392">
        <v>323</v>
      </c>
      <c r="C392" s="36">
        <v>1074.5115595896571</v>
      </c>
      <c r="D392">
        <v>323</v>
      </c>
      <c r="E392" s="36">
        <v>4.1243371001944835</v>
      </c>
      <c r="F392">
        <v>323</v>
      </c>
      <c r="G392" s="36">
        <v>529.9453340433322</v>
      </c>
    </row>
    <row r="393" spans="2:7" x14ac:dyDescent="0.3">
      <c r="B393">
        <v>324</v>
      </c>
      <c r="C393" s="36">
        <v>1366.608558823857</v>
      </c>
      <c r="D393">
        <v>324</v>
      </c>
      <c r="E393" s="36">
        <v>19.490568749541584</v>
      </c>
      <c r="F393">
        <v>324</v>
      </c>
      <c r="G393" s="36">
        <v>740.13433667137269</v>
      </c>
    </row>
    <row r="394" spans="2:7" x14ac:dyDescent="0.3">
      <c r="B394">
        <v>325</v>
      </c>
      <c r="C394" s="36">
        <v>1119.7545282271565</v>
      </c>
      <c r="D394">
        <v>325</v>
      </c>
      <c r="E394" s="36">
        <v>-38.113511858897667</v>
      </c>
      <c r="F394">
        <v>325</v>
      </c>
      <c r="G394" s="36">
        <v>412.30148019313174</v>
      </c>
    </row>
    <row r="395" spans="2:7" x14ac:dyDescent="0.3">
      <c r="B395">
        <v>326</v>
      </c>
      <c r="C395" s="36">
        <v>1120.1408076847765</v>
      </c>
      <c r="D395">
        <v>326</v>
      </c>
      <c r="E395" s="36">
        <v>33.384673122386452</v>
      </c>
      <c r="F395">
        <v>326</v>
      </c>
      <c r="G395" s="36">
        <v>472.25271554674356</v>
      </c>
    </row>
    <row r="396" spans="2:7" x14ac:dyDescent="0.3">
      <c r="B396">
        <v>327</v>
      </c>
      <c r="C396" s="36">
        <v>851.50034020701491</v>
      </c>
      <c r="D396">
        <v>327</v>
      </c>
      <c r="E396" s="36">
        <v>-3.2663725176676124</v>
      </c>
      <c r="F396">
        <v>327</v>
      </c>
      <c r="G396" s="36">
        <v>925.71079448190699</v>
      </c>
    </row>
    <row r="397" spans="2:7" x14ac:dyDescent="0.3">
      <c r="B397">
        <v>328</v>
      </c>
      <c r="C397" s="36">
        <v>435.53202633678757</v>
      </c>
      <c r="D397">
        <v>328</v>
      </c>
      <c r="E397" s="36">
        <v>33.869655501113421</v>
      </c>
      <c r="F397">
        <v>328</v>
      </c>
      <c r="G397" s="36">
        <v>1149.2515998702013</v>
      </c>
    </row>
    <row r="398" spans="2:7" x14ac:dyDescent="0.3">
      <c r="B398">
        <v>329</v>
      </c>
      <c r="C398" s="36">
        <v>918.13555703142151</v>
      </c>
      <c r="D398">
        <v>329</v>
      </c>
      <c r="E398" s="36">
        <v>6.7638488400255028</v>
      </c>
      <c r="F398">
        <v>329</v>
      </c>
      <c r="G398" s="36">
        <v>1310.2162354876286</v>
      </c>
    </row>
    <row r="399" spans="2:7" x14ac:dyDescent="0.3">
      <c r="B399">
        <v>330</v>
      </c>
      <c r="C399" s="36">
        <v>1057.6133290026037</v>
      </c>
      <c r="D399">
        <v>330</v>
      </c>
      <c r="E399" s="36">
        <v>35.694658703852205</v>
      </c>
      <c r="F399">
        <v>330</v>
      </c>
      <c r="G399" s="36">
        <v>908.20899614960547</v>
      </c>
    </row>
    <row r="400" spans="2:7" x14ac:dyDescent="0.3">
      <c r="B400">
        <v>331</v>
      </c>
      <c r="C400" s="36">
        <v>1011.7433525252811</v>
      </c>
      <c r="D400">
        <v>331</v>
      </c>
      <c r="E400" s="36">
        <v>17.079115770428327</v>
      </c>
      <c r="F400">
        <v>331</v>
      </c>
      <c r="G400" s="36">
        <v>460.21488816372386</v>
      </c>
    </row>
    <row r="401" spans="2:7" x14ac:dyDescent="0.3">
      <c r="B401">
        <v>332</v>
      </c>
      <c r="C401" s="36">
        <v>1133.9869734159884</v>
      </c>
      <c r="D401">
        <v>332</v>
      </c>
      <c r="E401" s="36">
        <v>22.617926644886417</v>
      </c>
      <c r="F401">
        <v>332</v>
      </c>
      <c r="G401" s="36">
        <v>1182.2911371687273</v>
      </c>
    </row>
    <row r="402" spans="2:7" x14ac:dyDescent="0.3">
      <c r="B402">
        <v>333</v>
      </c>
      <c r="C402" s="36">
        <v>783.87562133020344</v>
      </c>
      <c r="D402">
        <v>333</v>
      </c>
      <c r="E402" s="36">
        <v>3.7761215248929005</v>
      </c>
      <c r="F402">
        <v>333</v>
      </c>
      <c r="G402" s="36">
        <v>797.95927494750754</v>
      </c>
    </row>
    <row r="403" spans="2:7" x14ac:dyDescent="0.3">
      <c r="B403">
        <v>334</v>
      </c>
      <c r="C403" s="36">
        <v>840.85092079100764</v>
      </c>
      <c r="D403">
        <v>334</v>
      </c>
      <c r="E403" s="36">
        <v>-30.04168970951228</v>
      </c>
      <c r="F403">
        <v>334</v>
      </c>
      <c r="G403" s="36">
        <v>1143.6452559641461</v>
      </c>
    </row>
    <row r="404" spans="2:7" x14ac:dyDescent="0.3">
      <c r="B404">
        <v>335</v>
      </c>
      <c r="C404" s="36">
        <v>719.11792474851097</v>
      </c>
      <c r="D404">
        <v>335</v>
      </c>
      <c r="E404" s="36">
        <v>-15.724363464566389</v>
      </c>
      <c r="F404">
        <v>335</v>
      </c>
      <c r="G404" s="36">
        <v>766.1926127697302</v>
      </c>
    </row>
    <row r="405" spans="2:7" x14ac:dyDescent="0.3">
      <c r="B405">
        <v>336</v>
      </c>
      <c r="C405" s="36">
        <v>1323.0800301654608</v>
      </c>
      <c r="D405">
        <v>336</v>
      </c>
      <c r="E405" s="36">
        <v>19.461644340694427</v>
      </c>
      <c r="F405">
        <v>336</v>
      </c>
      <c r="G405" s="36">
        <v>616.45272929209398</v>
      </c>
    </row>
    <row r="406" spans="2:7" x14ac:dyDescent="0.3">
      <c r="B406">
        <v>337</v>
      </c>
      <c r="C406" s="36">
        <v>1289.5681811232639</v>
      </c>
      <c r="D406">
        <v>337</v>
      </c>
      <c r="E406" s="36">
        <v>-29.479001153379023</v>
      </c>
      <c r="F406">
        <v>337</v>
      </c>
      <c r="G406" s="36">
        <v>808.38369760989087</v>
      </c>
    </row>
    <row r="407" spans="2:7" x14ac:dyDescent="0.3">
      <c r="B407">
        <v>338</v>
      </c>
      <c r="C407" s="36">
        <v>1009.5493171553074</v>
      </c>
      <c r="D407">
        <v>338</v>
      </c>
      <c r="E407" s="36">
        <v>8.7969020303172876</v>
      </c>
      <c r="F407">
        <v>338</v>
      </c>
      <c r="G407" s="36">
        <v>793.20576596469812</v>
      </c>
    </row>
    <row r="408" spans="2:7" x14ac:dyDescent="0.3">
      <c r="B408">
        <v>339</v>
      </c>
      <c r="C408" s="36">
        <v>1338.0482847900396</v>
      </c>
      <c r="D408">
        <v>339</v>
      </c>
      <c r="E408" s="36">
        <v>5.7244885546478681</v>
      </c>
      <c r="F408">
        <v>339</v>
      </c>
      <c r="G408" s="36">
        <v>973.48367512225491</v>
      </c>
    </row>
    <row r="409" spans="2:7" x14ac:dyDescent="0.3">
      <c r="B409">
        <v>340</v>
      </c>
      <c r="C409" s="36">
        <v>1024.5356254379853</v>
      </c>
      <c r="D409">
        <v>340</v>
      </c>
      <c r="E409" s="36">
        <v>-19.289979859118624</v>
      </c>
      <c r="F409">
        <v>340</v>
      </c>
      <c r="G409" s="36">
        <v>905.77259965694373</v>
      </c>
    </row>
    <row r="410" spans="2:7" x14ac:dyDescent="0.3">
      <c r="B410">
        <v>341</v>
      </c>
      <c r="C410" s="36">
        <v>933.23378335613347</v>
      </c>
      <c r="D410">
        <v>341</v>
      </c>
      <c r="E410" s="36">
        <v>15.12325026282474</v>
      </c>
      <c r="F410">
        <v>341</v>
      </c>
      <c r="G410" s="36">
        <v>1192.3424178789908</v>
      </c>
    </row>
    <row r="411" spans="2:7" x14ac:dyDescent="0.3">
      <c r="B411">
        <v>342</v>
      </c>
      <c r="C411" s="36">
        <v>1028.4500477002298</v>
      </c>
      <c r="D411">
        <v>342</v>
      </c>
      <c r="E411" s="36">
        <v>3.1914963236668656</v>
      </c>
      <c r="F411">
        <v>342</v>
      </c>
      <c r="G411" s="36">
        <v>937.09332258928703</v>
      </c>
    </row>
    <row r="412" spans="2:7" x14ac:dyDescent="0.3">
      <c r="B412">
        <v>343</v>
      </c>
      <c r="C412" s="36">
        <v>1365.0913900175553</v>
      </c>
      <c r="D412">
        <v>343</v>
      </c>
      <c r="E412" s="36">
        <v>-6.186598033326284</v>
      </c>
      <c r="F412">
        <v>343</v>
      </c>
      <c r="G412" s="36">
        <v>1007.1940480000123</v>
      </c>
    </row>
    <row r="413" spans="2:7" x14ac:dyDescent="0.3">
      <c r="B413">
        <v>344</v>
      </c>
      <c r="C413" s="36">
        <v>1135.494101467832</v>
      </c>
      <c r="D413">
        <v>344</v>
      </c>
      <c r="E413" s="36">
        <v>-8.3477743279622452</v>
      </c>
      <c r="F413">
        <v>344</v>
      </c>
      <c r="G413" s="36">
        <v>794.53169294733937</v>
      </c>
    </row>
    <row r="414" spans="2:7" x14ac:dyDescent="0.3">
      <c r="B414">
        <v>345</v>
      </c>
      <c r="C414" s="36">
        <v>800.9533417649061</v>
      </c>
      <c r="D414">
        <v>345</v>
      </c>
      <c r="E414" s="36">
        <v>-41.296252295134572</v>
      </c>
      <c r="F414">
        <v>345</v>
      </c>
      <c r="G414" s="36">
        <v>1237.0231870272059</v>
      </c>
    </row>
    <row r="415" spans="2:7" x14ac:dyDescent="0.3">
      <c r="B415">
        <v>346</v>
      </c>
      <c r="C415" s="36">
        <v>1197.2066903459097</v>
      </c>
      <c r="D415">
        <v>346</v>
      </c>
      <c r="E415" s="36">
        <v>12.256265109255889</v>
      </c>
      <c r="F415">
        <v>346</v>
      </c>
      <c r="G415" s="36">
        <v>381.74769258406582</v>
      </c>
    </row>
    <row r="416" spans="2:7" x14ac:dyDescent="0.3">
      <c r="B416">
        <v>347</v>
      </c>
      <c r="C416" s="36">
        <v>828.04015127668731</v>
      </c>
      <c r="D416">
        <v>347</v>
      </c>
      <c r="E416" s="36">
        <v>-53.110021707305634</v>
      </c>
      <c r="F416">
        <v>347</v>
      </c>
      <c r="G416" s="36">
        <v>1591.2260355621315</v>
      </c>
    </row>
    <row r="417" spans="2:7" x14ac:dyDescent="0.3">
      <c r="B417">
        <v>348</v>
      </c>
      <c r="C417" s="36">
        <v>1018.4055639727367</v>
      </c>
      <c r="D417">
        <v>348</v>
      </c>
      <c r="E417" s="36">
        <v>67.210807390084682</v>
      </c>
      <c r="F417">
        <v>348</v>
      </c>
      <c r="G417" s="36">
        <v>1025.8801540507154</v>
      </c>
    </row>
    <row r="418" spans="2:7" x14ac:dyDescent="0.3">
      <c r="B418">
        <v>349</v>
      </c>
      <c r="C418" s="36">
        <v>1087.5857671621002</v>
      </c>
      <c r="D418">
        <v>349</v>
      </c>
      <c r="E418" s="36">
        <v>9.7057882415468963</v>
      </c>
      <c r="F418">
        <v>349</v>
      </c>
      <c r="G418" s="36">
        <v>643.32711090111729</v>
      </c>
    </row>
    <row r="419" spans="2:7" x14ac:dyDescent="0.3">
      <c r="B419">
        <v>350</v>
      </c>
      <c r="C419" s="36">
        <v>1020.9876313394591</v>
      </c>
      <c r="D419">
        <v>350</v>
      </c>
      <c r="E419" s="36">
        <v>53.373762698501608</v>
      </c>
      <c r="F419">
        <v>350</v>
      </c>
      <c r="G419" s="36">
        <v>670.49505969033203</v>
      </c>
    </row>
    <row r="420" spans="2:7" x14ac:dyDescent="0.3">
      <c r="B420">
        <v>351</v>
      </c>
      <c r="C420" s="36">
        <v>849.2801418934996</v>
      </c>
      <c r="D420">
        <v>351</v>
      </c>
      <c r="E420" s="36">
        <v>10.182763594833032</v>
      </c>
      <c r="F420">
        <v>351</v>
      </c>
      <c r="G420" s="36">
        <v>379.52875347539526</v>
      </c>
    </row>
    <row r="421" spans="2:7" x14ac:dyDescent="0.3">
      <c r="B421">
        <v>352</v>
      </c>
      <c r="C421" s="36">
        <v>861.94925347973208</v>
      </c>
      <c r="D421">
        <v>352</v>
      </c>
      <c r="E421" s="36">
        <v>-5.4900490857163433</v>
      </c>
      <c r="F421">
        <v>352</v>
      </c>
      <c r="G421" s="36">
        <v>939.07783410450759</v>
      </c>
    </row>
    <row r="422" spans="2:7" x14ac:dyDescent="0.3">
      <c r="B422">
        <v>353</v>
      </c>
      <c r="C422" s="36">
        <v>1021.8761287778941</v>
      </c>
      <c r="D422">
        <v>353</v>
      </c>
      <c r="E422" s="36">
        <v>19.416658454710706</v>
      </c>
      <c r="F422">
        <v>353</v>
      </c>
      <c r="G422" s="36">
        <v>986.84792629566675</v>
      </c>
    </row>
    <row r="423" spans="2:7" x14ac:dyDescent="0.3">
      <c r="B423">
        <v>354</v>
      </c>
      <c r="C423" s="36">
        <v>615.98513190658821</v>
      </c>
      <c r="D423">
        <v>354</v>
      </c>
      <c r="E423" s="36">
        <v>-23.187075687013145</v>
      </c>
      <c r="F423">
        <v>354</v>
      </c>
      <c r="G423" s="36">
        <v>792.18598718794613</v>
      </c>
    </row>
    <row r="424" spans="2:7" x14ac:dyDescent="0.3">
      <c r="B424">
        <v>355</v>
      </c>
      <c r="C424" s="36">
        <v>1163.6554847862321</v>
      </c>
      <c r="D424">
        <v>355</v>
      </c>
      <c r="E424" s="36">
        <v>7.7614684429864509</v>
      </c>
      <c r="F424">
        <v>355</v>
      </c>
      <c r="G424" s="36">
        <v>1220.7290620850563</v>
      </c>
    </row>
    <row r="425" spans="2:7" x14ac:dyDescent="0.3">
      <c r="B425">
        <v>356</v>
      </c>
      <c r="C425" s="36">
        <v>666.86041071286024</v>
      </c>
      <c r="D425">
        <v>356</v>
      </c>
      <c r="E425" s="36">
        <v>-40.452268990503391</v>
      </c>
      <c r="F425">
        <v>356</v>
      </c>
      <c r="G425" s="36">
        <v>720.46421307314108</v>
      </c>
    </row>
    <row r="426" spans="2:7" x14ac:dyDescent="0.3">
      <c r="B426">
        <v>357</v>
      </c>
      <c r="C426" s="36">
        <v>1078.9814193767838</v>
      </c>
      <c r="D426">
        <v>357</v>
      </c>
      <c r="E426" s="36">
        <v>5.7959198574351323</v>
      </c>
      <c r="F426">
        <v>357</v>
      </c>
      <c r="G426" s="36">
        <v>1374.2105176505345</v>
      </c>
    </row>
    <row r="427" spans="2:7" x14ac:dyDescent="0.3">
      <c r="B427">
        <v>358</v>
      </c>
      <c r="C427" s="36">
        <v>1064.4908302998358</v>
      </c>
      <c r="D427">
        <v>358</v>
      </c>
      <c r="E427" s="36">
        <v>16.278058616060022</v>
      </c>
      <c r="F427">
        <v>358</v>
      </c>
      <c r="G427" s="36">
        <v>738.35597399574806</v>
      </c>
    </row>
    <row r="428" spans="2:7" x14ac:dyDescent="0.3">
      <c r="B428">
        <v>359</v>
      </c>
      <c r="C428" s="36">
        <v>466.98755830065403</v>
      </c>
      <c r="D428">
        <v>359</v>
      </c>
      <c r="E428" s="36">
        <v>43.027001031603632</v>
      </c>
      <c r="F428">
        <v>359</v>
      </c>
      <c r="G428" s="36">
        <v>1423.7334309191194</v>
      </c>
    </row>
    <row r="429" spans="2:7" x14ac:dyDescent="0.3">
      <c r="B429">
        <v>360</v>
      </c>
      <c r="C429" s="36">
        <v>447.30438146603137</v>
      </c>
      <c r="D429">
        <v>360</v>
      </c>
      <c r="E429" s="36">
        <v>-6.8606412759091224</v>
      </c>
      <c r="F429">
        <v>360</v>
      </c>
      <c r="G429" s="36">
        <v>585.75629645901518</v>
      </c>
    </row>
    <row r="430" spans="2:7" x14ac:dyDescent="0.3">
      <c r="B430">
        <v>361</v>
      </c>
      <c r="C430" s="36">
        <v>955.79903234830579</v>
      </c>
      <c r="D430">
        <v>361</v>
      </c>
      <c r="E430" s="36">
        <v>1.8780514360899065</v>
      </c>
      <c r="F430">
        <v>361</v>
      </c>
      <c r="G430" s="36">
        <v>537.19789456918181</v>
      </c>
    </row>
    <row r="431" spans="2:7" x14ac:dyDescent="0.3">
      <c r="B431">
        <v>362</v>
      </c>
      <c r="C431" s="36">
        <v>819.6639358441455</v>
      </c>
      <c r="D431">
        <v>362</v>
      </c>
      <c r="E431" s="36">
        <v>6.7393176198904472</v>
      </c>
      <c r="F431">
        <v>362</v>
      </c>
      <c r="G431" s="36">
        <v>993.62822183131573</v>
      </c>
    </row>
    <row r="432" spans="2:7" x14ac:dyDescent="0.3">
      <c r="B432">
        <v>363</v>
      </c>
      <c r="C432" s="36">
        <v>1202.7141570801439</v>
      </c>
      <c r="D432">
        <v>363</v>
      </c>
      <c r="E432" s="36">
        <v>0.1783875567163003</v>
      </c>
      <c r="F432">
        <v>363</v>
      </c>
      <c r="G432" s="36">
        <v>1220.219635658083</v>
      </c>
    </row>
    <row r="433" spans="2:7" x14ac:dyDescent="0.3">
      <c r="B433">
        <v>364</v>
      </c>
      <c r="C433" s="36">
        <v>574.37857745775079</v>
      </c>
      <c r="D433">
        <v>364</v>
      </c>
      <c r="E433" s="36">
        <v>-19.278399137614365</v>
      </c>
      <c r="F433">
        <v>364</v>
      </c>
      <c r="G433" s="36">
        <v>558.13548128685113</v>
      </c>
    </row>
    <row r="434" spans="2:7" x14ac:dyDescent="0.3">
      <c r="B434">
        <v>365</v>
      </c>
      <c r="C434" s="36">
        <v>1300.9569694453908</v>
      </c>
      <c r="D434">
        <v>365</v>
      </c>
      <c r="E434" s="36">
        <v>4.292491514844972</v>
      </c>
      <c r="F434">
        <v>365</v>
      </c>
      <c r="G434" s="36">
        <v>741.3822207496487</v>
      </c>
    </row>
    <row r="435" spans="2:7" x14ac:dyDescent="0.3">
      <c r="B435">
        <v>366</v>
      </c>
      <c r="C435" s="36">
        <v>882.98367019517536</v>
      </c>
      <c r="D435">
        <v>366</v>
      </c>
      <c r="E435" s="36">
        <v>5.8525514341258766</v>
      </c>
      <c r="F435">
        <v>366</v>
      </c>
      <c r="G435" s="36">
        <v>838.62365324909001</v>
      </c>
    </row>
    <row r="436" spans="2:7" x14ac:dyDescent="0.3">
      <c r="B436">
        <v>367</v>
      </c>
      <c r="C436" s="36">
        <v>1092.3992568525314</v>
      </c>
      <c r="D436">
        <v>367</v>
      </c>
      <c r="E436" s="36">
        <v>5.3896802913419153</v>
      </c>
      <c r="F436">
        <v>367</v>
      </c>
      <c r="G436" s="36">
        <v>1331.7685637584784</v>
      </c>
    </row>
    <row r="437" spans="2:7" x14ac:dyDescent="0.3">
      <c r="B437">
        <v>368</v>
      </c>
      <c r="C437" s="36">
        <v>660.53669304319021</v>
      </c>
      <c r="D437">
        <v>368</v>
      </c>
      <c r="E437" s="36">
        <v>-35.847622460230809</v>
      </c>
      <c r="F437">
        <v>368</v>
      </c>
      <c r="G437" s="36">
        <v>847.52264923912207</v>
      </c>
    </row>
    <row r="438" spans="2:7" x14ac:dyDescent="0.3">
      <c r="B438">
        <v>369</v>
      </c>
      <c r="C438" s="36">
        <v>655.9631809184358</v>
      </c>
      <c r="D438">
        <v>369</v>
      </c>
      <c r="E438" s="36">
        <v>-1.2182406903864611</v>
      </c>
      <c r="F438">
        <v>369</v>
      </c>
      <c r="G438" s="36">
        <v>514.16208724656906</v>
      </c>
    </row>
    <row r="439" spans="2:7" x14ac:dyDescent="0.3">
      <c r="B439">
        <v>370</v>
      </c>
      <c r="C439" s="36">
        <v>1171.5297441109556</v>
      </c>
      <c r="D439">
        <v>370</v>
      </c>
      <c r="E439" s="36">
        <v>-27.961471151506299</v>
      </c>
      <c r="F439">
        <v>370</v>
      </c>
      <c r="G439" s="36">
        <v>1206.7967954722722</v>
      </c>
    </row>
    <row r="440" spans="2:7" x14ac:dyDescent="0.3">
      <c r="B440">
        <v>371</v>
      </c>
      <c r="C440" s="36">
        <v>1028.1810708937849</v>
      </c>
      <c r="D440">
        <v>371</v>
      </c>
      <c r="E440" s="36">
        <v>-6.2198111483859808</v>
      </c>
      <c r="F440">
        <v>371</v>
      </c>
      <c r="G440" s="36">
        <v>503.54736695477811</v>
      </c>
    </row>
    <row r="441" spans="2:7" x14ac:dyDescent="0.3">
      <c r="B441">
        <v>372</v>
      </c>
      <c r="C441" s="36">
        <v>409.78482941714356</v>
      </c>
      <c r="D441">
        <v>372</v>
      </c>
      <c r="E441" s="36">
        <v>33.606437257288192</v>
      </c>
      <c r="F441">
        <v>372</v>
      </c>
      <c r="G441" s="36">
        <v>868.37580430314608</v>
      </c>
    </row>
    <row r="442" spans="2:7" x14ac:dyDescent="0.3">
      <c r="B442">
        <v>373</v>
      </c>
      <c r="C442" s="36">
        <v>1342.0353602467367</v>
      </c>
      <c r="D442">
        <v>373</v>
      </c>
      <c r="E442" s="36">
        <v>66.176911869056369</v>
      </c>
      <c r="F442">
        <v>373</v>
      </c>
      <c r="G442" s="36">
        <v>666.36447965658499</v>
      </c>
    </row>
    <row r="443" spans="2:7" x14ac:dyDescent="0.3">
      <c r="B443">
        <v>374</v>
      </c>
      <c r="C443" s="36">
        <v>1143.9507541191172</v>
      </c>
      <c r="D443">
        <v>374</v>
      </c>
      <c r="E443" s="36">
        <v>64.387353730747051</v>
      </c>
      <c r="F443">
        <v>374</v>
      </c>
      <c r="G443" s="36">
        <v>913.4499537790349</v>
      </c>
    </row>
    <row r="444" spans="2:7" x14ac:dyDescent="0.3">
      <c r="B444">
        <v>375</v>
      </c>
      <c r="C444" s="36">
        <v>1199.4991275555824</v>
      </c>
      <c r="D444">
        <v>375</v>
      </c>
      <c r="E444" s="36">
        <v>-37.720299250096687</v>
      </c>
      <c r="F444">
        <v>375</v>
      </c>
      <c r="G444" s="36">
        <v>670.39969166213427</v>
      </c>
    </row>
    <row r="445" spans="2:7" x14ac:dyDescent="0.3">
      <c r="B445">
        <v>376</v>
      </c>
      <c r="C445" s="36">
        <v>1329.0518992608809</v>
      </c>
      <c r="D445">
        <v>376</v>
      </c>
      <c r="E445" s="36">
        <v>39.879276333369987</v>
      </c>
      <c r="F445">
        <v>376</v>
      </c>
      <c r="G445" s="36">
        <v>524.42343990546794</v>
      </c>
    </row>
    <row r="446" spans="2:7" x14ac:dyDescent="0.3">
      <c r="B446">
        <v>377</v>
      </c>
      <c r="C446" s="36">
        <v>959.63183414880552</v>
      </c>
      <c r="D446">
        <v>377</v>
      </c>
      <c r="E446" s="36">
        <v>-9.3117197994144583</v>
      </c>
      <c r="F446">
        <v>377</v>
      </c>
      <c r="G446" s="36">
        <v>1008.2249761061942</v>
      </c>
    </row>
    <row r="447" spans="2:7" x14ac:dyDescent="0.3">
      <c r="B447">
        <v>378</v>
      </c>
      <c r="C447" s="36">
        <v>1046.0096467069193</v>
      </c>
      <c r="D447">
        <v>378</v>
      </c>
      <c r="E447" s="36">
        <v>-5.2096189479323227</v>
      </c>
      <c r="F447">
        <v>378</v>
      </c>
      <c r="G447" s="36">
        <v>707.94868016118357</v>
      </c>
    </row>
    <row r="448" spans="2:7" x14ac:dyDescent="0.3">
      <c r="B448">
        <v>379</v>
      </c>
      <c r="C448" s="36">
        <v>763.77831887523985</v>
      </c>
      <c r="D448">
        <v>379</v>
      </c>
      <c r="E448" s="36">
        <v>16.118338996315789</v>
      </c>
      <c r="F448">
        <v>379</v>
      </c>
      <c r="G448" s="36">
        <v>624.89502594276928</v>
      </c>
    </row>
    <row r="449" spans="2:7" x14ac:dyDescent="0.3">
      <c r="B449">
        <v>380</v>
      </c>
      <c r="C449" s="36">
        <v>1130.4418539916471</v>
      </c>
      <c r="D449">
        <v>380</v>
      </c>
      <c r="E449" s="36">
        <v>-7.8008988706276883</v>
      </c>
      <c r="F449">
        <v>380</v>
      </c>
      <c r="G449" s="36">
        <v>706.78466267634099</v>
      </c>
    </row>
    <row r="450" spans="2:7" x14ac:dyDescent="0.3">
      <c r="B450">
        <v>381</v>
      </c>
      <c r="C450" s="36">
        <v>661.04020480018187</v>
      </c>
      <c r="D450">
        <v>381</v>
      </c>
      <c r="E450" s="36">
        <v>-48.864293901862503</v>
      </c>
      <c r="F450">
        <v>381</v>
      </c>
      <c r="G450" s="36">
        <v>777.87226105161881</v>
      </c>
    </row>
    <row r="451" spans="2:7" x14ac:dyDescent="0.3">
      <c r="B451">
        <v>382</v>
      </c>
      <c r="C451" s="36">
        <v>537.67817588001787</v>
      </c>
      <c r="D451">
        <v>382</v>
      </c>
      <c r="E451" s="36">
        <v>-10.60553629859862</v>
      </c>
      <c r="F451">
        <v>382</v>
      </c>
      <c r="G451" s="36">
        <v>720.4032543085159</v>
      </c>
    </row>
    <row r="452" spans="2:7" x14ac:dyDescent="0.3">
      <c r="B452">
        <v>383</v>
      </c>
      <c r="C452" s="36">
        <v>906.64487066412823</v>
      </c>
      <c r="D452">
        <v>383</v>
      </c>
      <c r="E452" s="36">
        <v>30.307432883283035</v>
      </c>
      <c r="F452">
        <v>383</v>
      </c>
      <c r="G452" s="36">
        <v>1338.732472102321</v>
      </c>
    </row>
    <row r="453" spans="2:7" x14ac:dyDescent="0.3">
      <c r="B453">
        <v>384</v>
      </c>
      <c r="C453" s="36">
        <v>1502.5415646600181</v>
      </c>
      <c r="D453">
        <v>384</v>
      </c>
      <c r="E453" s="36">
        <v>0.77247737646574832</v>
      </c>
      <c r="F453">
        <v>384</v>
      </c>
      <c r="G453" s="36">
        <v>870.41430115398884</v>
      </c>
    </row>
    <row r="454" spans="2:7" x14ac:dyDescent="0.3">
      <c r="B454">
        <v>385</v>
      </c>
      <c r="C454" s="36">
        <v>522.03845748150093</v>
      </c>
      <c r="D454">
        <v>385</v>
      </c>
      <c r="E454" s="36">
        <v>37.386261790275768</v>
      </c>
      <c r="F454">
        <v>385</v>
      </c>
      <c r="G454" s="36">
        <v>970.24516760302072</v>
      </c>
    </row>
    <row r="455" spans="2:7" x14ac:dyDescent="0.3">
      <c r="B455">
        <v>386</v>
      </c>
      <c r="C455" s="36">
        <v>654.23545262686025</v>
      </c>
      <c r="D455">
        <v>386</v>
      </c>
      <c r="E455" s="36">
        <v>-3.5772530752698466</v>
      </c>
      <c r="F455">
        <v>386</v>
      </c>
      <c r="G455" s="36">
        <v>531.29556925692873</v>
      </c>
    </row>
    <row r="456" spans="2:7" x14ac:dyDescent="0.3">
      <c r="B456">
        <v>387</v>
      </c>
      <c r="C456" s="36">
        <v>1277.3287259760732</v>
      </c>
      <c r="D456">
        <v>387</v>
      </c>
      <c r="E456" s="36">
        <v>5.0767914321862913</v>
      </c>
      <c r="F456">
        <v>387</v>
      </c>
      <c r="G456" s="36">
        <v>1110.0849386205866</v>
      </c>
    </row>
    <row r="457" spans="2:7" x14ac:dyDescent="0.3">
      <c r="B457">
        <v>388</v>
      </c>
      <c r="C457" s="36">
        <v>540.76911180057414</v>
      </c>
      <c r="D457">
        <v>388</v>
      </c>
      <c r="E457" s="36">
        <v>25.803932042692214</v>
      </c>
      <c r="F457">
        <v>388</v>
      </c>
      <c r="G457" s="36">
        <v>1441.4804415540145</v>
      </c>
    </row>
    <row r="458" spans="2:7" x14ac:dyDescent="0.3">
      <c r="B458">
        <v>389</v>
      </c>
      <c r="C458" s="36">
        <v>893.06008696126196</v>
      </c>
      <c r="D458">
        <v>389</v>
      </c>
      <c r="E458" s="36">
        <v>-5.388021178924518</v>
      </c>
      <c r="F458">
        <v>389</v>
      </c>
      <c r="G458" s="36">
        <v>908.56472000465237</v>
      </c>
    </row>
    <row r="459" spans="2:7" x14ac:dyDescent="0.3">
      <c r="B459">
        <v>390</v>
      </c>
      <c r="C459" s="36">
        <v>1436.6096401119544</v>
      </c>
      <c r="D459">
        <v>390</v>
      </c>
      <c r="E459" s="36">
        <v>16.816571026901634</v>
      </c>
      <c r="F459">
        <v>390</v>
      </c>
      <c r="G459" s="36">
        <v>261.20498689246267</v>
      </c>
    </row>
    <row r="460" spans="2:7" x14ac:dyDescent="0.3">
      <c r="B460">
        <v>391</v>
      </c>
      <c r="C460" s="36">
        <v>535.69154580167526</v>
      </c>
      <c r="D460">
        <v>391</v>
      </c>
      <c r="E460" s="36">
        <v>-2.7878710200993515</v>
      </c>
      <c r="F460">
        <v>391</v>
      </c>
      <c r="G460" s="36">
        <v>1428.5853117630054</v>
      </c>
    </row>
    <row r="461" spans="2:7" x14ac:dyDescent="0.3">
      <c r="B461">
        <v>392</v>
      </c>
      <c r="C461" s="36">
        <v>1090.6287923988407</v>
      </c>
      <c r="D461">
        <v>392</v>
      </c>
      <c r="E461" s="36">
        <v>50.283628094363507</v>
      </c>
      <c r="F461">
        <v>392</v>
      </c>
      <c r="G461" s="36">
        <v>1216.7962055330806</v>
      </c>
    </row>
    <row r="462" spans="2:7" x14ac:dyDescent="0.3">
      <c r="B462">
        <v>393</v>
      </c>
      <c r="C462" s="36">
        <v>854.43223223549899</v>
      </c>
      <c r="D462">
        <v>393</v>
      </c>
      <c r="E462" s="36">
        <v>-38.162468831530823</v>
      </c>
      <c r="F462">
        <v>393</v>
      </c>
      <c r="G462" s="36">
        <v>886.58511968702419</v>
      </c>
    </row>
    <row r="463" spans="2:7" x14ac:dyDescent="0.3">
      <c r="B463">
        <v>394</v>
      </c>
      <c r="C463" s="36">
        <v>937.36731248965862</v>
      </c>
      <c r="D463">
        <v>394</v>
      </c>
      <c r="E463" s="36">
        <v>63.057760866063475</v>
      </c>
      <c r="F463">
        <v>394</v>
      </c>
      <c r="G463" s="36">
        <v>947.03665828692169</v>
      </c>
    </row>
    <row r="464" spans="2:7" x14ac:dyDescent="0.3">
      <c r="B464">
        <v>395</v>
      </c>
      <c r="C464" s="36">
        <v>787.90207586740041</v>
      </c>
      <c r="D464">
        <v>395</v>
      </c>
      <c r="E464" s="36">
        <v>33.819482467993744</v>
      </c>
      <c r="F464">
        <v>395</v>
      </c>
      <c r="G464" s="36">
        <v>873.39427148443372</v>
      </c>
    </row>
    <row r="465" spans="2:7" x14ac:dyDescent="0.3">
      <c r="B465">
        <v>396</v>
      </c>
      <c r="C465" s="36">
        <v>795.20283808142392</v>
      </c>
      <c r="D465">
        <v>396</v>
      </c>
      <c r="E465" s="36">
        <v>65.944029974697173</v>
      </c>
      <c r="F465">
        <v>396</v>
      </c>
      <c r="G465" s="36">
        <v>1038.2232552842268</v>
      </c>
    </row>
    <row r="466" spans="2:7" x14ac:dyDescent="0.3">
      <c r="B466">
        <v>397</v>
      </c>
      <c r="C466" s="36">
        <v>681.74782657672188</v>
      </c>
      <c r="D466">
        <v>397</v>
      </c>
      <c r="E466" s="36">
        <v>20.710909770442523</v>
      </c>
      <c r="F466">
        <v>397</v>
      </c>
      <c r="G466" s="36">
        <v>1430.4174377080876</v>
      </c>
    </row>
    <row r="467" spans="2:7" x14ac:dyDescent="0.3">
      <c r="B467">
        <v>398</v>
      </c>
      <c r="C467" s="36">
        <v>553.55937288238579</v>
      </c>
      <c r="D467">
        <v>398</v>
      </c>
      <c r="E467" s="36">
        <v>-44.554962912578276</v>
      </c>
      <c r="F467">
        <v>398</v>
      </c>
      <c r="G467" s="36">
        <v>558.31244633399569</v>
      </c>
    </row>
    <row r="468" spans="2:7" x14ac:dyDescent="0.3">
      <c r="B468">
        <v>399</v>
      </c>
      <c r="C468" s="36">
        <v>378.93399126888204</v>
      </c>
      <c r="D468">
        <v>399</v>
      </c>
      <c r="E468" s="36">
        <v>-16.183638238967529</v>
      </c>
      <c r="F468">
        <v>399</v>
      </c>
      <c r="G468" s="36">
        <v>1213.7272676851705</v>
      </c>
    </row>
    <row r="469" spans="2:7" x14ac:dyDescent="0.3">
      <c r="B469">
        <v>400</v>
      </c>
      <c r="C469" s="36">
        <v>1532.2261507128828</v>
      </c>
      <c r="D469">
        <v>400</v>
      </c>
      <c r="E469" s="36">
        <v>-0.26982986288458705</v>
      </c>
      <c r="F469">
        <v>400</v>
      </c>
      <c r="G469" s="36">
        <v>1061.2475749204827</v>
      </c>
    </row>
    <row r="470" spans="2:7" x14ac:dyDescent="0.3">
      <c r="B470">
        <v>401</v>
      </c>
      <c r="C470" s="36">
        <v>1066.4151170401094</v>
      </c>
      <c r="D470">
        <v>401</v>
      </c>
      <c r="E470" s="36">
        <v>20.093154549260724</v>
      </c>
      <c r="F470">
        <v>401</v>
      </c>
      <c r="G470" s="36">
        <v>1033.1437923930685</v>
      </c>
    </row>
    <row r="471" spans="2:7" x14ac:dyDescent="0.3">
      <c r="B471">
        <v>402</v>
      </c>
      <c r="C471" s="36">
        <v>678.5607720806313</v>
      </c>
      <c r="D471">
        <v>402</v>
      </c>
      <c r="E471" s="36">
        <v>-28.724770633051502</v>
      </c>
      <c r="F471">
        <v>402</v>
      </c>
      <c r="G471" s="36">
        <v>1004.543722173479</v>
      </c>
    </row>
    <row r="472" spans="2:7" x14ac:dyDescent="0.3">
      <c r="B472">
        <v>403</v>
      </c>
      <c r="C472" s="36">
        <v>1021.7135414195172</v>
      </c>
      <c r="D472">
        <v>403</v>
      </c>
      <c r="E472" s="36">
        <v>-2.4778383431650655</v>
      </c>
      <c r="F472">
        <v>403</v>
      </c>
      <c r="G472" s="36">
        <v>957.59092999757979</v>
      </c>
    </row>
    <row r="473" spans="2:7" x14ac:dyDescent="0.3">
      <c r="B473">
        <v>404</v>
      </c>
      <c r="C473" s="36">
        <v>1164.3073131775345</v>
      </c>
      <c r="D473">
        <v>404</v>
      </c>
      <c r="E473" s="36">
        <v>-30.305822996591708</v>
      </c>
      <c r="F473">
        <v>404</v>
      </c>
      <c r="G473" s="36">
        <v>1164.0044255669682</v>
      </c>
    </row>
    <row r="474" spans="2:7" x14ac:dyDescent="0.3">
      <c r="B474">
        <v>405</v>
      </c>
      <c r="C474" s="36">
        <v>650.3164480372169</v>
      </c>
      <c r="D474">
        <v>405</v>
      </c>
      <c r="E474" s="36">
        <v>19.07464059714907</v>
      </c>
      <c r="F474">
        <v>405</v>
      </c>
      <c r="G474" s="36">
        <v>897.37273278434952</v>
      </c>
    </row>
    <row r="475" spans="2:7" x14ac:dyDescent="0.3">
      <c r="B475">
        <v>406</v>
      </c>
      <c r="C475" s="36">
        <v>483.98645089156327</v>
      </c>
      <c r="D475">
        <v>406</v>
      </c>
      <c r="E475" s="36">
        <v>-51.820177574479793</v>
      </c>
      <c r="F475">
        <v>406</v>
      </c>
      <c r="G475" s="36">
        <v>830.86920386116924</v>
      </c>
    </row>
    <row r="476" spans="2:7" x14ac:dyDescent="0.3">
      <c r="B476">
        <v>407</v>
      </c>
      <c r="C476" s="36">
        <v>1130.1869700694592</v>
      </c>
      <c r="D476">
        <v>407</v>
      </c>
      <c r="E476" s="36">
        <v>17.181326141803172</v>
      </c>
      <c r="F476">
        <v>407</v>
      </c>
      <c r="G476" s="36">
        <v>524.71784165093436</v>
      </c>
    </row>
    <row r="477" spans="2:7" x14ac:dyDescent="0.3">
      <c r="B477">
        <v>408</v>
      </c>
      <c r="C477" s="36">
        <v>1415.3824087324215</v>
      </c>
      <c r="D477">
        <v>408</v>
      </c>
      <c r="E477" s="36">
        <v>-26.08892165064816</v>
      </c>
      <c r="F477">
        <v>408</v>
      </c>
      <c r="G477" s="36">
        <v>791.93850380483934</v>
      </c>
    </row>
    <row r="478" spans="2:7" x14ac:dyDescent="0.3">
      <c r="B478">
        <v>409</v>
      </c>
      <c r="C478" s="36">
        <v>13.014600527460425</v>
      </c>
      <c r="D478">
        <v>409</v>
      </c>
      <c r="E478" s="36">
        <v>-42.283051970960976</v>
      </c>
      <c r="F478">
        <v>409</v>
      </c>
      <c r="G478" s="36">
        <v>361.41116082450725</v>
      </c>
    </row>
    <row r="479" spans="2:7" x14ac:dyDescent="0.3">
      <c r="B479">
        <v>410</v>
      </c>
      <c r="C479" s="36">
        <v>834.76974853969875</v>
      </c>
      <c r="D479">
        <v>410</v>
      </c>
      <c r="E479" s="36">
        <v>-39.501056155906006</v>
      </c>
      <c r="F479">
        <v>410</v>
      </c>
      <c r="G479" s="36">
        <v>971.12289907051104</v>
      </c>
    </row>
    <row r="480" spans="2:7" x14ac:dyDescent="0.3">
      <c r="B480">
        <v>411</v>
      </c>
      <c r="C480" s="36">
        <v>1449.0753021782043</v>
      </c>
      <c r="D480">
        <v>411</v>
      </c>
      <c r="E480" s="36">
        <v>20.595379192937227</v>
      </c>
      <c r="F480">
        <v>411</v>
      </c>
      <c r="G480" s="36">
        <v>550.66398048639689</v>
      </c>
    </row>
    <row r="481" spans="2:7" x14ac:dyDescent="0.3">
      <c r="B481">
        <v>412</v>
      </c>
      <c r="C481" s="36">
        <v>1007.2931189039131</v>
      </c>
      <c r="D481">
        <v>412</v>
      </c>
      <c r="E481" s="36">
        <v>29.875096302463334</v>
      </c>
      <c r="F481">
        <v>412</v>
      </c>
      <c r="G481" s="36">
        <v>697.67946187089831</v>
      </c>
    </row>
    <row r="482" spans="2:7" x14ac:dyDescent="0.3">
      <c r="B482">
        <v>413</v>
      </c>
      <c r="C482" s="36">
        <v>815.65687094760301</v>
      </c>
      <c r="D482">
        <v>413</v>
      </c>
      <c r="E482" s="36">
        <v>-17.892159065494965</v>
      </c>
      <c r="F482">
        <v>413</v>
      </c>
      <c r="G482" s="36">
        <v>1210.1672503687382</v>
      </c>
    </row>
    <row r="483" spans="2:7" x14ac:dyDescent="0.3">
      <c r="B483">
        <v>414</v>
      </c>
      <c r="C483" s="36">
        <v>802.27879339498736</v>
      </c>
      <c r="D483">
        <v>414</v>
      </c>
      <c r="E483" s="36">
        <v>-10.688368869960453</v>
      </c>
      <c r="F483">
        <v>414</v>
      </c>
      <c r="G483" s="36">
        <v>694.23422602878691</v>
      </c>
    </row>
    <row r="484" spans="2:7" x14ac:dyDescent="0.3">
      <c r="B484">
        <v>415</v>
      </c>
      <c r="C484" s="36">
        <v>978.63385944607523</v>
      </c>
      <c r="D484">
        <v>415</v>
      </c>
      <c r="E484" s="36">
        <v>26.197384134754067</v>
      </c>
      <c r="F484">
        <v>415</v>
      </c>
      <c r="G484" s="36">
        <v>1117.6554975075346</v>
      </c>
    </row>
    <row r="485" spans="2:7" x14ac:dyDescent="0.3">
      <c r="B485">
        <v>416</v>
      </c>
      <c r="C485" s="36">
        <v>788.56016792085143</v>
      </c>
      <c r="D485">
        <v>416</v>
      </c>
      <c r="E485" s="36">
        <v>23.039666021620739</v>
      </c>
      <c r="F485">
        <v>416</v>
      </c>
      <c r="G485" s="36">
        <v>1157.9313836367405</v>
      </c>
    </row>
    <row r="486" spans="2:7" x14ac:dyDescent="0.3">
      <c r="B486">
        <v>417</v>
      </c>
      <c r="C486" s="36">
        <v>623.47569432094224</v>
      </c>
      <c r="D486">
        <v>417</v>
      </c>
      <c r="E486" s="36">
        <v>66.460774178304661</v>
      </c>
      <c r="F486">
        <v>417</v>
      </c>
      <c r="G486" s="36">
        <v>723.64404073504795</v>
      </c>
    </row>
    <row r="487" spans="2:7" x14ac:dyDescent="0.3">
      <c r="B487">
        <v>418</v>
      </c>
      <c r="C487" s="36">
        <v>963.84980793223554</v>
      </c>
      <c r="D487">
        <v>418</v>
      </c>
      <c r="E487" s="36">
        <v>34.467374152564545</v>
      </c>
      <c r="F487">
        <v>418</v>
      </c>
      <c r="G487" s="36">
        <v>511.61614981491073</v>
      </c>
    </row>
    <row r="488" spans="2:7" x14ac:dyDescent="0.3">
      <c r="B488">
        <v>419</v>
      </c>
      <c r="C488" s="36">
        <v>1365.2807722171322</v>
      </c>
      <c r="D488">
        <v>419</v>
      </c>
      <c r="E488" s="36">
        <v>-26.537879796246862</v>
      </c>
      <c r="F488">
        <v>419</v>
      </c>
      <c r="G488" s="36">
        <v>1129.0444691016187</v>
      </c>
    </row>
    <row r="489" spans="2:7" x14ac:dyDescent="0.3">
      <c r="B489">
        <v>420</v>
      </c>
      <c r="C489" s="36">
        <v>1012.6365328481285</v>
      </c>
      <c r="D489">
        <v>420</v>
      </c>
      <c r="E489" s="36">
        <v>8.9235752147094747</v>
      </c>
      <c r="F489">
        <v>420</v>
      </c>
      <c r="G489" s="36">
        <v>1213.2792236048465</v>
      </c>
    </row>
    <row r="490" spans="2:7" x14ac:dyDescent="0.3">
      <c r="B490">
        <v>421</v>
      </c>
      <c r="C490" s="36">
        <v>1167.730865536661</v>
      </c>
      <c r="D490">
        <v>421</v>
      </c>
      <c r="E490" s="36">
        <v>17.622167299661832</v>
      </c>
      <c r="F490">
        <v>421</v>
      </c>
      <c r="G490" s="36">
        <v>907.0452471600305</v>
      </c>
    </row>
    <row r="491" spans="2:7" x14ac:dyDescent="0.3">
      <c r="B491">
        <v>422</v>
      </c>
      <c r="C491" s="36">
        <v>399.88352379767844</v>
      </c>
      <c r="D491">
        <v>422</v>
      </c>
      <c r="E491" s="36">
        <v>-15.896982393529072</v>
      </c>
      <c r="F491">
        <v>422</v>
      </c>
      <c r="G491" s="36">
        <v>1090.2449187025024</v>
      </c>
    </row>
    <row r="492" spans="2:7" x14ac:dyDescent="0.3">
      <c r="B492">
        <v>423</v>
      </c>
      <c r="C492" s="36">
        <v>686.46089564034878</v>
      </c>
      <c r="D492">
        <v>423</v>
      </c>
      <c r="E492" s="36">
        <v>-35.213972187189711</v>
      </c>
      <c r="F492">
        <v>423</v>
      </c>
      <c r="G492" s="36">
        <v>1269.0328959532535</v>
      </c>
    </row>
    <row r="493" spans="2:7" x14ac:dyDescent="0.3">
      <c r="B493">
        <v>424</v>
      </c>
      <c r="C493" s="36">
        <v>775.53058317016325</v>
      </c>
      <c r="D493">
        <v>424</v>
      </c>
      <c r="E493" s="36">
        <v>34.196761133577013</v>
      </c>
      <c r="F493">
        <v>424</v>
      </c>
      <c r="G493" s="36">
        <v>1057.5599867573269</v>
      </c>
    </row>
    <row r="494" spans="2:7" x14ac:dyDescent="0.3">
      <c r="B494">
        <v>425</v>
      </c>
      <c r="C494" s="36">
        <v>1132.8923875395262</v>
      </c>
      <c r="D494">
        <v>425</v>
      </c>
      <c r="E494" s="36">
        <v>-24.158715123382656</v>
      </c>
      <c r="F494">
        <v>425</v>
      </c>
      <c r="G494" s="36">
        <v>1013.0681567784359</v>
      </c>
    </row>
    <row r="495" spans="2:7" x14ac:dyDescent="0.3">
      <c r="B495">
        <v>426</v>
      </c>
      <c r="C495" s="36">
        <v>706.40069265631951</v>
      </c>
      <c r="D495">
        <v>426</v>
      </c>
      <c r="E495" s="36">
        <v>-16.689321461964823</v>
      </c>
      <c r="F495">
        <v>426</v>
      </c>
      <c r="G495" s="36">
        <v>642.98744922770868</v>
      </c>
    </row>
    <row r="496" spans="2:7" x14ac:dyDescent="0.3">
      <c r="B496">
        <v>427</v>
      </c>
      <c r="C496" s="36">
        <v>658.2895410648299</v>
      </c>
      <c r="D496">
        <v>427</v>
      </c>
      <c r="E496" s="36">
        <v>37.090724384013377</v>
      </c>
      <c r="F496">
        <v>427</v>
      </c>
      <c r="G496" s="36">
        <v>608.99802033157994</v>
      </c>
    </row>
    <row r="497" spans="2:7" x14ac:dyDescent="0.3">
      <c r="B497">
        <v>428</v>
      </c>
      <c r="C497" s="36">
        <v>1142.9084193687504</v>
      </c>
      <c r="D497">
        <v>428</v>
      </c>
      <c r="E497" s="36">
        <v>53.255320357038308</v>
      </c>
      <c r="F497">
        <v>428</v>
      </c>
      <c r="G497" s="36">
        <v>1044.2739136076043</v>
      </c>
    </row>
    <row r="498" spans="2:7" x14ac:dyDescent="0.3">
      <c r="B498">
        <v>429</v>
      </c>
      <c r="C498" s="36">
        <v>860.71819781182114</v>
      </c>
      <c r="D498">
        <v>429</v>
      </c>
      <c r="E498" s="36">
        <v>4.3835119042520194</v>
      </c>
      <c r="F498">
        <v>429</v>
      </c>
      <c r="G498" s="36">
        <v>1055.6492753238153</v>
      </c>
    </row>
    <row r="499" spans="2:7" x14ac:dyDescent="0.3">
      <c r="B499">
        <v>430</v>
      </c>
      <c r="C499" s="36">
        <v>1162.6383740771903</v>
      </c>
      <c r="D499">
        <v>430</v>
      </c>
      <c r="E499" s="36">
        <v>-4.2485250346941914</v>
      </c>
      <c r="F499">
        <v>430</v>
      </c>
      <c r="G499" s="36">
        <v>1188.1108710229851</v>
      </c>
    </row>
    <row r="500" spans="2:7" x14ac:dyDescent="0.3">
      <c r="B500">
        <v>431</v>
      </c>
      <c r="C500" s="36">
        <v>661.47670994144687</v>
      </c>
      <c r="D500">
        <v>431</v>
      </c>
      <c r="E500" s="36">
        <v>-48.971837344854357</v>
      </c>
      <c r="F500">
        <v>431</v>
      </c>
      <c r="G500" s="36">
        <v>1488.0021734788777</v>
      </c>
    </row>
    <row r="501" spans="2:7" x14ac:dyDescent="0.3">
      <c r="B501">
        <v>432</v>
      </c>
      <c r="C501" s="36">
        <v>1075.1525170260688</v>
      </c>
      <c r="D501">
        <v>432</v>
      </c>
      <c r="E501" s="36">
        <v>2.2406339602499385</v>
      </c>
      <c r="F501">
        <v>432</v>
      </c>
      <c r="G501" s="36">
        <v>1028.407268813776</v>
      </c>
    </row>
    <row r="502" spans="2:7" x14ac:dyDescent="0.3">
      <c r="B502">
        <v>433</v>
      </c>
      <c r="C502" s="36">
        <v>786.46192095723541</v>
      </c>
      <c r="D502">
        <v>433</v>
      </c>
      <c r="E502" s="36">
        <v>54.596581364439984</v>
      </c>
      <c r="F502">
        <v>433</v>
      </c>
      <c r="G502" s="36">
        <v>509.07620132683758</v>
      </c>
    </row>
    <row r="503" spans="2:7" x14ac:dyDescent="0.3">
      <c r="B503">
        <v>434</v>
      </c>
      <c r="C503" s="36">
        <v>850.49601480970637</v>
      </c>
      <c r="D503">
        <v>434</v>
      </c>
      <c r="E503" s="36">
        <v>16.023434272389661</v>
      </c>
      <c r="F503">
        <v>434</v>
      </c>
      <c r="G503" s="36">
        <v>245.99456514472655</v>
      </c>
    </row>
    <row r="504" spans="2:7" x14ac:dyDescent="0.3">
      <c r="B504">
        <v>435</v>
      </c>
      <c r="C504" s="36">
        <v>1067.1346779781343</v>
      </c>
      <c r="D504">
        <v>435</v>
      </c>
      <c r="E504" s="36">
        <v>15.166949984330378</v>
      </c>
      <c r="F504">
        <v>435</v>
      </c>
      <c r="G504" s="36">
        <v>870.55815218710052</v>
      </c>
    </row>
    <row r="505" spans="2:7" x14ac:dyDescent="0.3">
      <c r="B505">
        <v>436</v>
      </c>
      <c r="C505" s="36">
        <v>597.27723687370042</v>
      </c>
      <c r="D505">
        <v>436</v>
      </c>
      <c r="E505" s="36">
        <v>14.533928157146928</v>
      </c>
      <c r="F505">
        <v>436</v>
      </c>
      <c r="G505" s="36">
        <v>660.55965905239827</v>
      </c>
    </row>
    <row r="506" spans="2:7" x14ac:dyDescent="0.3">
      <c r="B506">
        <v>437</v>
      </c>
      <c r="C506" s="36">
        <v>738.9669347178617</v>
      </c>
      <c r="D506">
        <v>437</v>
      </c>
      <c r="E506" s="36">
        <v>-17.815459064759967</v>
      </c>
      <c r="F506">
        <v>437</v>
      </c>
      <c r="G506" s="36">
        <v>980.01284712904851</v>
      </c>
    </row>
    <row r="507" spans="2:7" x14ac:dyDescent="0.3">
      <c r="B507">
        <v>438</v>
      </c>
      <c r="C507" s="36">
        <v>1747.2061030660657</v>
      </c>
      <c r="D507">
        <v>438</v>
      </c>
      <c r="E507" s="36">
        <v>54.2671077511284</v>
      </c>
      <c r="F507">
        <v>438</v>
      </c>
      <c r="G507" s="36">
        <v>988.4647620556525</v>
      </c>
    </row>
    <row r="508" spans="2:7" x14ac:dyDescent="0.3">
      <c r="B508">
        <v>439</v>
      </c>
      <c r="C508" s="36">
        <v>833.22082827742543</v>
      </c>
      <c r="D508">
        <v>439</v>
      </c>
      <c r="E508" s="36">
        <v>4.2849560361817618</v>
      </c>
      <c r="F508">
        <v>439</v>
      </c>
      <c r="G508" s="36">
        <v>728.55768569448867</v>
      </c>
    </row>
    <row r="509" spans="2:7" x14ac:dyDescent="0.3">
      <c r="B509">
        <v>440</v>
      </c>
      <c r="C509" s="36">
        <v>473.04713719377349</v>
      </c>
      <c r="D509">
        <v>440</v>
      </c>
      <c r="E509" s="36">
        <v>18.51194394127835</v>
      </c>
      <c r="F509">
        <v>440</v>
      </c>
      <c r="G509" s="36">
        <v>637.71261709053215</v>
      </c>
    </row>
    <row r="510" spans="2:7" x14ac:dyDescent="0.3">
      <c r="B510">
        <v>441</v>
      </c>
      <c r="C510" s="36">
        <v>1412.8776688395078</v>
      </c>
      <c r="D510">
        <v>441</v>
      </c>
      <c r="E510" s="36">
        <v>-5.3028946182347543</v>
      </c>
      <c r="F510">
        <v>441</v>
      </c>
      <c r="G510" s="36">
        <v>673.96630972370485</v>
      </c>
    </row>
    <row r="511" spans="2:7" x14ac:dyDescent="0.3">
      <c r="B511">
        <v>442</v>
      </c>
      <c r="C511" s="36">
        <v>1027.2087669932737</v>
      </c>
      <c r="D511">
        <v>442</v>
      </c>
      <c r="E511" s="36">
        <v>-1.6570458168991333</v>
      </c>
      <c r="F511">
        <v>442</v>
      </c>
      <c r="G511" s="36">
        <v>1083.5912505125107</v>
      </c>
    </row>
    <row r="512" spans="2:7" x14ac:dyDescent="0.3">
      <c r="B512">
        <v>443</v>
      </c>
      <c r="C512" s="36">
        <v>-167.24125401341666</v>
      </c>
      <c r="D512">
        <v>443</v>
      </c>
      <c r="E512" s="36">
        <v>0.58509011957525081</v>
      </c>
      <c r="F512">
        <v>443</v>
      </c>
      <c r="G512" s="36">
        <v>1088.889164283845</v>
      </c>
    </row>
    <row r="513" spans="2:7" x14ac:dyDescent="0.3">
      <c r="B513">
        <v>444</v>
      </c>
      <c r="C513" s="36">
        <v>1227.880740362928</v>
      </c>
      <c r="D513">
        <v>444</v>
      </c>
      <c r="E513" s="36">
        <v>9.6218924849150014</v>
      </c>
      <c r="F513">
        <v>444</v>
      </c>
      <c r="G513" s="36">
        <v>1388.1592462173571</v>
      </c>
    </row>
    <row r="514" spans="2:7" x14ac:dyDescent="0.3">
      <c r="B514">
        <v>445</v>
      </c>
      <c r="C514" s="36">
        <v>806.19488041733428</v>
      </c>
      <c r="D514">
        <v>445</v>
      </c>
      <c r="E514" s="36">
        <v>-26.365259957630144</v>
      </c>
      <c r="F514">
        <v>445</v>
      </c>
      <c r="G514" s="36">
        <v>850.18647599858173</v>
      </c>
    </row>
    <row r="515" spans="2:7" x14ac:dyDescent="0.3">
      <c r="B515">
        <v>446</v>
      </c>
      <c r="C515" s="36">
        <v>452.94441556304321</v>
      </c>
      <c r="D515">
        <v>446</v>
      </c>
      <c r="E515" s="36">
        <v>25.144276400562433</v>
      </c>
      <c r="F515">
        <v>446</v>
      </c>
      <c r="G515" s="36">
        <v>662.85541711963219</v>
      </c>
    </row>
    <row r="516" spans="2:7" x14ac:dyDescent="0.3">
      <c r="B516">
        <v>447</v>
      </c>
      <c r="C516" s="36">
        <v>854.06626524283183</v>
      </c>
      <c r="D516">
        <v>447</v>
      </c>
      <c r="E516" s="36">
        <v>6.0507685808516083</v>
      </c>
      <c r="F516">
        <v>447</v>
      </c>
      <c r="G516" s="36">
        <v>410.24849714334732</v>
      </c>
    </row>
    <row r="517" spans="2:7" x14ac:dyDescent="0.3">
      <c r="B517">
        <v>448</v>
      </c>
      <c r="C517" s="36">
        <v>837.88552532114284</v>
      </c>
      <c r="D517">
        <v>448</v>
      </c>
      <c r="E517" s="36">
        <v>14.8910099091018</v>
      </c>
      <c r="F517">
        <v>448</v>
      </c>
      <c r="G517" s="36">
        <v>1188.6549496611544</v>
      </c>
    </row>
    <row r="518" spans="2:7" x14ac:dyDescent="0.3">
      <c r="B518">
        <v>449</v>
      </c>
      <c r="C518" s="36">
        <v>717.9463808612079</v>
      </c>
      <c r="D518">
        <v>449</v>
      </c>
      <c r="E518" s="36">
        <v>6.5817065421149028</v>
      </c>
      <c r="F518">
        <v>449</v>
      </c>
      <c r="G518" s="36">
        <v>422.09739585683502</v>
      </c>
    </row>
    <row r="519" spans="2:7" x14ac:dyDescent="0.3">
      <c r="B519">
        <v>450</v>
      </c>
      <c r="C519" s="36">
        <v>699.62673509314425</v>
      </c>
      <c r="D519">
        <v>450</v>
      </c>
      <c r="E519" s="36">
        <v>20.921469091816313</v>
      </c>
      <c r="F519">
        <v>450</v>
      </c>
      <c r="G519" s="36">
        <v>509.32818513546511</v>
      </c>
    </row>
    <row r="520" spans="2:7" x14ac:dyDescent="0.3">
      <c r="B520">
        <v>451</v>
      </c>
      <c r="C520" s="36">
        <v>1109.2632093630768</v>
      </c>
      <c r="D520">
        <v>451</v>
      </c>
      <c r="E520" s="36">
        <v>40.493460078022324</v>
      </c>
      <c r="F520">
        <v>451</v>
      </c>
      <c r="G520" s="36">
        <v>295.27727770122272</v>
      </c>
    </row>
    <row r="521" spans="2:7" x14ac:dyDescent="0.3">
      <c r="B521">
        <v>452</v>
      </c>
      <c r="C521" s="36">
        <v>1372.5112289901924</v>
      </c>
      <c r="D521">
        <v>452</v>
      </c>
      <c r="E521" s="36">
        <v>31.494722218662197</v>
      </c>
      <c r="F521">
        <v>452</v>
      </c>
      <c r="G521" s="36">
        <v>728.88853024145294</v>
      </c>
    </row>
    <row r="522" spans="2:7" x14ac:dyDescent="0.3">
      <c r="B522">
        <v>453</v>
      </c>
      <c r="C522" s="36">
        <v>722.48001844269049</v>
      </c>
      <c r="D522">
        <v>453</v>
      </c>
      <c r="E522" s="36">
        <v>43.177276235194569</v>
      </c>
      <c r="F522">
        <v>453</v>
      </c>
      <c r="G522" s="36">
        <v>464.46596484722704</v>
      </c>
    </row>
    <row r="523" spans="2:7" x14ac:dyDescent="0.3">
      <c r="B523">
        <v>454</v>
      </c>
      <c r="C523" s="36">
        <v>1083.0574191364669</v>
      </c>
      <c r="D523">
        <v>454</v>
      </c>
      <c r="E523" s="36">
        <v>7.3984280582613335</v>
      </c>
      <c r="F523">
        <v>454</v>
      </c>
      <c r="G523" s="36">
        <v>1064.8671281343773</v>
      </c>
    </row>
    <row r="524" spans="2:7" x14ac:dyDescent="0.3">
      <c r="B524">
        <v>455</v>
      </c>
      <c r="C524" s="36">
        <v>1146.7643193610868</v>
      </c>
      <c r="D524">
        <v>455</v>
      </c>
      <c r="E524" s="36">
        <v>-48.864232544601329</v>
      </c>
      <c r="F524">
        <v>455</v>
      </c>
      <c r="G524" s="36">
        <v>879.83609717486831</v>
      </c>
    </row>
    <row r="525" spans="2:7" x14ac:dyDescent="0.3">
      <c r="B525">
        <v>456</v>
      </c>
      <c r="C525" s="36">
        <v>868.2725347963144</v>
      </c>
      <c r="D525">
        <v>456</v>
      </c>
      <c r="E525" s="36">
        <v>-16.737662573683565</v>
      </c>
      <c r="F525">
        <v>456</v>
      </c>
      <c r="G525" s="36">
        <v>963.12853376651674</v>
      </c>
    </row>
    <row r="526" spans="2:7" x14ac:dyDescent="0.3">
      <c r="B526">
        <v>457</v>
      </c>
      <c r="C526" s="36">
        <v>1281.4623788333095</v>
      </c>
      <c r="D526">
        <v>457</v>
      </c>
      <c r="E526" s="36">
        <v>40.573158309972655</v>
      </c>
      <c r="F526">
        <v>457</v>
      </c>
      <c r="G526" s="36">
        <v>1323.1797645672525</v>
      </c>
    </row>
    <row r="527" spans="2:7" x14ac:dyDescent="0.3">
      <c r="B527">
        <v>458</v>
      </c>
      <c r="C527" s="36">
        <v>762.35894885116545</v>
      </c>
      <c r="D527">
        <v>458</v>
      </c>
      <c r="E527" s="36">
        <v>-15.308129588948276</v>
      </c>
      <c r="F527">
        <v>458</v>
      </c>
      <c r="G527" s="36">
        <v>1278.7031567260681</v>
      </c>
    </row>
    <row r="528" spans="2:7" x14ac:dyDescent="0.3">
      <c r="B528">
        <v>459</v>
      </c>
      <c r="C528" s="36">
        <v>296.6058618657168</v>
      </c>
      <c r="D528">
        <v>459</v>
      </c>
      <c r="E528" s="36">
        <v>15.349632609105214</v>
      </c>
      <c r="F528">
        <v>459</v>
      </c>
      <c r="G528" s="36">
        <v>971.96939788242469</v>
      </c>
    </row>
    <row r="529" spans="2:7" x14ac:dyDescent="0.3">
      <c r="B529">
        <v>460</v>
      </c>
      <c r="C529" s="36">
        <v>567.91635936857779</v>
      </c>
      <c r="D529">
        <v>460</v>
      </c>
      <c r="E529" s="36">
        <v>19.50421565371829</v>
      </c>
      <c r="F529">
        <v>460</v>
      </c>
      <c r="G529" s="36">
        <v>329.68776774617322</v>
      </c>
    </row>
    <row r="530" spans="2:7" x14ac:dyDescent="0.3">
      <c r="B530">
        <v>461</v>
      </c>
      <c r="C530" s="36">
        <v>1192.0831908756852</v>
      </c>
      <c r="D530">
        <v>461</v>
      </c>
      <c r="E530" s="36">
        <v>-20.939807340002339</v>
      </c>
      <c r="F530">
        <v>461</v>
      </c>
      <c r="G530" s="36">
        <v>1305.8409076100002</v>
      </c>
    </row>
    <row r="531" spans="2:7" x14ac:dyDescent="0.3">
      <c r="B531">
        <v>462</v>
      </c>
      <c r="C531" s="36">
        <v>947.66402797449518</v>
      </c>
      <c r="D531">
        <v>462</v>
      </c>
      <c r="E531" s="36">
        <v>30.316326771893717</v>
      </c>
      <c r="F531">
        <v>462</v>
      </c>
      <c r="G531" s="36">
        <v>1284.8307156587</v>
      </c>
    </row>
    <row r="532" spans="2:7" x14ac:dyDescent="0.3">
      <c r="B532">
        <v>463</v>
      </c>
      <c r="C532" s="36">
        <v>360.68691439172414</v>
      </c>
      <c r="D532">
        <v>463</v>
      </c>
      <c r="E532" s="36">
        <v>-11.470101743867986</v>
      </c>
      <c r="F532">
        <v>463</v>
      </c>
      <c r="G532" s="36">
        <v>1207.9600542096628</v>
      </c>
    </row>
    <row r="533" spans="2:7" x14ac:dyDescent="0.3">
      <c r="B533">
        <v>464</v>
      </c>
      <c r="C533" s="36">
        <v>1141.5866083949511</v>
      </c>
      <c r="D533">
        <v>464</v>
      </c>
      <c r="E533" s="36">
        <v>10.385120929964796</v>
      </c>
      <c r="F533">
        <v>464</v>
      </c>
      <c r="G533" s="36">
        <v>1379.9284704393101</v>
      </c>
    </row>
    <row r="534" spans="2:7" x14ac:dyDescent="0.3">
      <c r="B534">
        <v>465</v>
      </c>
      <c r="C534" s="36">
        <v>956.43555905854407</v>
      </c>
      <c r="D534">
        <v>465</v>
      </c>
      <c r="E534" s="36">
        <v>3.515342093801773</v>
      </c>
      <c r="F534">
        <v>465</v>
      </c>
      <c r="G534" s="36">
        <v>1139.8170574094511</v>
      </c>
    </row>
    <row r="535" spans="2:7" x14ac:dyDescent="0.3">
      <c r="B535">
        <v>466</v>
      </c>
      <c r="C535" s="36">
        <v>737.82230313593209</v>
      </c>
      <c r="D535">
        <v>466</v>
      </c>
      <c r="E535" s="36">
        <v>-7.6207282238484311</v>
      </c>
      <c r="F535">
        <v>466</v>
      </c>
      <c r="G535" s="36">
        <v>861.4488833676287</v>
      </c>
    </row>
    <row r="536" spans="2:7" x14ac:dyDescent="0.3">
      <c r="B536">
        <v>467</v>
      </c>
      <c r="C536" s="36">
        <v>71.586828081303196</v>
      </c>
      <c r="D536">
        <v>467</v>
      </c>
      <c r="E536" s="36">
        <v>12.084438843210448</v>
      </c>
      <c r="F536">
        <v>467</v>
      </c>
      <c r="G536" s="36">
        <v>1079.8869046568946</v>
      </c>
    </row>
    <row r="537" spans="2:7" x14ac:dyDescent="0.3">
      <c r="B537">
        <v>468</v>
      </c>
      <c r="C537" s="36">
        <v>943.75382093772259</v>
      </c>
      <c r="D537">
        <v>468</v>
      </c>
      <c r="E537" s="36">
        <v>40.831173755240606</v>
      </c>
      <c r="F537">
        <v>468</v>
      </c>
      <c r="G537" s="36">
        <v>678.2016394511636</v>
      </c>
    </row>
    <row r="538" spans="2:7" x14ac:dyDescent="0.3">
      <c r="B538">
        <v>469</v>
      </c>
      <c r="C538" s="36">
        <v>740.79289670732373</v>
      </c>
      <c r="D538">
        <v>469</v>
      </c>
      <c r="E538" s="36">
        <v>1.0558017208041384</v>
      </c>
      <c r="F538">
        <v>469</v>
      </c>
      <c r="G538" s="36">
        <v>714.88627281971071</v>
      </c>
    </row>
    <row r="539" spans="2:7" x14ac:dyDescent="0.3">
      <c r="B539">
        <v>470</v>
      </c>
      <c r="C539" s="36">
        <v>923.20350412798996</v>
      </c>
      <c r="D539">
        <v>470</v>
      </c>
      <c r="E539" s="36">
        <v>22.798866757306723</v>
      </c>
      <c r="F539">
        <v>470</v>
      </c>
      <c r="G539" s="36">
        <v>1198.9767860010338</v>
      </c>
    </row>
    <row r="540" spans="2:7" x14ac:dyDescent="0.3">
      <c r="B540">
        <v>471</v>
      </c>
      <c r="C540" s="36">
        <v>843.47596970740256</v>
      </c>
      <c r="D540">
        <v>471</v>
      </c>
      <c r="E540" s="36">
        <v>-35.49772357272586</v>
      </c>
      <c r="F540">
        <v>471</v>
      </c>
      <c r="G540" s="36">
        <v>1094.6950480690316</v>
      </c>
    </row>
    <row r="541" spans="2:7" x14ac:dyDescent="0.3">
      <c r="B541">
        <v>472</v>
      </c>
      <c r="C541" s="36">
        <v>1230.1861244081331</v>
      </c>
      <c r="D541">
        <v>472</v>
      </c>
      <c r="E541" s="36">
        <v>3.0444923552344356</v>
      </c>
      <c r="F541">
        <v>472</v>
      </c>
      <c r="G541" s="36">
        <v>970.13814893236906</v>
      </c>
    </row>
    <row r="542" spans="2:7" x14ac:dyDescent="0.3">
      <c r="B542">
        <v>473</v>
      </c>
      <c r="C542" s="36">
        <v>850.26015835946635</v>
      </c>
      <c r="D542">
        <v>473</v>
      </c>
      <c r="E542" s="36">
        <v>8.1043613580684593</v>
      </c>
      <c r="F542">
        <v>473</v>
      </c>
      <c r="G542" s="36">
        <v>921.37525004619454</v>
      </c>
    </row>
    <row r="543" spans="2:7" x14ac:dyDescent="0.3">
      <c r="B543">
        <v>474</v>
      </c>
      <c r="C543" s="36">
        <v>1166.379268675367</v>
      </c>
      <c r="D543">
        <v>474</v>
      </c>
      <c r="E543" s="36">
        <v>35.27038887582782</v>
      </c>
      <c r="F543">
        <v>474</v>
      </c>
      <c r="G543" s="36">
        <v>682.11391928262151</v>
      </c>
    </row>
    <row r="544" spans="2:7" x14ac:dyDescent="0.3">
      <c r="B544">
        <v>475</v>
      </c>
      <c r="C544" s="36">
        <v>1104.8976422791752</v>
      </c>
      <c r="D544">
        <v>475</v>
      </c>
      <c r="E544" s="36">
        <v>-27.622558037379029</v>
      </c>
      <c r="F544">
        <v>475</v>
      </c>
      <c r="G544" s="36">
        <v>871.60428817197885</v>
      </c>
    </row>
    <row r="545" spans="2:7" x14ac:dyDescent="0.3">
      <c r="B545">
        <v>476</v>
      </c>
      <c r="C545" s="36">
        <v>887.58025395187542</v>
      </c>
      <c r="D545">
        <v>476</v>
      </c>
      <c r="E545" s="36">
        <v>11.603807868183761</v>
      </c>
      <c r="F545">
        <v>476</v>
      </c>
      <c r="G545" s="36">
        <v>1049.3086007012926</v>
      </c>
    </row>
    <row r="546" spans="2:7" x14ac:dyDescent="0.3">
      <c r="B546">
        <v>477</v>
      </c>
      <c r="C546" s="36">
        <v>702.85874898080453</v>
      </c>
      <c r="D546">
        <v>477</v>
      </c>
      <c r="E546" s="36">
        <v>68.659426205043275</v>
      </c>
      <c r="F546">
        <v>477</v>
      </c>
      <c r="G546" s="36">
        <v>469.17087757932347</v>
      </c>
    </row>
    <row r="547" spans="2:7" x14ac:dyDescent="0.3">
      <c r="B547">
        <v>478</v>
      </c>
      <c r="C547" s="36">
        <v>647.57648949375448</v>
      </c>
      <c r="D547">
        <v>478</v>
      </c>
      <c r="E547" s="36">
        <v>-34.325046402364691</v>
      </c>
      <c r="F547">
        <v>478</v>
      </c>
      <c r="G547" s="36">
        <v>228.35819210465814</v>
      </c>
    </row>
    <row r="548" spans="2:7" x14ac:dyDescent="0.3">
      <c r="B548">
        <v>479</v>
      </c>
      <c r="C548" s="36">
        <v>922.85863809855857</v>
      </c>
      <c r="D548">
        <v>479</v>
      </c>
      <c r="E548" s="36">
        <v>51.332670096582191</v>
      </c>
      <c r="F548">
        <v>479</v>
      </c>
      <c r="G548" s="36">
        <v>689.71339347920298</v>
      </c>
    </row>
    <row r="549" spans="2:7" x14ac:dyDescent="0.3">
      <c r="B549">
        <v>480</v>
      </c>
      <c r="C549" s="36">
        <v>954.67911243847357</v>
      </c>
      <c r="D549">
        <v>480</v>
      </c>
      <c r="E549" s="36">
        <v>-68.323788922927818</v>
      </c>
      <c r="F549">
        <v>480</v>
      </c>
      <c r="G549" s="36">
        <v>1489.8268569065235</v>
      </c>
    </row>
    <row r="550" spans="2:7" x14ac:dyDescent="0.3">
      <c r="B550">
        <v>481</v>
      </c>
      <c r="C550" s="36">
        <v>256.57380381198521</v>
      </c>
      <c r="D550">
        <v>481</v>
      </c>
      <c r="E550" s="36">
        <v>-17.050839266770918</v>
      </c>
      <c r="F550">
        <v>481</v>
      </c>
      <c r="G550" s="36">
        <v>1064.9700736425968</v>
      </c>
    </row>
    <row r="551" spans="2:7" x14ac:dyDescent="0.3">
      <c r="B551">
        <v>482</v>
      </c>
      <c r="C551" s="36">
        <v>1265.3000736244642</v>
      </c>
      <c r="D551">
        <v>482</v>
      </c>
      <c r="E551" s="36">
        <v>-4.9982134106400444</v>
      </c>
      <c r="F551">
        <v>482</v>
      </c>
      <c r="G551" s="36">
        <v>1512.1598360920793</v>
      </c>
    </row>
    <row r="552" spans="2:7" x14ac:dyDescent="0.3">
      <c r="B552">
        <v>483</v>
      </c>
      <c r="C552" s="36">
        <v>1015.9638657948111</v>
      </c>
      <c r="D552">
        <v>483</v>
      </c>
      <c r="E552" s="36">
        <v>-36.265361448744819</v>
      </c>
      <c r="F552">
        <v>483</v>
      </c>
      <c r="G552" s="36">
        <v>883.17205927033592</v>
      </c>
    </row>
    <row r="553" spans="2:7" x14ac:dyDescent="0.3">
      <c r="B553">
        <v>484</v>
      </c>
      <c r="C553" s="36">
        <v>1045.58834317792</v>
      </c>
      <c r="D553">
        <v>484</v>
      </c>
      <c r="E553" s="36">
        <v>-28.152631264062233</v>
      </c>
      <c r="F553">
        <v>484</v>
      </c>
      <c r="G553" s="36">
        <v>1227.5505733310124</v>
      </c>
    </row>
    <row r="554" spans="2:7" x14ac:dyDescent="0.3">
      <c r="B554">
        <v>485</v>
      </c>
      <c r="C554" s="36">
        <v>512.40081964735464</v>
      </c>
      <c r="D554">
        <v>485</v>
      </c>
      <c r="E554" s="36">
        <v>28.114698700963192</v>
      </c>
      <c r="F554">
        <v>485</v>
      </c>
      <c r="G554" s="36">
        <v>930.19103405893043</v>
      </c>
    </row>
    <row r="555" spans="2:7" x14ac:dyDescent="0.3">
      <c r="B555">
        <v>486</v>
      </c>
      <c r="C555" s="36">
        <v>932.6748191577102</v>
      </c>
      <c r="D555">
        <v>486</v>
      </c>
      <c r="E555" s="36">
        <v>-2.3633900196823534</v>
      </c>
      <c r="F555">
        <v>486</v>
      </c>
      <c r="G555" s="36">
        <v>695.45255442373968</v>
      </c>
    </row>
    <row r="556" spans="2:7" x14ac:dyDescent="0.3">
      <c r="B556">
        <v>487</v>
      </c>
      <c r="C556" s="36">
        <v>1162.4738341491034</v>
      </c>
      <c r="D556">
        <v>487</v>
      </c>
      <c r="E556" s="36">
        <v>59.897611184805157</v>
      </c>
      <c r="F556">
        <v>487</v>
      </c>
      <c r="G556" s="36">
        <v>594.46704358947704</v>
      </c>
    </row>
    <row r="557" spans="2:7" x14ac:dyDescent="0.3">
      <c r="B557">
        <v>488</v>
      </c>
      <c r="C557" s="36">
        <v>976.90848883077251</v>
      </c>
      <c r="D557">
        <v>488</v>
      </c>
      <c r="E557" s="36">
        <v>-5.8596805922480799</v>
      </c>
      <c r="F557">
        <v>488</v>
      </c>
      <c r="G557" s="36">
        <v>786.59406385546163</v>
      </c>
    </row>
    <row r="558" spans="2:7" x14ac:dyDescent="0.3">
      <c r="B558">
        <v>489</v>
      </c>
      <c r="C558" s="36">
        <v>830.96447193565814</v>
      </c>
      <c r="D558">
        <v>489</v>
      </c>
      <c r="E558" s="36">
        <v>0.45255067115486919</v>
      </c>
      <c r="F558">
        <v>489</v>
      </c>
      <c r="G558" s="36">
        <v>1547.7242523958805</v>
      </c>
    </row>
    <row r="559" spans="2:7" x14ac:dyDescent="0.3">
      <c r="B559">
        <v>490</v>
      </c>
      <c r="C559" s="36">
        <v>1206.0343483551717</v>
      </c>
      <c r="D559">
        <v>490</v>
      </c>
      <c r="E559" s="36">
        <v>22.981481130417396</v>
      </c>
      <c r="F559">
        <v>490</v>
      </c>
      <c r="G559" s="36">
        <v>868.0249934334139</v>
      </c>
    </row>
    <row r="560" spans="2:7" x14ac:dyDescent="0.3">
      <c r="B560">
        <v>491</v>
      </c>
      <c r="C560" s="36">
        <v>783.35865635675032</v>
      </c>
      <c r="D560">
        <v>491</v>
      </c>
      <c r="E560" s="36">
        <v>28.477454892375658</v>
      </c>
      <c r="F560">
        <v>491</v>
      </c>
      <c r="G560" s="36">
        <v>643.31099868323122</v>
      </c>
    </row>
    <row r="561" spans="2:7" x14ac:dyDescent="0.3">
      <c r="B561">
        <v>492</v>
      </c>
      <c r="C561" s="36">
        <v>936.32962692822946</v>
      </c>
      <c r="D561">
        <v>492</v>
      </c>
      <c r="E561" s="36">
        <v>-9.2331676487290917</v>
      </c>
      <c r="F561">
        <v>492</v>
      </c>
      <c r="G561" s="36">
        <v>757.35854843545962</v>
      </c>
    </row>
    <row r="562" spans="2:7" x14ac:dyDescent="0.3">
      <c r="B562">
        <v>493</v>
      </c>
      <c r="C562" s="36">
        <v>1420.852726084074</v>
      </c>
      <c r="D562">
        <v>493</v>
      </c>
      <c r="E562" s="36">
        <v>-5.7075239575363295</v>
      </c>
      <c r="F562">
        <v>493</v>
      </c>
      <c r="G562" s="36">
        <v>390.13322563193759</v>
      </c>
    </row>
    <row r="563" spans="2:7" x14ac:dyDescent="0.3">
      <c r="B563">
        <v>494</v>
      </c>
      <c r="C563" s="36">
        <v>1094.9641850830728</v>
      </c>
      <c r="D563">
        <v>494</v>
      </c>
      <c r="E563" s="36">
        <v>2.2366671968840843</v>
      </c>
      <c r="F563">
        <v>494</v>
      </c>
      <c r="G563" s="36">
        <v>1440.1166684970428</v>
      </c>
    </row>
    <row r="564" spans="2:7" x14ac:dyDescent="0.3">
      <c r="B564">
        <v>495</v>
      </c>
      <c r="C564" s="36">
        <v>979.24169207367891</v>
      </c>
      <c r="D564">
        <v>495</v>
      </c>
      <c r="E564" s="36">
        <v>16.368494955999633</v>
      </c>
      <c r="F564">
        <v>495</v>
      </c>
      <c r="G564" s="36">
        <v>1064.0586218342046</v>
      </c>
    </row>
    <row r="565" spans="2:7" x14ac:dyDescent="0.3">
      <c r="B565">
        <v>496</v>
      </c>
      <c r="C565" s="36">
        <v>906.91332988874183</v>
      </c>
      <c r="D565">
        <v>496</v>
      </c>
      <c r="E565" s="36">
        <v>5.5632272904016027</v>
      </c>
      <c r="F565">
        <v>496</v>
      </c>
      <c r="G565" s="36">
        <v>758.28222789051222</v>
      </c>
    </row>
    <row r="566" spans="2:7" x14ac:dyDescent="0.3">
      <c r="B566">
        <v>497</v>
      </c>
      <c r="C566" s="36">
        <v>1424.2015915631964</v>
      </c>
      <c r="D566">
        <v>497</v>
      </c>
      <c r="E566" s="36">
        <v>-29.127736348763971</v>
      </c>
      <c r="F566">
        <v>497</v>
      </c>
      <c r="G566" s="36">
        <v>914.45121431754671</v>
      </c>
    </row>
    <row r="567" spans="2:7" x14ac:dyDescent="0.3">
      <c r="B567">
        <v>498</v>
      </c>
      <c r="C567" s="36">
        <v>605.99130116655033</v>
      </c>
      <c r="D567">
        <v>498</v>
      </c>
      <c r="E567" s="36">
        <v>-0.26225408761456104</v>
      </c>
      <c r="F567">
        <v>498</v>
      </c>
      <c r="G567" s="36">
        <v>845.51374536760943</v>
      </c>
    </row>
    <row r="568" spans="2:7" x14ac:dyDescent="0.3">
      <c r="B568">
        <v>499</v>
      </c>
      <c r="C568" s="36">
        <v>944.76240578800059</v>
      </c>
      <c r="D568">
        <v>499</v>
      </c>
      <c r="E568" s="36">
        <v>10.934958475910294</v>
      </c>
      <c r="F568">
        <v>499</v>
      </c>
      <c r="G568" s="36">
        <v>881.61173265422985</v>
      </c>
    </row>
    <row r="569" spans="2:7" x14ac:dyDescent="0.3">
      <c r="B569">
        <v>500</v>
      </c>
      <c r="C569" s="36">
        <v>435.11223098439285</v>
      </c>
      <c r="D569">
        <v>500</v>
      </c>
      <c r="E569" s="36">
        <v>-26.063130761728139</v>
      </c>
      <c r="F569">
        <v>500</v>
      </c>
      <c r="G569" s="36">
        <v>1199.5967536943326</v>
      </c>
    </row>
  </sheetData>
  <mergeCells count="132">
    <mergeCell ref="E2:F2"/>
    <mergeCell ref="E47:F47"/>
    <mergeCell ref="E38:F38"/>
    <mergeCell ref="E39:F39"/>
    <mergeCell ref="E25:F25"/>
    <mergeCell ref="E27:F27"/>
    <mergeCell ref="E26:F26"/>
    <mergeCell ref="C47:D47"/>
    <mergeCell ref="E60:F60"/>
    <mergeCell ref="E49:F49"/>
    <mergeCell ref="E50:F50"/>
    <mergeCell ref="E51:F51"/>
    <mergeCell ref="E52:F52"/>
    <mergeCell ref="E53:F53"/>
    <mergeCell ref="E54:F54"/>
    <mergeCell ref="E55:F55"/>
    <mergeCell ref="E23:F23"/>
    <mergeCell ref="E29:F29"/>
    <mergeCell ref="E30:F30"/>
    <mergeCell ref="E31:F31"/>
    <mergeCell ref="E32:F32"/>
    <mergeCell ref="C45:D45"/>
    <mergeCell ref="C46:D46"/>
    <mergeCell ref="E46:F46"/>
    <mergeCell ref="E62:F62"/>
    <mergeCell ref="E61:F61"/>
    <mergeCell ref="E56:F56"/>
    <mergeCell ref="E57:F57"/>
    <mergeCell ref="E59:F59"/>
    <mergeCell ref="E58:F58"/>
    <mergeCell ref="C56:D56"/>
    <mergeCell ref="C57:D57"/>
    <mergeCell ref="C58:D58"/>
    <mergeCell ref="E45:F45"/>
    <mergeCell ref="E44:F44"/>
    <mergeCell ref="E40:F40"/>
    <mergeCell ref="E41:F41"/>
    <mergeCell ref="E42:F42"/>
    <mergeCell ref="E43:F43"/>
    <mergeCell ref="C39:D39"/>
    <mergeCell ref="C40:D40"/>
    <mergeCell ref="C41:D41"/>
    <mergeCell ref="C42:D42"/>
    <mergeCell ref="C43:D43"/>
    <mergeCell ref="C44:D44"/>
    <mergeCell ref="C34:D34"/>
    <mergeCell ref="C35:D35"/>
    <mergeCell ref="C38:D38"/>
    <mergeCell ref="E33:F33"/>
    <mergeCell ref="E34:F34"/>
    <mergeCell ref="E35:F35"/>
    <mergeCell ref="E21:F21"/>
    <mergeCell ref="E22:F22"/>
    <mergeCell ref="C29:D29"/>
    <mergeCell ref="C30:D30"/>
    <mergeCell ref="C31:D31"/>
    <mergeCell ref="C32:D32"/>
    <mergeCell ref="C26:D26"/>
    <mergeCell ref="C27:D27"/>
    <mergeCell ref="C28:D28"/>
    <mergeCell ref="E28:F28"/>
    <mergeCell ref="C21:D21"/>
    <mergeCell ref="C22:D22"/>
    <mergeCell ref="C24:G24"/>
    <mergeCell ref="C23:D23"/>
    <mergeCell ref="C25:D25"/>
    <mergeCell ref="C33:D33"/>
    <mergeCell ref="E9:F9"/>
    <mergeCell ref="E10:F10"/>
    <mergeCell ref="E11:F11"/>
    <mergeCell ref="E8:F8"/>
    <mergeCell ref="C8:D8"/>
    <mergeCell ref="E17:F17"/>
    <mergeCell ref="E18:F18"/>
    <mergeCell ref="E19:F19"/>
    <mergeCell ref="E20:F20"/>
    <mergeCell ref="C15:D15"/>
    <mergeCell ref="E16:F16"/>
    <mergeCell ref="C16:D16"/>
    <mergeCell ref="C17:D17"/>
    <mergeCell ref="C18:D18"/>
    <mergeCell ref="C19:D19"/>
    <mergeCell ref="E15:F15"/>
    <mergeCell ref="C20:D20"/>
    <mergeCell ref="C50:D50"/>
    <mergeCell ref="C51:D51"/>
    <mergeCell ref="C52:D52"/>
    <mergeCell ref="C53:D53"/>
    <mergeCell ref="C54:D54"/>
    <mergeCell ref="C55:D55"/>
    <mergeCell ref="E69:F69"/>
    <mergeCell ref="C69:D69"/>
    <mergeCell ref="C62:D62"/>
    <mergeCell ref="C61:D61"/>
    <mergeCell ref="C60:D60"/>
    <mergeCell ref="C59:D59"/>
    <mergeCell ref="C67:D67"/>
    <mergeCell ref="C66:D66"/>
    <mergeCell ref="C68:D68"/>
    <mergeCell ref="C65:D65"/>
    <mergeCell ref="C64:D64"/>
    <mergeCell ref="C63:D63"/>
    <mergeCell ref="E63:F63"/>
    <mergeCell ref="E68:F68"/>
    <mergeCell ref="E67:F67"/>
    <mergeCell ref="E66:F66"/>
    <mergeCell ref="E64:F64"/>
    <mergeCell ref="E65:F65"/>
    <mergeCell ref="C49:D49"/>
    <mergeCell ref="C1:G1"/>
    <mergeCell ref="C2:D2"/>
    <mergeCell ref="C3:D3"/>
    <mergeCell ref="C4:D4"/>
    <mergeCell ref="C5:D5"/>
    <mergeCell ref="E3:F3"/>
    <mergeCell ref="E4:F4"/>
    <mergeCell ref="E5:F5"/>
    <mergeCell ref="A37:G37"/>
    <mergeCell ref="A36:G36"/>
    <mergeCell ref="C14:D14"/>
    <mergeCell ref="E14:F14"/>
    <mergeCell ref="C6:D6"/>
    <mergeCell ref="C7:D7"/>
    <mergeCell ref="E6:F6"/>
    <mergeCell ref="E7:F7"/>
    <mergeCell ref="C13:D13"/>
    <mergeCell ref="C9:D9"/>
    <mergeCell ref="C10:D10"/>
    <mergeCell ref="C11:D11"/>
    <mergeCell ref="C12:D12"/>
    <mergeCell ref="E12:F12"/>
    <mergeCell ref="E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F17-F456-4D33-A3B2-B78DAFBCB47E}">
  <dimension ref="A1:L574"/>
  <sheetViews>
    <sheetView topLeftCell="A10" workbookViewId="0">
      <selection activeCell="B20" sqref="B20"/>
    </sheetView>
  </sheetViews>
  <sheetFormatPr defaultRowHeight="14.4" x14ac:dyDescent="0.3"/>
  <cols>
    <col min="1" max="1" width="33.5546875" customWidth="1"/>
    <col min="2" max="2" width="5.5546875" customWidth="1"/>
    <col min="3" max="3" width="14.21875" customWidth="1"/>
    <col min="4" max="4" width="4.88671875" customWidth="1"/>
    <col min="5" max="5" width="13.44140625" customWidth="1"/>
  </cols>
  <sheetData>
    <row r="1" spans="1:12" x14ac:dyDescent="0.3">
      <c r="C1" s="75" t="s">
        <v>123</v>
      </c>
      <c r="D1" s="75"/>
      <c r="E1" s="75"/>
    </row>
    <row r="2" spans="1:12" x14ac:dyDescent="0.3">
      <c r="A2" s="2" t="s">
        <v>124</v>
      </c>
      <c r="B2" s="5"/>
      <c r="C2" s="5" t="s">
        <v>4</v>
      </c>
      <c r="D2" s="5"/>
      <c r="E2" s="5" t="s">
        <v>5</v>
      </c>
    </row>
    <row r="3" spans="1:12" x14ac:dyDescent="0.3">
      <c r="A3" t="s">
        <v>28</v>
      </c>
      <c r="B3" s="58"/>
      <c r="C3" s="7">
        <f>[2]All!$L$3*L17</f>
        <v>0.57181931209084202</v>
      </c>
      <c r="D3" s="7"/>
      <c r="E3" s="7">
        <f>[2]All!$L$4*L17</f>
        <v>0.57181931209084202</v>
      </c>
    </row>
    <row r="4" spans="1:12" x14ac:dyDescent="0.3">
      <c r="A4" t="s">
        <v>29</v>
      </c>
      <c r="B4" s="58"/>
      <c r="C4" s="7">
        <f>[3]prod_herd_data!F16</f>
        <v>304.18471215696854</v>
      </c>
      <c r="D4" s="7"/>
      <c r="E4" s="7">
        <f>[3]prod_herd_data!F17</f>
        <v>1515.4072443683947</v>
      </c>
    </row>
    <row r="5" spans="1:12" ht="15.6" x14ac:dyDescent="0.3">
      <c r="A5" t="s">
        <v>12</v>
      </c>
      <c r="B5" s="58"/>
      <c r="C5" s="7">
        <f t="shared" ref="C5" si="0">C4*C3</f>
        <v>173.93869285414854</v>
      </c>
      <c r="D5" s="7"/>
      <c r="E5" s="7">
        <f t="shared" ref="E5" si="1">E4*E3</f>
        <v>866.53912801221395</v>
      </c>
      <c r="K5" s="57"/>
    </row>
    <row r="6" spans="1:12" ht="15.6" x14ac:dyDescent="0.3">
      <c r="B6" s="58"/>
      <c r="C6" s="7"/>
      <c r="D6" s="7"/>
      <c r="E6" s="7"/>
      <c r="K6" s="57"/>
    </row>
    <row r="7" spans="1:12" x14ac:dyDescent="0.3">
      <c r="A7" s="2" t="s">
        <v>125</v>
      </c>
      <c r="B7" s="58"/>
      <c r="C7" s="7"/>
      <c r="D7" s="7"/>
      <c r="E7" s="7"/>
    </row>
    <row r="8" spans="1:12" x14ac:dyDescent="0.3">
      <c r="A8" t="s">
        <v>52</v>
      </c>
      <c r="B8" s="58"/>
      <c r="C8" s="7">
        <f>[2]All!$O$3*L17</f>
        <v>1.7120179889182412E-4</v>
      </c>
      <c r="D8" s="7"/>
      <c r="E8" s="7">
        <f>[2]All!$O$4*L17</f>
        <v>4.5368476706333389</v>
      </c>
    </row>
    <row r="9" spans="1:12" x14ac:dyDescent="0.3">
      <c r="A9" t="s">
        <v>7</v>
      </c>
      <c r="B9" s="58"/>
      <c r="C9" s="7">
        <f>[2]All!$P$3*L17</f>
        <v>1.7120179889182412E-4</v>
      </c>
      <c r="D9" s="7"/>
      <c r="E9" s="7">
        <f>[2]All!$P$4*L17</f>
        <v>1.7120179889182412E-4</v>
      </c>
    </row>
    <row r="10" spans="1:12" x14ac:dyDescent="0.3">
      <c r="A10" t="s">
        <v>126</v>
      </c>
      <c r="B10" s="58"/>
      <c r="C10" s="7">
        <f>[2]All!$Q$4*L17</f>
        <v>46.224485700792506</v>
      </c>
      <c r="D10" s="7"/>
      <c r="E10" s="7">
        <f>[2]All!$Q$4*L17</f>
        <v>46.224485700792506</v>
      </c>
      <c r="K10" s="2" t="str">
        <f>[1]NPV_Roadmap!K10</f>
        <v>Basic NPV parameters</v>
      </c>
      <c r="L10" s="2"/>
    </row>
    <row r="11" spans="1:12" x14ac:dyDescent="0.3">
      <c r="A11" t="s">
        <v>127</v>
      </c>
      <c r="B11" s="58"/>
      <c r="C11" s="7">
        <f>[2]All!$R$3*L17</f>
        <v>1.7120179889182412E-4</v>
      </c>
      <c r="D11" s="7"/>
      <c r="E11" s="7">
        <f>[2]All!$R$4*L17</f>
        <v>1.7120179889182412E-4</v>
      </c>
      <c r="K11" t="str">
        <f>[1]NPV_Roadmap!K11</f>
        <v>NPV horizon (years)</v>
      </c>
      <c r="L11">
        <f>[1]NPV_Roadmap!L11</f>
        <v>5</v>
      </c>
    </row>
    <row r="12" spans="1:12" x14ac:dyDescent="0.3">
      <c r="A12" t="s">
        <v>128</v>
      </c>
      <c r="B12" s="58"/>
      <c r="C12" s="7">
        <f>0*L17</f>
        <v>0</v>
      </c>
      <c r="D12" s="7"/>
      <c r="E12" s="7">
        <f>0*L17</f>
        <v>0</v>
      </c>
      <c r="K12" t="str">
        <f>[1]NPV_Roadmap!K12</f>
        <v>Interest rate (fraction)</v>
      </c>
      <c r="L12">
        <f>[1]NPV_Roadmap!L12</f>
        <v>0.17</v>
      </c>
    </row>
    <row r="13" spans="1:12" x14ac:dyDescent="0.3">
      <c r="B13" s="58"/>
      <c r="C13" s="7"/>
      <c r="D13" s="7"/>
      <c r="E13" s="7"/>
    </row>
    <row r="14" spans="1:12" x14ac:dyDescent="0.3">
      <c r="A14" t="s">
        <v>10</v>
      </c>
      <c r="B14" s="58"/>
      <c r="C14" s="7">
        <f t="shared" ref="C14" si="2">SUM(C8:C12)</f>
        <v>46.224999306189183</v>
      </c>
      <c r="D14" s="7"/>
      <c r="E14" s="7">
        <f t="shared" ref="E14" si="3">SUM(E8:E12)</f>
        <v>50.761675775023633</v>
      </c>
      <c r="K14" t="str">
        <f>[1]NPV_Roadmap!K14</f>
        <v>Price acquring new animal (USD/head)</v>
      </c>
      <c r="L14">
        <f>[1]NPV_Roadmap!L14</f>
        <v>529</v>
      </c>
    </row>
    <row r="15" spans="1:12" x14ac:dyDescent="0.3">
      <c r="B15" s="58"/>
      <c r="C15" s="7"/>
      <c r="D15" s="7"/>
      <c r="E15" s="7"/>
      <c r="K15" t="str">
        <f>[1]NPV_Roadmap!K15</f>
        <v>Standard error animal price (fraction)</v>
      </c>
      <c r="L15">
        <f>[1]NPV_Roadmap!L15</f>
        <v>0</v>
      </c>
    </row>
    <row r="16" spans="1:12" x14ac:dyDescent="0.3">
      <c r="B16" s="58"/>
      <c r="C16" s="7"/>
      <c r="D16" s="7"/>
      <c r="E16" s="7"/>
    </row>
    <row r="17" spans="1:12" x14ac:dyDescent="0.3">
      <c r="A17" t="s">
        <v>129</v>
      </c>
      <c r="B17" s="58"/>
      <c r="C17" s="7">
        <f>C5-C14</f>
        <v>127.71369354795937</v>
      </c>
      <c r="D17" s="7"/>
      <c r="E17" s="7">
        <f>E5-E14</f>
        <v>815.77745223719035</v>
      </c>
      <c r="K17" t="str">
        <f>[1]NPV_Roadmap!K17</f>
        <v>GDP deflator</v>
      </c>
      <c r="L17" s="21">
        <f>[1]NPV_Roadmap!L17</f>
        <v>1.3155644843884766</v>
      </c>
    </row>
    <row r="18" spans="1:12" x14ac:dyDescent="0.3">
      <c r="B18" s="58"/>
      <c r="C18" s="7">
        <f>C5-C14</f>
        <v>127.71369354795937</v>
      </c>
      <c r="D18" s="7"/>
      <c r="E18" s="7">
        <f>E5-E14</f>
        <v>815.77745223719035</v>
      </c>
    </row>
    <row r="19" spans="1:12" x14ac:dyDescent="0.3">
      <c r="B19" s="58"/>
      <c r="C19" s="7">
        <f>C5-C14</f>
        <v>127.71369354795937</v>
      </c>
      <c r="D19" s="7"/>
      <c r="E19" s="7">
        <f>E5-E14</f>
        <v>815.77745223719035</v>
      </c>
    </row>
    <row r="20" spans="1:12" x14ac:dyDescent="0.3">
      <c r="B20" s="58"/>
      <c r="C20" s="7">
        <f>C5-C14</f>
        <v>127.71369354795937</v>
      </c>
      <c r="D20" s="7"/>
      <c r="E20" s="7">
        <f>E5-E14</f>
        <v>815.77745223719035</v>
      </c>
    </row>
    <row r="21" spans="1:12" x14ac:dyDescent="0.3">
      <c r="B21" s="58"/>
      <c r="C21" s="7">
        <f>C5-C14</f>
        <v>127.71369354795937</v>
      </c>
      <c r="D21" s="7"/>
      <c r="E21" s="7">
        <f>E5-E14</f>
        <v>815.77745223719035</v>
      </c>
    </row>
    <row r="22" spans="1:12" x14ac:dyDescent="0.3">
      <c r="A22" t="s">
        <v>11</v>
      </c>
      <c r="B22" s="9"/>
      <c r="C22" s="7">
        <f>NPV(L12,C17:C21)/L11</f>
        <v>81.720063076127744</v>
      </c>
      <c r="D22" s="7"/>
      <c r="E22" s="7">
        <f>NPV(L12,E17:E21)/L11</f>
        <v>521.99089229121421</v>
      </c>
    </row>
    <row r="23" spans="1:12" x14ac:dyDescent="0.3">
      <c r="B23" s="58"/>
      <c r="C23" s="7"/>
      <c r="D23" s="7"/>
      <c r="E23" s="7"/>
    </row>
    <row r="24" spans="1:12" x14ac:dyDescent="0.3">
      <c r="B24" s="58"/>
      <c r="C24" s="80" t="s">
        <v>130</v>
      </c>
      <c r="D24" s="80"/>
      <c r="E24" s="80"/>
    </row>
    <row r="25" spans="1:12" x14ac:dyDescent="0.3">
      <c r="A25" t="s">
        <v>15</v>
      </c>
      <c r="B25" s="78">
        <f>L17*L42</f>
        <v>289.42418656546488</v>
      </c>
      <c r="C25" s="78"/>
      <c r="D25" s="64"/>
      <c r="E25" s="64">
        <f>L44*L17</f>
        <v>645.94216183474202</v>
      </c>
      <c r="K25" s="2" t="str">
        <f>[1]NPV_Roadmap!K24</f>
        <v>Cropping parameters</v>
      </c>
    </row>
    <row r="26" spans="1:12" x14ac:dyDescent="0.3">
      <c r="A26" t="s">
        <v>110</v>
      </c>
      <c r="B26" s="78">
        <f>( [6]Sheet1!$QH$11*[3]feeding_change_data!$F$4+      [6]Sheet1!$QH$2*[3]feeding_change_data!$G$4)/([3]feeding_change_data!$F$4+[3]feeding_change_data!$G$4)</f>
        <v>512.13148930404941</v>
      </c>
      <c r="C26" s="78"/>
      <c r="D26" s="64"/>
      <c r="E26" s="64">
        <f>( [6]Sheet1!$QG$11*[3]feeding_change_data!$F$4+      [6]Sheet1!$QG$2*[3]feeding_change_data!$G$4)/([3]feeding_change_data!$F$4+[3]feeding_change_data!$G$4)</f>
        <v>1129.2448622277027</v>
      </c>
      <c r="K26" t="str">
        <f>[1]NPV_Roadmap!K25</f>
        <v>Forage seeding cost (USD/ha/yr)</v>
      </c>
      <c r="L26">
        <f>NPV_Roadmap!L25</f>
        <v>28</v>
      </c>
    </row>
    <row r="27" spans="1:12" x14ac:dyDescent="0.3">
      <c r="A27" t="s">
        <v>148</v>
      </c>
      <c r="B27" s="78">
        <f>(((1/1000)*(1/L29)/L39))*B26</f>
        <v>5.2526306595287113E-2</v>
      </c>
      <c r="C27" s="78"/>
      <c r="D27" s="64"/>
      <c r="E27" s="64">
        <f>(((1/1000)*(1/L29)/L39))*E26</f>
        <v>0.11581998586950797</v>
      </c>
    </row>
    <row r="28" spans="1:12" x14ac:dyDescent="0.3">
      <c r="A28" t="s">
        <v>155</v>
      </c>
      <c r="B28" s="78">
        <f>( [6]Sheet1!$QP$11*[3]feeding_change_data_pasture!$F$4+      [6]Sheet1!$QP$2*[3]feeding_change_data_pasture!$G$4)/([3]feeding_change_data_pasture!$F$4+[3]feeding_change_data_pasture!$G$4)</f>
        <v>584.36480447689962</v>
      </c>
      <c r="C28" s="78"/>
      <c r="D28" s="64"/>
      <c r="E28" s="64">
        <f>( [6]Sheet1!$QO$11*[3]feeding_change_data_pasture!$F$4+      [6]Sheet1!$QO$2*[3]feeding_change_data_pasture!$G$4)/([3]feeding_change_data_pasture!$F$4+[3]feeding_change_data_pasture!$G$4)</f>
        <v>596.62261281060239</v>
      </c>
    </row>
    <row r="29" spans="1:12" x14ac:dyDescent="0.3">
      <c r="A29" t="s">
        <v>149</v>
      </c>
      <c r="B29" s="78">
        <f>(((1/1000)*(1/L31)/L40))*B28</f>
        <v>0.23374592179075987</v>
      </c>
      <c r="C29" s="78"/>
      <c r="D29" s="64"/>
      <c r="E29" s="64">
        <f>(((1/1000)*(1/L31)/L40))*E28</f>
        <v>0.23864904512424095</v>
      </c>
      <c r="K29" t="str">
        <f>[1]NPV_Roadmap!K28</f>
        <v>Use efficiency napier</v>
      </c>
      <c r="L29">
        <f>NPV_Roadmap!L29</f>
        <v>0.75</v>
      </c>
    </row>
    <row r="30" spans="1:12" x14ac:dyDescent="0.3">
      <c r="A30" t="s">
        <v>16</v>
      </c>
      <c r="B30" s="78">
        <f>SUM(B27+B29)</f>
        <v>0.28627222838604699</v>
      </c>
      <c r="C30" s="78"/>
      <c r="D30" s="72"/>
      <c r="E30" s="72">
        <f t="shared" ref="E30" si="4">SUM(E27+E29)</f>
        <v>0.35446903099374893</v>
      </c>
    </row>
    <row r="31" spans="1:12" x14ac:dyDescent="0.3">
      <c r="A31" t="s">
        <v>131</v>
      </c>
      <c r="B31" s="78">
        <f>(B27+B29)*L17*L26</f>
        <v>10.545068142880044</v>
      </c>
      <c r="C31" s="78"/>
      <c r="D31" s="64"/>
      <c r="E31" s="64">
        <f>(E27+E29)*L17*L26</f>
        <v>13.05715230374728</v>
      </c>
      <c r="K31" t="str">
        <f>[1]NPV_Roadmap!K29</f>
        <v>Use efficiency pasture</v>
      </c>
      <c r="L31">
        <f>NPV_Roadmap!L30</f>
        <v>0.5</v>
      </c>
    </row>
    <row r="32" spans="1:12" x14ac:dyDescent="0.3">
      <c r="A32" t="s">
        <v>16</v>
      </c>
      <c r="B32" s="78">
        <f>(B27+B29)*B25+B31</f>
        <v>93.39917497979468</v>
      </c>
      <c r="C32" s="78"/>
      <c r="D32" s="78">
        <f>(E27+E29)*E25+E31</f>
        <v>242.02364448731564</v>
      </c>
      <c r="E32" s="78"/>
    </row>
    <row r="33" spans="1:12" x14ac:dyDescent="0.3">
      <c r="B33" s="79"/>
      <c r="C33" s="79"/>
      <c r="D33" s="7"/>
      <c r="E33" s="7"/>
      <c r="K33" t="str">
        <f>[1]NPV_Roadmap!K31</f>
        <v>Standard error (%) improved forage yield</v>
      </c>
      <c r="L33">
        <f>NPV_Roadmap!L32</f>
        <v>7.5</v>
      </c>
    </row>
    <row r="34" spans="1:12" x14ac:dyDescent="0.3">
      <c r="A34" t="s">
        <v>97</v>
      </c>
      <c r="B34" s="77">
        <f>C22</f>
        <v>81.720063076127744</v>
      </c>
      <c r="C34" s="77"/>
      <c r="D34" s="7"/>
      <c r="E34" s="7">
        <f>E22</f>
        <v>521.99089229121421</v>
      </c>
      <c r="K34" t="str">
        <f>[1]NPV_Roadmap!K32</f>
        <v>Standard error (%) improved forage yield</v>
      </c>
      <c r="L34">
        <f>NPV_Roadmap!L33</f>
        <v>20</v>
      </c>
    </row>
    <row r="35" spans="1:12" x14ac:dyDescent="0.3">
      <c r="B35" s="9"/>
      <c r="C35" s="7"/>
      <c r="D35" s="7"/>
      <c r="E35" s="7"/>
    </row>
    <row r="36" spans="1:12" x14ac:dyDescent="0.3">
      <c r="C36" s="21"/>
      <c r="D36" s="21"/>
      <c r="E36" s="21"/>
      <c r="K36" t="str">
        <f>[1]NPV_Roadmap!K34</f>
        <v>Market price Sunflower cake (USD/kg)</v>
      </c>
      <c r="L36" s="21">
        <f>NPV_Roadmap!L35</f>
        <v>0.32889112109711915</v>
      </c>
    </row>
    <row r="37" spans="1:12" x14ac:dyDescent="0.3">
      <c r="C37" s="21"/>
      <c r="D37" s="21"/>
      <c r="E37" s="21"/>
      <c r="K37" t="str">
        <f>[1]NPV_Roadmap!K35</f>
        <v>Market price Maize bran (USD/kg)</v>
      </c>
      <c r="L37" s="21">
        <f>NPV_Roadmap!L36</f>
        <v>0.27626854172158005</v>
      </c>
    </row>
    <row r="38" spans="1:12" x14ac:dyDescent="0.3">
      <c r="C38" s="21"/>
      <c r="D38" s="21"/>
      <c r="E38" s="21"/>
    </row>
    <row r="39" spans="1:12" x14ac:dyDescent="0.3">
      <c r="C39" s="21"/>
      <c r="D39" s="21"/>
      <c r="E39" s="21"/>
      <c r="K39" t="str">
        <f>[1]NPV_Roadmap!K37</f>
        <v>Napier yield (Mg/ha)</v>
      </c>
      <c r="L39">
        <f>NPV_Roadmap!L38</f>
        <v>13</v>
      </c>
    </row>
    <row r="40" spans="1:12" x14ac:dyDescent="0.3">
      <c r="A40" s="75" t="s">
        <v>132</v>
      </c>
      <c r="B40" s="79"/>
      <c r="C40" s="79"/>
      <c r="D40" s="79"/>
      <c r="E40" s="79"/>
      <c r="K40" t="str">
        <f>[1]NPV_Roadmap!K38</f>
        <v>Pasture yield (Mg/ha)</v>
      </c>
      <c r="L40">
        <f>NPV_Roadmap!L39</f>
        <v>5</v>
      </c>
    </row>
    <row r="41" spans="1:12" x14ac:dyDescent="0.3">
      <c r="A41" s="79" t="s">
        <v>133</v>
      </c>
      <c r="B41" s="79"/>
      <c r="C41" s="79"/>
      <c r="D41" s="79"/>
      <c r="E41" s="79"/>
    </row>
    <row r="42" spans="1:12" x14ac:dyDescent="0.3">
      <c r="A42" t="s">
        <v>30</v>
      </c>
      <c r="B42" s="58"/>
      <c r="C42" s="7">
        <f>[2]All!$S$3*L17</f>
        <v>3.4240359778364822E-2</v>
      </c>
      <c r="D42" s="21"/>
      <c r="E42" s="7">
        <f>[2]All!$S$4*L17</f>
        <v>0.11984125922427689</v>
      </c>
      <c r="K42" t="str">
        <f>[1]NPV_Roadmap!K40</f>
        <v xml:space="preserve">Opportunity cost land strata 1 </v>
      </c>
      <c r="L42" s="61">
        <f>NPV_Roadmap!L41</f>
        <v>220</v>
      </c>
    </row>
    <row r="43" spans="1:12" x14ac:dyDescent="0.3">
      <c r="B43" s="58"/>
      <c r="C43" s="7"/>
      <c r="D43" s="21"/>
      <c r="E43" s="7"/>
      <c r="K43" t="str">
        <f>[1]NPV_Roadmap!K41</f>
        <v>SE (fraction)</v>
      </c>
      <c r="L43" s="21">
        <f>NPV_Roadmap!L42</f>
        <v>0.70499999999999996</v>
      </c>
    </row>
    <row r="44" spans="1:12" x14ac:dyDescent="0.3">
      <c r="A44" t="s">
        <v>6</v>
      </c>
      <c r="B44" s="58"/>
      <c r="C44" s="7">
        <f>[2]All!$V$3*L17</f>
        <v>1.7120179889182413E-5</v>
      </c>
      <c r="D44" s="21"/>
      <c r="E44" s="7">
        <f>[2]All!$V$4*L17</f>
        <v>7.3616773523484369</v>
      </c>
      <c r="K44" t="str">
        <f>[1]NPV_Roadmap!K42</f>
        <v>Opportunity cost land strata 2</v>
      </c>
      <c r="L44" s="61">
        <f>NPV_Roadmap!L43</f>
        <v>491</v>
      </c>
    </row>
    <row r="45" spans="1:12" x14ac:dyDescent="0.3">
      <c r="A45" t="s">
        <v>7</v>
      </c>
      <c r="B45" s="58"/>
      <c r="C45" s="7">
        <f>[2]All!$W$3*L17</f>
        <v>1.7120179889182412E-4</v>
      </c>
      <c r="D45" s="21"/>
      <c r="E45" s="7">
        <f>[2]All!$W$4*L17</f>
        <v>1.7120179889182412E-4</v>
      </c>
      <c r="K45" t="str">
        <f>[1]NPV_Roadmap!K43</f>
        <v>SE (fraction)</v>
      </c>
      <c r="L45" s="21">
        <f>NPV_Roadmap!L44</f>
        <v>0.35336048879837068</v>
      </c>
    </row>
    <row r="46" spans="1:12" x14ac:dyDescent="0.3">
      <c r="A46" t="s">
        <v>8</v>
      </c>
      <c r="B46" s="58"/>
      <c r="C46" s="7">
        <f>[2]All!$X$3*L17</f>
        <v>17.873467804306419</v>
      </c>
      <c r="D46" s="21"/>
      <c r="E46" s="7">
        <f>[2]All!$X$4*L17</f>
        <v>34.783524967231322</v>
      </c>
    </row>
    <row r="47" spans="1:12" x14ac:dyDescent="0.3">
      <c r="A47" t="s">
        <v>13</v>
      </c>
      <c r="B47" s="58"/>
      <c r="C47" s="7">
        <f>[2]All!$Y$3*L17</f>
        <v>1.7120179889182413E-5</v>
      </c>
      <c r="D47" s="21"/>
      <c r="E47" s="7">
        <f>[2]All!$Y$4*L17</f>
        <v>9.472064287597032</v>
      </c>
    </row>
    <row r="48" spans="1:12" x14ac:dyDescent="0.3">
      <c r="A48" t="s">
        <v>9</v>
      </c>
      <c r="B48" s="58"/>
      <c r="C48" s="7">
        <f>C12*L17</f>
        <v>0</v>
      </c>
      <c r="D48" s="7"/>
      <c r="E48" s="7">
        <f>E12*L17</f>
        <v>0</v>
      </c>
    </row>
    <row r="49" spans="1:5" x14ac:dyDescent="0.3">
      <c r="A49" t="s">
        <v>31</v>
      </c>
      <c r="B49" s="58"/>
      <c r="C49" s="7">
        <f>(1/100)*(B27*L33+B29*L34)/SUM(B27,B29)</f>
        <v>0.17706452923698654</v>
      </c>
      <c r="D49" s="21"/>
      <c r="E49" s="7">
        <f>(1/100)*(E27*L33+E29*L34)/SUM(E27,E29)</f>
        <v>0.15915722681583483</v>
      </c>
    </row>
    <row r="50" spans="1:5" x14ac:dyDescent="0.3">
      <c r="A50" t="s">
        <v>32</v>
      </c>
      <c r="B50" s="58"/>
      <c r="C50" s="60">
        <f>B25*L43</f>
        <v>204.04405152865272</v>
      </c>
      <c r="D50" s="60"/>
      <c r="E50" s="60">
        <f>E25*L45</f>
        <v>228.25043804140068</v>
      </c>
    </row>
    <row r="51" spans="1:5" x14ac:dyDescent="0.3">
      <c r="C51" s="21"/>
      <c r="D51" s="21"/>
      <c r="E51" s="21"/>
    </row>
    <row r="52" spans="1:5" x14ac:dyDescent="0.3">
      <c r="C52" s="21"/>
      <c r="D52" s="21"/>
      <c r="E52" s="21"/>
    </row>
    <row r="53" spans="1:5" x14ac:dyDescent="0.3">
      <c r="C53" s="80" t="s">
        <v>134</v>
      </c>
      <c r="D53" s="77"/>
      <c r="E53" s="77"/>
    </row>
    <row r="54" spans="1:5" x14ac:dyDescent="0.3">
      <c r="A54" t="s">
        <v>18</v>
      </c>
      <c r="C54" s="7">
        <f ca="1">_xlfn.NORM.INV(RAND(),C3,C42)</f>
        <v>0.57366827867840331</v>
      </c>
      <c r="D54" s="7"/>
      <c r="E54" s="7">
        <f ca="1">_xlfn.NORM.INV(RAND(),E3,E42)</f>
        <v>0.55229698642904046</v>
      </c>
    </row>
    <row r="55" spans="1:5" x14ac:dyDescent="0.3">
      <c r="C55" s="7"/>
      <c r="D55" s="7"/>
      <c r="E55" s="7"/>
    </row>
    <row r="56" spans="1:5" x14ac:dyDescent="0.3">
      <c r="A56" t="s">
        <v>19</v>
      </c>
      <c r="C56" s="7">
        <f ca="1">_xlfn.NORM.INV(RAND(),C8,C44)</f>
        <v>1.63912650478668E-4</v>
      </c>
      <c r="D56" s="7"/>
      <c r="E56" s="7">
        <f ca="1">_xlfn.NORM.INV(RAND(),E8,E44)</f>
        <v>-10.737571556174704</v>
      </c>
    </row>
    <row r="57" spans="1:5" x14ac:dyDescent="0.3">
      <c r="A57" t="s">
        <v>7</v>
      </c>
      <c r="C57" s="7">
        <f ca="1">_xlfn.NORM.INV(RAND(),C9,C45)</f>
        <v>1.3700955769666422E-4</v>
      </c>
      <c r="D57" s="7"/>
      <c r="E57" s="7">
        <f ca="1">_xlfn.NORM.INV(RAND(),E9,E45)</f>
        <v>-2.682345416066842E-5</v>
      </c>
    </row>
    <row r="58" spans="1:5" x14ac:dyDescent="0.3">
      <c r="A58" t="s">
        <v>8</v>
      </c>
      <c r="C58" s="7">
        <f ca="1">_xlfn.NORM.INV(RAND(),C10,C46)</f>
        <v>64.875313643322002</v>
      </c>
      <c r="D58" s="7"/>
      <c r="E58" s="7">
        <f ca="1">_xlfn.NORM.INV(RAND(),E10,E46)</f>
        <v>-2.8748439489803914</v>
      </c>
    </row>
    <row r="59" spans="1:5" x14ac:dyDescent="0.3">
      <c r="A59" t="s">
        <v>21</v>
      </c>
      <c r="C59" s="7">
        <f ca="1">_xlfn.NORM.INV(RAND(),C11,C47)</f>
        <v>1.5721943597537174E-4</v>
      </c>
      <c r="D59" s="7"/>
      <c r="E59" s="7">
        <f ca="1">_xlfn.NORM.INV(RAND(),E11,E47)</f>
        <v>0.87596033208366675</v>
      </c>
    </row>
    <row r="60" spans="1:5" x14ac:dyDescent="0.3">
      <c r="A60" t="s">
        <v>9</v>
      </c>
      <c r="C60" s="7">
        <v>1E-4</v>
      </c>
      <c r="D60" s="7"/>
      <c r="E60" s="7">
        <v>1E-4</v>
      </c>
    </row>
    <row r="61" spans="1:5" x14ac:dyDescent="0.3">
      <c r="A61" t="s">
        <v>135</v>
      </c>
      <c r="C61" s="7">
        <f ca="1">_xlfn.NORM.INV(RAND(),(B27+B29),C49)</f>
        <v>0.33521881474480841</v>
      </c>
      <c r="D61" s="7"/>
      <c r="E61" s="7">
        <f ca="1">_xlfn.NORM.INV(RAND(),ABS(E27+E29),ABS(E49))</f>
        <v>0.39255250161061178</v>
      </c>
    </row>
    <row r="62" spans="1:5" x14ac:dyDescent="0.3">
      <c r="A62" t="s">
        <v>32</v>
      </c>
      <c r="C62" s="7">
        <f ca="1">_xlfn.NORM.INV(RAND(),B25,C50)</f>
        <v>15.651134569145484</v>
      </c>
      <c r="D62" s="7"/>
      <c r="E62" s="7">
        <f ca="1">_xlfn.NORM.INV(RAND(),E25,E50)</f>
        <v>787.77656370907744</v>
      </c>
    </row>
    <row r="63" spans="1:5" x14ac:dyDescent="0.3">
      <c r="C63" s="7"/>
      <c r="D63" s="7"/>
      <c r="E63" s="7"/>
    </row>
    <row r="64" spans="1:5" x14ac:dyDescent="0.3">
      <c r="A64" s="2" t="s">
        <v>106</v>
      </c>
      <c r="C64" s="7">
        <f ca="1">SUM(C56:C60)</f>
        <v>64.875871784966151</v>
      </c>
      <c r="D64" s="7"/>
      <c r="E64" s="7">
        <f ca="1">SUM(E56:E60)</f>
        <v>-12.736381996525589</v>
      </c>
    </row>
    <row r="65" spans="1:5" x14ac:dyDescent="0.3">
      <c r="A65" s="2" t="s">
        <v>107</v>
      </c>
      <c r="C65" s="7">
        <f ca="1">C61*C62</f>
        <v>5.246554779680447</v>
      </c>
      <c r="D65" s="7"/>
      <c r="E65" s="7">
        <f t="shared" ref="E65" ca="1" si="5">E61*E62</f>
        <v>309.24366079420986</v>
      </c>
    </row>
    <row r="66" spans="1:5" x14ac:dyDescent="0.3">
      <c r="A66" s="2"/>
      <c r="C66" s="7"/>
      <c r="D66" s="7"/>
      <c r="E66" s="7"/>
    </row>
    <row r="67" spans="1:5" x14ac:dyDescent="0.3">
      <c r="A67" s="2" t="s">
        <v>97</v>
      </c>
      <c r="C67" s="7">
        <f ca="1">C54*C4-C64-C65</f>
        <v>104.37869365872713</v>
      </c>
      <c r="D67" s="7"/>
      <c r="E67" s="7">
        <f ca="1">E54*E4-E64-E65</f>
        <v>540.44757547971653</v>
      </c>
    </row>
    <row r="68" spans="1:5" x14ac:dyDescent="0.3">
      <c r="A68" s="2"/>
      <c r="C68" s="7"/>
      <c r="D68" s="7"/>
      <c r="E68" s="7"/>
    </row>
    <row r="69" spans="1:5" x14ac:dyDescent="0.3">
      <c r="A69" s="2" t="s">
        <v>11</v>
      </c>
      <c r="C69" s="7">
        <f ca="1">NPV(L12,C67*5)/L11</f>
        <v>89.212558682672778</v>
      </c>
      <c r="D69" s="7"/>
      <c r="E69" s="7">
        <f ca="1">NPV(L12,E67*5)/L11</f>
        <v>461.92100468351845</v>
      </c>
    </row>
    <row r="70" spans="1:5" x14ac:dyDescent="0.3">
      <c r="A70" s="2"/>
      <c r="C70" s="7"/>
      <c r="D70" s="7"/>
      <c r="E70" s="7"/>
    </row>
    <row r="71" spans="1:5" x14ac:dyDescent="0.3">
      <c r="A71" s="2" t="s">
        <v>22</v>
      </c>
      <c r="C71" s="7">
        <f ca="1">AVERAGE(C75:C574)</f>
        <v>109.40246466226685</v>
      </c>
      <c r="D71" s="7"/>
      <c r="E71" s="7">
        <f t="shared" ref="E71" ca="1" si="6">AVERAGE(E75:E574)</f>
        <v>133.06484504872347</v>
      </c>
    </row>
    <row r="72" spans="1:5" x14ac:dyDescent="0.3">
      <c r="A72" s="2" t="s">
        <v>20</v>
      </c>
      <c r="C72" s="7">
        <f ca="1">STDEVA(C75:C574)</f>
        <v>51.499079623781199</v>
      </c>
      <c r="D72" s="7"/>
      <c r="E72" s="7">
        <f t="shared" ref="E72" ca="1" si="7">STDEVA(E75:E574)</f>
        <v>165.54851160518518</v>
      </c>
    </row>
    <row r="74" spans="1:5" x14ac:dyDescent="0.3">
      <c r="A74" s="2" t="s">
        <v>136</v>
      </c>
    </row>
    <row r="75" spans="1:5" x14ac:dyDescent="0.3">
      <c r="B75">
        <v>1</v>
      </c>
      <c r="C75" s="36">
        <f ca="1">C69</f>
        <v>89.212558682672778</v>
      </c>
      <c r="D75">
        <f>B75</f>
        <v>1</v>
      </c>
      <c r="E75" s="36">
        <f ca="1">E69</f>
        <v>461.92100468351845</v>
      </c>
    </row>
    <row r="76" spans="1:5" x14ac:dyDescent="0.3">
      <c r="B76">
        <v>2</v>
      </c>
      <c r="C76" s="36">
        <v>82.715732917359233</v>
      </c>
      <c r="D76">
        <f>B76</f>
        <v>2</v>
      </c>
      <c r="E76" s="36">
        <v>100.31425908170391</v>
      </c>
    </row>
    <row r="77" spans="1:5" x14ac:dyDescent="0.3">
      <c r="B77">
        <v>3</v>
      </c>
      <c r="C77" s="36">
        <v>150.64053785252631</v>
      </c>
      <c r="D77">
        <f t="shared" ref="D77:D140" si="8">B77</f>
        <v>3</v>
      </c>
      <c r="E77" s="36">
        <v>188.2248832098548</v>
      </c>
    </row>
    <row r="78" spans="1:5" x14ac:dyDescent="0.3">
      <c r="B78">
        <v>4</v>
      </c>
      <c r="C78" s="36">
        <v>95.467997065562187</v>
      </c>
      <c r="D78">
        <f t="shared" si="8"/>
        <v>4</v>
      </c>
      <c r="E78" s="36">
        <v>48.099231808819496</v>
      </c>
    </row>
    <row r="79" spans="1:5" x14ac:dyDescent="0.3">
      <c r="B79">
        <v>5</v>
      </c>
      <c r="C79" s="36">
        <v>93.084399749586481</v>
      </c>
      <c r="D79">
        <f t="shared" si="8"/>
        <v>5</v>
      </c>
      <c r="E79" s="36">
        <v>47.771101380370496</v>
      </c>
    </row>
    <row r="80" spans="1:5" x14ac:dyDescent="0.3">
      <c r="B80">
        <v>6</v>
      </c>
      <c r="C80" s="36">
        <v>124.99422269963574</v>
      </c>
      <c r="D80">
        <f t="shared" si="8"/>
        <v>6</v>
      </c>
      <c r="E80" s="36">
        <v>303.27762777151941</v>
      </c>
    </row>
    <row r="81" spans="2:5" x14ac:dyDescent="0.3">
      <c r="B81">
        <v>7</v>
      </c>
      <c r="C81" s="36">
        <v>150.86851825310296</v>
      </c>
      <c r="D81">
        <f t="shared" si="8"/>
        <v>7</v>
      </c>
      <c r="E81" s="36">
        <v>163.5605156210444</v>
      </c>
    </row>
    <row r="82" spans="2:5" x14ac:dyDescent="0.3">
      <c r="B82">
        <v>8</v>
      </c>
      <c r="C82" s="36">
        <v>129.22834620654169</v>
      </c>
      <c r="D82">
        <f t="shared" si="8"/>
        <v>8</v>
      </c>
      <c r="E82" s="36">
        <v>213.9405049725755</v>
      </c>
    </row>
    <row r="83" spans="2:5" x14ac:dyDescent="0.3">
      <c r="B83">
        <v>9</v>
      </c>
      <c r="C83" s="36">
        <v>91.388849333916767</v>
      </c>
      <c r="D83">
        <f t="shared" si="8"/>
        <v>9</v>
      </c>
      <c r="E83" s="36">
        <v>86.702223926693406</v>
      </c>
    </row>
    <row r="84" spans="2:5" x14ac:dyDescent="0.3">
      <c r="B84">
        <v>10</v>
      </c>
      <c r="C84" s="36">
        <v>107.18897427959351</v>
      </c>
      <c r="D84">
        <f t="shared" si="8"/>
        <v>10</v>
      </c>
      <c r="E84" s="36">
        <v>-245.16157907126157</v>
      </c>
    </row>
    <row r="85" spans="2:5" x14ac:dyDescent="0.3">
      <c r="B85">
        <v>11</v>
      </c>
      <c r="C85" s="36">
        <v>128.61866639409939</v>
      </c>
      <c r="D85">
        <f t="shared" si="8"/>
        <v>11</v>
      </c>
      <c r="E85" s="36">
        <v>14.512564184820619</v>
      </c>
    </row>
    <row r="86" spans="2:5" x14ac:dyDescent="0.3">
      <c r="B86">
        <v>12</v>
      </c>
      <c r="C86" s="36">
        <v>131.14340724994818</v>
      </c>
      <c r="D86">
        <f t="shared" si="8"/>
        <v>12</v>
      </c>
      <c r="E86" s="36">
        <v>-41.961380611822925</v>
      </c>
    </row>
    <row r="87" spans="2:5" x14ac:dyDescent="0.3">
      <c r="B87">
        <v>13</v>
      </c>
      <c r="C87" s="36">
        <v>130.9456531059073</v>
      </c>
      <c r="D87">
        <f t="shared" si="8"/>
        <v>13</v>
      </c>
      <c r="E87" s="36">
        <v>355.29865553674938</v>
      </c>
    </row>
    <row r="88" spans="2:5" x14ac:dyDescent="0.3">
      <c r="B88">
        <v>14</v>
      </c>
      <c r="C88" s="36">
        <v>63.286149223700498</v>
      </c>
      <c r="D88">
        <f t="shared" si="8"/>
        <v>14</v>
      </c>
      <c r="E88" s="36">
        <v>393.02004451083724</v>
      </c>
    </row>
    <row r="89" spans="2:5" x14ac:dyDescent="0.3">
      <c r="B89">
        <v>15</v>
      </c>
      <c r="C89" s="36">
        <v>85.250182989595629</v>
      </c>
      <c r="D89">
        <f t="shared" si="8"/>
        <v>15</v>
      </c>
      <c r="E89" s="36">
        <v>104.45926199997177</v>
      </c>
    </row>
    <row r="90" spans="2:5" x14ac:dyDescent="0.3">
      <c r="B90">
        <v>16</v>
      </c>
      <c r="C90" s="36">
        <v>128.18542500758969</v>
      </c>
      <c r="D90">
        <f t="shared" si="8"/>
        <v>16</v>
      </c>
      <c r="E90" s="36">
        <v>127.68537360043703</v>
      </c>
    </row>
    <row r="91" spans="2:5" x14ac:dyDescent="0.3">
      <c r="B91">
        <v>17</v>
      </c>
      <c r="C91" s="36">
        <v>107.08951890289063</v>
      </c>
      <c r="D91">
        <f t="shared" si="8"/>
        <v>17</v>
      </c>
      <c r="E91" s="36">
        <v>114.98216814011354</v>
      </c>
    </row>
    <row r="92" spans="2:5" x14ac:dyDescent="0.3">
      <c r="B92">
        <v>18</v>
      </c>
      <c r="C92" s="36">
        <v>130.66026488640381</v>
      </c>
      <c r="D92">
        <f t="shared" si="8"/>
        <v>18</v>
      </c>
      <c r="E92" s="36">
        <v>141.21280826804909</v>
      </c>
    </row>
    <row r="93" spans="2:5" x14ac:dyDescent="0.3">
      <c r="B93">
        <v>19</v>
      </c>
      <c r="C93" s="36">
        <v>150.69425548620086</v>
      </c>
      <c r="D93">
        <f t="shared" si="8"/>
        <v>19</v>
      </c>
      <c r="E93" s="36">
        <v>195.75025685226612</v>
      </c>
    </row>
    <row r="94" spans="2:5" x14ac:dyDescent="0.3">
      <c r="B94">
        <v>20</v>
      </c>
      <c r="C94" s="36">
        <v>133.91128575912552</v>
      </c>
      <c r="D94">
        <f t="shared" si="8"/>
        <v>20</v>
      </c>
      <c r="E94" s="36">
        <v>13.640735701441281</v>
      </c>
    </row>
    <row r="95" spans="2:5" x14ac:dyDescent="0.3">
      <c r="B95">
        <v>21</v>
      </c>
      <c r="C95" s="36">
        <v>89.533116457145155</v>
      </c>
      <c r="D95">
        <f t="shared" si="8"/>
        <v>21</v>
      </c>
      <c r="E95" s="36">
        <v>399.14722011324443</v>
      </c>
    </row>
    <row r="96" spans="2:5" x14ac:dyDescent="0.3">
      <c r="B96">
        <v>22</v>
      </c>
      <c r="C96" s="36">
        <v>121.97842357504359</v>
      </c>
      <c r="D96">
        <f t="shared" si="8"/>
        <v>22</v>
      </c>
      <c r="E96" s="36">
        <v>77.695028084768637</v>
      </c>
    </row>
    <row r="97" spans="2:5" x14ac:dyDescent="0.3">
      <c r="B97">
        <v>23</v>
      </c>
      <c r="C97" s="36">
        <v>148.50195170117632</v>
      </c>
      <c r="D97">
        <f t="shared" si="8"/>
        <v>23</v>
      </c>
      <c r="E97" s="36">
        <v>125.88849308957829</v>
      </c>
    </row>
    <row r="98" spans="2:5" x14ac:dyDescent="0.3">
      <c r="B98">
        <v>24</v>
      </c>
      <c r="C98" s="36">
        <v>142.90349021764217</v>
      </c>
      <c r="D98">
        <f t="shared" si="8"/>
        <v>24</v>
      </c>
      <c r="E98" s="36">
        <v>-133.33367423502312</v>
      </c>
    </row>
    <row r="99" spans="2:5" x14ac:dyDescent="0.3">
      <c r="B99">
        <v>25</v>
      </c>
      <c r="C99" s="36">
        <v>105.16096609172067</v>
      </c>
      <c r="D99">
        <f t="shared" si="8"/>
        <v>25</v>
      </c>
      <c r="E99" s="36">
        <v>60.067669530879357</v>
      </c>
    </row>
    <row r="100" spans="2:5" x14ac:dyDescent="0.3">
      <c r="B100">
        <v>26</v>
      </c>
      <c r="C100" s="36">
        <v>174.984969682816</v>
      </c>
      <c r="D100">
        <f t="shared" si="8"/>
        <v>26</v>
      </c>
      <c r="E100" s="36">
        <v>103.81432562218944</v>
      </c>
    </row>
    <row r="101" spans="2:5" x14ac:dyDescent="0.3">
      <c r="B101">
        <v>27</v>
      </c>
      <c r="C101" s="36">
        <v>114.08343019063352</v>
      </c>
      <c r="D101">
        <f t="shared" si="8"/>
        <v>27</v>
      </c>
      <c r="E101" s="36">
        <v>-73.839758788591041</v>
      </c>
    </row>
    <row r="102" spans="2:5" x14ac:dyDescent="0.3">
      <c r="B102">
        <v>28</v>
      </c>
      <c r="C102" s="36">
        <v>97.047777661728446</v>
      </c>
      <c r="D102">
        <f t="shared" si="8"/>
        <v>28</v>
      </c>
      <c r="E102" s="36">
        <v>-62.324426838927046</v>
      </c>
    </row>
    <row r="103" spans="2:5" x14ac:dyDescent="0.3">
      <c r="B103">
        <v>29</v>
      </c>
      <c r="C103" s="36">
        <v>154.29621328281684</v>
      </c>
      <c r="D103">
        <f t="shared" si="8"/>
        <v>29</v>
      </c>
      <c r="E103" s="36">
        <v>16.849409223996901</v>
      </c>
    </row>
    <row r="104" spans="2:5" x14ac:dyDescent="0.3">
      <c r="B104">
        <v>30</v>
      </c>
      <c r="C104" s="36">
        <v>72.592857964313609</v>
      </c>
      <c r="D104">
        <f t="shared" si="8"/>
        <v>30</v>
      </c>
      <c r="E104" s="36">
        <v>90.845243433167269</v>
      </c>
    </row>
    <row r="105" spans="2:5" x14ac:dyDescent="0.3">
      <c r="B105">
        <v>31</v>
      </c>
      <c r="C105" s="36">
        <v>183.06623071069876</v>
      </c>
      <c r="D105">
        <f t="shared" si="8"/>
        <v>31</v>
      </c>
      <c r="E105" s="36">
        <v>-107.76814516460533</v>
      </c>
    </row>
    <row r="106" spans="2:5" x14ac:dyDescent="0.3">
      <c r="B106">
        <v>32</v>
      </c>
      <c r="C106" s="36">
        <v>139.52449875354756</v>
      </c>
      <c r="D106">
        <f t="shared" si="8"/>
        <v>32</v>
      </c>
      <c r="E106" s="36">
        <v>129.77398161844678</v>
      </c>
    </row>
    <row r="107" spans="2:5" x14ac:dyDescent="0.3">
      <c r="B107">
        <v>33</v>
      </c>
      <c r="C107" s="36">
        <v>147.39150410709334</v>
      </c>
      <c r="D107">
        <f t="shared" si="8"/>
        <v>33</v>
      </c>
      <c r="E107" s="36">
        <v>274.55452286467562</v>
      </c>
    </row>
    <row r="108" spans="2:5" x14ac:dyDescent="0.3">
      <c r="B108">
        <v>34</v>
      </c>
      <c r="C108" s="36">
        <v>63.703974132459692</v>
      </c>
      <c r="D108">
        <f t="shared" si="8"/>
        <v>34</v>
      </c>
      <c r="E108" s="36">
        <v>95.494066750863027</v>
      </c>
    </row>
    <row r="109" spans="2:5" x14ac:dyDescent="0.3">
      <c r="B109">
        <v>35</v>
      </c>
      <c r="C109" s="36">
        <v>148.03010375170271</v>
      </c>
      <c r="D109">
        <f t="shared" si="8"/>
        <v>35</v>
      </c>
      <c r="E109" s="36">
        <v>121.38770388642152</v>
      </c>
    </row>
    <row r="110" spans="2:5" x14ac:dyDescent="0.3">
      <c r="B110">
        <v>36</v>
      </c>
      <c r="C110" s="36">
        <v>235.90567673431656</v>
      </c>
      <c r="D110">
        <f t="shared" si="8"/>
        <v>36</v>
      </c>
      <c r="E110" s="36">
        <v>24.727744880666442</v>
      </c>
    </row>
    <row r="111" spans="2:5" x14ac:dyDescent="0.3">
      <c r="B111">
        <v>37</v>
      </c>
      <c r="C111" s="36">
        <v>69.475304507401049</v>
      </c>
      <c r="D111">
        <f t="shared" si="8"/>
        <v>37</v>
      </c>
      <c r="E111" s="36">
        <v>404.69438495500043</v>
      </c>
    </row>
    <row r="112" spans="2:5" x14ac:dyDescent="0.3">
      <c r="B112">
        <v>38</v>
      </c>
      <c r="C112" s="36">
        <v>35.342037982925689</v>
      </c>
      <c r="D112">
        <f t="shared" si="8"/>
        <v>38</v>
      </c>
      <c r="E112" s="36">
        <v>248.47194792708697</v>
      </c>
    </row>
    <row r="113" spans="2:5" x14ac:dyDescent="0.3">
      <c r="B113">
        <v>39</v>
      </c>
      <c r="C113" s="36">
        <v>160.0700612838217</v>
      </c>
      <c r="D113">
        <f t="shared" si="8"/>
        <v>39</v>
      </c>
      <c r="E113" s="36">
        <v>280.25639347318111</v>
      </c>
    </row>
    <row r="114" spans="2:5" x14ac:dyDescent="0.3">
      <c r="B114">
        <v>40</v>
      </c>
      <c r="C114" s="36">
        <v>102.26628531373719</v>
      </c>
      <c r="D114">
        <f t="shared" si="8"/>
        <v>40</v>
      </c>
      <c r="E114" s="36">
        <v>78.702555479357855</v>
      </c>
    </row>
    <row r="115" spans="2:5" x14ac:dyDescent="0.3">
      <c r="B115">
        <v>41</v>
      </c>
      <c r="C115" s="36">
        <v>102.21726403831076</v>
      </c>
      <c r="D115">
        <f t="shared" si="8"/>
        <v>41</v>
      </c>
      <c r="E115" s="36">
        <v>385.79531772042782</v>
      </c>
    </row>
    <row r="116" spans="2:5" x14ac:dyDescent="0.3">
      <c r="B116">
        <v>42</v>
      </c>
      <c r="C116" s="36">
        <v>161.81239065701962</v>
      </c>
      <c r="D116">
        <f t="shared" si="8"/>
        <v>42</v>
      </c>
      <c r="E116" s="36">
        <v>-22.475515145511061</v>
      </c>
    </row>
    <row r="117" spans="2:5" x14ac:dyDescent="0.3">
      <c r="B117">
        <v>43</v>
      </c>
      <c r="C117" s="36">
        <v>16.807011107220607</v>
      </c>
      <c r="D117">
        <f t="shared" si="8"/>
        <v>43</v>
      </c>
      <c r="E117" s="36">
        <v>428.26082670489461</v>
      </c>
    </row>
    <row r="118" spans="2:5" x14ac:dyDescent="0.3">
      <c r="B118">
        <v>44</v>
      </c>
      <c r="C118" s="36">
        <v>97.755141088746853</v>
      </c>
      <c r="D118">
        <f t="shared" si="8"/>
        <v>44</v>
      </c>
      <c r="E118" s="36">
        <v>82.492438138901775</v>
      </c>
    </row>
    <row r="119" spans="2:5" x14ac:dyDescent="0.3">
      <c r="B119">
        <v>45</v>
      </c>
      <c r="C119" s="36">
        <v>113.32087687358538</v>
      </c>
      <c r="D119">
        <f t="shared" si="8"/>
        <v>45</v>
      </c>
      <c r="E119" s="36">
        <v>-74.729050464859483</v>
      </c>
    </row>
    <row r="120" spans="2:5" x14ac:dyDescent="0.3">
      <c r="B120">
        <v>46</v>
      </c>
      <c r="C120" s="36">
        <v>245.62476799762575</v>
      </c>
      <c r="D120">
        <f t="shared" si="8"/>
        <v>46</v>
      </c>
      <c r="E120" s="36">
        <v>130.50913923152751</v>
      </c>
    </row>
    <row r="121" spans="2:5" x14ac:dyDescent="0.3">
      <c r="B121">
        <v>47</v>
      </c>
      <c r="C121" s="36">
        <v>108.88185697277842</v>
      </c>
      <c r="D121">
        <f t="shared" si="8"/>
        <v>47</v>
      </c>
      <c r="E121" s="36">
        <v>23.699026606504042</v>
      </c>
    </row>
    <row r="122" spans="2:5" x14ac:dyDescent="0.3">
      <c r="B122">
        <v>48</v>
      </c>
      <c r="C122" s="36">
        <v>89.850399302524679</v>
      </c>
      <c r="D122">
        <f t="shared" si="8"/>
        <v>48</v>
      </c>
      <c r="E122" s="36">
        <v>260.8594165495457</v>
      </c>
    </row>
    <row r="123" spans="2:5" x14ac:dyDescent="0.3">
      <c r="B123">
        <v>49</v>
      </c>
      <c r="C123" s="36">
        <v>112.49654033039573</v>
      </c>
      <c r="D123">
        <f t="shared" si="8"/>
        <v>49</v>
      </c>
      <c r="E123" s="36">
        <v>51.999858042409969</v>
      </c>
    </row>
    <row r="124" spans="2:5" x14ac:dyDescent="0.3">
      <c r="B124">
        <v>50</v>
      </c>
      <c r="C124" s="36">
        <v>139.34400908670983</v>
      </c>
      <c r="D124">
        <f t="shared" si="8"/>
        <v>50</v>
      </c>
      <c r="E124" s="36">
        <v>181.55754740960612</v>
      </c>
    </row>
    <row r="125" spans="2:5" x14ac:dyDescent="0.3">
      <c r="B125">
        <v>51</v>
      </c>
      <c r="C125" s="36">
        <v>153.77363278727671</v>
      </c>
      <c r="D125">
        <f t="shared" si="8"/>
        <v>51</v>
      </c>
      <c r="E125" s="36">
        <v>99.034012994700404</v>
      </c>
    </row>
    <row r="126" spans="2:5" x14ac:dyDescent="0.3">
      <c r="B126">
        <v>52</v>
      </c>
      <c r="C126" s="36">
        <v>124.82728546489302</v>
      </c>
      <c r="D126">
        <f t="shared" si="8"/>
        <v>52</v>
      </c>
      <c r="E126" s="36">
        <v>305.10836907425517</v>
      </c>
    </row>
    <row r="127" spans="2:5" x14ac:dyDescent="0.3">
      <c r="B127">
        <v>53</v>
      </c>
      <c r="C127" s="36">
        <v>143.42914003933896</v>
      </c>
      <c r="D127">
        <f t="shared" si="8"/>
        <v>53</v>
      </c>
      <c r="E127" s="36">
        <v>19.205127200204142</v>
      </c>
    </row>
    <row r="128" spans="2:5" x14ac:dyDescent="0.3">
      <c r="B128">
        <v>54</v>
      </c>
      <c r="C128" s="36">
        <v>111.15399215660598</v>
      </c>
      <c r="D128">
        <f t="shared" si="8"/>
        <v>54</v>
      </c>
      <c r="E128" s="36">
        <v>-206.29534396449975</v>
      </c>
    </row>
    <row r="129" spans="2:5" x14ac:dyDescent="0.3">
      <c r="B129">
        <v>55</v>
      </c>
      <c r="C129" s="36">
        <v>98.920496114582903</v>
      </c>
      <c r="D129">
        <f t="shared" si="8"/>
        <v>55</v>
      </c>
      <c r="E129" s="36">
        <v>163.64137040364307</v>
      </c>
    </row>
    <row r="130" spans="2:5" x14ac:dyDescent="0.3">
      <c r="B130">
        <v>56</v>
      </c>
      <c r="C130" s="36">
        <v>-5.1068403356315049</v>
      </c>
      <c r="D130">
        <f t="shared" si="8"/>
        <v>56</v>
      </c>
      <c r="E130" s="36">
        <v>67.023807422394412</v>
      </c>
    </row>
    <row r="131" spans="2:5" x14ac:dyDescent="0.3">
      <c r="B131">
        <v>57</v>
      </c>
      <c r="C131" s="36">
        <v>98.42333637237644</v>
      </c>
      <c r="D131">
        <f t="shared" si="8"/>
        <v>57</v>
      </c>
      <c r="E131" s="36">
        <v>-121.03589228698806</v>
      </c>
    </row>
    <row r="132" spans="2:5" x14ac:dyDescent="0.3">
      <c r="B132">
        <v>58</v>
      </c>
      <c r="C132" s="36">
        <v>45.10796179162454</v>
      </c>
      <c r="D132">
        <f t="shared" si="8"/>
        <v>58</v>
      </c>
      <c r="E132" s="36">
        <v>343.92675673700438</v>
      </c>
    </row>
    <row r="133" spans="2:5" x14ac:dyDescent="0.3">
      <c r="B133">
        <v>59</v>
      </c>
      <c r="C133" s="36">
        <v>148.03062687851414</v>
      </c>
      <c r="D133">
        <f t="shared" si="8"/>
        <v>59</v>
      </c>
      <c r="E133" s="36">
        <v>102.58228044796563</v>
      </c>
    </row>
    <row r="134" spans="2:5" x14ac:dyDescent="0.3">
      <c r="B134">
        <v>60</v>
      </c>
      <c r="C134" s="36">
        <v>87.62477489100192</v>
      </c>
      <c r="D134">
        <f t="shared" si="8"/>
        <v>60</v>
      </c>
      <c r="E134" s="36">
        <v>195.19644290789259</v>
      </c>
    </row>
    <row r="135" spans="2:5" x14ac:dyDescent="0.3">
      <c r="B135">
        <v>61</v>
      </c>
      <c r="C135" s="36">
        <v>-26.028275808642839</v>
      </c>
      <c r="D135">
        <f t="shared" si="8"/>
        <v>61</v>
      </c>
      <c r="E135" s="36">
        <v>-228.44737666213655</v>
      </c>
    </row>
    <row r="136" spans="2:5" x14ac:dyDescent="0.3">
      <c r="B136">
        <v>62</v>
      </c>
      <c r="C136" s="36">
        <v>45.376791082575544</v>
      </c>
      <c r="D136">
        <f t="shared" si="8"/>
        <v>62</v>
      </c>
      <c r="E136" s="36">
        <v>260.14404592244051</v>
      </c>
    </row>
    <row r="137" spans="2:5" x14ac:dyDescent="0.3">
      <c r="B137">
        <v>63</v>
      </c>
      <c r="C137" s="36">
        <v>159.11968390293077</v>
      </c>
      <c r="D137">
        <f t="shared" si="8"/>
        <v>63</v>
      </c>
      <c r="E137" s="36">
        <v>22.902133065006133</v>
      </c>
    </row>
    <row r="138" spans="2:5" x14ac:dyDescent="0.3">
      <c r="B138">
        <v>64</v>
      </c>
      <c r="C138" s="36">
        <v>161.17392612408122</v>
      </c>
      <c r="D138">
        <f t="shared" si="8"/>
        <v>64</v>
      </c>
      <c r="E138" s="36">
        <v>312.91645168749938</v>
      </c>
    </row>
    <row r="139" spans="2:5" x14ac:dyDescent="0.3">
      <c r="B139">
        <v>65</v>
      </c>
      <c r="C139" s="36">
        <v>37.340879036775171</v>
      </c>
      <c r="D139">
        <f t="shared" si="8"/>
        <v>65</v>
      </c>
      <c r="E139" s="36">
        <v>-1.2859120801407151</v>
      </c>
    </row>
    <row r="140" spans="2:5" x14ac:dyDescent="0.3">
      <c r="B140">
        <v>66</v>
      </c>
      <c r="C140" s="36">
        <v>118.5003825689799</v>
      </c>
      <c r="D140">
        <f t="shared" si="8"/>
        <v>66</v>
      </c>
      <c r="E140" s="36">
        <v>92.047605316381095</v>
      </c>
    </row>
    <row r="141" spans="2:5" x14ac:dyDescent="0.3">
      <c r="B141">
        <v>67</v>
      </c>
      <c r="C141" s="36">
        <v>60.329341003166384</v>
      </c>
      <c r="D141">
        <f t="shared" ref="D141:D204" si="9">B141</f>
        <v>67</v>
      </c>
      <c r="E141" s="36">
        <v>137.13608225998792</v>
      </c>
    </row>
    <row r="142" spans="2:5" x14ac:dyDescent="0.3">
      <c r="B142">
        <v>68</v>
      </c>
      <c r="C142" s="36">
        <v>163.61795610723888</v>
      </c>
      <c r="D142">
        <f t="shared" si="9"/>
        <v>68</v>
      </c>
      <c r="E142" s="36">
        <v>20.085902176859715</v>
      </c>
    </row>
    <row r="143" spans="2:5" x14ac:dyDescent="0.3">
      <c r="B143">
        <v>69</v>
      </c>
      <c r="C143" s="36">
        <v>110.91156541943398</v>
      </c>
      <c r="D143">
        <f t="shared" si="9"/>
        <v>69</v>
      </c>
      <c r="E143" s="36">
        <v>-225.85600810949063</v>
      </c>
    </row>
    <row r="144" spans="2:5" x14ac:dyDescent="0.3">
      <c r="B144">
        <v>70</v>
      </c>
      <c r="C144" s="36">
        <v>16.415187108894195</v>
      </c>
      <c r="D144">
        <f t="shared" si="9"/>
        <v>70</v>
      </c>
      <c r="E144" s="36">
        <v>55.708937378379424</v>
      </c>
    </row>
    <row r="145" spans="2:5" x14ac:dyDescent="0.3">
      <c r="B145">
        <v>71</v>
      </c>
      <c r="C145" s="36">
        <v>124.17685546087641</v>
      </c>
      <c r="D145">
        <f t="shared" si="9"/>
        <v>71</v>
      </c>
      <c r="E145" s="36">
        <v>-70.219584274231664</v>
      </c>
    </row>
    <row r="146" spans="2:5" x14ac:dyDescent="0.3">
      <c r="B146">
        <v>72</v>
      </c>
      <c r="C146" s="36">
        <v>58.226851399636644</v>
      </c>
      <c r="D146">
        <f t="shared" si="9"/>
        <v>72</v>
      </c>
      <c r="E146" s="36">
        <v>-75.305512700572791</v>
      </c>
    </row>
    <row r="147" spans="2:5" x14ac:dyDescent="0.3">
      <c r="B147">
        <v>73</v>
      </c>
      <c r="C147" s="36">
        <v>171.03574908310796</v>
      </c>
      <c r="D147">
        <f t="shared" si="9"/>
        <v>73</v>
      </c>
      <c r="E147" s="36">
        <v>166.79260052460421</v>
      </c>
    </row>
    <row r="148" spans="2:5" x14ac:dyDescent="0.3">
      <c r="B148">
        <v>74</v>
      </c>
      <c r="C148" s="36">
        <v>117.39957764530759</v>
      </c>
      <c r="D148">
        <f t="shared" si="9"/>
        <v>74</v>
      </c>
      <c r="E148" s="36">
        <v>479.85084118512316</v>
      </c>
    </row>
    <row r="149" spans="2:5" x14ac:dyDescent="0.3">
      <c r="B149">
        <v>75</v>
      </c>
      <c r="C149" s="36">
        <v>120.87357604290155</v>
      </c>
      <c r="D149">
        <f t="shared" si="9"/>
        <v>75</v>
      </c>
      <c r="E149" s="36">
        <v>234.9686182914223</v>
      </c>
    </row>
    <row r="150" spans="2:5" x14ac:dyDescent="0.3">
      <c r="B150">
        <v>76</v>
      </c>
      <c r="C150" s="36">
        <v>116.75703065844274</v>
      </c>
      <c r="D150">
        <f t="shared" si="9"/>
        <v>76</v>
      </c>
      <c r="E150" s="36">
        <v>-73.457552440398814</v>
      </c>
    </row>
    <row r="151" spans="2:5" x14ac:dyDescent="0.3">
      <c r="B151">
        <v>77</v>
      </c>
      <c r="C151" s="36">
        <v>125.45591309151992</v>
      </c>
      <c r="D151">
        <f t="shared" si="9"/>
        <v>77</v>
      </c>
      <c r="E151" s="36">
        <v>-181.45715537408472</v>
      </c>
    </row>
    <row r="152" spans="2:5" x14ac:dyDescent="0.3">
      <c r="B152">
        <v>78</v>
      </c>
      <c r="C152" s="36">
        <v>112.17918742181602</v>
      </c>
      <c r="D152">
        <f t="shared" si="9"/>
        <v>78</v>
      </c>
      <c r="E152" s="36">
        <v>254.00546430515641</v>
      </c>
    </row>
    <row r="153" spans="2:5" x14ac:dyDescent="0.3">
      <c r="B153">
        <v>79</v>
      </c>
      <c r="C153" s="36">
        <v>164.91237146123737</v>
      </c>
      <c r="D153">
        <f t="shared" si="9"/>
        <v>79</v>
      </c>
      <c r="E153" s="36">
        <v>114.45302758758615</v>
      </c>
    </row>
    <row r="154" spans="2:5" x14ac:dyDescent="0.3">
      <c r="B154">
        <v>80</v>
      </c>
      <c r="C154" s="36">
        <v>48.493754521764906</v>
      </c>
      <c r="D154">
        <f t="shared" si="9"/>
        <v>80</v>
      </c>
      <c r="E154" s="36">
        <v>415.48227690439001</v>
      </c>
    </row>
    <row r="155" spans="2:5" x14ac:dyDescent="0.3">
      <c r="B155">
        <v>81</v>
      </c>
      <c r="C155" s="36">
        <v>106.92460793902933</v>
      </c>
      <c r="D155">
        <f t="shared" si="9"/>
        <v>81</v>
      </c>
      <c r="E155" s="36">
        <v>-130.16822952670455</v>
      </c>
    </row>
    <row r="156" spans="2:5" x14ac:dyDescent="0.3">
      <c r="B156">
        <v>82</v>
      </c>
      <c r="C156" s="36">
        <v>60.186573240195585</v>
      </c>
      <c r="D156">
        <f t="shared" si="9"/>
        <v>82</v>
      </c>
      <c r="E156" s="36">
        <v>77.744786612716481</v>
      </c>
    </row>
    <row r="157" spans="2:5" x14ac:dyDescent="0.3">
      <c r="B157">
        <v>83</v>
      </c>
      <c r="C157" s="36">
        <v>139.85710529145226</v>
      </c>
      <c r="D157">
        <f t="shared" si="9"/>
        <v>83</v>
      </c>
      <c r="E157" s="36">
        <v>40.195614567457937</v>
      </c>
    </row>
    <row r="158" spans="2:5" x14ac:dyDescent="0.3">
      <c r="B158">
        <v>84</v>
      </c>
      <c r="C158" s="36">
        <v>147.36689930196181</v>
      </c>
      <c r="D158">
        <f t="shared" si="9"/>
        <v>84</v>
      </c>
      <c r="E158" s="36">
        <v>291.35984557281955</v>
      </c>
    </row>
    <row r="159" spans="2:5" x14ac:dyDescent="0.3">
      <c r="B159">
        <v>85</v>
      </c>
      <c r="C159" s="36">
        <v>129.89273414108462</v>
      </c>
      <c r="D159">
        <f t="shared" si="9"/>
        <v>85</v>
      </c>
      <c r="E159" s="36">
        <v>39.319822817409772</v>
      </c>
    </row>
    <row r="160" spans="2:5" x14ac:dyDescent="0.3">
      <c r="B160">
        <v>86</v>
      </c>
      <c r="C160" s="36">
        <v>93.073399222368366</v>
      </c>
      <c r="D160">
        <f t="shared" si="9"/>
        <v>86</v>
      </c>
      <c r="E160" s="36">
        <v>403.14195815691545</v>
      </c>
    </row>
    <row r="161" spans="2:5" x14ac:dyDescent="0.3">
      <c r="B161">
        <v>87</v>
      </c>
      <c r="C161" s="36">
        <v>114.18575923027227</v>
      </c>
      <c r="D161">
        <f t="shared" si="9"/>
        <v>87</v>
      </c>
      <c r="E161" s="36">
        <v>231.44749827568543</v>
      </c>
    </row>
    <row r="162" spans="2:5" x14ac:dyDescent="0.3">
      <c r="B162">
        <v>88</v>
      </c>
      <c r="C162" s="36">
        <v>128.91255376375855</v>
      </c>
      <c r="D162">
        <f t="shared" si="9"/>
        <v>88</v>
      </c>
      <c r="E162" s="36">
        <v>319.60179377604322</v>
      </c>
    </row>
    <row r="163" spans="2:5" x14ac:dyDescent="0.3">
      <c r="B163">
        <v>89</v>
      </c>
      <c r="C163" s="36">
        <v>111.18378836788891</v>
      </c>
      <c r="D163">
        <f t="shared" si="9"/>
        <v>89</v>
      </c>
      <c r="E163" s="36">
        <v>15.854003240270519</v>
      </c>
    </row>
    <row r="164" spans="2:5" x14ac:dyDescent="0.3">
      <c r="B164">
        <v>90</v>
      </c>
      <c r="C164" s="36">
        <v>213.01300923795262</v>
      </c>
      <c r="D164">
        <f t="shared" si="9"/>
        <v>90</v>
      </c>
      <c r="E164" s="36">
        <v>22.523070577834247</v>
      </c>
    </row>
    <row r="165" spans="2:5" x14ac:dyDescent="0.3">
      <c r="B165">
        <v>91</v>
      </c>
      <c r="C165" s="36">
        <v>26.079390544094974</v>
      </c>
      <c r="D165">
        <f t="shared" si="9"/>
        <v>91</v>
      </c>
      <c r="E165" s="36">
        <v>95.346196843931949</v>
      </c>
    </row>
    <row r="166" spans="2:5" x14ac:dyDescent="0.3">
      <c r="B166">
        <v>92</v>
      </c>
      <c r="C166" s="36">
        <v>129.35531640152675</v>
      </c>
      <c r="D166">
        <f t="shared" si="9"/>
        <v>92</v>
      </c>
      <c r="E166" s="36">
        <v>180.18160413059013</v>
      </c>
    </row>
    <row r="167" spans="2:5" x14ac:dyDescent="0.3">
      <c r="B167">
        <v>93</v>
      </c>
      <c r="C167" s="36">
        <v>93.609219696369337</v>
      </c>
      <c r="D167">
        <f t="shared" si="9"/>
        <v>93</v>
      </c>
      <c r="E167" s="36">
        <v>153.24300082936682</v>
      </c>
    </row>
    <row r="168" spans="2:5" x14ac:dyDescent="0.3">
      <c r="B168">
        <v>94</v>
      </c>
      <c r="C168" s="36">
        <v>106.55308992977982</v>
      </c>
      <c r="D168">
        <f t="shared" si="9"/>
        <v>94</v>
      </c>
      <c r="E168" s="36">
        <v>250.67229012263965</v>
      </c>
    </row>
    <row r="169" spans="2:5" x14ac:dyDescent="0.3">
      <c r="B169">
        <v>95</v>
      </c>
      <c r="C169" s="36">
        <v>110.78640081566178</v>
      </c>
      <c r="D169">
        <f t="shared" si="9"/>
        <v>95</v>
      </c>
      <c r="E169" s="36">
        <v>345.58856966324811</v>
      </c>
    </row>
    <row r="170" spans="2:5" x14ac:dyDescent="0.3">
      <c r="B170">
        <v>96</v>
      </c>
      <c r="C170" s="36">
        <v>89.176393594061878</v>
      </c>
      <c r="D170">
        <f t="shared" si="9"/>
        <v>96</v>
      </c>
      <c r="E170" s="36">
        <v>171.5569798012404</v>
      </c>
    </row>
    <row r="171" spans="2:5" x14ac:dyDescent="0.3">
      <c r="B171">
        <v>97</v>
      </c>
      <c r="C171" s="36">
        <v>171.55920900939648</v>
      </c>
      <c r="D171">
        <f t="shared" si="9"/>
        <v>97</v>
      </c>
      <c r="E171" s="36">
        <v>389.8754788345002</v>
      </c>
    </row>
    <row r="172" spans="2:5" x14ac:dyDescent="0.3">
      <c r="B172">
        <v>98</v>
      </c>
      <c r="C172" s="36">
        <v>131.39426779444301</v>
      </c>
      <c r="D172">
        <f t="shared" si="9"/>
        <v>98</v>
      </c>
      <c r="E172" s="36">
        <v>225.79914626970785</v>
      </c>
    </row>
    <row r="173" spans="2:5" x14ac:dyDescent="0.3">
      <c r="B173">
        <v>99</v>
      </c>
      <c r="C173" s="36">
        <v>146.09190317947184</v>
      </c>
      <c r="D173">
        <f t="shared" si="9"/>
        <v>99</v>
      </c>
      <c r="E173" s="36">
        <v>136.69715653639679</v>
      </c>
    </row>
    <row r="174" spans="2:5" x14ac:dyDescent="0.3">
      <c r="B174">
        <v>100</v>
      </c>
      <c r="C174" s="36">
        <v>28.680665379802242</v>
      </c>
      <c r="D174">
        <f t="shared" si="9"/>
        <v>100</v>
      </c>
      <c r="E174" s="36">
        <v>31.156916865263788</v>
      </c>
    </row>
    <row r="175" spans="2:5" x14ac:dyDescent="0.3">
      <c r="B175">
        <v>101</v>
      </c>
      <c r="C175" s="36">
        <v>181.72640370964015</v>
      </c>
      <c r="D175">
        <f t="shared" si="9"/>
        <v>101</v>
      </c>
      <c r="E175" s="36">
        <v>178.79071968172772</v>
      </c>
    </row>
    <row r="176" spans="2:5" x14ac:dyDescent="0.3">
      <c r="B176">
        <v>102</v>
      </c>
      <c r="C176" s="36">
        <v>137.44746980003831</v>
      </c>
      <c r="D176">
        <f t="shared" si="9"/>
        <v>102</v>
      </c>
      <c r="E176" s="36">
        <v>127.22677899062644</v>
      </c>
    </row>
    <row r="177" spans="2:5" x14ac:dyDescent="0.3">
      <c r="B177">
        <v>103</v>
      </c>
      <c r="C177" s="36">
        <v>137.21405047256545</v>
      </c>
      <c r="D177">
        <f t="shared" si="9"/>
        <v>103</v>
      </c>
      <c r="E177" s="36">
        <v>134.70935243105907</v>
      </c>
    </row>
    <row r="178" spans="2:5" x14ac:dyDescent="0.3">
      <c r="B178">
        <v>104</v>
      </c>
      <c r="C178" s="36">
        <v>159.5112648520543</v>
      </c>
      <c r="D178">
        <f t="shared" si="9"/>
        <v>104</v>
      </c>
      <c r="E178" s="36">
        <v>265.29164535520971</v>
      </c>
    </row>
    <row r="179" spans="2:5" x14ac:dyDescent="0.3">
      <c r="B179">
        <v>105</v>
      </c>
      <c r="C179" s="36">
        <v>210.23137858290789</v>
      </c>
      <c r="D179">
        <f t="shared" si="9"/>
        <v>105</v>
      </c>
      <c r="E179" s="36">
        <v>7.7715946672290697</v>
      </c>
    </row>
    <row r="180" spans="2:5" x14ac:dyDescent="0.3">
      <c r="B180">
        <v>106</v>
      </c>
      <c r="C180" s="36">
        <v>103.37002730641279</v>
      </c>
      <c r="D180">
        <f t="shared" si="9"/>
        <v>106</v>
      </c>
      <c r="E180" s="36">
        <v>53.244415549263501</v>
      </c>
    </row>
    <row r="181" spans="2:5" x14ac:dyDescent="0.3">
      <c r="B181">
        <v>107</v>
      </c>
      <c r="C181" s="36">
        <v>91.988270727162572</v>
      </c>
      <c r="D181">
        <f t="shared" si="9"/>
        <v>107</v>
      </c>
      <c r="E181" s="36">
        <v>-82.922521851976583</v>
      </c>
    </row>
    <row r="182" spans="2:5" x14ac:dyDescent="0.3">
      <c r="B182">
        <v>108</v>
      </c>
      <c r="C182" s="36">
        <v>79.587874632097879</v>
      </c>
      <c r="D182">
        <f t="shared" si="9"/>
        <v>108</v>
      </c>
      <c r="E182" s="36">
        <v>307.98075381966555</v>
      </c>
    </row>
    <row r="183" spans="2:5" x14ac:dyDescent="0.3">
      <c r="B183">
        <v>109</v>
      </c>
      <c r="C183" s="36">
        <v>129.97973857846353</v>
      </c>
      <c r="D183">
        <f t="shared" si="9"/>
        <v>109</v>
      </c>
      <c r="E183" s="36">
        <v>351.97031677696674</v>
      </c>
    </row>
    <row r="184" spans="2:5" x14ac:dyDescent="0.3">
      <c r="B184">
        <v>110</v>
      </c>
      <c r="C184" s="36">
        <v>153.95055044846364</v>
      </c>
      <c r="D184">
        <f t="shared" si="9"/>
        <v>110</v>
      </c>
      <c r="E184" s="36">
        <v>16.623844681359667</v>
      </c>
    </row>
    <row r="185" spans="2:5" x14ac:dyDescent="0.3">
      <c r="B185">
        <v>111</v>
      </c>
      <c r="C185" s="36">
        <v>120.35673948477181</v>
      </c>
      <c r="D185">
        <f t="shared" si="9"/>
        <v>111</v>
      </c>
      <c r="E185" s="36">
        <v>-52.030988987988835</v>
      </c>
    </row>
    <row r="186" spans="2:5" x14ac:dyDescent="0.3">
      <c r="B186">
        <v>112</v>
      </c>
      <c r="C186" s="36">
        <v>138.39064288319241</v>
      </c>
      <c r="D186">
        <f t="shared" si="9"/>
        <v>112</v>
      </c>
      <c r="E186" s="36">
        <v>-85.13103357887853</v>
      </c>
    </row>
    <row r="187" spans="2:5" x14ac:dyDescent="0.3">
      <c r="B187">
        <v>113</v>
      </c>
      <c r="C187" s="36">
        <v>107.40066978897418</v>
      </c>
      <c r="D187">
        <f t="shared" si="9"/>
        <v>113</v>
      </c>
      <c r="E187" s="36">
        <v>259.13960124129051</v>
      </c>
    </row>
    <row r="188" spans="2:5" x14ac:dyDescent="0.3">
      <c r="B188">
        <v>114</v>
      </c>
      <c r="C188" s="36">
        <v>114.94954333823152</v>
      </c>
      <c r="D188">
        <f t="shared" si="9"/>
        <v>114</v>
      </c>
      <c r="E188" s="36">
        <v>131.5993549475352</v>
      </c>
    </row>
    <row r="189" spans="2:5" x14ac:dyDescent="0.3">
      <c r="B189">
        <v>115</v>
      </c>
      <c r="C189" s="36">
        <v>167.88494482283701</v>
      </c>
      <c r="D189">
        <f t="shared" si="9"/>
        <v>115</v>
      </c>
      <c r="E189" s="36">
        <v>-113.31211209647522</v>
      </c>
    </row>
    <row r="190" spans="2:5" x14ac:dyDescent="0.3">
      <c r="B190">
        <v>116</v>
      </c>
      <c r="C190" s="36">
        <v>6.7292421927568755</v>
      </c>
      <c r="D190">
        <f t="shared" si="9"/>
        <v>116</v>
      </c>
      <c r="E190" s="36">
        <v>22.742034516955478</v>
      </c>
    </row>
    <row r="191" spans="2:5" x14ac:dyDescent="0.3">
      <c r="B191">
        <v>117</v>
      </c>
      <c r="C191" s="36">
        <v>138.70069233316011</v>
      </c>
      <c r="D191">
        <f t="shared" si="9"/>
        <v>117</v>
      </c>
      <c r="E191" s="36">
        <v>255.47274240981696</v>
      </c>
    </row>
    <row r="192" spans="2:5" x14ac:dyDescent="0.3">
      <c r="B192">
        <v>118</v>
      </c>
      <c r="C192" s="36">
        <v>116.02914477978099</v>
      </c>
      <c r="D192">
        <f t="shared" si="9"/>
        <v>118</v>
      </c>
      <c r="E192" s="36">
        <v>-111.78488931641695</v>
      </c>
    </row>
    <row r="193" spans="2:5" x14ac:dyDescent="0.3">
      <c r="B193">
        <v>119</v>
      </c>
      <c r="C193" s="36">
        <v>160.83812815283449</v>
      </c>
      <c r="D193">
        <f t="shared" si="9"/>
        <v>119</v>
      </c>
      <c r="E193" s="36">
        <v>122.89680889862932</v>
      </c>
    </row>
    <row r="194" spans="2:5" x14ac:dyDescent="0.3">
      <c r="B194">
        <v>120</v>
      </c>
      <c r="C194" s="36">
        <v>-5.7288022813417516</v>
      </c>
      <c r="D194">
        <f t="shared" si="9"/>
        <v>120</v>
      </c>
      <c r="E194" s="36">
        <v>286.13102397847462</v>
      </c>
    </row>
    <row r="195" spans="2:5" x14ac:dyDescent="0.3">
      <c r="B195">
        <v>121</v>
      </c>
      <c r="C195" s="36">
        <v>133.04292876850533</v>
      </c>
      <c r="D195">
        <f t="shared" si="9"/>
        <v>121</v>
      </c>
      <c r="E195" s="36">
        <v>167.16062092277653</v>
      </c>
    </row>
    <row r="196" spans="2:5" x14ac:dyDescent="0.3">
      <c r="B196">
        <v>122</v>
      </c>
      <c r="C196" s="36">
        <v>122.05281284915384</v>
      </c>
      <c r="D196">
        <f t="shared" si="9"/>
        <v>122</v>
      </c>
      <c r="E196" s="36">
        <v>244.41914444646036</v>
      </c>
    </row>
    <row r="197" spans="2:5" x14ac:dyDescent="0.3">
      <c r="B197">
        <v>123</v>
      </c>
      <c r="C197" s="36">
        <v>139.01450658607112</v>
      </c>
      <c r="D197">
        <f t="shared" si="9"/>
        <v>123</v>
      </c>
      <c r="E197" s="36">
        <v>390.95246085708862</v>
      </c>
    </row>
    <row r="198" spans="2:5" x14ac:dyDescent="0.3">
      <c r="B198">
        <v>124</v>
      </c>
      <c r="C198" s="36">
        <v>106.25843365785508</v>
      </c>
      <c r="D198">
        <f t="shared" si="9"/>
        <v>124</v>
      </c>
      <c r="E198" s="36">
        <v>50.843127510486013</v>
      </c>
    </row>
    <row r="199" spans="2:5" x14ac:dyDescent="0.3">
      <c r="B199">
        <v>125</v>
      </c>
      <c r="C199" s="36">
        <v>159.1459429922198</v>
      </c>
      <c r="D199">
        <f t="shared" si="9"/>
        <v>125</v>
      </c>
      <c r="E199" s="36">
        <v>143.47616605212176</v>
      </c>
    </row>
    <row r="200" spans="2:5" x14ac:dyDescent="0.3">
      <c r="B200">
        <v>126</v>
      </c>
      <c r="C200" s="36">
        <v>123.09817100944092</v>
      </c>
      <c r="D200">
        <f t="shared" si="9"/>
        <v>126</v>
      </c>
      <c r="E200" s="36">
        <v>256.55199048326187</v>
      </c>
    </row>
    <row r="201" spans="2:5" x14ac:dyDescent="0.3">
      <c r="B201">
        <v>127</v>
      </c>
      <c r="C201" s="36">
        <v>124.40865717499983</v>
      </c>
      <c r="D201">
        <f t="shared" si="9"/>
        <v>127</v>
      </c>
      <c r="E201" s="36">
        <v>-327.65429082783237</v>
      </c>
    </row>
    <row r="202" spans="2:5" x14ac:dyDescent="0.3">
      <c r="B202">
        <v>128</v>
      </c>
      <c r="C202" s="36">
        <v>109.33258791806095</v>
      </c>
      <c r="D202">
        <f t="shared" si="9"/>
        <v>128</v>
      </c>
      <c r="E202" s="36">
        <v>52.824641233122065</v>
      </c>
    </row>
    <row r="203" spans="2:5" x14ac:dyDescent="0.3">
      <c r="B203">
        <v>129</v>
      </c>
      <c r="C203" s="36">
        <v>56.044719151972878</v>
      </c>
      <c r="D203">
        <f t="shared" si="9"/>
        <v>129</v>
      </c>
      <c r="E203" s="36">
        <v>99.829999129829176</v>
      </c>
    </row>
    <row r="204" spans="2:5" x14ac:dyDescent="0.3">
      <c r="B204">
        <v>130</v>
      </c>
      <c r="C204" s="36">
        <v>106.93064590067654</v>
      </c>
      <c r="D204">
        <f t="shared" si="9"/>
        <v>130</v>
      </c>
      <c r="E204" s="36">
        <v>185.02716386403873</v>
      </c>
    </row>
    <row r="205" spans="2:5" x14ac:dyDescent="0.3">
      <c r="B205">
        <v>131</v>
      </c>
      <c r="C205" s="36">
        <v>168.31464196302818</v>
      </c>
      <c r="D205">
        <f t="shared" ref="D205:D268" si="10">B205</f>
        <v>131</v>
      </c>
      <c r="E205" s="36">
        <v>-34.552999340974068</v>
      </c>
    </row>
    <row r="206" spans="2:5" x14ac:dyDescent="0.3">
      <c r="B206">
        <v>132</v>
      </c>
      <c r="C206" s="36">
        <v>172.76098471517179</v>
      </c>
      <c r="D206">
        <f t="shared" si="10"/>
        <v>132</v>
      </c>
      <c r="E206" s="36">
        <v>-144.59823440393873</v>
      </c>
    </row>
    <row r="207" spans="2:5" x14ac:dyDescent="0.3">
      <c r="B207">
        <v>133</v>
      </c>
      <c r="C207" s="36">
        <v>122.17804994058545</v>
      </c>
      <c r="D207">
        <f t="shared" si="10"/>
        <v>133</v>
      </c>
      <c r="E207" s="36">
        <v>-130.70326795464479</v>
      </c>
    </row>
    <row r="208" spans="2:5" x14ac:dyDescent="0.3">
      <c r="B208">
        <v>134</v>
      </c>
      <c r="C208" s="36">
        <v>65.735335732203893</v>
      </c>
      <c r="D208">
        <f t="shared" si="10"/>
        <v>134</v>
      </c>
      <c r="E208" s="36">
        <v>345.35729272052333</v>
      </c>
    </row>
    <row r="209" spans="2:5" x14ac:dyDescent="0.3">
      <c r="B209">
        <v>135</v>
      </c>
      <c r="C209" s="36">
        <v>142.99319078297026</v>
      </c>
      <c r="D209">
        <f t="shared" si="10"/>
        <v>135</v>
      </c>
      <c r="E209" s="36">
        <v>122.83756860354246</v>
      </c>
    </row>
    <row r="210" spans="2:5" x14ac:dyDescent="0.3">
      <c r="B210">
        <v>136</v>
      </c>
      <c r="C210" s="36">
        <v>119.60090785120428</v>
      </c>
      <c r="D210">
        <f t="shared" si="10"/>
        <v>136</v>
      </c>
      <c r="E210" s="36">
        <v>60.363796795076496</v>
      </c>
    </row>
    <row r="211" spans="2:5" x14ac:dyDescent="0.3">
      <c r="B211">
        <v>137</v>
      </c>
      <c r="C211" s="36">
        <v>120.85433831033049</v>
      </c>
      <c r="D211">
        <f t="shared" si="10"/>
        <v>137</v>
      </c>
      <c r="E211" s="36">
        <v>-269.00082800133549</v>
      </c>
    </row>
    <row r="212" spans="2:5" x14ac:dyDescent="0.3">
      <c r="B212">
        <v>138</v>
      </c>
      <c r="C212" s="36">
        <v>147.94609369954352</v>
      </c>
      <c r="D212">
        <f t="shared" si="10"/>
        <v>138</v>
      </c>
      <c r="E212" s="36">
        <v>176.6151499287522</v>
      </c>
    </row>
    <row r="213" spans="2:5" x14ac:dyDescent="0.3">
      <c r="B213">
        <v>139</v>
      </c>
      <c r="C213" s="36">
        <v>223.53024033790089</v>
      </c>
      <c r="D213">
        <f t="shared" si="10"/>
        <v>139</v>
      </c>
      <c r="E213" s="36">
        <v>191.14975461447742</v>
      </c>
    </row>
    <row r="214" spans="2:5" x14ac:dyDescent="0.3">
      <c r="B214">
        <v>140</v>
      </c>
      <c r="C214" s="36">
        <v>192.32750767051999</v>
      </c>
      <c r="D214">
        <f t="shared" si="10"/>
        <v>140</v>
      </c>
      <c r="E214" s="36">
        <v>303.18044868885642</v>
      </c>
    </row>
    <row r="215" spans="2:5" x14ac:dyDescent="0.3">
      <c r="B215">
        <v>141</v>
      </c>
      <c r="C215" s="36">
        <v>160.11670070563565</v>
      </c>
      <c r="D215">
        <f t="shared" si="10"/>
        <v>141</v>
      </c>
      <c r="E215" s="36">
        <v>149.69766215293618</v>
      </c>
    </row>
    <row r="216" spans="2:5" x14ac:dyDescent="0.3">
      <c r="B216">
        <v>142</v>
      </c>
      <c r="C216" s="36">
        <v>135.80451254930233</v>
      </c>
      <c r="D216">
        <f t="shared" si="10"/>
        <v>142</v>
      </c>
      <c r="E216" s="36">
        <v>234.45763824099271</v>
      </c>
    </row>
    <row r="217" spans="2:5" x14ac:dyDescent="0.3">
      <c r="B217">
        <v>143</v>
      </c>
      <c r="C217" s="36">
        <v>81.200648666099994</v>
      </c>
      <c r="D217">
        <f t="shared" si="10"/>
        <v>143</v>
      </c>
      <c r="E217" s="36">
        <v>66.490916364483667</v>
      </c>
    </row>
    <row r="218" spans="2:5" x14ac:dyDescent="0.3">
      <c r="B218">
        <v>144</v>
      </c>
      <c r="C218" s="36">
        <v>114.39975599322356</v>
      </c>
      <c r="D218">
        <f t="shared" si="10"/>
        <v>144</v>
      </c>
      <c r="E218" s="36">
        <v>136.65176567214246</v>
      </c>
    </row>
    <row r="219" spans="2:5" x14ac:dyDescent="0.3">
      <c r="B219">
        <v>145</v>
      </c>
      <c r="C219" s="36">
        <v>149.71178406785268</v>
      </c>
      <c r="D219">
        <f t="shared" si="10"/>
        <v>145</v>
      </c>
      <c r="E219" s="36">
        <v>177.28863382047987</v>
      </c>
    </row>
    <row r="220" spans="2:5" x14ac:dyDescent="0.3">
      <c r="B220">
        <v>146</v>
      </c>
      <c r="C220" s="36">
        <v>92.43096931718577</v>
      </c>
      <c r="D220">
        <f t="shared" si="10"/>
        <v>146</v>
      </c>
      <c r="E220" s="36">
        <v>-14.071787542521141</v>
      </c>
    </row>
    <row r="221" spans="2:5" x14ac:dyDescent="0.3">
      <c r="B221">
        <v>147</v>
      </c>
      <c r="C221" s="36">
        <v>69.114716304044549</v>
      </c>
      <c r="D221">
        <f t="shared" si="10"/>
        <v>147</v>
      </c>
      <c r="E221" s="36">
        <v>233.22491890122146</v>
      </c>
    </row>
    <row r="222" spans="2:5" x14ac:dyDescent="0.3">
      <c r="B222">
        <v>148</v>
      </c>
      <c r="C222" s="36">
        <v>138.7900943609566</v>
      </c>
      <c r="D222">
        <f t="shared" si="10"/>
        <v>148</v>
      </c>
      <c r="E222" s="36">
        <v>313.07945800753873</v>
      </c>
    </row>
    <row r="223" spans="2:5" x14ac:dyDescent="0.3">
      <c r="B223">
        <v>149</v>
      </c>
      <c r="C223" s="36">
        <v>125.8914194827679</v>
      </c>
      <c r="D223">
        <f t="shared" si="10"/>
        <v>149</v>
      </c>
      <c r="E223" s="36">
        <v>264.00178893825483</v>
      </c>
    </row>
    <row r="224" spans="2:5" x14ac:dyDescent="0.3">
      <c r="B224">
        <v>150</v>
      </c>
      <c r="C224" s="36">
        <v>84.251604091739352</v>
      </c>
      <c r="D224">
        <f t="shared" si="10"/>
        <v>150</v>
      </c>
      <c r="E224" s="36">
        <v>19.55805384878235</v>
      </c>
    </row>
    <row r="225" spans="2:5" x14ac:dyDescent="0.3">
      <c r="B225">
        <v>151</v>
      </c>
      <c r="C225" s="36">
        <v>102.3921560835221</v>
      </c>
      <c r="D225">
        <f t="shared" si="10"/>
        <v>151</v>
      </c>
      <c r="E225" s="36">
        <v>263.26786359600072</v>
      </c>
    </row>
    <row r="226" spans="2:5" x14ac:dyDescent="0.3">
      <c r="B226">
        <v>152</v>
      </c>
      <c r="C226" s="36">
        <v>26.366550782457114</v>
      </c>
      <c r="D226">
        <f t="shared" si="10"/>
        <v>152</v>
      </c>
      <c r="E226" s="36">
        <v>115.46388081131279</v>
      </c>
    </row>
    <row r="227" spans="2:5" x14ac:dyDescent="0.3">
      <c r="B227">
        <v>153</v>
      </c>
      <c r="C227" s="36">
        <v>108.9838654348595</v>
      </c>
      <c r="D227">
        <f t="shared" si="10"/>
        <v>153</v>
      </c>
      <c r="E227" s="36">
        <v>342.22868689674124</v>
      </c>
    </row>
    <row r="228" spans="2:5" x14ac:dyDescent="0.3">
      <c r="B228">
        <v>154</v>
      </c>
      <c r="C228" s="36">
        <v>59.413298013180302</v>
      </c>
      <c r="D228">
        <f t="shared" si="10"/>
        <v>154</v>
      </c>
      <c r="E228" s="36">
        <v>-7.074734284077655</v>
      </c>
    </row>
    <row r="229" spans="2:5" x14ac:dyDescent="0.3">
      <c r="B229">
        <v>155</v>
      </c>
      <c r="C229" s="36">
        <v>98.258522204119245</v>
      </c>
      <c r="D229">
        <f t="shared" si="10"/>
        <v>155</v>
      </c>
      <c r="E229" s="36">
        <v>44.102360022800852</v>
      </c>
    </row>
    <row r="230" spans="2:5" x14ac:dyDescent="0.3">
      <c r="B230">
        <v>156</v>
      </c>
      <c r="C230" s="36">
        <v>-17.702581140380858</v>
      </c>
      <c r="D230">
        <f t="shared" si="10"/>
        <v>156</v>
      </c>
      <c r="E230" s="36">
        <v>25.769728856273549</v>
      </c>
    </row>
    <row r="231" spans="2:5" x14ac:dyDescent="0.3">
      <c r="B231">
        <v>157</v>
      </c>
      <c r="C231" s="36">
        <v>137.37431871253443</v>
      </c>
      <c r="D231">
        <f t="shared" si="10"/>
        <v>157</v>
      </c>
      <c r="E231" s="36">
        <v>-138.11486295170209</v>
      </c>
    </row>
    <row r="232" spans="2:5" x14ac:dyDescent="0.3">
      <c r="B232">
        <v>158</v>
      </c>
      <c r="C232" s="36">
        <v>-36.933615513003424</v>
      </c>
      <c r="D232">
        <f t="shared" si="10"/>
        <v>158</v>
      </c>
      <c r="E232" s="36">
        <v>-80.833119795170418</v>
      </c>
    </row>
    <row r="233" spans="2:5" x14ac:dyDescent="0.3">
      <c r="B233">
        <v>159</v>
      </c>
      <c r="C233" s="36">
        <v>107.10515691277298</v>
      </c>
      <c r="D233">
        <f t="shared" si="10"/>
        <v>159</v>
      </c>
      <c r="E233" s="36">
        <v>286.03991716973849</v>
      </c>
    </row>
    <row r="234" spans="2:5" x14ac:dyDescent="0.3">
      <c r="B234">
        <v>160</v>
      </c>
      <c r="C234" s="36">
        <v>79.133643507892174</v>
      </c>
      <c r="D234">
        <f t="shared" si="10"/>
        <v>160</v>
      </c>
      <c r="E234" s="36">
        <v>343.37137042690034</v>
      </c>
    </row>
    <row r="235" spans="2:5" x14ac:dyDescent="0.3">
      <c r="B235">
        <v>161</v>
      </c>
      <c r="C235" s="36">
        <v>138.20645743020972</v>
      </c>
      <c r="D235">
        <f t="shared" si="10"/>
        <v>161</v>
      </c>
      <c r="E235" s="36">
        <v>329.71120127468595</v>
      </c>
    </row>
    <row r="236" spans="2:5" x14ac:dyDescent="0.3">
      <c r="B236">
        <v>162</v>
      </c>
      <c r="C236" s="36">
        <v>46.223656241628348</v>
      </c>
      <c r="D236">
        <f t="shared" si="10"/>
        <v>162</v>
      </c>
      <c r="E236" s="36">
        <v>-69.039549524285988</v>
      </c>
    </row>
    <row r="237" spans="2:5" x14ac:dyDescent="0.3">
      <c r="B237">
        <v>163</v>
      </c>
      <c r="C237" s="36">
        <v>122.32790916984079</v>
      </c>
      <c r="D237">
        <f t="shared" si="10"/>
        <v>163</v>
      </c>
      <c r="E237" s="36">
        <v>292.55178434852417</v>
      </c>
    </row>
    <row r="238" spans="2:5" x14ac:dyDescent="0.3">
      <c r="B238">
        <v>164</v>
      </c>
      <c r="C238" s="36">
        <v>87.924538345230673</v>
      </c>
      <c r="D238">
        <f t="shared" si="10"/>
        <v>164</v>
      </c>
      <c r="E238" s="36">
        <v>72.005920881449526</v>
      </c>
    </row>
    <row r="239" spans="2:5" x14ac:dyDescent="0.3">
      <c r="B239">
        <v>165</v>
      </c>
      <c r="C239" s="36">
        <v>73.438286273458544</v>
      </c>
      <c r="D239">
        <f t="shared" si="10"/>
        <v>165</v>
      </c>
      <c r="E239" s="36">
        <v>384.40107471528461</v>
      </c>
    </row>
    <row r="240" spans="2:5" x14ac:dyDescent="0.3">
      <c r="B240">
        <v>166</v>
      </c>
      <c r="C240" s="36">
        <v>120.94078842562365</v>
      </c>
      <c r="D240">
        <f t="shared" si="10"/>
        <v>166</v>
      </c>
      <c r="E240" s="36">
        <v>72.479436128357506</v>
      </c>
    </row>
    <row r="241" spans="2:5" x14ac:dyDescent="0.3">
      <c r="B241">
        <v>167</v>
      </c>
      <c r="C241" s="36">
        <v>189.20304960610753</v>
      </c>
      <c r="D241">
        <f t="shared" si="10"/>
        <v>167</v>
      </c>
      <c r="E241" s="36">
        <v>214.16261524392161</v>
      </c>
    </row>
    <row r="242" spans="2:5" x14ac:dyDescent="0.3">
      <c r="B242">
        <v>168</v>
      </c>
      <c r="C242" s="36">
        <v>12.633179660588262</v>
      </c>
      <c r="D242">
        <f t="shared" si="10"/>
        <v>168</v>
      </c>
      <c r="E242" s="36">
        <v>-37.717887408944712</v>
      </c>
    </row>
    <row r="243" spans="2:5" x14ac:dyDescent="0.3">
      <c r="B243">
        <v>169</v>
      </c>
      <c r="C243" s="36">
        <v>107.73845520003911</v>
      </c>
      <c r="D243">
        <f t="shared" si="10"/>
        <v>169</v>
      </c>
      <c r="E243" s="36">
        <v>-110.49435857566127</v>
      </c>
    </row>
    <row r="244" spans="2:5" x14ac:dyDescent="0.3">
      <c r="B244">
        <v>170</v>
      </c>
      <c r="C244" s="36">
        <v>135.11341988666629</v>
      </c>
      <c r="D244">
        <f t="shared" si="10"/>
        <v>170</v>
      </c>
      <c r="E244" s="36">
        <v>313.94601862207662</v>
      </c>
    </row>
    <row r="245" spans="2:5" x14ac:dyDescent="0.3">
      <c r="B245">
        <v>171</v>
      </c>
      <c r="C245" s="36">
        <v>142.31882468756473</v>
      </c>
      <c r="D245">
        <f t="shared" si="10"/>
        <v>171</v>
      </c>
      <c r="E245" s="36">
        <v>48.649928628548835</v>
      </c>
    </row>
    <row r="246" spans="2:5" x14ac:dyDescent="0.3">
      <c r="B246">
        <v>172</v>
      </c>
      <c r="C246" s="36">
        <v>32.29808473096746</v>
      </c>
      <c r="D246">
        <f t="shared" si="10"/>
        <v>172</v>
      </c>
      <c r="E246" s="36">
        <v>108.27061767371204</v>
      </c>
    </row>
    <row r="247" spans="2:5" x14ac:dyDescent="0.3">
      <c r="B247">
        <v>173</v>
      </c>
      <c r="C247" s="36">
        <v>126.00234059370089</v>
      </c>
      <c r="D247">
        <f t="shared" si="10"/>
        <v>173</v>
      </c>
      <c r="E247" s="36">
        <v>178.66717500309053</v>
      </c>
    </row>
    <row r="248" spans="2:5" x14ac:dyDescent="0.3">
      <c r="B248">
        <v>174</v>
      </c>
      <c r="C248" s="36">
        <v>137.15082414640284</v>
      </c>
      <c r="D248">
        <f t="shared" si="10"/>
        <v>174</v>
      </c>
      <c r="E248" s="36">
        <v>313.5711995826988</v>
      </c>
    </row>
    <row r="249" spans="2:5" x14ac:dyDescent="0.3">
      <c r="B249">
        <v>175</v>
      </c>
      <c r="C249" s="36">
        <v>123.12796505451429</v>
      </c>
      <c r="D249">
        <f t="shared" si="10"/>
        <v>175</v>
      </c>
      <c r="E249" s="36">
        <v>172.08391697832423</v>
      </c>
    </row>
    <row r="250" spans="2:5" x14ac:dyDescent="0.3">
      <c r="B250">
        <v>176</v>
      </c>
      <c r="C250" s="36">
        <v>120.65516800938751</v>
      </c>
      <c r="D250">
        <f t="shared" si="10"/>
        <v>176</v>
      </c>
      <c r="E250" s="36">
        <v>40.463584391451143</v>
      </c>
    </row>
    <row r="251" spans="2:5" x14ac:dyDescent="0.3">
      <c r="B251">
        <v>177</v>
      </c>
      <c r="C251" s="36">
        <v>92.287473817112215</v>
      </c>
      <c r="D251">
        <f t="shared" si="10"/>
        <v>177</v>
      </c>
      <c r="E251" s="36">
        <v>232.27351548044331</v>
      </c>
    </row>
    <row r="252" spans="2:5" x14ac:dyDescent="0.3">
      <c r="B252">
        <v>178</v>
      </c>
      <c r="C252" s="36">
        <v>46.020345566021419</v>
      </c>
      <c r="D252">
        <f t="shared" si="10"/>
        <v>178</v>
      </c>
      <c r="E252" s="36">
        <v>68.094444176856072</v>
      </c>
    </row>
    <row r="253" spans="2:5" x14ac:dyDescent="0.3">
      <c r="B253">
        <v>179</v>
      </c>
      <c r="C253" s="36">
        <v>117.63433326973545</v>
      </c>
      <c r="D253">
        <f t="shared" si="10"/>
        <v>179</v>
      </c>
      <c r="E253" s="36">
        <v>169.74999662252577</v>
      </c>
    </row>
    <row r="254" spans="2:5" x14ac:dyDescent="0.3">
      <c r="B254">
        <v>180</v>
      </c>
      <c r="C254" s="36">
        <v>-23.437217086604555</v>
      </c>
      <c r="D254">
        <f t="shared" si="10"/>
        <v>180</v>
      </c>
      <c r="E254" s="36">
        <v>186.60102813180833</v>
      </c>
    </row>
    <row r="255" spans="2:5" x14ac:dyDescent="0.3">
      <c r="B255">
        <v>181</v>
      </c>
      <c r="C255" s="36">
        <v>139.56608756787065</v>
      </c>
      <c r="D255">
        <f t="shared" si="10"/>
        <v>181</v>
      </c>
      <c r="E255" s="36">
        <v>73.648810448311934</v>
      </c>
    </row>
    <row r="256" spans="2:5" x14ac:dyDescent="0.3">
      <c r="B256">
        <v>182</v>
      </c>
      <c r="C256" s="36">
        <v>150.73928631216401</v>
      </c>
      <c r="D256">
        <f t="shared" si="10"/>
        <v>182</v>
      </c>
      <c r="E256" s="36">
        <v>45.336924355086566</v>
      </c>
    </row>
    <row r="257" spans="2:5" x14ac:dyDescent="0.3">
      <c r="B257">
        <v>183</v>
      </c>
      <c r="C257" s="36">
        <v>97.870677200858822</v>
      </c>
      <c r="D257">
        <f t="shared" si="10"/>
        <v>183</v>
      </c>
      <c r="E257" s="36">
        <v>-65.849532327110481</v>
      </c>
    </row>
    <row r="258" spans="2:5" x14ac:dyDescent="0.3">
      <c r="B258">
        <v>184</v>
      </c>
      <c r="C258" s="36">
        <v>130.57505708096787</v>
      </c>
      <c r="D258">
        <f t="shared" si="10"/>
        <v>184</v>
      </c>
      <c r="E258" s="36">
        <v>-122.5018714417785</v>
      </c>
    </row>
    <row r="259" spans="2:5" x14ac:dyDescent="0.3">
      <c r="B259">
        <v>185</v>
      </c>
      <c r="C259" s="36">
        <v>124.03591479309839</v>
      </c>
      <c r="D259">
        <f t="shared" si="10"/>
        <v>185</v>
      </c>
      <c r="E259" s="36">
        <v>50.936738453422322</v>
      </c>
    </row>
    <row r="260" spans="2:5" x14ac:dyDescent="0.3">
      <c r="B260">
        <v>186</v>
      </c>
      <c r="C260" s="36">
        <v>138.60544286384243</v>
      </c>
      <c r="D260">
        <f t="shared" si="10"/>
        <v>186</v>
      </c>
      <c r="E260" s="36">
        <v>209.48814307448652</v>
      </c>
    </row>
    <row r="261" spans="2:5" x14ac:dyDescent="0.3">
      <c r="B261">
        <v>187</v>
      </c>
      <c r="C261" s="36">
        <v>112.57786111774547</v>
      </c>
      <c r="D261">
        <f t="shared" si="10"/>
        <v>187</v>
      </c>
      <c r="E261" s="36">
        <v>135.05955256217348</v>
      </c>
    </row>
    <row r="262" spans="2:5" x14ac:dyDescent="0.3">
      <c r="B262">
        <v>188</v>
      </c>
      <c r="C262" s="36">
        <v>65.426157636708325</v>
      </c>
      <c r="D262">
        <f t="shared" si="10"/>
        <v>188</v>
      </c>
      <c r="E262" s="36">
        <v>120.38475882696602</v>
      </c>
    </row>
    <row r="263" spans="2:5" x14ac:dyDescent="0.3">
      <c r="B263">
        <v>189</v>
      </c>
      <c r="C263" s="36">
        <v>124.92789743919363</v>
      </c>
      <c r="D263">
        <f t="shared" si="10"/>
        <v>189</v>
      </c>
      <c r="E263" s="36">
        <v>139.81100075405982</v>
      </c>
    </row>
    <row r="264" spans="2:5" x14ac:dyDescent="0.3">
      <c r="B264">
        <v>190</v>
      </c>
      <c r="C264" s="36">
        <v>143.43201423361086</v>
      </c>
      <c r="D264">
        <f t="shared" si="10"/>
        <v>190</v>
      </c>
      <c r="E264" s="36">
        <v>-42.641958797546124</v>
      </c>
    </row>
    <row r="265" spans="2:5" x14ac:dyDescent="0.3">
      <c r="B265">
        <v>191</v>
      </c>
      <c r="C265" s="36">
        <v>129.7924595016232</v>
      </c>
      <c r="D265">
        <f t="shared" si="10"/>
        <v>191</v>
      </c>
      <c r="E265" s="36">
        <v>200.49161865824129</v>
      </c>
    </row>
    <row r="266" spans="2:5" x14ac:dyDescent="0.3">
      <c r="B266">
        <v>192</v>
      </c>
      <c r="C266" s="36">
        <v>31.358499821874982</v>
      </c>
      <c r="D266">
        <f t="shared" si="10"/>
        <v>192</v>
      </c>
      <c r="E266" s="36">
        <v>142.29009050816924</v>
      </c>
    </row>
    <row r="267" spans="2:5" x14ac:dyDescent="0.3">
      <c r="B267">
        <v>193</v>
      </c>
      <c r="C267" s="36">
        <v>160.96975473608146</v>
      </c>
      <c r="D267">
        <f t="shared" si="10"/>
        <v>193</v>
      </c>
      <c r="E267" s="36">
        <v>-19.968072691866038</v>
      </c>
    </row>
    <row r="268" spans="2:5" x14ac:dyDescent="0.3">
      <c r="B268">
        <v>194</v>
      </c>
      <c r="C268" s="36">
        <v>118.8530975368121</v>
      </c>
      <c r="D268">
        <f t="shared" si="10"/>
        <v>194</v>
      </c>
      <c r="E268" s="36">
        <v>311.55108237052269</v>
      </c>
    </row>
    <row r="269" spans="2:5" x14ac:dyDescent="0.3">
      <c r="B269">
        <v>195</v>
      </c>
      <c r="C269" s="36">
        <v>113.2468619468621</v>
      </c>
      <c r="D269">
        <f t="shared" ref="D269:D332" si="11">B269</f>
        <v>195</v>
      </c>
      <c r="E269" s="36">
        <v>38.296983264098387</v>
      </c>
    </row>
    <row r="270" spans="2:5" x14ac:dyDescent="0.3">
      <c r="B270">
        <v>196</v>
      </c>
      <c r="C270" s="36">
        <v>168.57221568589074</v>
      </c>
      <c r="D270">
        <f t="shared" si="11"/>
        <v>196</v>
      </c>
      <c r="E270" s="36">
        <v>159.96082085408099</v>
      </c>
    </row>
    <row r="271" spans="2:5" x14ac:dyDescent="0.3">
      <c r="B271">
        <v>197</v>
      </c>
      <c r="C271" s="36">
        <v>72.834759378718132</v>
      </c>
      <c r="D271">
        <f t="shared" si="11"/>
        <v>197</v>
      </c>
      <c r="E271" s="36">
        <v>210.93442801096984</v>
      </c>
    </row>
    <row r="272" spans="2:5" x14ac:dyDescent="0.3">
      <c r="B272">
        <v>198</v>
      </c>
      <c r="C272" s="36">
        <v>101.05093371140136</v>
      </c>
      <c r="D272">
        <f t="shared" si="11"/>
        <v>198</v>
      </c>
      <c r="E272" s="36">
        <v>250.14011417089085</v>
      </c>
    </row>
    <row r="273" spans="2:5" x14ac:dyDescent="0.3">
      <c r="B273">
        <v>199</v>
      </c>
      <c r="C273" s="36">
        <v>55.171141033051903</v>
      </c>
      <c r="D273">
        <f t="shared" si="11"/>
        <v>199</v>
      </c>
      <c r="E273" s="36">
        <v>377.74161888482456</v>
      </c>
    </row>
    <row r="274" spans="2:5" x14ac:dyDescent="0.3">
      <c r="B274">
        <v>200</v>
      </c>
      <c r="C274" s="36">
        <v>77.234268478482946</v>
      </c>
      <c r="D274">
        <f t="shared" si="11"/>
        <v>200</v>
      </c>
      <c r="E274" s="36">
        <v>-295.34033797948888</v>
      </c>
    </row>
    <row r="275" spans="2:5" x14ac:dyDescent="0.3">
      <c r="B275">
        <v>201</v>
      </c>
      <c r="C275" s="36">
        <v>160.048129356826</v>
      </c>
      <c r="D275">
        <f t="shared" si="11"/>
        <v>201</v>
      </c>
      <c r="E275" s="36">
        <v>110.63808492786953</v>
      </c>
    </row>
    <row r="276" spans="2:5" x14ac:dyDescent="0.3">
      <c r="B276">
        <v>202</v>
      </c>
      <c r="C276" s="36">
        <v>159.03947596152722</v>
      </c>
      <c r="D276">
        <f t="shared" si="11"/>
        <v>202</v>
      </c>
      <c r="E276" s="36">
        <v>331.37704400857672</v>
      </c>
    </row>
    <row r="277" spans="2:5" x14ac:dyDescent="0.3">
      <c r="B277">
        <v>203</v>
      </c>
      <c r="C277" s="36">
        <v>-18.775971766407032</v>
      </c>
      <c r="D277">
        <f t="shared" si="11"/>
        <v>203</v>
      </c>
      <c r="E277" s="36">
        <v>-21.769794961752346</v>
      </c>
    </row>
    <row r="278" spans="2:5" x14ac:dyDescent="0.3">
      <c r="B278">
        <v>204</v>
      </c>
      <c r="C278" s="36">
        <v>50.710357169393795</v>
      </c>
      <c r="D278">
        <f t="shared" si="11"/>
        <v>204</v>
      </c>
      <c r="E278" s="36">
        <v>29.446257421418785</v>
      </c>
    </row>
    <row r="279" spans="2:5" x14ac:dyDescent="0.3">
      <c r="B279">
        <v>205</v>
      </c>
      <c r="C279" s="36">
        <v>108.88263391649711</v>
      </c>
      <c r="D279">
        <f t="shared" si="11"/>
        <v>205</v>
      </c>
      <c r="E279" s="36">
        <v>294.53216251798551</v>
      </c>
    </row>
    <row r="280" spans="2:5" x14ac:dyDescent="0.3">
      <c r="B280">
        <v>206</v>
      </c>
      <c r="C280" s="36">
        <v>82.843004489907983</v>
      </c>
      <c r="D280">
        <f t="shared" si="11"/>
        <v>206</v>
      </c>
      <c r="E280" s="36">
        <v>-59.198312949617574</v>
      </c>
    </row>
    <row r="281" spans="2:5" x14ac:dyDescent="0.3">
      <c r="B281">
        <v>207</v>
      </c>
      <c r="C281" s="36">
        <v>136.46800597715281</v>
      </c>
      <c r="D281">
        <f t="shared" si="11"/>
        <v>207</v>
      </c>
      <c r="E281" s="36">
        <v>324.74382015164935</v>
      </c>
    </row>
    <row r="282" spans="2:5" x14ac:dyDescent="0.3">
      <c r="B282">
        <v>208</v>
      </c>
      <c r="C282" s="36">
        <v>27.043027220387859</v>
      </c>
      <c r="D282">
        <f t="shared" si="11"/>
        <v>208</v>
      </c>
      <c r="E282" s="36">
        <v>-22.188542502044402</v>
      </c>
    </row>
    <row r="283" spans="2:5" x14ac:dyDescent="0.3">
      <c r="B283">
        <v>209</v>
      </c>
      <c r="C283" s="36">
        <v>98.167089739480801</v>
      </c>
      <c r="D283">
        <f t="shared" si="11"/>
        <v>209</v>
      </c>
      <c r="E283" s="36">
        <v>-7.6763840841688733</v>
      </c>
    </row>
    <row r="284" spans="2:5" x14ac:dyDescent="0.3">
      <c r="B284">
        <v>210</v>
      </c>
      <c r="C284" s="36">
        <v>91.89711142329142</v>
      </c>
      <c r="D284">
        <f t="shared" si="11"/>
        <v>210</v>
      </c>
      <c r="E284" s="36">
        <v>118.89893228224805</v>
      </c>
    </row>
    <row r="285" spans="2:5" x14ac:dyDescent="0.3">
      <c r="B285">
        <v>211</v>
      </c>
      <c r="C285" s="36">
        <v>58.776095140998805</v>
      </c>
      <c r="D285">
        <f t="shared" si="11"/>
        <v>211</v>
      </c>
      <c r="E285" s="36">
        <v>98.906017779673164</v>
      </c>
    </row>
    <row r="286" spans="2:5" x14ac:dyDescent="0.3">
      <c r="B286">
        <v>212</v>
      </c>
      <c r="C286" s="36">
        <v>77.477179657272885</v>
      </c>
      <c r="D286">
        <f t="shared" si="11"/>
        <v>212</v>
      </c>
      <c r="E286" s="36">
        <v>37.292216964448031</v>
      </c>
    </row>
    <row r="287" spans="2:5" x14ac:dyDescent="0.3">
      <c r="B287">
        <v>213</v>
      </c>
      <c r="C287" s="36">
        <v>130.17971535948621</v>
      </c>
      <c r="D287">
        <f t="shared" si="11"/>
        <v>213</v>
      </c>
      <c r="E287" s="36">
        <v>225.96198769969789</v>
      </c>
    </row>
    <row r="288" spans="2:5" x14ac:dyDescent="0.3">
      <c r="B288">
        <v>214</v>
      </c>
      <c r="C288" s="36">
        <v>81.169359550565062</v>
      </c>
      <c r="D288">
        <f t="shared" si="11"/>
        <v>214</v>
      </c>
      <c r="E288" s="36">
        <v>217.1417172660158</v>
      </c>
    </row>
    <row r="289" spans="2:5" x14ac:dyDescent="0.3">
      <c r="B289">
        <v>215</v>
      </c>
      <c r="C289" s="36">
        <v>146.40160894897735</v>
      </c>
      <c r="D289">
        <f t="shared" si="11"/>
        <v>215</v>
      </c>
      <c r="E289" s="36">
        <v>-223.93847101140364</v>
      </c>
    </row>
    <row r="290" spans="2:5" x14ac:dyDescent="0.3">
      <c r="B290">
        <v>216</v>
      </c>
      <c r="C290" s="36">
        <v>114.57156372746165</v>
      </c>
      <c r="D290">
        <f t="shared" si="11"/>
        <v>216</v>
      </c>
      <c r="E290" s="36">
        <v>196.26887914537105</v>
      </c>
    </row>
    <row r="291" spans="2:5" x14ac:dyDescent="0.3">
      <c r="B291">
        <v>217</v>
      </c>
      <c r="C291" s="36">
        <v>25.395268499622912</v>
      </c>
      <c r="D291">
        <f t="shared" si="11"/>
        <v>217</v>
      </c>
      <c r="E291" s="36">
        <v>256.04881650309346</v>
      </c>
    </row>
    <row r="292" spans="2:5" x14ac:dyDescent="0.3">
      <c r="B292">
        <v>218</v>
      </c>
      <c r="C292" s="36">
        <v>67.896794715419631</v>
      </c>
      <c r="D292">
        <f t="shared" si="11"/>
        <v>218</v>
      </c>
      <c r="E292" s="36">
        <v>334.03277234883211</v>
      </c>
    </row>
    <row r="293" spans="2:5" x14ac:dyDescent="0.3">
      <c r="B293">
        <v>219</v>
      </c>
      <c r="C293" s="36">
        <v>176.77284127147686</v>
      </c>
      <c r="D293">
        <f t="shared" si="11"/>
        <v>219</v>
      </c>
      <c r="E293" s="36">
        <v>120.03859174068134</v>
      </c>
    </row>
    <row r="294" spans="2:5" x14ac:dyDescent="0.3">
      <c r="B294">
        <v>220</v>
      </c>
      <c r="C294" s="36">
        <v>60.475328707424254</v>
      </c>
      <c r="D294">
        <f t="shared" si="11"/>
        <v>220</v>
      </c>
      <c r="E294" s="36">
        <v>16.669548756592597</v>
      </c>
    </row>
    <row r="295" spans="2:5" x14ac:dyDescent="0.3">
      <c r="B295">
        <v>221</v>
      </c>
      <c r="C295" s="36">
        <v>103.69875632198827</v>
      </c>
      <c r="D295">
        <f t="shared" si="11"/>
        <v>221</v>
      </c>
      <c r="E295" s="36">
        <v>-43.756526246526157</v>
      </c>
    </row>
    <row r="296" spans="2:5" x14ac:dyDescent="0.3">
      <c r="B296">
        <v>222</v>
      </c>
      <c r="C296" s="36">
        <v>129.10482168567086</v>
      </c>
      <c r="D296">
        <f t="shared" si="11"/>
        <v>222</v>
      </c>
      <c r="E296" s="36">
        <v>380.33740587100255</v>
      </c>
    </row>
    <row r="297" spans="2:5" x14ac:dyDescent="0.3">
      <c r="B297">
        <v>223</v>
      </c>
      <c r="C297" s="36">
        <v>142.40076945097573</v>
      </c>
      <c r="D297">
        <f t="shared" si="11"/>
        <v>223</v>
      </c>
      <c r="E297" s="36">
        <v>180.10188342132724</v>
      </c>
    </row>
    <row r="298" spans="2:5" x14ac:dyDescent="0.3">
      <c r="B298">
        <v>224</v>
      </c>
      <c r="C298" s="36">
        <v>176.99309874778496</v>
      </c>
      <c r="D298">
        <f t="shared" si="11"/>
        <v>224</v>
      </c>
      <c r="E298" s="36">
        <v>446.09617756569514</v>
      </c>
    </row>
    <row r="299" spans="2:5" x14ac:dyDescent="0.3">
      <c r="B299">
        <v>225</v>
      </c>
      <c r="C299" s="36">
        <v>128.5597724091925</v>
      </c>
      <c r="D299">
        <f t="shared" si="11"/>
        <v>225</v>
      </c>
      <c r="E299" s="36">
        <v>36.666067521085573</v>
      </c>
    </row>
    <row r="300" spans="2:5" x14ac:dyDescent="0.3">
      <c r="B300">
        <v>226</v>
      </c>
      <c r="C300" s="36">
        <v>118.57760274656027</v>
      </c>
      <c r="D300">
        <f t="shared" si="11"/>
        <v>226</v>
      </c>
      <c r="E300" s="36">
        <v>154.76780427529576</v>
      </c>
    </row>
    <row r="301" spans="2:5" x14ac:dyDescent="0.3">
      <c r="B301">
        <v>227</v>
      </c>
      <c r="C301" s="36">
        <v>153.01493011365156</v>
      </c>
      <c r="D301">
        <f t="shared" si="11"/>
        <v>227</v>
      </c>
      <c r="E301" s="36">
        <v>201.65546899746678</v>
      </c>
    </row>
    <row r="302" spans="2:5" x14ac:dyDescent="0.3">
      <c r="B302">
        <v>228</v>
      </c>
      <c r="C302" s="36">
        <v>111.55584690434993</v>
      </c>
      <c r="D302">
        <f t="shared" si="11"/>
        <v>228</v>
      </c>
      <c r="E302" s="36">
        <v>393.26894172915229</v>
      </c>
    </row>
    <row r="303" spans="2:5" x14ac:dyDescent="0.3">
      <c r="B303">
        <v>229</v>
      </c>
      <c r="C303" s="36">
        <v>148.24081340124158</v>
      </c>
      <c r="D303">
        <f t="shared" si="11"/>
        <v>229</v>
      </c>
      <c r="E303" s="36">
        <v>267.85992702820079</v>
      </c>
    </row>
    <row r="304" spans="2:5" x14ac:dyDescent="0.3">
      <c r="B304">
        <v>230</v>
      </c>
      <c r="C304" s="36">
        <v>80.576165070468434</v>
      </c>
      <c r="D304">
        <f t="shared" si="11"/>
        <v>230</v>
      </c>
      <c r="E304" s="36">
        <v>64.689411240824967</v>
      </c>
    </row>
    <row r="305" spans="2:5" x14ac:dyDescent="0.3">
      <c r="B305">
        <v>231</v>
      </c>
      <c r="C305" s="36">
        <v>202.90045335836433</v>
      </c>
      <c r="D305">
        <f t="shared" si="11"/>
        <v>231</v>
      </c>
      <c r="E305" s="36">
        <v>263.36420708521359</v>
      </c>
    </row>
    <row r="306" spans="2:5" x14ac:dyDescent="0.3">
      <c r="B306">
        <v>232</v>
      </c>
      <c r="C306" s="36">
        <v>155.63611460955292</v>
      </c>
      <c r="D306">
        <f t="shared" si="11"/>
        <v>232</v>
      </c>
      <c r="E306" s="36">
        <v>291.43764616121564</v>
      </c>
    </row>
    <row r="307" spans="2:5" x14ac:dyDescent="0.3">
      <c r="B307">
        <v>233</v>
      </c>
      <c r="C307" s="36">
        <v>125.85548811816685</v>
      </c>
      <c r="D307">
        <f t="shared" si="11"/>
        <v>233</v>
      </c>
      <c r="E307" s="36">
        <v>137.02646838405403</v>
      </c>
    </row>
    <row r="308" spans="2:5" x14ac:dyDescent="0.3">
      <c r="B308">
        <v>234</v>
      </c>
      <c r="C308" s="36">
        <v>102.84976756084112</v>
      </c>
      <c r="D308">
        <f t="shared" si="11"/>
        <v>234</v>
      </c>
      <c r="E308" s="36">
        <v>77.319679117166217</v>
      </c>
    </row>
    <row r="309" spans="2:5" x14ac:dyDescent="0.3">
      <c r="B309">
        <v>235</v>
      </c>
      <c r="C309" s="36">
        <v>103.32989144333575</v>
      </c>
      <c r="D309">
        <f t="shared" si="11"/>
        <v>235</v>
      </c>
      <c r="E309" s="36">
        <v>-86.007232601710726</v>
      </c>
    </row>
    <row r="310" spans="2:5" x14ac:dyDescent="0.3">
      <c r="B310">
        <v>236</v>
      </c>
      <c r="C310" s="36">
        <v>166.56886238200701</v>
      </c>
      <c r="D310">
        <f t="shared" si="11"/>
        <v>236</v>
      </c>
      <c r="E310" s="36">
        <v>141.18240192264878</v>
      </c>
    </row>
    <row r="311" spans="2:5" x14ac:dyDescent="0.3">
      <c r="B311">
        <v>237</v>
      </c>
      <c r="C311" s="36">
        <v>130.4034992977214</v>
      </c>
      <c r="D311">
        <f t="shared" si="11"/>
        <v>237</v>
      </c>
      <c r="E311" s="36">
        <v>206.42410344257897</v>
      </c>
    </row>
    <row r="312" spans="2:5" x14ac:dyDescent="0.3">
      <c r="B312">
        <v>238</v>
      </c>
      <c r="C312" s="36">
        <v>41.76645761053976</v>
      </c>
      <c r="D312">
        <f t="shared" si="11"/>
        <v>238</v>
      </c>
      <c r="E312" s="36">
        <v>319.75530210593513</v>
      </c>
    </row>
    <row r="313" spans="2:5" x14ac:dyDescent="0.3">
      <c r="B313">
        <v>239</v>
      </c>
      <c r="C313" s="36">
        <v>156.65809991902182</v>
      </c>
      <c r="D313">
        <f t="shared" si="11"/>
        <v>239</v>
      </c>
      <c r="E313" s="36">
        <v>-5.6762802275861945</v>
      </c>
    </row>
    <row r="314" spans="2:5" x14ac:dyDescent="0.3">
      <c r="B314">
        <v>240</v>
      </c>
      <c r="C314" s="36">
        <v>148.30347246615815</v>
      </c>
      <c r="D314">
        <f t="shared" si="11"/>
        <v>240</v>
      </c>
      <c r="E314" s="36">
        <v>47.133688856838894</v>
      </c>
    </row>
    <row r="315" spans="2:5" x14ac:dyDescent="0.3">
      <c r="B315">
        <v>241</v>
      </c>
      <c r="C315" s="36">
        <v>145.86233270185994</v>
      </c>
      <c r="D315">
        <f t="shared" si="11"/>
        <v>241</v>
      </c>
      <c r="E315" s="36">
        <v>178.7349844063497</v>
      </c>
    </row>
    <row r="316" spans="2:5" x14ac:dyDescent="0.3">
      <c r="B316">
        <v>242</v>
      </c>
      <c r="C316" s="36">
        <v>114.06208066968699</v>
      </c>
      <c r="D316">
        <f t="shared" si="11"/>
        <v>242</v>
      </c>
      <c r="E316" s="36">
        <v>195.81142096517505</v>
      </c>
    </row>
    <row r="317" spans="2:5" x14ac:dyDescent="0.3">
      <c r="B317">
        <v>243</v>
      </c>
      <c r="C317" s="36">
        <v>135.70751154588999</v>
      </c>
      <c r="D317">
        <f t="shared" si="11"/>
        <v>243</v>
      </c>
      <c r="E317" s="36">
        <v>107.14962207500773</v>
      </c>
    </row>
    <row r="318" spans="2:5" x14ac:dyDescent="0.3">
      <c r="B318">
        <v>244</v>
      </c>
      <c r="C318" s="36">
        <v>96.394144446920649</v>
      </c>
      <c r="D318">
        <f t="shared" si="11"/>
        <v>244</v>
      </c>
      <c r="E318" s="36">
        <v>75.847071751945521</v>
      </c>
    </row>
    <row r="319" spans="2:5" x14ac:dyDescent="0.3">
      <c r="B319">
        <v>245</v>
      </c>
      <c r="C319" s="36">
        <v>122.9013196843938</v>
      </c>
      <c r="D319">
        <f t="shared" si="11"/>
        <v>245</v>
      </c>
      <c r="E319" s="36">
        <v>109.19047506029433</v>
      </c>
    </row>
    <row r="320" spans="2:5" x14ac:dyDescent="0.3">
      <c r="B320">
        <v>246</v>
      </c>
      <c r="C320" s="36">
        <v>66.942834376642935</v>
      </c>
      <c r="D320">
        <f t="shared" si="11"/>
        <v>246</v>
      </c>
      <c r="E320" s="36">
        <v>215.8300072930077</v>
      </c>
    </row>
    <row r="321" spans="2:5" x14ac:dyDescent="0.3">
      <c r="B321">
        <v>247</v>
      </c>
      <c r="C321" s="36">
        <v>82.795108885512775</v>
      </c>
      <c r="D321">
        <f t="shared" si="11"/>
        <v>247</v>
      </c>
      <c r="E321" s="36">
        <v>171.25666697701922</v>
      </c>
    </row>
    <row r="322" spans="2:5" x14ac:dyDescent="0.3">
      <c r="B322">
        <v>248</v>
      </c>
      <c r="C322" s="36">
        <v>147.80533131807042</v>
      </c>
      <c r="D322">
        <f t="shared" si="11"/>
        <v>248</v>
      </c>
      <c r="E322" s="36">
        <v>205.85988227931497</v>
      </c>
    </row>
    <row r="323" spans="2:5" x14ac:dyDescent="0.3">
      <c r="B323">
        <v>249</v>
      </c>
      <c r="C323" s="36">
        <v>122.12878381542919</v>
      </c>
      <c r="D323">
        <f t="shared" si="11"/>
        <v>249</v>
      </c>
      <c r="E323" s="36">
        <v>231.26624748760796</v>
      </c>
    </row>
    <row r="324" spans="2:5" x14ac:dyDescent="0.3">
      <c r="B324">
        <v>250</v>
      </c>
      <c r="C324" s="36">
        <v>204.04657007312358</v>
      </c>
      <c r="D324">
        <f t="shared" si="11"/>
        <v>250</v>
      </c>
      <c r="E324" s="36">
        <v>-30.165506569745713</v>
      </c>
    </row>
    <row r="325" spans="2:5" x14ac:dyDescent="0.3">
      <c r="B325">
        <v>251</v>
      </c>
      <c r="C325" s="36">
        <v>92.721353182188565</v>
      </c>
      <c r="D325">
        <f t="shared" si="11"/>
        <v>251</v>
      </c>
      <c r="E325" s="36">
        <v>13.393793159383705</v>
      </c>
    </row>
    <row r="326" spans="2:5" x14ac:dyDescent="0.3">
      <c r="B326">
        <v>252</v>
      </c>
      <c r="C326" s="36">
        <v>149.14602441397679</v>
      </c>
      <c r="D326">
        <f t="shared" si="11"/>
        <v>252</v>
      </c>
      <c r="E326" s="36">
        <v>-209.76579947437358</v>
      </c>
    </row>
    <row r="327" spans="2:5" x14ac:dyDescent="0.3">
      <c r="B327">
        <v>253</v>
      </c>
      <c r="C327" s="36">
        <v>59.7821823530697</v>
      </c>
      <c r="D327">
        <f t="shared" si="11"/>
        <v>253</v>
      </c>
      <c r="E327" s="36">
        <v>460.8385381364912</v>
      </c>
    </row>
    <row r="328" spans="2:5" x14ac:dyDescent="0.3">
      <c r="B328">
        <v>254</v>
      </c>
      <c r="C328" s="36">
        <v>145.13061776060079</v>
      </c>
      <c r="D328">
        <f t="shared" si="11"/>
        <v>254</v>
      </c>
      <c r="E328" s="36">
        <v>131.58723473482732</v>
      </c>
    </row>
    <row r="329" spans="2:5" x14ac:dyDescent="0.3">
      <c r="B329">
        <v>255</v>
      </c>
      <c r="C329" s="36">
        <v>-16.780679758494593</v>
      </c>
      <c r="D329">
        <f t="shared" si="11"/>
        <v>255</v>
      </c>
      <c r="E329" s="36">
        <v>66.652785954441185</v>
      </c>
    </row>
    <row r="330" spans="2:5" x14ac:dyDescent="0.3">
      <c r="B330">
        <v>256</v>
      </c>
      <c r="C330" s="36">
        <v>73.755043492802287</v>
      </c>
      <c r="D330">
        <f t="shared" si="11"/>
        <v>256</v>
      </c>
      <c r="E330" s="36">
        <v>229.07630438028755</v>
      </c>
    </row>
    <row r="331" spans="2:5" x14ac:dyDescent="0.3">
      <c r="B331">
        <v>257</v>
      </c>
      <c r="C331" s="36">
        <v>146.45313163979756</v>
      </c>
      <c r="D331">
        <f t="shared" si="11"/>
        <v>257</v>
      </c>
      <c r="E331" s="36">
        <v>424.84203244227911</v>
      </c>
    </row>
    <row r="332" spans="2:5" x14ac:dyDescent="0.3">
      <c r="B332">
        <v>258</v>
      </c>
      <c r="C332" s="36">
        <v>152.7917826679369</v>
      </c>
      <c r="D332">
        <f t="shared" si="11"/>
        <v>258</v>
      </c>
      <c r="E332" s="36">
        <v>70.543290103758991</v>
      </c>
    </row>
    <row r="333" spans="2:5" x14ac:dyDescent="0.3">
      <c r="B333">
        <v>259</v>
      </c>
      <c r="C333" s="36">
        <v>135.92504678638588</v>
      </c>
      <c r="D333">
        <f t="shared" ref="D333:D396" si="12">B333</f>
        <v>259</v>
      </c>
      <c r="E333" s="36">
        <v>371.1858103037813</v>
      </c>
    </row>
    <row r="334" spans="2:5" x14ac:dyDescent="0.3">
      <c r="B334">
        <v>260</v>
      </c>
      <c r="C334" s="36">
        <v>136.85391488837143</v>
      </c>
      <c r="D334">
        <f t="shared" si="12"/>
        <v>260</v>
      </c>
      <c r="E334" s="36">
        <v>378.40184784099063</v>
      </c>
    </row>
    <row r="335" spans="2:5" x14ac:dyDescent="0.3">
      <c r="B335">
        <v>261</v>
      </c>
      <c r="C335" s="36">
        <v>111.88160827793133</v>
      </c>
      <c r="D335">
        <f t="shared" si="12"/>
        <v>261</v>
      </c>
      <c r="E335" s="36">
        <v>153.66256517241615</v>
      </c>
    </row>
    <row r="336" spans="2:5" x14ac:dyDescent="0.3">
      <c r="B336">
        <v>262</v>
      </c>
      <c r="C336" s="36">
        <v>174.88928927455999</v>
      </c>
      <c r="D336">
        <f t="shared" si="12"/>
        <v>262</v>
      </c>
      <c r="E336" s="36">
        <v>238.84651786424666</v>
      </c>
    </row>
    <row r="337" spans="2:5" x14ac:dyDescent="0.3">
      <c r="B337">
        <v>263</v>
      </c>
      <c r="C337" s="36">
        <v>33.911153480748325</v>
      </c>
      <c r="D337">
        <f t="shared" si="12"/>
        <v>263</v>
      </c>
      <c r="E337" s="36">
        <v>353.93637777254855</v>
      </c>
    </row>
    <row r="338" spans="2:5" x14ac:dyDescent="0.3">
      <c r="B338">
        <v>264</v>
      </c>
      <c r="C338" s="36">
        <v>147.09186461915985</v>
      </c>
      <c r="D338">
        <f t="shared" si="12"/>
        <v>264</v>
      </c>
      <c r="E338" s="36">
        <v>153.70093559590453</v>
      </c>
    </row>
    <row r="339" spans="2:5" x14ac:dyDescent="0.3">
      <c r="B339">
        <v>265</v>
      </c>
      <c r="C339" s="36">
        <v>105.41508058217137</v>
      </c>
      <c r="D339">
        <f t="shared" si="12"/>
        <v>265</v>
      </c>
      <c r="E339" s="36">
        <v>28.218503146507896</v>
      </c>
    </row>
    <row r="340" spans="2:5" x14ac:dyDescent="0.3">
      <c r="B340">
        <v>266</v>
      </c>
      <c r="C340" s="36">
        <v>137.17770539071361</v>
      </c>
      <c r="D340">
        <f t="shared" si="12"/>
        <v>266</v>
      </c>
      <c r="E340" s="36">
        <v>144.47429722522276</v>
      </c>
    </row>
    <row r="341" spans="2:5" x14ac:dyDescent="0.3">
      <c r="B341">
        <v>267</v>
      </c>
      <c r="C341" s="36">
        <v>-68.01776733259608</v>
      </c>
      <c r="D341">
        <f t="shared" si="12"/>
        <v>267</v>
      </c>
      <c r="E341" s="36">
        <v>108.3063405795294</v>
      </c>
    </row>
    <row r="342" spans="2:5" x14ac:dyDescent="0.3">
      <c r="B342">
        <v>268</v>
      </c>
      <c r="C342" s="36">
        <v>115.21524574751034</v>
      </c>
      <c r="D342">
        <f t="shared" si="12"/>
        <v>268</v>
      </c>
      <c r="E342" s="36">
        <v>-218.74616814987468</v>
      </c>
    </row>
    <row r="343" spans="2:5" x14ac:dyDescent="0.3">
      <c r="B343">
        <v>269</v>
      </c>
      <c r="C343" s="36">
        <v>44.921251485056061</v>
      </c>
      <c r="D343">
        <f t="shared" si="12"/>
        <v>269</v>
      </c>
      <c r="E343" s="36">
        <v>247.17543143392808</v>
      </c>
    </row>
    <row r="344" spans="2:5" x14ac:dyDescent="0.3">
      <c r="B344">
        <v>270</v>
      </c>
      <c r="C344" s="36">
        <v>48.322519342633555</v>
      </c>
      <c r="D344">
        <f t="shared" si="12"/>
        <v>270</v>
      </c>
      <c r="E344" s="36">
        <v>213.60673066464383</v>
      </c>
    </row>
    <row r="345" spans="2:5" x14ac:dyDescent="0.3">
      <c r="B345">
        <v>271</v>
      </c>
      <c r="C345" s="36">
        <v>129.66527449674817</v>
      </c>
      <c r="D345">
        <f t="shared" si="12"/>
        <v>271</v>
      </c>
      <c r="E345" s="36">
        <v>35.619263035462311</v>
      </c>
    </row>
    <row r="346" spans="2:5" x14ac:dyDescent="0.3">
      <c r="B346">
        <v>272</v>
      </c>
      <c r="C346" s="36">
        <v>102.06079913665431</v>
      </c>
      <c r="D346">
        <f t="shared" si="12"/>
        <v>272</v>
      </c>
      <c r="E346" s="36">
        <v>293.82707799656879</v>
      </c>
    </row>
    <row r="347" spans="2:5" x14ac:dyDescent="0.3">
      <c r="B347">
        <v>273</v>
      </c>
      <c r="C347" s="36">
        <v>86.624072388391852</v>
      </c>
      <c r="D347">
        <f t="shared" si="12"/>
        <v>273</v>
      </c>
      <c r="E347" s="36">
        <v>241.46800089592028</v>
      </c>
    </row>
    <row r="348" spans="2:5" x14ac:dyDescent="0.3">
      <c r="B348">
        <v>274</v>
      </c>
      <c r="C348" s="36">
        <v>56.673112661350032</v>
      </c>
      <c r="D348">
        <f t="shared" si="12"/>
        <v>274</v>
      </c>
      <c r="E348" s="36">
        <v>24.11917509336639</v>
      </c>
    </row>
    <row r="349" spans="2:5" x14ac:dyDescent="0.3">
      <c r="B349">
        <v>275</v>
      </c>
      <c r="C349" s="36">
        <v>139.30430199842527</v>
      </c>
      <c r="D349">
        <f t="shared" si="12"/>
        <v>275</v>
      </c>
      <c r="E349" s="36">
        <v>-145.43155067441668</v>
      </c>
    </row>
    <row r="350" spans="2:5" x14ac:dyDescent="0.3">
      <c r="B350">
        <v>276</v>
      </c>
      <c r="C350" s="36">
        <v>129.01698890543989</v>
      </c>
      <c r="D350">
        <f t="shared" si="12"/>
        <v>276</v>
      </c>
      <c r="E350" s="36">
        <v>96.701979114749363</v>
      </c>
    </row>
    <row r="351" spans="2:5" x14ac:dyDescent="0.3">
      <c r="B351">
        <v>277</v>
      </c>
      <c r="C351" s="36">
        <v>49.739419566643456</v>
      </c>
      <c r="D351">
        <f t="shared" si="12"/>
        <v>277</v>
      </c>
      <c r="E351" s="36">
        <v>212.28618318753496</v>
      </c>
    </row>
    <row r="352" spans="2:5" x14ac:dyDescent="0.3">
      <c r="B352">
        <v>278</v>
      </c>
      <c r="C352" s="36">
        <v>87.659372447125946</v>
      </c>
      <c r="D352">
        <f t="shared" si="12"/>
        <v>278</v>
      </c>
      <c r="E352" s="36">
        <v>203.42679227632715</v>
      </c>
    </row>
    <row r="353" spans="2:5" x14ac:dyDescent="0.3">
      <c r="B353">
        <v>279</v>
      </c>
      <c r="C353" s="36">
        <v>152.38093692353499</v>
      </c>
      <c r="D353">
        <f t="shared" si="12"/>
        <v>279</v>
      </c>
      <c r="E353" s="36">
        <v>250.85352953940983</v>
      </c>
    </row>
    <row r="354" spans="2:5" x14ac:dyDescent="0.3">
      <c r="B354">
        <v>280</v>
      </c>
      <c r="C354" s="36">
        <v>90.194259851953376</v>
      </c>
      <c r="D354">
        <f t="shared" si="12"/>
        <v>280</v>
      </c>
      <c r="E354" s="36">
        <v>213.04151300174721</v>
      </c>
    </row>
    <row r="355" spans="2:5" x14ac:dyDescent="0.3">
      <c r="B355">
        <v>281</v>
      </c>
      <c r="C355" s="36">
        <v>-15.815009427947151</v>
      </c>
      <c r="D355">
        <f t="shared" si="12"/>
        <v>281</v>
      </c>
      <c r="E355" s="36">
        <v>259.51227087540099</v>
      </c>
    </row>
    <row r="356" spans="2:5" x14ac:dyDescent="0.3">
      <c r="B356">
        <v>282</v>
      </c>
      <c r="C356" s="36">
        <v>166.0264630924803</v>
      </c>
      <c r="D356">
        <f t="shared" si="12"/>
        <v>282</v>
      </c>
      <c r="E356" s="36">
        <v>235.61662739638473</v>
      </c>
    </row>
    <row r="357" spans="2:5" x14ac:dyDescent="0.3">
      <c r="B357">
        <v>283</v>
      </c>
      <c r="C357" s="36">
        <v>114.61559581277723</v>
      </c>
      <c r="D357">
        <f t="shared" si="12"/>
        <v>283</v>
      </c>
      <c r="E357" s="36">
        <v>72.815261021677571</v>
      </c>
    </row>
    <row r="358" spans="2:5" x14ac:dyDescent="0.3">
      <c r="B358">
        <v>284</v>
      </c>
      <c r="C358" s="36">
        <v>104.90726587962357</v>
      </c>
      <c r="D358">
        <f t="shared" si="12"/>
        <v>284</v>
      </c>
      <c r="E358" s="36">
        <v>157.17167316935254</v>
      </c>
    </row>
    <row r="359" spans="2:5" x14ac:dyDescent="0.3">
      <c r="B359">
        <v>285</v>
      </c>
      <c r="C359" s="36">
        <v>158.52782051579933</v>
      </c>
      <c r="D359">
        <f t="shared" si="12"/>
        <v>285</v>
      </c>
      <c r="E359" s="36">
        <v>112.88807329229459</v>
      </c>
    </row>
    <row r="360" spans="2:5" x14ac:dyDescent="0.3">
      <c r="B360">
        <v>286</v>
      </c>
      <c r="C360" s="36">
        <v>123.71918499539906</v>
      </c>
      <c r="D360">
        <f t="shared" si="12"/>
        <v>286</v>
      </c>
      <c r="E360" s="36">
        <v>24.59055688111291</v>
      </c>
    </row>
    <row r="361" spans="2:5" x14ac:dyDescent="0.3">
      <c r="B361">
        <v>287</v>
      </c>
      <c r="C361" s="36">
        <v>184.93158472065073</v>
      </c>
      <c r="D361">
        <f t="shared" si="12"/>
        <v>287</v>
      </c>
      <c r="E361" s="36">
        <v>20.680325060155994</v>
      </c>
    </row>
    <row r="362" spans="2:5" x14ac:dyDescent="0.3">
      <c r="B362">
        <v>288</v>
      </c>
      <c r="C362" s="36">
        <v>126.07189023745968</v>
      </c>
      <c r="D362">
        <f t="shared" si="12"/>
        <v>288</v>
      </c>
      <c r="E362" s="36">
        <v>182.52456226229069</v>
      </c>
    </row>
    <row r="363" spans="2:5" x14ac:dyDescent="0.3">
      <c r="B363">
        <v>289</v>
      </c>
      <c r="C363" s="36">
        <v>59.912465762830266</v>
      </c>
      <c r="D363">
        <f t="shared" si="12"/>
        <v>289</v>
      </c>
      <c r="E363" s="36">
        <v>231.28616179275485</v>
      </c>
    </row>
    <row r="364" spans="2:5" x14ac:dyDescent="0.3">
      <c r="B364">
        <v>290</v>
      </c>
      <c r="C364" s="36">
        <v>128.32328698972466</v>
      </c>
      <c r="D364">
        <f t="shared" si="12"/>
        <v>290</v>
      </c>
      <c r="E364" s="36">
        <v>143.19567374807559</v>
      </c>
    </row>
    <row r="365" spans="2:5" x14ac:dyDescent="0.3">
      <c r="B365">
        <v>291</v>
      </c>
      <c r="C365" s="36">
        <v>116.65419370318446</v>
      </c>
      <c r="D365">
        <f t="shared" si="12"/>
        <v>291</v>
      </c>
      <c r="E365" s="36">
        <v>149.58447508614313</v>
      </c>
    </row>
    <row r="366" spans="2:5" x14ac:dyDescent="0.3">
      <c r="B366">
        <v>292</v>
      </c>
      <c r="C366" s="36">
        <v>65.812300505096033</v>
      </c>
      <c r="D366">
        <f t="shared" si="12"/>
        <v>292</v>
      </c>
      <c r="E366" s="36">
        <v>202.69104116394175</v>
      </c>
    </row>
    <row r="367" spans="2:5" x14ac:dyDescent="0.3">
      <c r="B367">
        <v>293</v>
      </c>
      <c r="C367" s="36">
        <v>141.20665245274481</v>
      </c>
      <c r="D367">
        <f t="shared" si="12"/>
        <v>293</v>
      </c>
      <c r="E367" s="36">
        <v>57.311584934441839</v>
      </c>
    </row>
    <row r="368" spans="2:5" x14ac:dyDescent="0.3">
      <c r="B368">
        <v>294</v>
      </c>
      <c r="C368" s="36">
        <v>162.34433068922098</v>
      </c>
      <c r="D368">
        <f t="shared" si="12"/>
        <v>294</v>
      </c>
      <c r="E368" s="36">
        <v>-74.169388122342582</v>
      </c>
    </row>
    <row r="369" spans="2:5" x14ac:dyDescent="0.3">
      <c r="B369">
        <v>295</v>
      </c>
      <c r="C369" s="36">
        <v>69.96754917737853</v>
      </c>
      <c r="D369">
        <f t="shared" si="12"/>
        <v>295</v>
      </c>
      <c r="E369" s="36">
        <v>166.34256489301984</v>
      </c>
    </row>
    <row r="370" spans="2:5" x14ac:dyDescent="0.3">
      <c r="B370">
        <v>296</v>
      </c>
      <c r="C370" s="36">
        <v>87.878051354673502</v>
      </c>
      <c r="D370">
        <f t="shared" si="12"/>
        <v>296</v>
      </c>
      <c r="E370" s="36">
        <v>21.163341203573733</v>
      </c>
    </row>
    <row r="371" spans="2:5" x14ac:dyDescent="0.3">
      <c r="B371">
        <v>297</v>
      </c>
      <c r="C371" s="36">
        <v>126.56350811084462</v>
      </c>
      <c r="D371">
        <f t="shared" si="12"/>
        <v>297</v>
      </c>
      <c r="E371" s="36">
        <v>120.99026660321367</v>
      </c>
    </row>
    <row r="372" spans="2:5" x14ac:dyDescent="0.3">
      <c r="B372">
        <v>298</v>
      </c>
      <c r="C372" s="36">
        <v>127.19874716891938</v>
      </c>
      <c r="D372">
        <f t="shared" si="12"/>
        <v>298</v>
      </c>
      <c r="E372" s="36">
        <v>188.46077392549009</v>
      </c>
    </row>
    <row r="373" spans="2:5" x14ac:dyDescent="0.3">
      <c r="B373">
        <v>299</v>
      </c>
      <c r="C373" s="36">
        <v>107.41878623602338</v>
      </c>
      <c r="D373">
        <f t="shared" si="12"/>
        <v>299</v>
      </c>
      <c r="E373" s="36">
        <v>-24.699740703594049</v>
      </c>
    </row>
    <row r="374" spans="2:5" x14ac:dyDescent="0.3">
      <c r="B374">
        <v>300</v>
      </c>
      <c r="C374" s="36">
        <v>72.971617766644243</v>
      </c>
      <c r="D374">
        <f t="shared" si="12"/>
        <v>300</v>
      </c>
      <c r="E374" s="36">
        <v>316.1693802698436</v>
      </c>
    </row>
    <row r="375" spans="2:5" x14ac:dyDescent="0.3">
      <c r="B375">
        <v>301</v>
      </c>
      <c r="C375" s="36">
        <v>118.80087106375292</v>
      </c>
      <c r="D375">
        <f t="shared" si="12"/>
        <v>301</v>
      </c>
      <c r="E375" s="36">
        <v>125.0409873863503</v>
      </c>
    </row>
    <row r="376" spans="2:5" x14ac:dyDescent="0.3">
      <c r="B376">
        <v>302</v>
      </c>
      <c r="C376" s="36">
        <v>107.21888334549865</v>
      </c>
      <c r="D376">
        <f t="shared" si="12"/>
        <v>302</v>
      </c>
      <c r="E376" s="36">
        <v>-220.99643860200203</v>
      </c>
    </row>
    <row r="377" spans="2:5" x14ac:dyDescent="0.3">
      <c r="B377">
        <v>303</v>
      </c>
      <c r="C377" s="36">
        <v>123.8101025567</v>
      </c>
      <c r="D377">
        <f t="shared" si="12"/>
        <v>303</v>
      </c>
      <c r="E377" s="36">
        <v>573.59546259066462</v>
      </c>
    </row>
    <row r="378" spans="2:5" x14ac:dyDescent="0.3">
      <c r="B378">
        <v>304</v>
      </c>
      <c r="C378" s="36">
        <v>171.0350223516968</v>
      </c>
      <c r="D378">
        <f t="shared" si="12"/>
        <v>304</v>
      </c>
      <c r="E378" s="36">
        <v>144.96229270194868</v>
      </c>
    </row>
    <row r="379" spans="2:5" x14ac:dyDescent="0.3">
      <c r="B379">
        <v>305</v>
      </c>
      <c r="C379" s="36">
        <v>139.76599433783903</v>
      </c>
      <c r="D379">
        <f t="shared" si="12"/>
        <v>305</v>
      </c>
      <c r="E379" s="36">
        <v>371.21707834269148</v>
      </c>
    </row>
    <row r="380" spans="2:5" x14ac:dyDescent="0.3">
      <c r="B380">
        <v>306</v>
      </c>
      <c r="C380" s="36">
        <v>34.968609300186564</v>
      </c>
      <c r="D380">
        <f t="shared" si="12"/>
        <v>306</v>
      </c>
      <c r="E380" s="36">
        <v>298.80756289786171</v>
      </c>
    </row>
    <row r="381" spans="2:5" x14ac:dyDescent="0.3">
      <c r="B381">
        <v>307</v>
      </c>
      <c r="C381" s="36">
        <v>142.73235096250033</v>
      </c>
      <c r="D381">
        <f t="shared" si="12"/>
        <v>307</v>
      </c>
      <c r="E381" s="36">
        <v>-37.914091122517462</v>
      </c>
    </row>
    <row r="382" spans="2:5" x14ac:dyDescent="0.3">
      <c r="B382">
        <v>308</v>
      </c>
      <c r="C382" s="36">
        <v>125.15719370497295</v>
      </c>
      <c r="D382">
        <f t="shared" si="12"/>
        <v>308</v>
      </c>
      <c r="E382" s="36">
        <v>198.23637335598153</v>
      </c>
    </row>
    <row r="383" spans="2:5" x14ac:dyDescent="0.3">
      <c r="B383">
        <v>309</v>
      </c>
      <c r="C383" s="36">
        <v>125.09981293093333</v>
      </c>
      <c r="D383">
        <f t="shared" si="12"/>
        <v>309</v>
      </c>
      <c r="E383" s="36">
        <v>130.33920409620904</v>
      </c>
    </row>
    <row r="384" spans="2:5" x14ac:dyDescent="0.3">
      <c r="B384">
        <v>310</v>
      </c>
      <c r="C384" s="36">
        <v>180.99491809627563</v>
      </c>
      <c r="D384">
        <f t="shared" si="12"/>
        <v>310</v>
      </c>
      <c r="E384" s="36">
        <v>-29.692002161922112</v>
      </c>
    </row>
    <row r="385" spans="2:5" x14ac:dyDescent="0.3">
      <c r="B385">
        <v>311</v>
      </c>
      <c r="C385" s="36">
        <v>160.20065023568654</v>
      </c>
      <c r="D385">
        <f t="shared" si="12"/>
        <v>311</v>
      </c>
      <c r="E385" s="36">
        <v>173.07123990424512</v>
      </c>
    </row>
    <row r="386" spans="2:5" x14ac:dyDescent="0.3">
      <c r="B386">
        <v>312</v>
      </c>
      <c r="C386" s="36">
        <v>58.895734277850728</v>
      </c>
      <c r="D386">
        <f t="shared" si="12"/>
        <v>312</v>
      </c>
      <c r="E386" s="36">
        <v>87.006414862083531</v>
      </c>
    </row>
    <row r="387" spans="2:5" x14ac:dyDescent="0.3">
      <c r="B387">
        <v>313</v>
      </c>
      <c r="C387" s="36">
        <v>120.65463814444175</v>
      </c>
      <c r="D387">
        <f t="shared" si="12"/>
        <v>313</v>
      </c>
      <c r="E387" s="36">
        <v>160.07693749124797</v>
      </c>
    </row>
    <row r="388" spans="2:5" x14ac:dyDescent="0.3">
      <c r="B388">
        <v>314</v>
      </c>
      <c r="C388" s="36">
        <v>125.08932259374731</v>
      </c>
      <c r="D388">
        <f t="shared" si="12"/>
        <v>314</v>
      </c>
      <c r="E388" s="36">
        <v>599.03526424077791</v>
      </c>
    </row>
    <row r="389" spans="2:5" x14ac:dyDescent="0.3">
      <c r="B389">
        <v>315</v>
      </c>
      <c r="C389" s="36">
        <v>111.05839144313063</v>
      </c>
      <c r="D389">
        <f t="shared" si="12"/>
        <v>315</v>
      </c>
      <c r="E389" s="36">
        <v>23.416311208083975</v>
      </c>
    </row>
    <row r="390" spans="2:5" x14ac:dyDescent="0.3">
      <c r="B390">
        <v>316</v>
      </c>
      <c r="C390" s="36">
        <v>77.742950657898092</v>
      </c>
      <c r="D390">
        <f t="shared" si="12"/>
        <v>316</v>
      </c>
      <c r="E390" s="36">
        <v>-139.84496534809756</v>
      </c>
    </row>
    <row r="391" spans="2:5" x14ac:dyDescent="0.3">
      <c r="B391">
        <v>317</v>
      </c>
      <c r="C391" s="36">
        <v>130.07682177489136</v>
      </c>
      <c r="D391">
        <f t="shared" si="12"/>
        <v>317</v>
      </c>
      <c r="E391" s="36">
        <v>122.4644998116723</v>
      </c>
    </row>
    <row r="392" spans="2:5" x14ac:dyDescent="0.3">
      <c r="B392">
        <v>318</v>
      </c>
      <c r="C392" s="36">
        <v>108.19669579821955</v>
      </c>
      <c r="D392">
        <f t="shared" si="12"/>
        <v>318</v>
      </c>
      <c r="E392" s="36">
        <v>18.652031155025714</v>
      </c>
    </row>
    <row r="393" spans="2:5" x14ac:dyDescent="0.3">
      <c r="B393">
        <v>319</v>
      </c>
      <c r="C393" s="36">
        <v>80.958327032490089</v>
      </c>
      <c r="D393">
        <f t="shared" si="12"/>
        <v>319</v>
      </c>
      <c r="E393" s="36">
        <v>-402.73035795677703</v>
      </c>
    </row>
    <row r="394" spans="2:5" x14ac:dyDescent="0.3">
      <c r="B394">
        <v>320</v>
      </c>
      <c r="C394" s="36">
        <v>117.59078205103872</v>
      </c>
      <c r="D394">
        <f t="shared" si="12"/>
        <v>320</v>
      </c>
      <c r="E394" s="36">
        <v>228.84380630946535</v>
      </c>
    </row>
    <row r="395" spans="2:5" x14ac:dyDescent="0.3">
      <c r="B395">
        <v>321</v>
      </c>
      <c r="C395" s="36">
        <v>170.54590284234743</v>
      </c>
      <c r="D395">
        <f t="shared" si="12"/>
        <v>321</v>
      </c>
      <c r="E395" s="36">
        <v>94.385285324099456</v>
      </c>
    </row>
    <row r="396" spans="2:5" x14ac:dyDescent="0.3">
      <c r="B396">
        <v>322</v>
      </c>
      <c r="C396" s="36">
        <v>143.92571558699501</v>
      </c>
      <c r="D396">
        <f t="shared" si="12"/>
        <v>322</v>
      </c>
      <c r="E396" s="36">
        <v>127.2955054223942</v>
      </c>
    </row>
    <row r="397" spans="2:5" x14ac:dyDescent="0.3">
      <c r="B397">
        <v>323</v>
      </c>
      <c r="C397" s="36">
        <v>181.69916568096687</v>
      </c>
      <c r="D397">
        <f t="shared" ref="D397:D460" si="13">B397</f>
        <v>323</v>
      </c>
      <c r="E397" s="36">
        <v>-137.90212387452357</v>
      </c>
    </row>
    <row r="398" spans="2:5" x14ac:dyDescent="0.3">
      <c r="B398">
        <v>324</v>
      </c>
      <c r="C398" s="36">
        <v>130.61261443749538</v>
      </c>
      <c r="D398">
        <f t="shared" si="13"/>
        <v>324</v>
      </c>
      <c r="E398" s="36">
        <v>217.51394733723541</v>
      </c>
    </row>
    <row r="399" spans="2:5" x14ac:dyDescent="0.3">
      <c r="B399">
        <v>325</v>
      </c>
      <c r="C399" s="36">
        <v>77.566332369427272</v>
      </c>
      <c r="D399">
        <f t="shared" si="13"/>
        <v>325</v>
      </c>
      <c r="E399" s="36">
        <v>243.9600345522943</v>
      </c>
    </row>
    <row r="400" spans="2:5" x14ac:dyDescent="0.3">
      <c r="B400">
        <v>326</v>
      </c>
      <c r="C400" s="36">
        <v>162.44488734158395</v>
      </c>
      <c r="D400">
        <f t="shared" si="13"/>
        <v>326</v>
      </c>
      <c r="E400" s="36">
        <v>190.71553229249599</v>
      </c>
    </row>
    <row r="401" spans="2:5" x14ac:dyDescent="0.3">
      <c r="B401">
        <v>327</v>
      </c>
      <c r="C401" s="36">
        <v>174.98261724587351</v>
      </c>
      <c r="D401">
        <f t="shared" si="13"/>
        <v>327</v>
      </c>
      <c r="E401" s="36">
        <v>-25.231402365773594</v>
      </c>
    </row>
    <row r="402" spans="2:5" x14ac:dyDescent="0.3">
      <c r="B402">
        <v>328</v>
      </c>
      <c r="C402" s="36">
        <v>124.87850774426695</v>
      </c>
      <c r="D402">
        <f t="shared" si="13"/>
        <v>328</v>
      </c>
      <c r="E402" s="36">
        <v>-82.978730939669376</v>
      </c>
    </row>
    <row r="403" spans="2:5" x14ac:dyDescent="0.3">
      <c r="B403">
        <v>329</v>
      </c>
      <c r="C403" s="36">
        <v>-166.29698281162109</v>
      </c>
      <c r="D403">
        <f t="shared" si="13"/>
        <v>329</v>
      </c>
      <c r="E403" s="36">
        <v>237.64808399603189</v>
      </c>
    </row>
    <row r="404" spans="2:5" x14ac:dyDescent="0.3">
      <c r="B404">
        <v>330</v>
      </c>
      <c r="C404" s="36">
        <v>145.1478261561594</v>
      </c>
      <c r="D404">
        <f t="shared" si="13"/>
        <v>330</v>
      </c>
      <c r="E404" s="36">
        <v>117.36774525496608</v>
      </c>
    </row>
    <row r="405" spans="2:5" x14ac:dyDescent="0.3">
      <c r="B405">
        <v>331</v>
      </c>
      <c r="C405" s="36">
        <v>94.502825930401954</v>
      </c>
      <c r="D405">
        <f t="shared" si="13"/>
        <v>331</v>
      </c>
      <c r="E405" s="36">
        <v>255.50955081930891</v>
      </c>
    </row>
    <row r="406" spans="2:5" x14ac:dyDescent="0.3">
      <c r="B406">
        <v>332</v>
      </c>
      <c r="C406" s="36">
        <v>30.562973544980036</v>
      </c>
      <c r="D406">
        <f t="shared" si="13"/>
        <v>332</v>
      </c>
      <c r="E406" s="36">
        <v>117.27094734267368</v>
      </c>
    </row>
    <row r="407" spans="2:5" x14ac:dyDescent="0.3">
      <c r="B407">
        <v>333</v>
      </c>
      <c r="C407" s="36">
        <v>63.711665808364067</v>
      </c>
      <c r="D407">
        <f t="shared" si="13"/>
        <v>333</v>
      </c>
      <c r="E407" s="36">
        <v>234.24714784428028</v>
      </c>
    </row>
    <row r="408" spans="2:5" x14ac:dyDescent="0.3">
      <c r="B408">
        <v>334</v>
      </c>
      <c r="C408" s="36">
        <v>99.226984056575176</v>
      </c>
      <c r="D408">
        <f t="shared" si="13"/>
        <v>334</v>
      </c>
      <c r="E408" s="36">
        <v>-133.997559082999</v>
      </c>
    </row>
    <row r="409" spans="2:5" x14ac:dyDescent="0.3">
      <c r="B409">
        <v>335</v>
      </c>
      <c r="C409" s="36">
        <v>91.807799448990693</v>
      </c>
      <c r="D409">
        <f t="shared" si="13"/>
        <v>335</v>
      </c>
      <c r="E409" s="36">
        <v>266.609344636949</v>
      </c>
    </row>
    <row r="410" spans="2:5" x14ac:dyDescent="0.3">
      <c r="B410">
        <v>336</v>
      </c>
      <c r="C410" s="36">
        <v>157.23271301143933</v>
      </c>
      <c r="D410">
        <f t="shared" si="13"/>
        <v>336</v>
      </c>
      <c r="E410" s="36">
        <v>279.27619308524015</v>
      </c>
    </row>
    <row r="411" spans="2:5" x14ac:dyDescent="0.3">
      <c r="B411">
        <v>337</v>
      </c>
      <c r="C411" s="36">
        <v>49.511974333478392</v>
      </c>
      <c r="D411">
        <f t="shared" si="13"/>
        <v>337</v>
      </c>
      <c r="E411" s="36">
        <v>170.52911032265115</v>
      </c>
    </row>
    <row r="412" spans="2:5" x14ac:dyDescent="0.3">
      <c r="B412">
        <v>338</v>
      </c>
      <c r="C412" s="36">
        <v>117.72168466727803</v>
      </c>
      <c r="D412">
        <f t="shared" si="13"/>
        <v>338</v>
      </c>
      <c r="E412" s="36">
        <v>173.39801792835902</v>
      </c>
    </row>
    <row r="413" spans="2:5" x14ac:dyDescent="0.3">
      <c r="B413">
        <v>339</v>
      </c>
      <c r="C413" s="36">
        <v>173.83686534105061</v>
      </c>
      <c r="D413">
        <f t="shared" si="13"/>
        <v>339</v>
      </c>
      <c r="E413" s="36">
        <v>291.80300414472555</v>
      </c>
    </row>
    <row r="414" spans="2:5" x14ac:dyDescent="0.3">
      <c r="B414">
        <v>340</v>
      </c>
      <c r="C414" s="36">
        <v>156.53592237312742</v>
      </c>
      <c r="D414">
        <f t="shared" si="13"/>
        <v>340</v>
      </c>
      <c r="E414" s="36">
        <v>265.04104031696318</v>
      </c>
    </row>
    <row r="415" spans="2:5" x14ac:dyDescent="0.3">
      <c r="B415">
        <v>341</v>
      </c>
      <c r="C415" s="36">
        <v>118.74372612157227</v>
      </c>
      <c r="D415">
        <f t="shared" si="13"/>
        <v>341</v>
      </c>
      <c r="E415" s="36">
        <v>-227.73040550669344</v>
      </c>
    </row>
    <row r="416" spans="2:5" x14ac:dyDescent="0.3">
      <c r="B416">
        <v>342</v>
      </c>
      <c r="C416" s="36">
        <v>130.37922577082239</v>
      </c>
      <c r="D416">
        <f t="shared" si="13"/>
        <v>342</v>
      </c>
      <c r="E416" s="36">
        <v>26.872337934504241</v>
      </c>
    </row>
    <row r="417" spans="2:5" x14ac:dyDescent="0.3">
      <c r="B417">
        <v>343</v>
      </c>
      <c r="C417" s="36">
        <v>52.535781763041847</v>
      </c>
      <c r="D417">
        <f t="shared" si="13"/>
        <v>343</v>
      </c>
      <c r="E417" s="36">
        <v>40.890886404089954</v>
      </c>
    </row>
    <row r="418" spans="2:5" x14ac:dyDescent="0.3">
      <c r="B418">
        <v>344</v>
      </c>
      <c r="C418" s="36">
        <v>166.07110796790155</v>
      </c>
      <c r="D418">
        <f t="shared" si="13"/>
        <v>344</v>
      </c>
      <c r="E418" s="36">
        <v>227.24838001996977</v>
      </c>
    </row>
    <row r="419" spans="2:5" x14ac:dyDescent="0.3">
      <c r="B419">
        <v>345</v>
      </c>
      <c r="C419" s="36">
        <v>129.02328045842776</v>
      </c>
      <c r="D419">
        <f t="shared" si="13"/>
        <v>345</v>
      </c>
      <c r="E419" s="36">
        <v>23.227848574414192</v>
      </c>
    </row>
    <row r="420" spans="2:5" x14ac:dyDescent="0.3">
      <c r="B420">
        <v>346</v>
      </c>
      <c r="C420" s="36">
        <v>89.45053786555637</v>
      </c>
      <c r="D420">
        <f t="shared" si="13"/>
        <v>346</v>
      </c>
      <c r="E420" s="36">
        <v>176.19033786793392</v>
      </c>
    </row>
    <row r="421" spans="2:5" x14ac:dyDescent="0.3">
      <c r="B421">
        <v>347</v>
      </c>
      <c r="C421" s="36">
        <v>144.92050129714735</v>
      </c>
      <c r="D421">
        <f t="shared" si="13"/>
        <v>347</v>
      </c>
      <c r="E421" s="36">
        <v>366.92686421178712</v>
      </c>
    </row>
    <row r="422" spans="2:5" x14ac:dyDescent="0.3">
      <c r="B422">
        <v>348</v>
      </c>
      <c r="C422" s="36">
        <v>68.118004726982562</v>
      </c>
      <c r="D422">
        <f t="shared" si="13"/>
        <v>348</v>
      </c>
      <c r="E422" s="36">
        <v>-60.297953283955316</v>
      </c>
    </row>
    <row r="423" spans="2:5" x14ac:dyDescent="0.3">
      <c r="B423">
        <v>349</v>
      </c>
      <c r="C423" s="36">
        <v>87.792863034825274</v>
      </c>
      <c r="D423">
        <f t="shared" si="13"/>
        <v>349</v>
      </c>
      <c r="E423" s="36">
        <v>186.09285682660646</v>
      </c>
    </row>
    <row r="424" spans="2:5" x14ac:dyDescent="0.3">
      <c r="B424">
        <v>350</v>
      </c>
      <c r="C424" s="36">
        <v>109.73408387375359</v>
      </c>
      <c r="D424">
        <f t="shared" si="13"/>
        <v>350</v>
      </c>
      <c r="E424" s="36">
        <v>31.418806363640932</v>
      </c>
    </row>
    <row r="425" spans="2:5" x14ac:dyDescent="0.3">
      <c r="B425">
        <v>351</v>
      </c>
      <c r="C425" s="36">
        <v>90.881615463891279</v>
      </c>
      <c r="D425">
        <f t="shared" si="13"/>
        <v>351</v>
      </c>
      <c r="E425" s="36">
        <v>-24.905031513725461</v>
      </c>
    </row>
    <row r="426" spans="2:5" x14ac:dyDescent="0.3">
      <c r="B426">
        <v>352</v>
      </c>
      <c r="C426" s="36">
        <v>177.29094795516716</v>
      </c>
      <c r="D426">
        <f t="shared" si="13"/>
        <v>352</v>
      </c>
      <c r="E426" s="36">
        <v>72.191554745708132</v>
      </c>
    </row>
    <row r="427" spans="2:5" x14ac:dyDescent="0.3">
      <c r="B427">
        <v>353</v>
      </c>
      <c r="C427" s="36">
        <v>101.57020484397894</v>
      </c>
      <c r="D427">
        <f t="shared" si="13"/>
        <v>353</v>
      </c>
      <c r="E427" s="36">
        <v>66.635115158070249</v>
      </c>
    </row>
    <row r="428" spans="2:5" x14ac:dyDescent="0.3">
      <c r="B428">
        <v>354</v>
      </c>
      <c r="C428" s="36">
        <v>148.46241537324619</v>
      </c>
      <c r="D428">
        <f t="shared" si="13"/>
        <v>354</v>
      </c>
      <c r="E428" s="36">
        <v>80.867284697547291</v>
      </c>
    </row>
    <row r="429" spans="2:5" x14ac:dyDescent="0.3">
      <c r="B429">
        <v>355</v>
      </c>
      <c r="C429" s="36">
        <v>25.229563651885066</v>
      </c>
      <c r="D429">
        <f t="shared" si="13"/>
        <v>355</v>
      </c>
      <c r="E429" s="36">
        <v>-110.93262133598421</v>
      </c>
    </row>
    <row r="430" spans="2:5" x14ac:dyDescent="0.3">
      <c r="B430">
        <v>356</v>
      </c>
      <c r="C430" s="36">
        <v>158.34449753769943</v>
      </c>
      <c r="D430">
        <f t="shared" si="13"/>
        <v>356</v>
      </c>
      <c r="E430" s="36">
        <v>214.0720811141654</v>
      </c>
    </row>
    <row r="431" spans="2:5" x14ac:dyDescent="0.3">
      <c r="B431">
        <v>357</v>
      </c>
      <c r="C431" s="36">
        <v>90.682270808051058</v>
      </c>
      <c r="D431">
        <f t="shared" si="13"/>
        <v>357</v>
      </c>
      <c r="E431" s="36">
        <v>41.938174931461177</v>
      </c>
    </row>
    <row r="432" spans="2:5" x14ac:dyDescent="0.3">
      <c r="B432">
        <v>358</v>
      </c>
      <c r="C432" s="36">
        <v>122.632562111127</v>
      </c>
      <c r="D432">
        <f t="shared" si="13"/>
        <v>358</v>
      </c>
      <c r="E432" s="36">
        <v>334.63747673365651</v>
      </c>
    </row>
    <row r="433" spans="2:5" x14ac:dyDescent="0.3">
      <c r="B433">
        <v>359</v>
      </c>
      <c r="C433" s="36">
        <v>19.787778883879248</v>
      </c>
      <c r="D433">
        <f t="shared" si="13"/>
        <v>359</v>
      </c>
      <c r="E433" s="36">
        <v>106.9523182535826</v>
      </c>
    </row>
    <row r="434" spans="2:5" x14ac:dyDescent="0.3">
      <c r="B434">
        <v>360</v>
      </c>
      <c r="C434" s="36">
        <v>175.94650661379299</v>
      </c>
      <c r="D434">
        <f t="shared" si="13"/>
        <v>360</v>
      </c>
      <c r="E434" s="36">
        <v>39.348863352411072</v>
      </c>
    </row>
    <row r="435" spans="2:5" x14ac:dyDescent="0.3">
      <c r="B435">
        <v>361</v>
      </c>
      <c r="C435" s="36">
        <v>188.6217460253186</v>
      </c>
      <c r="D435">
        <f t="shared" si="13"/>
        <v>361</v>
      </c>
      <c r="E435" s="36">
        <v>295.14691219004476</v>
      </c>
    </row>
    <row r="436" spans="2:5" x14ac:dyDescent="0.3">
      <c r="B436">
        <v>362</v>
      </c>
      <c r="C436" s="36">
        <v>83.072082537889713</v>
      </c>
      <c r="D436">
        <f t="shared" si="13"/>
        <v>362</v>
      </c>
      <c r="E436" s="36">
        <v>121.665587582491</v>
      </c>
    </row>
    <row r="437" spans="2:5" x14ac:dyDescent="0.3">
      <c r="B437">
        <v>363</v>
      </c>
      <c r="C437" s="36">
        <v>54.794606062664798</v>
      </c>
      <c r="D437">
        <f t="shared" si="13"/>
        <v>363</v>
      </c>
      <c r="E437" s="36">
        <v>434.24785298331835</v>
      </c>
    </row>
    <row r="438" spans="2:5" x14ac:dyDescent="0.3">
      <c r="B438">
        <v>364</v>
      </c>
      <c r="C438" s="36">
        <v>122.16754987254726</v>
      </c>
      <c r="D438">
        <f t="shared" si="13"/>
        <v>364</v>
      </c>
      <c r="E438" s="36">
        <v>70.256101213818383</v>
      </c>
    </row>
    <row r="439" spans="2:5" x14ac:dyDescent="0.3">
      <c r="B439">
        <v>365</v>
      </c>
      <c r="C439" s="36">
        <v>188.91538895599822</v>
      </c>
      <c r="D439">
        <f t="shared" si="13"/>
        <v>365</v>
      </c>
      <c r="E439" s="36">
        <v>-47.137844344877273</v>
      </c>
    </row>
    <row r="440" spans="2:5" x14ac:dyDescent="0.3">
      <c r="B440">
        <v>366</v>
      </c>
      <c r="C440" s="36">
        <v>107.80704354509528</v>
      </c>
      <c r="D440">
        <f t="shared" si="13"/>
        <v>366</v>
      </c>
      <c r="E440" s="36">
        <v>-141.51718990338631</v>
      </c>
    </row>
    <row r="441" spans="2:5" x14ac:dyDescent="0.3">
      <c r="B441">
        <v>367</v>
      </c>
      <c r="C441" s="36">
        <v>23.629938390059543</v>
      </c>
      <c r="D441">
        <f t="shared" si="13"/>
        <v>367</v>
      </c>
      <c r="E441" s="36">
        <v>296.54344775704919</v>
      </c>
    </row>
    <row r="442" spans="2:5" x14ac:dyDescent="0.3">
      <c r="B442">
        <v>368</v>
      </c>
      <c r="C442" s="36">
        <v>141.53114894910215</v>
      </c>
      <c r="D442">
        <f t="shared" si="13"/>
        <v>368</v>
      </c>
      <c r="E442" s="36">
        <v>343.10371920665608</v>
      </c>
    </row>
    <row r="443" spans="2:5" x14ac:dyDescent="0.3">
      <c r="B443">
        <v>369</v>
      </c>
      <c r="C443" s="36">
        <v>125.19215472332607</v>
      </c>
      <c r="D443">
        <f t="shared" si="13"/>
        <v>369</v>
      </c>
      <c r="E443" s="36">
        <v>113.29950764319645</v>
      </c>
    </row>
    <row r="444" spans="2:5" x14ac:dyDescent="0.3">
      <c r="B444">
        <v>370</v>
      </c>
      <c r="C444" s="36">
        <v>67.425577462103561</v>
      </c>
      <c r="D444">
        <f t="shared" si="13"/>
        <v>370</v>
      </c>
      <c r="E444" s="36">
        <v>-1.6770181515342668</v>
      </c>
    </row>
    <row r="445" spans="2:5" x14ac:dyDescent="0.3">
      <c r="B445">
        <v>371</v>
      </c>
      <c r="C445" s="36">
        <v>194.21768558323058</v>
      </c>
      <c r="D445">
        <f t="shared" si="13"/>
        <v>371</v>
      </c>
      <c r="E445" s="36">
        <v>-46.900757739517829</v>
      </c>
    </row>
    <row r="446" spans="2:5" x14ac:dyDescent="0.3">
      <c r="B446">
        <v>372</v>
      </c>
      <c r="C446" s="36">
        <v>135.98699013225888</v>
      </c>
      <c r="D446">
        <f t="shared" si="13"/>
        <v>372</v>
      </c>
      <c r="E446" s="36">
        <v>377.34239920958356</v>
      </c>
    </row>
    <row r="447" spans="2:5" x14ac:dyDescent="0.3">
      <c r="B447">
        <v>373</v>
      </c>
      <c r="C447" s="36">
        <v>123.52619529578446</v>
      </c>
      <c r="D447">
        <f t="shared" si="13"/>
        <v>373</v>
      </c>
      <c r="E447" s="36">
        <v>158.3233763129212</v>
      </c>
    </row>
    <row r="448" spans="2:5" x14ac:dyDescent="0.3">
      <c r="B448">
        <v>374</v>
      </c>
      <c r="C448" s="36">
        <v>162.00353313912515</v>
      </c>
      <c r="D448">
        <f t="shared" si="13"/>
        <v>374</v>
      </c>
      <c r="E448" s="36">
        <v>258.97349425805146</v>
      </c>
    </row>
    <row r="449" spans="2:5" x14ac:dyDescent="0.3">
      <c r="B449">
        <v>375</v>
      </c>
      <c r="C449" s="36">
        <v>145.57961771484312</v>
      </c>
      <c r="D449">
        <f t="shared" si="13"/>
        <v>375</v>
      </c>
      <c r="E449" s="36">
        <v>352.74344451570971</v>
      </c>
    </row>
    <row r="450" spans="2:5" x14ac:dyDescent="0.3">
      <c r="B450">
        <v>376</v>
      </c>
      <c r="C450" s="36">
        <v>111.24397139560605</v>
      </c>
      <c r="D450">
        <f t="shared" si="13"/>
        <v>376</v>
      </c>
      <c r="E450" s="36">
        <v>118.63459084354096</v>
      </c>
    </row>
    <row r="451" spans="2:5" x14ac:dyDescent="0.3">
      <c r="B451">
        <v>377</v>
      </c>
      <c r="C451" s="36">
        <v>62.986710856088585</v>
      </c>
      <c r="D451">
        <f t="shared" si="13"/>
        <v>377</v>
      </c>
      <c r="E451" s="36">
        <v>329.89054323634815</v>
      </c>
    </row>
    <row r="452" spans="2:5" x14ac:dyDescent="0.3">
      <c r="B452">
        <v>378</v>
      </c>
      <c r="C452" s="36">
        <v>113.04679488053466</v>
      </c>
      <c r="D452">
        <f t="shared" si="13"/>
        <v>378</v>
      </c>
      <c r="E452" s="36">
        <v>25.196556413280778</v>
      </c>
    </row>
    <row r="453" spans="2:5" x14ac:dyDescent="0.3">
      <c r="B453">
        <v>379</v>
      </c>
      <c r="C453" s="36">
        <v>158.04297720829396</v>
      </c>
      <c r="D453">
        <f t="shared" si="13"/>
        <v>379</v>
      </c>
      <c r="E453" s="36">
        <v>256.63565613028203</v>
      </c>
    </row>
    <row r="454" spans="2:5" x14ac:dyDescent="0.3">
      <c r="B454">
        <v>380</v>
      </c>
      <c r="C454" s="36">
        <v>99.430618618576844</v>
      </c>
      <c r="D454">
        <f t="shared" si="13"/>
        <v>380</v>
      </c>
      <c r="E454" s="36">
        <v>107.56960322793182</v>
      </c>
    </row>
    <row r="455" spans="2:5" x14ac:dyDescent="0.3">
      <c r="B455">
        <v>381</v>
      </c>
      <c r="C455" s="36">
        <v>114.86497067389004</v>
      </c>
      <c r="D455">
        <f t="shared" si="13"/>
        <v>381</v>
      </c>
      <c r="E455" s="36">
        <v>514.2653943348862</v>
      </c>
    </row>
    <row r="456" spans="2:5" x14ac:dyDescent="0.3">
      <c r="B456">
        <v>382</v>
      </c>
      <c r="C456" s="36">
        <v>119.9661753013102</v>
      </c>
      <c r="D456">
        <f t="shared" si="13"/>
        <v>382</v>
      </c>
      <c r="E456" s="36">
        <v>169.61540417213047</v>
      </c>
    </row>
    <row r="457" spans="2:5" x14ac:dyDescent="0.3">
      <c r="B457">
        <v>383</v>
      </c>
      <c r="C457" s="36">
        <v>149.98595349715961</v>
      </c>
      <c r="D457">
        <f t="shared" si="13"/>
        <v>383</v>
      </c>
      <c r="E457" s="36">
        <v>211.88285709930273</v>
      </c>
    </row>
    <row r="458" spans="2:5" x14ac:dyDescent="0.3">
      <c r="B458">
        <v>384</v>
      </c>
      <c r="C458" s="36">
        <v>92.819502617083842</v>
      </c>
      <c r="D458">
        <f t="shared" si="13"/>
        <v>384</v>
      </c>
      <c r="E458" s="36">
        <v>-240.28181725536666</v>
      </c>
    </row>
    <row r="459" spans="2:5" x14ac:dyDescent="0.3">
      <c r="B459">
        <v>385</v>
      </c>
      <c r="C459" s="36">
        <v>72.862747615512575</v>
      </c>
      <c r="D459">
        <f t="shared" si="13"/>
        <v>385</v>
      </c>
      <c r="E459" s="36">
        <v>230.68403209837066</v>
      </c>
    </row>
    <row r="460" spans="2:5" x14ac:dyDescent="0.3">
      <c r="B460">
        <v>386</v>
      </c>
      <c r="C460" s="36">
        <v>110.62574400253098</v>
      </c>
      <c r="D460">
        <f t="shared" si="13"/>
        <v>386</v>
      </c>
      <c r="E460" s="36">
        <v>452.97329205019241</v>
      </c>
    </row>
    <row r="461" spans="2:5" x14ac:dyDescent="0.3">
      <c r="B461">
        <v>387</v>
      </c>
      <c r="C461" s="36">
        <v>139.85128738430052</v>
      </c>
      <c r="D461">
        <f t="shared" ref="D461:D524" si="14">B461</f>
        <v>387</v>
      </c>
      <c r="E461" s="36">
        <v>24.006932550936817</v>
      </c>
    </row>
    <row r="462" spans="2:5" x14ac:dyDescent="0.3">
      <c r="B462">
        <v>388</v>
      </c>
      <c r="C462" s="36">
        <v>109.44530392438817</v>
      </c>
      <c r="D462">
        <f t="shared" si="14"/>
        <v>388</v>
      </c>
      <c r="E462" s="36">
        <v>148.43774414576231</v>
      </c>
    </row>
    <row r="463" spans="2:5" x14ac:dyDescent="0.3">
      <c r="B463">
        <v>389</v>
      </c>
      <c r="C463" s="36">
        <v>63.31769271779909</v>
      </c>
      <c r="D463">
        <f t="shared" si="14"/>
        <v>389</v>
      </c>
      <c r="E463" s="36">
        <v>332.85042306302807</v>
      </c>
    </row>
    <row r="464" spans="2:5" x14ac:dyDescent="0.3">
      <c r="B464">
        <v>390</v>
      </c>
      <c r="C464" s="36">
        <v>-37.86501708750086</v>
      </c>
      <c r="D464">
        <f t="shared" si="14"/>
        <v>390</v>
      </c>
      <c r="E464" s="36">
        <v>186.38837141829899</v>
      </c>
    </row>
    <row r="465" spans="2:5" x14ac:dyDescent="0.3">
      <c r="B465">
        <v>391</v>
      </c>
      <c r="C465" s="36">
        <v>27.700409481450595</v>
      </c>
      <c r="D465">
        <f t="shared" si="14"/>
        <v>391</v>
      </c>
      <c r="E465" s="36">
        <v>36.590682960720343</v>
      </c>
    </row>
    <row r="466" spans="2:5" x14ac:dyDescent="0.3">
      <c r="B466">
        <v>392</v>
      </c>
      <c r="C466" s="36">
        <v>120.71112803364831</v>
      </c>
      <c r="D466">
        <f t="shared" si="14"/>
        <v>392</v>
      </c>
      <c r="E466" s="36">
        <v>140.68217009774773</v>
      </c>
    </row>
    <row r="467" spans="2:5" x14ac:dyDescent="0.3">
      <c r="B467">
        <v>393</v>
      </c>
      <c r="C467" s="36">
        <v>-29.545420520701533</v>
      </c>
      <c r="D467">
        <f t="shared" si="14"/>
        <v>393</v>
      </c>
      <c r="E467" s="36">
        <v>323.45440232097627</v>
      </c>
    </row>
    <row r="468" spans="2:5" x14ac:dyDescent="0.3">
      <c r="B468">
        <v>394</v>
      </c>
      <c r="C468" s="36">
        <v>174.60862104706172</v>
      </c>
      <c r="D468">
        <f t="shared" si="14"/>
        <v>394</v>
      </c>
      <c r="E468" s="36">
        <v>95.679954286218788</v>
      </c>
    </row>
    <row r="469" spans="2:5" x14ac:dyDescent="0.3">
      <c r="B469">
        <v>395</v>
      </c>
      <c r="C469" s="36">
        <v>135.98376229933552</v>
      </c>
      <c r="D469">
        <f t="shared" si="14"/>
        <v>395</v>
      </c>
      <c r="E469" s="36">
        <v>50.056791430385054</v>
      </c>
    </row>
    <row r="470" spans="2:5" x14ac:dyDescent="0.3">
      <c r="B470">
        <v>396</v>
      </c>
      <c r="C470" s="36">
        <v>72.185340080892502</v>
      </c>
      <c r="D470">
        <f t="shared" si="14"/>
        <v>396</v>
      </c>
      <c r="E470" s="36">
        <v>293.11043846269376</v>
      </c>
    </row>
    <row r="471" spans="2:5" x14ac:dyDescent="0.3">
      <c r="B471">
        <v>397</v>
      </c>
      <c r="C471" s="36">
        <v>77.148633350853785</v>
      </c>
      <c r="D471">
        <f t="shared" si="14"/>
        <v>397</v>
      </c>
      <c r="E471" s="36">
        <v>-8.9041268365691089</v>
      </c>
    </row>
    <row r="472" spans="2:5" x14ac:dyDescent="0.3">
      <c r="B472">
        <v>398</v>
      </c>
      <c r="C472" s="36">
        <v>128.102090864319</v>
      </c>
      <c r="D472">
        <f t="shared" si="14"/>
        <v>398</v>
      </c>
      <c r="E472" s="36">
        <v>-51.576829961259818</v>
      </c>
    </row>
    <row r="473" spans="2:5" x14ac:dyDescent="0.3">
      <c r="B473">
        <v>399</v>
      </c>
      <c r="C473" s="36">
        <v>86.196078848251091</v>
      </c>
      <c r="D473">
        <f t="shared" si="14"/>
        <v>399</v>
      </c>
      <c r="E473" s="36">
        <v>188.01607140005561</v>
      </c>
    </row>
    <row r="474" spans="2:5" x14ac:dyDescent="0.3">
      <c r="B474">
        <v>400</v>
      </c>
      <c r="C474" s="36">
        <v>140.51915254133576</v>
      </c>
      <c r="D474">
        <f t="shared" si="14"/>
        <v>400</v>
      </c>
      <c r="E474" s="36">
        <v>70.150533147193784</v>
      </c>
    </row>
    <row r="475" spans="2:5" x14ac:dyDescent="0.3">
      <c r="B475">
        <v>401</v>
      </c>
      <c r="C475" s="36">
        <v>-17.35780078297498</v>
      </c>
      <c r="D475">
        <f t="shared" si="14"/>
        <v>401</v>
      </c>
      <c r="E475" s="36">
        <v>355.90286003465093</v>
      </c>
    </row>
    <row r="476" spans="2:5" x14ac:dyDescent="0.3">
      <c r="B476">
        <v>402</v>
      </c>
      <c r="C476" s="36">
        <v>136.48708401256994</v>
      </c>
      <c r="D476">
        <f t="shared" si="14"/>
        <v>402</v>
      </c>
      <c r="E476" s="36">
        <v>78.530298545992878</v>
      </c>
    </row>
    <row r="477" spans="2:5" x14ac:dyDescent="0.3">
      <c r="B477">
        <v>403</v>
      </c>
      <c r="C477" s="36">
        <v>138.18067549363022</v>
      </c>
      <c r="D477">
        <f t="shared" si="14"/>
        <v>403</v>
      </c>
      <c r="E477" s="36">
        <v>-140.13980007951059</v>
      </c>
    </row>
    <row r="478" spans="2:5" x14ac:dyDescent="0.3">
      <c r="B478">
        <v>404</v>
      </c>
      <c r="C478" s="36">
        <v>81.603452960948985</v>
      </c>
      <c r="D478">
        <f t="shared" si="14"/>
        <v>404</v>
      </c>
      <c r="E478" s="36">
        <v>189.65327167182789</v>
      </c>
    </row>
    <row r="479" spans="2:5" x14ac:dyDescent="0.3">
      <c r="B479">
        <v>405</v>
      </c>
      <c r="C479" s="36">
        <v>87.136814975621647</v>
      </c>
      <c r="D479">
        <f t="shared" si="14"/>
        <v>405</v>
      </c>
      <c r="E479" s="36">
        <v>328.3091370422888</v>
      </c>
    </row>
    <row r="480" spans="2:5" x14ac:dyDescent="0.3">
      <c r="B480">
        <v>406</v>
      </c>
      <c r="C480" s="36">
        <v>150.7117881741805</v>
      </c>
      <c r="D480">
        <f t="shared" si="14"/>
        <v>406</v>
      </c>
      <c r="E480" s="36">
        <v>44.897413598068354</v>
      </c>
    </row>
    <row r="481" spans="2:5" x14ac:dyDescent="0.3">
      <c r="B481">
        <v>407</v>
      </c>
      <c r="C481" s="36">
        <v>80.536320838106278</v>
      </c>
      <c r="D481">
        <f t="shared" si="14"/>
        <v>407</v>
      </c>
      <c r="E481" s="36">
        <v>-4.0710492444921593</v>
      </c>
    </row>
    <row r="482" spans="2:5" x14ac:dyDescent="0.3">
      <c r="B482">
        <v>408</v>
      </c>
      <c r="C482" s="36">
        <v>45.743739953026967</v>
      </c>
      <c r="D482">
        <f t="shared" si="14"/>
        <v>408</v>
      </c>
      <c r="E482" s="36">
        <v>439.38068056213649</v>
      </c>
    </row>
    <row r="483" spans="2:5" x14ac:dyDescent="0.3">
      <c r="B483">
        <v>409</v>
      </c>
      <c r="C483" s="36">
        <v>166.16287485626978</v>
      </c>
      <c r="D483">
        <f t="shared" si="14"/>
        <v>409</v>
      </c>
      <c r="E483" s="36">
        <v>-48.855897690380587</v>
      </c>
    </row>
    <row r="484" spans="2:5" x14ac:dyDescent="0.3">
      <c r="B484">
        <v>410</v>
      </c>
      <c r="C484" s="36">
        <v>139.2288640570315</v>
      </c>
      <c r="D484">
        <f t="shared" si="14"/>
        <v>410</v>
      </c>
      <c r="E484" s="36">
        <v>283.33464333130058</v>
      </c>
    </row>
    <row r="485" spans="2:5" x14ac:dyDescent="0.3">
      <c r="B485">
        <v>411</v>
      </c>
      <c r="C485" s="36">
        <v>132.59395387152657</v>
      </c>
      <c r="D485">
        <f t="shared" si="14"/>
        <v>411</v>
      </c>
      <c r="E485" s="36">
        <v>662.29152205166542</v>
      </c>
    </row>
    <row r="486" spans="2:5" x14ac:dyDescent="0.3">
      <c r="B486">
        <v>412</v>
      </c>
      <c r="C486" s="36">
        <v>56.524381742318852</v>
      </c>
      <c r="D486">
        <f t="shared" si="14"/>
        <v>412</v>
      </c>
      <c r="E486" s="36">
        <v>216.96803918053496</v>
      </c>
    </row>
    <row r="487" spans="2:5" x14ac:dyDescent="0.3">
      <c r="B487">
        <v>413</v>
      </c>
      <c r="C487" s="36">
        <v>155.86483779706725</v>
      </c>
      <c r="D487">
        <f t="shared" si="14"/>
        <v>413</v>
      </c>
      <c r="E487" s="36">
        <v>362.14899595739274</v>
      </c>
    </row>
    <row r="488" spans="2:5" x14ac:dyDescent="0.3">
      <c r="B488">
        <v>414</v>
      </c>
      <c r="C488" s="36">
        <v>108.39128379805473</v>
      </c>
      <c r="D488">
        <f t="shared" si="14"/>
        <v>414</v>
      </c>
      <c r="E488" s="36">
        <v>-267.62036933470193</v>
      </c>
    </row>
    <row r="489" spans="2:5" x14ac:dyDescent="0.3">
      <c r="B489">
        <v>415</v>
      </c>
      <c r="C489" s="36">
        <v>122.29682748975786</v>
      </c>
      <c r="D489">
        <f t="shared" si="14"/>
        <v>415</v>
      </c>
      <c r="E489" s="36">
        <v>121.70612936503662</v>
      </c>
    </row>
    <row r="490" spans="2:5" x14ac:dyDescent="0.3">
      <c r="B490">
        <v>416</v>
      </c>
      <c r="C490" s="36">
        <v>141.95579398263735</v>
      </c>
      <c r="D490">
        <f t="shared" si="14"/>
        <v>416</v>
      </c>
      <c r="E490" s="36">
        <v>53.001933192520156</v>
      </c>
    </row>
    <row r="491" spans="2:5" x14ac:dyDescent="0.3">
      <c r="B491">
        <v>417</v>
      </c>
      <c r="C491" s="36">
        <v>145.89448546866075</v>
      </c>
      <c r="D491">
        <f t="shared" si="14"/>
        <v>417</v>
      </c>
      <c r="E491" s="36">
        <v>-144.3191943515032</v>
      </c>
    </row>
    <row r="492" spans="2:5" x14ac:dyDescent="0.3">
      <c r="B492">
        <v>418</v>
      </c>
      <c r="C492" s="36">
        <v>135.74102968242323</v>
      </c>
      <c r="D492">
        <f t="shared" si="14"/>
        <v>418</v>
      </c>
      <c r="E492" s="36">
        <v>-38.054966605577448</v>
      </c>
    </row>
    <row r="493" spans="2:5" x14ac:dyDescent="0.3">
      <c r="B493">
        <v>419</v>
      </c>
      <c r="C493" s="36">
        <v>11.351907601016705</v>
      </c>
      <c r="D493">
        <f t="shared" si="14"/>
        <v>419</v>
      </c>
      <c r="E493" s="36">
        <v>179.9992568235827</v>
      </c>
    </row>
    <row r="494" spans="2:5" x14ac:dyDescent="0.3">
      <c r="B494">
        <v>420</v>
      </c>
      <c r="C494" s="36">
        <v>80.83819110065798</v>
      </c>
      <c r="D494">
        <f t="shared" si="14"/>
        <v>420</v>
      </c>
      <c r="E494" s="36">
        <v>-418.45852211358886</v>
      </c>
    </row>
    <row r="495" spans="2:5" x14ac:dyDescent="0.3">
      <c r="B495">
        <v>421</v>
      </c>
      <c r="C495" s="36">
        <v>137.34432000316096</v>
      </c>
      <c r="D495">
        <f t="shared" si="14"/>
        <v>421</v>
      </c>
      <c r="E495" s="36">
        <v>85.728318216142469</v>
      </c>
    </row>
    <row r="496" spans="2:5" x14ac:dyDescent="0.3">
      <c r="B496">
        <v>422</v>
      </c>
      <c r="C496" s="36">
        <v>129.42334467781433</v>
      </c>
      <c r="D496">
        <f t="shared" si="14"/>
        <v>422</v>
      </c>
      <c r="E496" s="36">
        <v>123.20186230584514</v>
      </c>
    </row>
    <row r="497" spans="2:5" x14ac:dyDescent="0.3">
      <c r="B497">
        <v>423</v>
      </c>
      <c r="C497" s="36">
        <v>157.26150275709361</v>
      </c>
      <c r="D497">
        <f t="shared" si="14"/>
        <v>423</v>
      </c>
      <c r="E497" s="36">
        <v>316.86620408816827</v>
      </c>
    </row>
    <row r="498" spans="2:5" x14ac:dyDescent="0.3">
      <c r="B498">
        <v>424</v>
      </c>
      <c r="C498" s="36">
        <v>143.72376271406284</v>
      </c>
      <c r="D498">
        <f t="shared" si="14"/>
        <v>424</v>
      </c>
      <c r="E498" s="36">
        <v>389.97649965577187</v>
      </c>
    </row>
    <row r="499" spans="2:5" x14ac:dyDescent="0.3">
      <c r="B499">
        <v>425</v>
      </c>
      <c r="C499" s="36">
        <v>130.56168134141109</v>
      </c>
      <c r="D499">
        <f t="shared" si="14"/>
        <v>425</v>
      </c>
      <c r="E499" s="36">
        <v>113.33118935762111</v>
      </c>
    </row>
    <row r="500" spans="2:5" x14ac:dyDescent="0.3">
      <c r="B500">
        <v>426</v>
      </c>
      <c r="C500" s="36">
        <v>184.04174996187427</v>
      </c>
      <c r="D500">
        <f t="shared" si="14"/>
        <v>426</v>
      </c>
      <c r="E500" s="36">
        <v>-86.709395241779916</v>
      </c>
    </row>
    <row r="501" spans="2:5" x14ac:dyDescent="0.3">
      <c r="B501">
        <v>427</v>
      </c>
      <c r="C501" s="36">
        <v>123.65448409010287</v>
      </c>
      <c r="D501">
        <f t="shared" si="14"/>
        <v>427</v>
      </c>
      <c r="E501" s="36">
        <v>-200.44317715866364</v>
      </c>
    </row>
    <row r="502" spans="2:5" x14ac:dyDescent="0.3">
      <c r="B502">
        <v>428</v>
      </c>
      <c r="C502" s="36">
        <v>187.27048624916054</v>
      </c>
      <c r="D502">
        <f t="shared" si="14"/>
        <v>428</v>
      </c>
      <c r="E502" s="36">
        <v>405.80267615058204</v>
      </c>
    </row>
    <row r="503" spans="2:5" x14ac:dyDescent="0.3">
      <c r="B503">
        <v>429</v>
      </c>
      <c r="C503" s="36">
        <v>99.44837313650379</v>
      </c>
      <c r="D503">
        <f t="shared" si="14"/>
        <v>429</v>
      </c>
      <c r="E503" s="36">
        <v>203.26448713374361</v>
      </c>
    </row>
    <row r="504" spans="2:5" x14ac:dyDescent="0.3">
      <c r="B504">
        <v>430</v>
      </c>
      <c r="C504" s="36">
        <v>75.059905383656798</v>
      </c>
      <c r="D504">
        <f t="shared" si="14"/>
        <v>430</v>
      </c>
      <c r="E504" s="36">
        <v>52.474897013910493</v>
      </c>
    </row>
    <row r="505" spans="2:5" x14ac:dyDescent="0.3">
      <c r="B505">
        <v>431</v>
      </c>
      <c r="C505" s="36">
        <v>141.94074692963923</v>
      </c>
      <c r="D505">
        <f t="shared" si="14"/>
        <v>431</v>
      </c>
      <c r="E505" s="36">
        <v>123.49565254180558</v>
      </c>
    </row>
    <row r="506" spans="2:5" x14ac:dyDescent="0.3">
      <c r="B506">
        <v>432</v>
      </c>
      <c r="C506" s="36">
        <v>90.951484605236857</v>
      </c>
      <c r="D506">
        <f t="shared" si="14"/>
        <v>432</v>
      </c>
      <c r="E506" s="36">
        <v>138.36600939277992</v>
      </c>
    </row>
    <row r="507" spans="2:5" x14ac:dyDescent="0.3">
      <c r="B507">
        <v>433</v>
      </c>
      <c r="C507" s="36">
        <v>119.27155840604192</v>
      </c>
      <c r="D507">
        <f t="shared" si="14"/>
        <v>433</v>
      </c>
      <c r="E507" s="36">
        <v>76.658529890257128</v>
      </c>
    </row>
    <row r="508" spans="2:5" x14ac:dyDescent="0.3">
      <c r="B508">
        <v>434</v>
      </c>
      <c r="C508" s="36">
        <v>173.9986446324055</v>
      </c>
      <c r="D508">
        <f t="shared" si="14"/>
        <v>434</v>
      </c>
      <c r="E508" s="36">
        <v>203.50588591616727</v>
      </c>
    </row>
    <row r="509" spans="2:5" x14ac:dyDescent="0.3">
      <c r="B509">
        <v>435</v>
      </c>
      <c r="C509" s="36">
        <v>-25.24102021905788</v>
      </c>
      <c r="D509">
        <f t="shared" si="14"/>
        <v>435</v>
      </c>
      <c r="E509" s="36">
        <v>99.660815421850259</v>
      </c>
    </row>
    <row r="510" spans="2:5" x14ac:dyDescent="0.3">
      <c r="B510">
        <v>436</v>
      </c>
      <c r="C510" s="36">
        <v>24.531196904400765</v>
      </c>
      <c r="D510">
        <f t="shared" si="14"/>
        <v>436</v>
      </c>
      <c r="E510" s="36">
        <v>-202.68178941019653</v>
      </c>
    </row>
    <row r="511" spans="2:5" x14ac:dyDescent="0.3">
      <c r="B511">
        <v>437</v>
      </c>
      <c r="C511" s="36">
        <v>10.428833612240172</v>
      </c>
      <c r="D511">
        <f t="shared" si="14"/>
        <v>437</v>
      </c>
      <c r="E511" s="36">
        <v>374.33008941492449</v>
      </c>
    </row>
    <row r="512" spans="2:5" x14ac:dyDescent="0.3">
      <c r="B512">
        <v>438</v>
      </c>
      <c r="C512" s="36">
        <v>217.17112622885821</v>
      </c>
      <c r="D512">
        <f t="shared" si="14"/>
        <v>438</v>
      </c>
      <c r="E512" s="36">
        <v>143.14600939330268</v>
      </c>
    </row>
    <row r="513" spans="2:5" x14ac:dyDescent="0.3">
      <c r="B513">
        <v>439</v>
      </c>
      <c r="C513" s="36">
        <v>71.622125776382092</v>
      </c>
      <c r="D513">
        <f t="shared" si="14"/>
        <v>439</v>
      </c>
      <c r="E513" s="36">
        <v>-11.388939939672534</v>
      </c>
    </row>
    <row r="514" spans="2:5" x14ac:dyDescent="0.3">
      <c r="B514">
        <v>440</v>
      </c>
      <c r="C514" s="36">
        <v>115.15735898006645</v>
      </c>
      <c r="D514">
        <f t="shared" si="14"/>
        <v>440</v>
      </c>
      <c r="E514" s="36">
        <v>86.612079163523788</v>
      </c>
    </row>
    <row r="515" spans="2:5" x14ac:dyDescent="0.3">
      <c r="B515">
        <v>441</v>
      </c>
      <c r="C515" s="36">
        <v>93.50990304575555</v>
      </c>
      <c r="D515">
        <f t="shared" si="14"/>
        <v>441</v>
      </c>
      <c r="E515" s="36">
        <v>250.06647190351669</v>
      </c>
    </row>
    <row r="516" spans="2:5" x14ac:dyDescent="0.3">
      <c r="B516">
        <v>442</v>
      </c>
      <c r="C516" s="36">
        <v>113.73150719450796</v>
      </c>
      <c r="D516">
        <f t="shared" si="14"/>
        <v>442</v>
      </c>
      <c r="E516" s="36">
        <v>85.639132643104091</v>
      </c>
    </row>
    <row r="517" spans="2:5" x14ac:dyDescent="0.3">
      <c r="B517">
        <v>443</v>
      </c>
      <c r="C517" s="36">
        <v>88.044570805784105</v>
      </c>
      <c r="D517">
        <f t="shared" si="14"/>
        <v>443</v>
      </c>
      <c r="E517" s="36">
        <v>130.00543219884827</v>
      </c>
    </row>
    <row r="518" spans="2:5" x14ac:dyDescent="0.3">
      <c r="B518">
        <v>444</v>
      </c>
      <c r="C518" s="36">
        <v>-13.475750899377763</v>
      </c>
      <c r="D518">
        <f t="shared" si="14"/>
        <v>444</v>
      </c>
      <c r="E518" s="36">
        <v>95.303195368794974</v>
      </c>
    </row>
    <row r="519" spans="2:5" x14ac:dyDescent="0.3">
      <c r="B519">
        <v>445</v>
      </c>
      <c r="C519" s="36">
        <v>-75.333986934195792</v>
      </c>
      <c r="D519">
        <f t="shared" si="14"/>
        <v>445</v>
      </c>
      <c r="E519" s="36">
        <v>297.5000088375715</v>
      </c>
    </row>
    <row r="520" spans="2:5" x14ac:dyDescent="0.3">
      <c r="B520">
        <v>446</v>
      </c>
      <c r="C520" s="36">
        <v>189.17817579996137</v>
      </c>
      <c r="D520">
        <f t="shared" si="14"/>
        <v>446</v>
      </c>
      <c r="E520" s="36">
        <v>91.844433994618797</v>
      </c>
    </row>
    <row r="521" spans="2:5" x14ac:dyDescent="0.3">
      <c r="B521">
        <v>447</v>
      </c>
      <c r="C521" s="36">
        <v>97.862817772934989</v>
      </c>
      <c r="D521">
        <f t="shared" si="14"/>
        <v>447</v>
      </c>
      <c r="E521" s="36">
        <v>261.50994776156909</v>
      </c>
    </row>
    <row r="522" spans="2:5" x14ac:dyDescent="0.3">
      <c r="B522">
        <v>448</v>
      </c>
      <c r="C522" s="36">
        <v>140.78172974367175</v>
      </c>
      <c r="D522">
        <f t="shared" si="14"/>
        <v>448</v>
      </c>
      <c r="E522" s="36">
        <v>216.52960448469761</v>
      </c>
    </row>
    <row r="523" spans="2:5" x14ac:dyDescent="0.3">
      <c r="B523">
        <v>449</v>
      </c>
      <c r="C523" s="36">
        <v>137.14422798246272</v>
      </c>
      <c r="D523">
        <f t="shared" si="14"/>
        <v>449</v>
      </c>
      <c r="E523" s="36">
        <v>-177.07866879843306</v>
      </c>
    </row>
    <row r="524" spans="2:5" x14ac:dyDescent="0.3">
      <c r="B524">
        <v>450</v>
      </c>
      <c r="C524" s="36">
        <v>137.42525495691879</v>
      </c>
      <c r="D524">
        <f t="shared" si="14"/>
        <v>450</v>
      </c>
      <c r="E524" s="36">
        <v>-0.78149965615140715</v>
      </c>
    </row>
    <row r="525" spans="2:5" x14ac:dyDescent="0.3">
      <c r="B525">
        <v>451</v>
      </c>
      <c r="C525" s="36">
        <v>143.47577741246477</v>
      </c>
      <c r="D525">
        <f t="shared" ref="D525:D574" si="15">B525</f>
        <v>451</v>
      </c>
      <c r="E525" s="36">
        <v>496.02519564906549</v>
      </c>
    </row>
    <row r="526" spans="2:5" x14ac:dyDescent="0.3">
      <c r="B526">
        <v>452</v>
      </c>
      <c r="C526" s="36">
        <v>146.11952518889274</v>
      </c>
      <c r="D526">
        <f t="shared" si="15"/>
        <v>452</v>
      </c>
      <c r="E526" s="36">
        <v>-24.326901364058017</v>
      </c>
    </row>
    <row r="527" spans="2:5" x14ac:dyDescent="0.3">
      <c r="B527">
        <v>453</v>
      </c>
      <c r="C527" s="36">
        <v>132.25943943384524</v>
      </c>
      <c r="D527">
        <f t="shared" si="15"/>
        <v>453</v>
      </c>
      <c r="E527" s="36">
        <v>255.68814660245818</v>
      </c>
    </row>
    <row r="528" spans="2:5" x14ac:dyDescent="0.3">
      <c r="B528">
        <v>454</v>
      </c>
      <c r="C528" s="36">
        <v>181.21832113679636</v>
      </c>
      <c r="D528">
        <f t="shared" si="15"/>
        <v>454</v>
      </c>
      <c r="E528" s="36">
        <v>245.58550647808875</v>
      </c>
    </row>
    <row r="529" spans="2:5" x14ac:dyDescent="0.3">
      <c r="B529">
        <v>455</v>
      </c>
      <c r="C529" s="36">
        <v>71.111755616620229</v>
      </c>
      <c r="D529">
        <f t="shared" si="15"/>
        <v>455</v>
      </c>
      <c r="E529" s="36">
        <v>71.234328130524048</v>
      </c>
    </row>
    <row r="530" spans="2:5" x14ac:dyDescent="0.3">
      <c r="B530">
        <v>456</v>
      </c>
      <c r="C530" s="36">
        <v>93.005623253340488</v>
      </c>
      <c r="D530">
        <f t="shared" si="15"/>
        <v>456</v>
      </c>
      <c r="E530" s="36">
        <v>140.41387323401966</v>
      </c>
    </row>
    <row r="531" spans="2:5" x14ac:dyDescent="0.3">
      <c r="B531">
        <v>457</v>
      </c>
      <c r="C531" s="36">
        <v>23.201180183041746</v>
      </c>
      <c r="D531">
        <f t="shared" si="15"/>
        <v>457</v>
      </c>
      <c r="E531" s="36">
        <v>80.922252385014957</v>
      </c>
    </row>
    <row r="532" spans="2:5" x14ac:dyDescent="0.3">
      <c r="B532">
        <v>458</v>
      </c>
      <c r="C532" s="36">
        <v>-13.229697739724491</v>
      </c>
      <c r="D532">
        <f t="shared" si="15"/>
        <v>458</v>
      </c>
      <c r="E532" s="36">
        <v>204.78460522498804</v>
      </c>
    </row>
    <row r="533" spans="2:5" x14ac:dyDescent="0.3">
      <c r="B533">
        <v>459</v>
      </c>
      <c r="C533" s="36">
        <v>94.602423344598236</v>
      </c>
      <c r="D533">
        <f t="shared" si="15"/>
        <v>459</v>
      </c>
      <c r="E533" s="36">
        <v>52.452997892668648</v>
      </c>
    </row>
    <row r="534" spans="2:5" x14ac:dyDescent="0.3">
      <c r="B534">
        <v>460</v>
      </c>
      <c r="C534" s="36">
        <v>38.413480570924484</v>
      </c>
      <c r="D534">
        <f t="shared" si="15"/>
        <v>460</v>
      </c>
      <c r="E534" s="36">
        <v>2.6761956721609921</v>
      </c>
    </row>
    <row r="535" spans="2:5" x14ac:dyDescent="0.3">
      <c r="B535">
        <v>461</v>
      </c>
      <c r="C535" s="36">
        <v>167.26131101372204</v>
      </c>
      <c r="D535">
        <f t="shared" si="15"/>
        <v>461</v>
      </c>
      <c r="E535" s="36">
        <v>69.413908835942763</v>
      </c>
    </row>
    <row r="536" spans="2:5" x14ac:dyDescent="0.3">
      <c r="B536">
        <v>462</v>
      </c>
      <c r="C536" s="36">
        <v>60.921645741548573</v>
      </c>
      <c r="D536">
        <f t="shared" si="15"/>
        <v>462</v>
      </c>
      <c r="E536" s="36">
        <v>203.50640983987782</v>
      </c>
    </row>
    <row r="537" spans="2:5" x14ac:dyDescent="0.3">
      <c r="B537">
        <v>463</v>
      </c>
      <c r="C537" s="36">
        <v>180.48067582168213</v>
      </c>
      <c r="D537">
        <f t="shared" si="15"/>
        <v>463</v>
      </c>
      <c r="E537" s="36">
        <v>286.58982168508066</v>
      </c>
    </row>
    <row r="538" spans="2:5" x14ac:dyDescent="0.3">
      <c r="B538">
        <v>464</v>
      </c>
      <c r="C538" s="36">
        <v>203.06649437505513</v>
      </c>
      <c r="D538">
        <f t="shared" si="15"/>
        <v>464</v>
      </c>
      <c r="E538" s="36">
        <v>5.1914700025963691</v>
      </c>
    </row>
    <row r="539" spans="2:5" x14ac:dyDescent="0.3">
      <c r="B539">
        <v>465</v>
      </c>
      <c r="C539" s="36">
        <v>168.69752816947138</v>
      </c>
      <c r="D539">
        <f t="shared" si="15"/>
        <v>465</v>
      </c>
      <c r="E539" s="36">
        <v>327.37592328363974</v>
      </c>
    </row>
    <row r="540" spans="2:5" x14ac:dyDescent="0.3">
      <c r="B540">
        <v>466</v>
      </c>
      <c r="C540" s="36">
        <v>127.42973715324267</v>
      </c>
      <c r="D540">
        <f t="shared" si="15"/>
        <v>466</v>
      </c>
      <c r="E540" s="36">
        <v>196.49840643319845</v>
      </c>
    </row>
    <row r="541" spans="2:5" x14ac:dyDescent="0.3">
      <c r="B541">
        <v>467</v>
      </c>
      <c r="C541" s="36">
        <v>150.89852306134509</v>
      </c>
      <c r="D541">
        <f t="shared" si="15"/>
        <v>467</v>
      </c>
      <c r="E541" s="36">
        <v>421.36070559286372</v>
      </c>
    </row>
    <row r="542" spans="2:5" x14ac:dyDescent="0.3">
      <c r="B542">
        <v>468</v>
      </c>
      <c r="C542" s="36">
        <v>137.22413910451232</v>
      </c>
      <c r="D542">
        <f t="shared" si="15"/>
        <v>468</v>
      </c>
      <c r="E542" s="36">
        <v>164.00157215128627</v>
      </c>
    </row>
    <row r="543" spans="2:5" x14ac:dyDescent="0.3">
      <c r="B543">
        <v>469</v>
      </c>
      <c r="C543" s="36">
        <v>94.808491155531129</v>
      </c>
      <c r="D543">
        <f t="shared" si="15"/>
        <v>469</v>
      </c>
      <c r="E543" s="36">
        <v>109.18893411595052</v>
      </c>
    </row>
    <row r="544" spans="2:5" x14ac:dyDescent="0.3">
      <c r="B544">
        <v>470</v>
      </c>
      <c r="C544" s="36">
        <v>153.44142184731817</v>
      </c>
      <c r="D544">
        <f t="shared" si="15"/>
        <v>470</v>
      </c>
      <c r="E544" s="36">
        <v>-226.43380099332234</v>
      </c>
    </row>
    <row r="545" spans="2:5" x14ac:dyDescent="0.3">
      <c r="B545">
        <v>471</v>
      </c>
      <c r="C545" s="36">
        <v>159.59479637675014</v>
      </c>
      <c r="D545">
        <f t="shared" si="15"/>
        <v>471</v>
      </c>
      <c r="E545" s="36">
        <v>101.94018286315398</v>
      </c>
    </row>
    <row r="546" spans="2:5" x14ac:dyDescent="0.3">
      <c r="B546">
        <v>472</v>
      </c>
      <c r="C546" s="36">
        <v>38.179442220911383</v>
      </c>
      <c r="D546">
        <f t="shared" si="15"/>
        <v>472</v>
      </c>
      <c r="E546" s="36">
        <v>456.94919018734856</v>
      </c>
    </row>
    <row r="547" spans="2:5" x14ac:dyDescent="0.3">
      <c r="B547">
        <v>473</v>
      </c>
      <c r="C547" s="36">
        <v>80.783377699045644</v>
      </c>
      <c r="D547">
        <f t="shared" si="15"/>
        <v>473</v>
      </c>
      <c r="E547" s="36">
        <v>133.66468447404529</v>
      </c>
    </row>
    <row r="548" spans="2:5" x14ac:dyDescent="0.3">
      <c r="B548">
        <v>474</v>
      </c>
      <c r="C548" s="36">
        <v>128.55322527671643</v>
      </c>
      <c r="D548">
        <f t="shared" si="15"/>
        <v>474</v>
      </c>
      <c r="E548" s="36">
        <v>143.42775927365795</v>
      </c>
    </row>
    <row r="549" spans="2:5" x14ac:dyDescent="0.3">
      <c r="B549">
        <v>475</v>
      </c>
      <c r="C549" s="36">
        <v>42.896529996399963</v>
      </c>
      <c r="D549">
        <f t="shared" si="15"/>
        <v>475</v>
      </c>
      <c r="E549" s="36">
        <v>59.385385664647927</v>
      </c>
    </row>
    <row r="550" spans="2:5" x14ac:dyDescent="0.3">
      <c r="B550">
        <v>476</v>
      </c>
      <c r="C550" s="36">
        <v>115.86453316952625</v>
      </c>
      <c r="D550">
        <f t="shared" si="15"/>
        <v>476</v>
      </c>
      <c r="E550" s="36">
        <v>321.38745552706865</v>
      </c>
    </row>
    <row r="551" spans="2:5" x14ac:dyDescent="0.3">
      <c r="B551">
        <v>477</v>
      </c>
      <c r="C551" s="36">
        <v>66.828730045438377</v>
      </c>
      <c r="D551">
        <f t="shared" si="15"/>
        <v>477</v>
      </c>
      <c r="E551" s="36">
        <v>396.19779365725265</v>
      </c>
    </row>
    <row r="552" spans="2:5" x14ac:dyDescent="0.3">
      <c r="B552">
        <v>478</v>
      </c>
      <c r="C552" s="36">
        <v>13.746267613058157</v>
      </c>
      <c r="D552">
        <f t="shared" si="15"/>
        <v>478</v>
      </c>
      <c r="E552" s="36">
        <v>493.51391982545709</v>
      </c>
    </row>
    <row r="553" spans="2:5" x14ac:dyDescent="0.3">
      <c r="B553">
        <v>479</v>
      </c>
      <c r="C553" s="36">
        <v>130.96354156425613</v>
      </c>
      <c r="D553">
        <f t="shared" si="15"/>
        <v>479</v>
      </c>
      <c r="E553" s="36">
        <v>347.98212137085198</v>
      </c>
    </row>
    <row r="554" spans="2:5" x14ac:dyDescent="0.3">
      <c r="B554">
        <v>480</v>
      </c>
      <c r="C554" s="36">
        <v>152.78834161040274</v>
      </c>
      <c r="D554">
        <f t="shared" si="15"/>
        <v>480</v>
      </c>
      <c r="E554" s="36">
        <v>54.715864350522338</v>
      </c>
    </row>
    <row r="555" spans="2:5" x14ac:dyDescent="0.3">
      <c r="B555">
        <v>481</v>
      </c>
      <c r="C555" s="36">
        <v>139.78482854363193</v>
      </c>
      <c r="D555">
        <f t="shared" si="15"/>
        <v>481</v>
      </c>
      <c r="E555" s="36">
        <v>204.34100994417832</v>
      </c>
    </row>
    <row r="556" spans="2:5" x14ac:dyDescent="0.3">
      <c r="B556">
        <v>482</v>
      </c>
      <c r="C556" s="36">
        <v>53.007917800184941</v>
      </c>
      <c r="D556">
        <f t="shared" si="15"/>
        <v>482</v>
      </c>
      <c r="E556" s="36">
        <v>18.483860180336524</v>
      </c>
    </row>
    <row r="557" spans="2:5" x14ac:dyDescent="0.3">
      <c r="B557">
        <v>483</v>
      </c>
      <c r="C557" s="36">
        <v>85.90199719793992</v>
      </c>
      <c r="D557">
        <f t="shared" si="15"/>
        <v>483</v>
      </c>
      <c r="E557" s="36">
        <v>396.84444901843369</v>
      </c>
    </row>
    <row r="558" spans="2:5" x14ac:dyDescent="0.3">
      <c r="B558">
        <v>484</v>
      </c>
      <c r="C558" s="36">
        <v>124.49539153930584</v>
      </c>
      <c r="D558">
        <f t="shared" si="15"/>
        <v>484</v>
      </c>
      <c r="E558" s="36">
        <v>191.72147125287285</v>
      </c>
    </row>
    <row r="559" spans="2:5" x14ac:dyDescent="0.3">
      <c r="B559">
        <v>485</v>
      </c>
      <c r="C559" s="36">
        <v>61.824763038422624</v>
      </c>
      <c r="D559">
        <f t="shared" si="15"/>
        <v>485</v>
      </c>
      <c r="E559" s="36">
        <v>242.62093148955518</v>
      </c>
    </row>
    <row r="560" spans="2:5" x14ac:dyDescent="0.3">
      <c r="B560">
        <v>486</v>
      </c>
      <c r="C560" s="36">
        <v>85.841340135745867</v>
      </c>
      <c r="D560">
        <f t="shared" si="15"/>
        <v>486</v>
      </c>
      <c r="E560" s="36">
        <v>98.246775537825556</v>
      </c>
    </row>
    <row r="561" spans="2:5" x14ac:dyDescent="0.3">
      <c r="B561">
        <v>487</v>
      </c>
      <c r="C561" s="36">
        <v>-2.4786064865255311</v>
      </c>
      <c r="D561">
        <f t="shared" si="15"/>
        <v>487</v>
      </c>
      <c r="E561" s="36">
        <v>186.82506169026377</v>
      </c>
    </row>
    <row r="562" spans="2:5" x14ac:dyDescent="0.3">
      <c r="B562">
        <v>488</v>
      </c>
      <c r="C562" s="36">
        <v>-47.791869563112478</v>
      </c>
      <c r="D562">
        <f t="shared" si="15"/>
        <v>488</v>
      </c>
      <c r="E562" s="36">
        <v>429.10303210004656</v>
      </c>
    </row>
    <row r="563" spans="2:5" x14ac:dyDescent="0.3">
      <c r="B563">
        <v>489</v>
      </c>
      <c r="C563" s="36">
        <v>63.612839219366343</v>
      </c>
      <c r="D563">
        <f t="shared" si="15"/>
        <v>489</v>
      </c>
      <c r="E563" s="36">
        <v>-22.867802081726289</v>
      </c>
    </row>
    <row r="564" spans="2:5" x14ac:dyDescent="0.3">
      <c r="B564">
        <v>490</v>
      </c>
      <c r="C564" s="36">
        <v>49.496718814477461</v>
      </c>
      <c r="D564">
        <f t="shared" si="15"/>
        <v>490</v>
      </c>
      <c r="E564" s="36">
        <v>221.06931012714594</v>
      </c>
    </row>
    <row r="565" spans="2:5" x14ac:dyDescent="0.3">
      <c r="B565">
        <v>491</v>
      </c>
      <c r="C565" s="36">
        <v>122.8727292469076</v>
      </c>
      <c r="D565">
        <f t="shared" si="15"/>
        <v>491</v>
      </c>
      <c r="E565" s="36">
        <v>134.71347988923361</v>
      </c>
    </row>
    <row r="566" spans="2:5" x14ac:dyDescent="0.3">
      <c r="B566">
        <v>492</v>
      </c>
      <c r="C566" s="36">
        <v>185.86917111720373</v>
      </c>
      <c r="D566">
        <f t="shared" si="15"/>
        <v>492</v>
      </c>
      <c r="E566" s="36">
        <v>299.13491867358204</v>
      </c>
    </row>
    <row r="567" spans="2:5" x14ac:dyDescent="0.3">
      <c r="B567">
        <v>493</v>
      </c>
      <c r="C567" s="36">
        <v>149.35297115795225</v>
      </c>
      <c r="D567">
        <f t="shared" si="15"/>
        <v>493</v>
      </c>
      <c r="E567" s="36">
        <v>-280.57252157288497</v>
      </c>
    </row>
    <row r="568" spans="2:5" x14ac:dyDescent="0.3">
      <c r="B568">
        <v>494</v>
      </c>
      <c r="C568" s="36">
        <v>103.47217724549928</v>
      </c>
      <c r="D568">
        <f t="shared" si="15"/>
        <v>494</v>
      </c>
      <c r="E568" s="36">
        <v>-144.86621239974897</v>
      </c>
    </row>
    <row r="569" spans="2:5" x14ac:dyDescent="0.3">
      <c r="B569">
        <v>495</v>
      </c>
      <c r="C569" s="36">
        <v>135.27956749410924</v>
      </c>
      <c r="D569">
        <f t="shared" si="15"/>
        <v>495</v>
      </c>
      <c r="E569" s="36">
        <v>-27.843716911884048</v>
      </c>
    </row>
    <row r="570" spans="2:5" x14ac:dyDescent="0.3">
      <c r="B570">
        <v>496</v>
      </c>
      <c r="C570" s="36">
        <v>142.7056434849641</v>
      </c>
      <c r="D570">
        <f t="shared" si="15"/>
        <v>496</v>
      </c>
      <c r="E570" s="36">
        <v>232.96834843947508</v>
      </c>
    </row>
    <row r="571" spans="2:5" x14ac:dyDescent="0.3">
      <c r="B571">
        <v>497</v>
      </c>
      <c r="C571" s="36">
        <v>102.44897884971624</v>
      </c>
      <c r="D571">
        <f t="shared" si="15"/>
        <v>497</v>
      </c>
      <c r="E571" s="36">
        <v>309.08182829512737</v>
      </c>
    </row>
    <row r="572" spans="2:5" x14ac:dyDescent="0.3">
      <c r="B572">
        <v>498</v>
      </c>
      <c r="C572" s="36">
        <v>179.01210507551238</v>
      </c>
      <c r="D572">
        <f t="shared" si="15"/>
        <v>498</v>
      </c>
      <c r="E572" s="36">
        <v>119.63110504185752</v>
      </c>
    </row>
    <row r="573" spans="2:5" x14ac:dyDescent="0.3">
      <c r="B573">
        <v>499</v>
      </c>
      <c r="C573" s="36">
        <v>33.299944670969239</v>
      </c>
      <c r="D573">
        <f t="shared" si="15"/>
        <v>499</v>
      </c>
      <c r="E573" s="36">
        <v>109.03198861189151</v>
      </c>
    </row>
    <row r="574" spans="2:5" x14ac:dyDescent="0.3">
      <c r="B574">
        <v>500</v>
      </c>
      <c r="C574" s="36">
        <v>9.7504374570935433</v>
      </c>
      <c r="D574">
        <f t="shared" si="15"/>
        <v>500</v>
      </c>
      <c r="E574" s="36">
        <v>97.752078822763082</v>
      </c>
    </row>
  </sheetData>
  <mergeCells count="16">
    <mergeCell ref="C1:E1"/>
    <mergeCell ref="C24:E24"/>
    <mergeCell ref="A40:E40"/>
    <mergeCell ref="A41:E41"/>
    <mergeCell ref="C53:E53"/>
    <mergeCell ref="B32:C32"/>
    <mergeCell ref="B31:C31"/>
    <mergeCell ref="B34:C34"/>
    <mergeCell ref="B25:C25"/>
    <mergeCell ref="B26:C26"/>
    <mergeCell ref="B27:C27"/>
    <mergeCell ref="B28:C28"/>
    <mergeCell ref="B29:C29"/>
    <mergeCell ref="B30:C30"/>
    <mergeCell ref="B33:C33"/>
    <mergeCell ref="D32:E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K113"/>
  <sheetViews>
    <sheetView tabSelected="1" topLeftCell="F14" workbookViewId="0">
      <selection activeCell="L18" sqref="L18"/>
    </sheetView>
  </sheetViews>
  <sheetFormatPr defaultRowHeight="14.4" x14ac:dyDescent="0.3"/>
  <cols>
    <col min="1" max="1" width="21.33203125" customWidth="1"/>
    <col min="2" max="2" width="33.6640625" customWidth="1"/>
    <col min="3" max="3" width="13.6640625" customWidth="1"/>
    <col min="4" max="4" width="8.109375" customWidth="1"/>
    <col min="5" max="5" width="11.109375" customWidth="1"/>
    <col min="6" max="6" width="13.88671875" customWidth="1"/>
    <col min="7" max="7" width="11.109375" customWidth="1"/>
    <col min="8" max="10" width="12.88671875" customWidth="1"/>
    <col min="11" max="11" width="13.6640625" bestFit="1" customWidth="1"/>
    <col min="12" max="12" width="17.5546875" customWidth="1"/>
    <col min="13" max="13" width="12.6640625" customWidth="1"/>
    <col min="14" max="14" width="12.5546875" bestFit="1" customWidth="1"/>
    <col min="15" max="15" width="12.5546875" customWidth="1"/>
    <col min="16" max="16" width="12.44140625" customWidth="1"/>
    <col min="17" max="17" width="12.5546875" bestFit="1" customWidth="1"/>
    <col min="18" max="19" width="16" customWidth="1"/>
    <col min="20" max="21" width="16.5546875" customWidth="1"/>
    <col min="22" max="22" width="12.5546875" bestFit="1" customWidth="1"/>
    <col min="26" max="26" width="10.109375" bestFit="1" customWidth="1"/>
    <col min="28" max="28" width="10.5546875" bestFit="1" customWidth="1"/>
    <col min="29" max="29" width="17.33203125" customWidth="1"/>
    <col min="30" max="30" width="19" customWidth="1"/>
    <col min="31" max="31" width="15.109375" customWidth="1"/>
    <col min="32" max="33" width="12.5546875" customWidth="1"/>
    <col min="34" max="34" width="22.6640625" customWidth="1"/>
    <col min="35" max="35" width="9" customWidth="1"/>
    <col min="36" max="36" width="11.21875" customWidth="1"/>
  </cols>
  <sheetData>
    <row r="1" spans="1:37" ht="15.6" x14ac:dyDescent="0.3">
      <c r="C1" s="81" t="s">
        <v>154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1" t="s">
        <v>156</v>
      </c>
      <c r="R1" s="81"/>
      <c r="S1" s="81"/>
      <c r="T1" s="81"/>
      <c r="U1" s="81"/>
      <c r="V1" s="81" t="s">
        <v>117</v>
      </c>
      <c r="W1" s="81"/>
      <c r="X1" s="81"/>
      <c r="Y1" s="81"/>
      <c r="Z1" s="81"/>
      <c r="AA1" s="81"/>
      <c r="AB1" s="81" t="s">
        <v>118</v>
      </c>
      <c r="AC1" s="81"/>
      <c r="AD1" s="81"/>
      <c r="AE1" s="81"/>
      <c r="AF1" s="81"/>
      <c r="AG1" s="81"/>
      <c r="AH1" s="81"/>
    </row>
    <row r="2" spans="1:37" ht="15.6" x14ac:dyDescent="0.3">
      <c r="A2" s="16" t="s">
        <v>36</v>
      </c>
      <c r="B2" s="2" t="s">
        <v>39</v>
      </c>
      <c r="C2" t="s">
        <v>40</v>
      </c>
      <c r="D2" t="s">
        <v>41</v>
      </c>
      <c r="E2" t="s">
        <v>119</v>
      </c>
      <c r="F2" t="s">
        <v>42</v>
      </c>
      <c r="G2" t="s">
        <v>53</v>
      </c>
      <c r="H2" t="s">
        <v>69</v>
      </c>
      <c r="I2" t="s">
        <v>112</v>
      </c>
      <c r="J2" t="s">
        <v>70</v>
      </c>
      <c r="K2" t="s">
        <v>71</v>
      </c>
      <c r="L2" s="53" t="s">
        <v>72</v>
      </c>
      <c r="M2" s="53" t="s">
        <v>120</v>
      </c>
      <c r="N2" s="12" t="s">
        <v>73</v>
      </c>
      <c r="O2" s="12" t="s">
        <v>65</v>
      </c>
      <c r="P2" t="s">
        <v>99</v>
      </c>
      <c r="Q2" t="s">
        <v>157</v>
      </c>
      <c r="R2" t="s">
        <v>74</v>
      </c>
      <c r="S2" t="s">
        <v>100</v>
      </c>
      <c r="T2" s="2" t="s">
        <v>121</v>
      </c>
      <c r="U2" s="2" t="s">
        <v>101</v>
      </c>
      <c r="V2" t="s">
        <v>102</v>
      </c>
      <c r="W2" t="s">
        <v>103</v>
      </c>
      <c r="X2" t="s">
        <v>104</v>
      </c>
      <c r="Y2" t="s">
        <v>34</v>
      </c>
      <c r="Z2" t="s">
        <v>35</v>
      </c>
      <c r="AA2" t="s">
        <v>17</v>
      </c>
      <c r="AB2" t="s">
        <v>38</v>
      </c>
      <c r="AC2" t="s">
        <v>75</v>
      </c>
      <c r="AD2" t="s">
        <v>57</v>
      </c>
      <c r="AE2" t="s">
        <v>76</v>
      </c>
      <c r="AF2" t="s">
        <v>43</v>
      </c>
      <c r="AG2" t="s">
        <v>77</v>
      </c>
      <c r="AH2" t="s">
        <v>98</v>
      </c>
      <c r="AI2" t="s">
        <v>86</v>
      </c>
      <c r="AJ2" t="s">
        <v>122</v>
      </c>
      <c r="AK2" t="s">
        <v>87</v>
      </c>
    </row>
    <row r="3" spans="1:37" ht="15.6" x14ac:dyDescent="0.3">
      <c r="A3" s="16" t="s">
        <v>153</v>
      </c>
      <c r="B3" t="s">
        <v>54</v>
      </c>
      <c r="C3" s="4">
        <f>O3/H3</f>
        <v>92823.248276712999</v>
      </c>
      <c r="D3" s="95">
        <f>E3/SUM(E3:E3)</f>
        <v>1</v>
      </c>
      <c r="E3" s="95">
        <f>C3/SUM(C3:C4)</f>
        <v>0.49527663309480946</v>
      </c>
      <c r="F3" s="38">
        <f>C3*D3*(E43^12)</f>
        <v>92823.248276712999</v>
      </c>
      <c r="G3" s="97">
        <f>[2]All!$H$3</f>
        <v>0.64</v>
      </c>
      <c r="H3" s="98">
        <f>[2]All!$G$3-0.75</f>
        <v>13.15</v>
      </c>
      <c r="I3" s="88">
        <f>P3/F3</f>
        <v>17.366990267068545</v>
      </c>
      <c r="J3" s="97">
        <f>[2]All!$J$3</f>
        <v>6.2</v>
      </c>
      <c r="K3" s="97">
        <f>[2]All!$I$3</f>
        <v>0.4</v>
      </c>
      <c r="L3" s="67">
        <f>F3*H3</f>
        <v>1220625.714838776</v>
      </c>
      <c r="M3" s="3">
        <f>I3-H3</f>
        <v>4.2169902670685442</v>
      </c>
      <c r="N3" s="21">
        <v>1</v>
      </c>
      <c r="O3" s="24">
        <f>([3]prod_herd_data!$F$8+[3]prod_herd_data!$G$8)*(1-[3]prod_herd_data!$F$3)</f>
        <v>1220625.714838776</v>
      </c>
      <c r="P3" s="24">
        <f>P25*E46</f>
        <v>1612060.4493793617</v>
      </c>
      <c r="Q3" s="68">
        <f>NPV_Baseline!B34</f>
        <v>81.720063076127744</v>
      </c>
      <c r="R3" s="68">
        <f ca="1">NPV_Baseline!C72</f>
        <v>51.499079623781199</v>
      </c>
      <c r="S3" s="68">
        <f>NPV_Baseline!B32*M3</f>
        <v>393.86341184202604</v>
      </c>
      <c r="T3" s="69">
        <f>I3*K3*Q3-S3</f>
        <v>173.82920418490926</v>
      </c>
      <c r="U3" s="6">
        <f ca="1">H3*R3*K3</f>
        <v>270.88515882108914</v>
      </c>
      <c r="V3" s="70">
        <f>Q3*(P3*N3*K3)/(C3*D3)</f>
        <v>567.6926160269353</v>
      </c>
      <c r="W3" s="70">
        <f>[2]All!$E$3*[4]Sheet1!$B$9</f>
        <v>4765.436433355384</v>
      </c>
      <c r="X3" s="70">
        <f>[2]All!$F$3</f>
        <v>2124.3160400000002</v>
      </c>
      <c r="Y3" s="65">
        <f>V3+W3</f>
        <v>5333.129049382319</v>
      </c>
      <c r="Z3" s="65">
        <f>W3+T3</f>
        <v>4939.265637540293</v>
      </c>
      <c r="AA3" s="7"/>
      <c r="AB3" s="40">
        <f>SQRT(E3*(1-E3)/Q56)</f>
        <v>3.1067101981070509E-2</v>
      </c>
      <c r="AC3" s="65">
        <f>Z3*F3</f>
        <v>458478680.57803971</v>
      </c>
      <c r="AD3" s="65">
        <f>Y3*F3</f>
        <v>495038361.84256536</v>
      </c>
      <c r="AE3" s="65"/>
      <c r="AF3" s="7"/>
      <c r="AG3" s="7">
        <f>F3*J3/SUMPRODUCT(F3:F4,J3:J4)</f>
        <v>0.50347389238885354</v>
      </c>
      <c r="AH3" s="7">
        <f ca="1">AC3*U3/T3</f>
        <v>714466080.58076525</v>
      </c>
      <c r="AI3" s="23"/>
      <c r="AJ3" s="25"/>
      <c r="AK3" s="35"/>
    </row>
    <row r="4" spans="1:37" ht="15.6" x14ac:dyDescent="0.3">
      <c r="A4" s="17"/>
      <c r="B4" t="s">
        <v>5</v>
      </c>
      <c r="C4" s="4">
        <f>O4/H4</f>
        <v>94593.726549442566</v>
      </c>
      <c r="D4" s="95">
        <f>E4/SUM(E4:E4)</f>
        <v>1</v>
      </c>
      <c r="E4" s="95">
        <f>1-E3</f>
        <v>0.50472336690519048</v>
      </c>
      <c r="F4" s="38">
        <f xml:space="preserve"> C4*D4*(E43^12)</f>
        <v>94593.726549442566</v>
      </c>
      <c r="G4" s="97">
        <v>0.27</v>
      </c>
      <c r="H4" s="98">
        <f>[2]All!$G$4</f>
        <v>2.6</v>
      </c>
      <c r="I4" s="88">
        <f>P4/F4</f>
        <v>1.9551649201349344</v>
      </c>
      <c r="J4" s="97">
        <f>[2]All!$J$4</f>
        <v>6</v>
      </c>
      <c r="K4" s="97">
        <f>[2]All!$I$4</f>
        <v>0.41699999999999998</v>
      </c>
      <c r="L4" s="67">
        <f>F4*H4</f>
        <v>245943.68902855067</v>
      </c>
      <c r="M4" s="3">
        <f>I4-H4</f>
        <v>-0.64483507986506572</v>
      </c>
      <c r="N4" s="21">
        <v>1</v>
      </c>
      <c r="O4" s="24">
        <f>([3]prod_herd_data!$F$8+[3]prod_herd_data!$G$8)*([3]prod_herd_data!$F$3)</f>
        <v>245943.68902855067</v>
      </c>
      <c r="P4" s="24">
        <f>P26*(1-E44)</f>
        <v>184946.33581430669</v>
      </c>
      <c r="Q4" s="68">
        <f>NPV_Baseline!E34</f>
        <v>521.99089229121421</v>
      </c>
      <c r="R4" s="68">
        <f ca="1">NPV_Baseline!E72</f>
        <v>165.54851160518518</v>
      </c>
      <c r="S4" s="68">
        <f>NPV_Baseline!D32*M4</f>
        <v>-156.06533612221244</v>
      </c>
      <c r="T4" s="69">
        <f>I4*K4*Q4-S4</f>
        <v>581.64647939833958</v>
      </c>
      <c r="U4" s="6">
        <f ca="1">H4*R4*K4</f>
        <v>179.48769628234177</v>
      </c>
      <c r="V4" s="70">
        <f>Q4*(P4*N4*K4)/(C4*D4)</f>
        <v>425.58114327612702</v>
      </c>
      <c r="W4" s="70">
        <f>[2]All!$E$4*[4]Sheet1!$B$9</f>
        <v>10735.300922588216</v>
      </c>
      <c r="X4" s="70">
        <f>[2]All!$F$4</f>
        <v>4785.5369099999998</v>
      </c>
      <c r="Y4" s="65">
        <f>V4+W4</f>
        <v>11160.882065864344</v>
      </c>
      <c r="Z4" s="72">
        <f>W4+T4</f>
        <v>11316.947401986556</v>
      </c>
      <c r="AA4" s="7"/>
      <c r="AB4" s="40">
        <f>SQRT(E4*(1-E4)/Q56)</f>
        <v>3.1067101981070513E-2</v>
      </c>
      <c r="AC4" s="72">
        <f>Z4*F4</f>
        <v>1070512227.9179407</v>
      </c>
      <c r="AD4" s="65">
        <f>Y4*F4</f>
        <v>1055749426.1889493</v>
      </c>
      <c r="AE4" s="65"/>
      <c r="AF4" s="7"/>
      <c r="AG4" s="7">
        <f>F4*J4/SUMPRODUCT(F3:F4,J3:J4)</f>
        <v>0.49652610761114646</v>
      </c>
      <c r="AH4" s="7">
        <f ca="1">AC4*U4/T4</f>
        <v>330344600.09080374</v>
      </c>
      <c r="AI4" s="23"/>
      <c r="AJ4" s="73">
        <f ca="1">MC_Baseline!J20</f>
        <v>29.569169074342863</v>
      </c>
      <c r="AK4" s="35"/>
    </row>
    <row r="5" spans="1:37" ht="15.6" x14ac:dyDescent="0.3">
      <c r="A5" s="17"/>
      <c r="E5" s="4"/>
      <c r="F5" s="38"/>
      <c r="G5" s="4"/>
      <c r="H5" s="38"/>
      <c r="I5" s="4"/>
      <c r="J5" s="4"/>
      <c r="L5" s="67"/>
      <c r="M5" s="3"/>
      <c r="N5" s="21"/>
      <c r="O5" s="15"/>
      <c r="P5" s="13"/>
      <c r="Q5" s="68"/>
      <c r="R5" s="68"/>
      <c r="S5" s="68"/>
      <c r="T5" s="69"/>
      <c r="U5" s="6"/>
      <c r="V5" s="65"/>
      <c r="W5" s="65"/>
      <c r="X5" s="65"/>
      <c r="Y5" s="65"/>
      <c r="Z5" s="65"/>
      <c r="AA5" s="7"/>
      <c r="AB5" s="32"/>
      <c r="AC5" s="65"/>
      <c r="AD5" s="65"/>
      <c r="AE5" s="65"/>
      <c r="AF5" s="7"/>
      <c r="AG5" s="7"/>
      <c r="AH5" s="7"/>
      <c r="AI5" s="1"/>
      <c r="AJ5" s="73"/>
      <c r="AK5" s="42"/>
    </row>
    <row r="6" spans="1:37" ht="15.6" x14ac:dyDescent="0.3">
      <c r="A6" s="16" t="str">
        <f>A27</f>
        <v>Inclusive</v>
      </c>
      <c r="B6" t="s">
        <v>81</v>
      </c>
      <c r="E6" s="87">
        <f>F6/SUM(F6:F8)</f>
        <v>0.21296895223076809</v>
      </c>
      <c r="F6" s="88">
        <f>F3*E51</f>
        <v>39913.996758986592</v>
      </c>
      <c r="G6" s="89">
        <f>G4</f>
        <v>0.27</v>
      </c>
      <c r="H6" s="88">
        <f>L6*(1/F6)</f>
        <v>1.903773029765371</v>
      </c>
      <c r="I6" s="90"/>
      <c r="J6" s="89">
        <f>J3</f>
        <v>6.2</v>
      </c>
      <c r="K6" s="91">
        <f>K3</f>
        <v>0.4</v>
      </c>
      <c r="L6" s="92">
        <f>P6*N6</f>
        <v>75987.190539901101</v>
      </c>
      <c r="M6" s="93">
        <f>H6-H3</f>
        <v>-11.246226970234629</v>
      </c>
      <c r="N6" s="94">
        <f>E47</f>
        <v>0.12</v>
      </c>
      <c r="O6" s="14"/>
      <c r="P6" s="13">
        <f>P28*(1-E44)</f>
        <v>633226.58783250919</v>
      </c>
      <c r="Q6" s="68">
        <f>NPV_Roadmap!C33</f>
        <v>-347.06430102997354</v>
      </c>
      <c r="R6" s="68">
        <f ca="1">NPV_Roadmap!C67</f>
        <v>314.70051264256352</v>
      </c>
      <c r="S6" s="68">
        <f>K6*(H6*(NPV_Roadmap!C28 + NPV_Baseline!B30)  -   H3*NPV_Baseline!B30) * (NPV_Roadmap!C25+NPV_Roadmap!L25)</f>
        <v>-253.71936204251779</v>
      </c>
      <c r="T6" s="69">
        <f>H6*K6*Q6-S6</f>
        <v>-10.57330031557558</v>
      </c>
      <c r="U6" s="6">
        <f ca="1">H6*R6*K6</f>
        <v>239.64733936889945</v>
      </c>
      <c r="V6" s="65">
        <f>V3</f>
        <v>567.6926160269353</v>
      </c>
      <c r="W6" s="65">
        <f>W3</f>
        <v>4765.436433355384</v>
      </c>
      <c r="X6" s="65">
        <f>X3</f>
        <v>2124.3160400000002</v>
      </c>
      <c r="Y6" s="65">
        <f>V6+W6</f>
        <v>5333.129049382319</v>
      </c>
      <c r="Z6" s="65">
        <f>T6+W6</f>
        <v>4754.8631330398084</v>
      </c>
      <c r="AA6" s="66">
        <f>(Z6/Y6)</f>
        <v>0.89157098750320229</v>
      </c>
      <c r="AB6" s="32">
        <f>AB3</f>
        <v>3.1067101981070509E-2</v>
      </c>
      <c r="AC6" s="71">
        <f>Z6*F6</f>
        <v>189785591.68157575</v>
      </c>
      <c r="AD6" s="65">
        <f>AD3</f>
        <v>495038361.84256536</v>
      </c>
      <c r="AE6" s="65">
        <f>AC6-AD6</f>
        <v>-305252770.16098964</v>
      </c>
      <c r="AF6" s="7">
        <f>(AC6+AC7)/AD6</f>
        <v>0.96246658368902849</v>
      </c>
      <c r="AG6" s="7">
        <f>F6*J6/SUMPRODUCT(F6:F8,J6:J8)</f>
        <v>0.21649377372720702</v>
      </c>
      <c r="AH6" s="7">
        <f ca="1">MC_Inclusive!K20</f>
        <v>8.5711135509794136</v>
      </c>
      <c r="AI6" s="1"/>
      <c r="AJ6" s="73"/>
      <c r="AK6" s="35"/>
    </row>
    <row r="7" spans="1:37" ht="15.6" x14ac:dyDescent="0.3">
      <c r="A7" s="16"/>
      <c r="B7" t="s">
        <v>4</v>
      </c>
      <c r="E7" s="87">
        <f>F7/SUM(F6:F8)</f>
        <v>0.2823076808640414</v>
      </c>
      <c r="F7" s="88">
        <f>F3-F6</f>
        <v>52909.251517726407</v>
      </c>
      <c r="G7" s="89">
        <f>G3</f>
        <v>0.64</v>
      </c>
      <c r="H7" s="88">
        <f>L7*(1/F7)</f>
        <v>15.886943075592102</v>
      </c>
      <c r="I7" s="90"/>
      <c r="J7" s="89">
        <f>J3</f>
        <v>6.2</v>
      </c>
      <c r="K7" s="91">
        <f>K3</f>
        <v>0.4</v>
      </c>
      <c r="L7" s="92">
        <f>P7*N7</f>
        <v>840566.26703430444</v>
      </c>
      <c r="M7" s="93">
        <f>H7-H3</f>
        <v>2.7369430755921016</v>
      </c>
      <c r="N7" s="94">
        <v>1</v>
      </c>
      <c r="O7" s="14"/>
      <c r="P7" s="13">
        <f>P27*E46</f>
        <v>840566.26703430444</v>
      </c>
      <c r="Q7" s="68">
        <f>NPV_Roadmap!E33</f>
        <v>63.69564668470192</v>
      </c>
      <c r="R7" s="68">
        <f ca="1">NPV_Roadmap!E67</f>
        <v>26.452367731094434</v>
      </c>
      <c r="S7" s="68">
        <f>K7*(H7*(NPV_Roadmap!E28+NPV_Baseline!B30)  -   H3*NPV_Baseline!B30) * (NPV_Roadmap!E25+NPV_Roadmap!L25)</f>
        <v>-247.98025357588051</v>
      </c>
      <c r="T7" s="69">
        <f>H7*K7*Q7-S7</f>
        <v>652.75189879303502</v>
      </c>
      <c r="U7" s="6">
        <f ca="1">H7*R7*K7</f>
        <v>168.09890414341066</v>
      </c>
      <c r="V7" s="65">
        <f t="shared" ref="V7:X8" si="0">V3</f>
        <v>567.6926160269353</v>
      </c>
      <c r="W7" s="65">
        <f t="shared" si="0"/>
        <v>4765.436433355384</v>
      </c>
      <c r="X7" s="65">
        <f t="shared" si="0"/>
        <v>2124.3160400000002</v>
      </c>
      <c r="Y7" s="65">
        <f>V7+W7</f>
        <v>5333.129049382319</v>
      </c>
      <c r="Z7" s="65">
        <f>T7+W7</f>
        <v>5418.1883321484192</v>
      </c>
      <c r="AA7" s="66">
        <f>(Z7/Y7)</f>
        <v>1.0159492264257044</v>
      </c>
      <c r="AB7" s="32">
        <f>AB3</f>
        <v>3.1067101981070509E-2</v>
      </c>
      <c r="AC7" s="65">
        <f>Z7*F7</f>
        <v>286672289.23605126</v>
      </c>
      <c r="AD7" s="65">
        <v>0</v>
      </c>
      <c r="AE7" s="65">
        <f t="shared" ref="AE7:AE20" si="1">AC7-AD7</f>
        <v>286672289.23605126</v>
      </c>
      <c r="AF7" s="7">
        <v>0</v>
      </c>
      <c r="AG7" s="7">
        <f>F7*J7/SUMPRODUCT(F6:F8,J6:J8)</f>
        <v>0.28698011866164652</v>
      </c>
      <c r="AH7" s="7">
        <f ca="1">MC_Inclusive!K20</f>
        <v>8.5711135509794136</v>
      </c>
      <c r="AI7" s="1"/>
      <c r="AJ7" s="73"/>
      <c r="AK7" s="35"/>
    </row>
    <row r="8" spans="1:37" ht="15.6" x14ac:dyDescent="0.3">
      <c r="A8" s="17"/>
      <c r="B8" t="s">
        <v>55</v>
      </c>
      <c r="E8" s="87">
        <f>F8/SUM(F6:F8)</f>
        <v>0.50472336690519048</v>
      </c>
      <c r="F8" s="88">
        <f>F4</f>
        <v>94593.726549442566</v>
      </c>
      <c r="G8" s="89">
        <f>G4</f>
        <v>0.27</v>
      </c>
      <c r="H8" s="88">
        <f>L8*(1/F8)</f>
        <v>5.890870543104656</v>
      </c>
      <c r="I8" s="90"/>
      <c r="J8" s="89">
        <f>J4</f>
        <v>6</v>
      </c>
      <c r="K8" s="91">
        <f>K4</f>
        <v>0.41699999999999998</v>
      </c>
      <c r="L8" s="92">
        <f t="shared" ref="L8" si="2">P8*N8</f>
        <v>557239.39729260805</v>
      </c>
      <c r="M8" s="93">
        <f>H8-H4</f>
        <v>3.2908705431046559</v>
      </c>
      <c r="N8" s="94">
        <f>N4*(1-E47)</f>
        <v>0.88</v>
      </c>
      <c r="O8" s="14"/>
      <c r="P8" s="13">
        <f>P28*(1-E44)</f>
        <v>633226.58783250919</v>
      </c>
      <c r="Q8" s="68">
        <f>NPV_Roadmap!G33</f>
        <v>763.64841134344829</v>
      </c>
      <c r="R8" s="68">
        <f ca="1">NPV_Roadmap!G67</f>
        <v>285.15126574697467</v>
      </c>
      <c r="S8" s="68">
        <f>K8*(H8*(NPV_Roadmap!G28+NPV_Baseline!E30)  -   H4*NPV_Baseline!E30) * (NPV_Roadmap!G25+NPV_Roadmap!L25)</f>
        <v>515.32411120853055</v>
      </c>
      <c r="T8" s="69">
        <f>H8*K8*Q8-S8</f>
        <v>1360.5728782986043</v>
      </c>
      <c r="U8" s="6">
        <f ca="1">H8*R8*K8</f>
        <v>700.47209294634797</v>
      </c>
      <c r="V8" s="65">
        <f t="shared" si="0"/>
        <v>425.58114327612702</v>
      </c>
      <c r="W8" s="65">
        <f t="shared" si="0"/>
        <v>10735.300922588216</v>
      </c>
      <c r="X8" s="65">
        <f>X4</f>
        <v>4785.5369099999998</v>
      </c>
      <c r="Y8" s="65">
        <f>V8+W8</f>
        <v>11160.882065864344</v>
      </c>
      <c r="Z8" s="65">
        <f>T8+W8</f>
        <v>12095.87380088682</v>
      </c>
      <c r="AA8" s="66">
        <f>(Z8/Y8)</f>
        <v>1.0837740000749723</v>
      </c>
      <c r="AB8" s="32">
        <f>AB4</f>
        <v>3.1067101981070513E-2</v>
      </c>
      <c r="AC8" s="65">
        <f>Z8*F8</f>
        <v>1144193778.6976545</v>
      </c>
      <c r="AD8" s="65">
        <f>AD4</f>
        <v>1055749426.1889493</v>
      </c>
      <c r="AE8" s="65">
        <f t="shared" si="1"/>
        <v>88444352.508705139</v>
      </c>
      <c r="AF8" s="7">
        <f t="shared" ref="AF8" si="3">AC8/AD8</f>
        <v>1.0837740000749725</v>
      </c>
      <c r="AG8" s="7">
        <f>F8*J8/SUMPRODUCT(F6:F8,J6:J8)</f>
        <v>0.49652610761114646</v>
      </c>
      <c r="AH8" s="7">
        <f ca="1">MC_Inclusive!K20</f>
        <v>8.5711135509794136</v>
      </c>
      <c r="AI8" s="4">
        <f>-1+SUM(AC6:AC8)/SUM(AC3:AC4)</f>
        <v>5.9948525926465379E-2</v>
      </c>
      <c r="AJ8" s="36">
        <f ca="1">MC_Inclusive!K20</f>
        <v>8.5711135509794136</v>
      </c>
      <c r="AK8" s="4">
        <f>(AI8)*SUM(AD6:AD8)/SUMPRODUCT(F6:F8,J6:J8)</f>
        <v>81.331612841526706</v>
      </c>
    </row>
    <row r="9" spans="1:37" ht="15.6" x14ac:dyDescent="0.3">
      <c r="A9" s="17"/>
      <c r="E9" s="87"/>
      <c r="F9" s="88"/>
      <c r="G9" s="89"/>
      <c r="H9" s="88"/>
      <c r="I9" s="90"/>
      <c r="J9" s="91"/>
      <c r="K9" s="91"/>
      <c r="L9" s="92"/>
      <c r="M9" s="93"/>
      <c r="N9" s="94"/>
      <c r="O9" s="14"/>
      <c r="P9" s="13"/>
      <c r="Q9" s="68"/>
      <c r="R9" s="68"/>
      <c r="S9" s="68"/>
      <c r="T9" s="69"/>
      <c r="U9" s="6"/>
      <c r="V9" s="65"/>
      <c r="W9" s="65"/>
      <c r="X9" s="65"/>
      <c r="Y9" s="65"/>
      <c r="Z9" s="65"/>
      <c r="AA9" s="66"/>
      <c r="AB9" s="32"/>
      <c r="AC9" s="65"/>
      <c r="AD9" s="65"/>
      <c r="AE9" s="65"/>
      <c r="AF9" s="7"/>
      <c r="AG9" s="7"/>
      <c r="AH9" s="7"/>
      <c r="AJ9" s="36"/>
      <c r="AK9" s="4"/>
    </row>
    <row r="10" spans="1:37" ht="15.6" x14ac:dyDescent="0.3">
      <c r="A10" s="16" t="str">
        <f>A29</f>
        <v>Inequitable</v>
      </c>
      <c r="B10" t="s">
        <v>81</v>
      </c>
      <c r="E10" s="87">
        <f>F10/SUM(F10:F12)</f>
        <v>4.9527663309480953E-3</v>
      </c>
      <c r="F10" s="88">
        <f>F3*E52</f>
        <v>928.23248276713002</v>
      </c>
      <c r="G10" s="89">
        <f>G6</f>
        <v>0.27</v>
      </c>
      <c r="H10" s="88">
        <f>L10*(1/F10)</f>
        <v>6.8218533566592461</v>
      </c>
      <c r="I10" s="90"/>
      <c r="J10" s="89">
        <f>J6</f>
        <v>6.2</v>
      </c>
      <c r="K10" s="91">
        <f>K6</f>
        <v>0.4</v>
      </c>
      <c r="L10" s="92">
        <f>P10*N10</f>
        <v>6332.2658783250918</v>
      </c>
      <c r="M10" s="93">
        <f>H10-H3</f>
        <v>-6.3281466433407543</v>
      </c>
      <c r="N10" s="94">
        <f>E48</f>
        <v>0.01</v>
      </c>
      <c r="O10" s="14"/>
      <c r="P10" s="13">
        <f>P30*(1-E44)</f>
        <v>633226.58783250919</v>
      </c>
      <c r="Q10" s="68">
        <f>NPV_Roadmap!C33</f>
        <v>-347.06430102997354</v>
      </c>
      <c r="R10" s="68">
        <f ca="1">NPV_Roadmap!C67</f>
        <v>314.70051264256352</v>
      </c>
      <c r="S10" s="68">
        <f>K10*(H10*(NPV_Roadmap!C28 + NPV_Baseline!B30)  -   H7*NPV_Baseline!B30) * (NPV_Roadmap!C25+NPV_Roadmap!L25)</f>
        <v>226.12501291070851</v>
      </c>
      <c r="T10" s="69">
        <f>H10*K10*Q10-S10</f>
        <v>-1173.1737196938766</v>
      </c>
      <c r="U10" s="6">
        <f ca="1">H10*R10*K10</f>
        <v>858.73629940522301</v>
      </c>
      <c r="V10" s="65">
        <f>V6</f>
        <v>567.6926160269353</v>
      </c>
      <c r="W10" s="65">
        <f t="shared" ref="V10:X12" si="4">W6</f>
        <v>4765.436433355384</v>
      </c>
      <c r="X10" s="65">
        <f>X6</f>
        <v>2124.3160400000002</v>
      </c>
      <c r="Y10" s="65">
        <f>V10+W10</f>
        <v>5333.129049382319</v>
      </c>
      <c r="Z10" s="65">
        <f t="shared" ref="Z10:Z16" si="5">T10+W10</f>
        <v>3592.2627136615074</v>
      </c>
      <c r="AA10" s="66">
        <f>(Z10/Y10)</f>
        <v>0.67357505891922154</v>
      </c>
      <c r="AB10" s="32">
        <f>AB6</f>
        <v>3.1067101981070509E-2</v>
      </c>
      <c r="AC10" s="65">
        <f>Z10*F10</f>
        <v>3334454.9374538087</v>
      </c>
      <c r="AD10" s="65">
        <f>AD6</f>
        <v>495038361.84256536</v>
      </c>
      <c r="AE10" s="65">
        <f>AC10-AD10</f>
        <v>-491703906.90511155</v>
      </c>
      <c r="AF10" s="7">
        <f>(AC10+AC11)/AD10</f>
        <v>1.0172283332040117</v>
      </c>
      <c r="AG10" s="7">
        <f>F10*J10/SUMPRODUCT(F10:F12,J10:J12)</f>
        <v>5.0347389238885347E-3</v>
      </c>
      <c r="AH10" s="7">
        <f ca="1">MC_Inequitable!K20</f>
        <v>8.1081507623581768</v>
      </c>
      <c r="AJ10" s="36"/>
      <c r="AK10" s="4">
        <f>AI10*SUM(AD8:AD10)/SUMPRODUCT(F8:F10,J8:J10)</f>
        <v>0</v>
      </c>
    </row>
    <row r="11" spans="1:37" ht="15.6" x14ac:dyDescent="0.3">
      <c r="A11" s="18"/>
      <c r="B11" t="s">
        <v>4</v>
      </c>
      <c r="E11" s="87">
        <f>F11/SUM(F10:F12)</f>
        <v>0.49032386676386142</v>
      </c>
      <c r="F11" s="88">
        <f>F3*(1-E52)</f>
        <v>91895.015793945873</v>
      </c>
      <c r="G11" s="89">
        <f>G7</f>
        <v>0.64</v>
      </c>
      <c r="H11" s="88">
        <f>L11*(1/F11)</f>
        <v>9.1470278314015125</v>
      </c>
      <c r="I11" s="90"/>
      <c r="J11" s="89">
        <f t="shared" ref="J11:J20" si="6">J7</f>
        <v>6.2</v>
      </c>
      <c r="K11" s="91">
        <f>K6</f>
        <v>0.4</v>
      </c>
      <c r="L11" s="92">
        <f>P11*N11</f>
        <v>840566.26703430444</v>
      </c>
      <c r="M11" s="93">
        <f>H11-H3</f>
        <v>-4.0029721685984878</v>
      </c>
      <c r="N11" s="94">
        <v>1</v>
      </c>
      <c r="O11" s="14"/>
      <c r="P11" s="13">
        <f>P29*E46</f>
        <v>840566.26703430444</v>
      </c>
      <c r="Q11" s="68">
        <f>NPV_Roadmap!E33</f>
        <v>63.69564668470192</v>
      </c>
      <c r="R11" s="68">
        <f ca="1">NPV_Roadmap!E67</f>
        <v>26.452367731094434</v>
      </c>
      <c r="S11" s="68">
        <f>K11*(H11*(NPV_Roadmap!E28+NPV_Baseline!B30)  -   H7*NPV_Baseline!B30) * (NPV_Roadmap!E25+NPV_Roadmap!L25)</f>
        <v>-445.03579770994764</v>
      </c>
      <c r="T11" s="69">
        <f>H11*K11*Q11-S11</f>
        <v>678.08613889558205</v>
      </c>
      <c r="U11" s="6">
        <f ca="1">H11*R11*K11</f>
        <v>96.784217537115239</v>
      </c>
      <c r="V11" s="65">
        <f t="shared" si="4"/>
        <v>567.6926160269353</v>
      </c>
      <c r="W11" s="65">
        <f t="shared" si="4"/>
        <v>4765.436433355384</v>
      </c>
      <c r="X11" s="65">
        <f t="shared" si="4"/>
        <v>2124.3160400000002</v>
      </c>
      <c r="Y11" s="65">
        <f>V11+W11</f>
        <v>5333.129049382319</v>
      </c>
      <c r="Z11" s="65">
        <f t="shared" si="5"/>
        <v>5443.5225722509658</v>
      </c>
      <c r="AA11" s="66">
        <f>(Z11/Y11)</f>
        <v>1.0206995783988075</v>
      </c>
      <c r="AB11" s="32">
        <f>AB3</f>
        <v>3.1067101981070509E-2</v>
      </c>
      <c r="AC11" s="65">
        <f>Z11*F11</f>
        <v>500232592.75170338</v>
      </c>
      <c r="AD11" s="65">
        <f>AD7</f>
        <v>0</v>
      </c>
      <c r="AE11" s="65">
        <f t="shared" si="1"/>
        <v>500232592.75170338</v>
      </c>
      <c r="AF11" s="7">
        <v>0</v>
      </c>
      <c r="AG11" s="7">
        <f>F11*J11/SUMPRODUCT(F10:F12,J10:J12)</f>
        <v>0.49843915346496503</v>
      </c>
      <c r="AH11" s="7">
        <f ca="1">MC_Inequitable!K20</f>
        <v>8.1081507623581768</v>
      </c>
      <c r="AJ11" s="36"/>
      <c r="AK11" s="4">
        <f>AI11*SUM(AD9:AD11)/SUMPRODUCT(F9:F11,J9:J11)</f>
        <v>0</v>
      </c>
    </row>
    <row r="12" spans="1:37" ht="15.6" x14ac:dyDescent="0.3">
      <c r="A12" s="16"/>
      <c r="B12" t="s">
        <v>55</v>
      </c>
      <c r="E12" s="87">
        <f>F12/SUM(F10:F12)</f>
        <v>0.50472336690519048</v>
      </c>
      <c r="F12" s="88">
        <f>F4</f>
        <v>94593.726549442566</v>
      </c>
      <c r="G12" s="89">
        <f>G8</f>
        <v>0.27</v>
      </c>
      <c r="H12" s="88">
        <f>L12*(1/F12)</f>
        <v>6.6272293609927377</v>
      </c>
      <c r="I12" s="90"/>
      <c r="J12" s="89">
        <f t="shared" si="6"/>
        <v>6</v>
      </c>
      <c r="K12" s="91">
        <f>K8</f>
        <v>0.41699999999999998</v>
      </c>
      <c r="L12" s="92">
        <f t="shared" ref="L12" si="7">P12*N12</f>
        <v>626894.3219541841</v>
      </c>
      <c r="M12" s="93">
        <f>H12-H4</f>
        <v>4.0272293609927381</v>
      </c>
      <c r="N12" s="94">
        <f>N4*(1-E48)</f>
        <v>0.99</v>
      </c>
      <c r="O12" s="14"/>
      <c r="P12" s="13">
        <f>P30*(1-E44)</f>
        <v>633226.58783250919</v>
      </c>
      <c r="Q12" s="68">
        <f>NPV_Roadmap!G33</f>
        <v>763.64841134344829</v>
      </c>
      <c r="R12" s="68">
        <f ca="1">NPV_Roadmap!G67</f>
        <v>285.15126574697467</v>
      </c>
      <c r="S12" s="68">
        <f>K12*(H12*(NPV_Roadmap!G28+NPV_Baseline!E30)  -   H8*NPV_Baseline!E30) * (NPV_Roadmap!G25+NPV_Roadmap!L25)</f>
        <v>284.28610384238135</v>
      </c>
      <c r="T12" s="69">
        <f>H12*K12*Q12-S12</f>
        <v>1826.0980093531455</v>
      </c>
      <c r="U12" s="6">
        <f ca="1">H12*R12*K12</f>
        <v>788.0311045646414</v>
      </c>
      <c r="V12" s="65">
        <f t="shared" si="4"/>
        <v>425.58114327612702</v>
      </c>
      <c r="W12" s="65">
        <f t="shared" si="4"/>
        <v>10735.300922588216</v>
      </c>
      <c r="X12" s="65">
        <f t="shared" si="4"/>
        <v>4785.5369099999998</v>
      </c>
      <c r="Y12" s="65">
        <f>V12+W12</f>
        <v>11160.882065864344</v>
      </c>
      <c r="Z12" s="65">
        <f t="shared" si="5"/>
        <v>12561.398931941361</v>
      </c>
      <c r="AA12" s="66">
        <f>(Z12/Y12)</f>
        <v>1.1254844247804132</v>
      </c>
      <c r="AB12" s="32">
        <f>AB8</f>
        <v>3.1067101981070513E-2</v>
      </c>
      <c r="AC12" s="65">
        <f>Z12*F12</f>
        <v>1188229535.6465211</v>
      </c>
      <c r="AD12" s="65">
        <f>AD8</f>
        <v>1055749426.1889493</v>
      </c>
      <c r="AE12" s="65">
        <f t="shared" si="1"/>
        <v>132480109.45757174</v>
      </c>
      <c r="AF12" s="7">
        <f>AC12/AD12</f>
        <v>1.1254844247804132</v>
      </c>
      <c r="AG12" s="7">
        <f>F12*J12/SUMPRODUCT(F10:F12,J10:J12)</f>
        <v>0.49652610761114646</v>
      </c>
      <c r="AH12" s="7">
        <f ca="1">MC_Inequitable!K20</f>
        <v>8.1081507623581768</v>
      </c>
      <c r="AI12">
        <f>-1+SUM(AC10:AC12)/SUM(AC3:AC4)</f>
        <v>0.10647916474522701</v>
      </c>
      <c r="AJ12" s="36">
        <f ca="1">MC_Inequitable!K20</f>
        <v>8.1081507623581768</v>
      </c>
      <c r="AK12" s="4">
        <f>(AI12)*SUM(AD10:AD12)/SUMPRODUCT(F10:F12,J10:J12)</f>
        <v>144.45930185790894</v>
      </c>
    </row>
    <row r="13" spans="1:37" ht="15.6" x14ac:dyDescent="0.3">
      <c r="A13" s="16"/>
      <c r="E13" s="87"/>
      <c r="F13" s="88"/>
      <c r="G13" s="89"/>
      <c r="H13" s="88"/>
      <c r="I13" s="90"/>
      <c r="J13" s="89">
        <f t="shared" si="6"/>
        <v>0</v>
      </c>
      <c r="K13" s="91"/>
      <c r="L13" s="92"/>
      <c r="M13" s="93"/>
      <c r="N13" s="94"/>
      <c r="O13" s="14"/>
      <c r="P13" s="13"/>
      <c r="Q13" s="68"/>
      <c r="R13" s="68"/>
      <c r="S13" s="68"/>
      <c r="T13" s="69"/>
      <c r="U13" s="6"/>
      <c r="V13" s="65"/>
      <c r="W13" s="65"/>
      <c r="X13" s="65"/>
      <c r="Y13" s="65"/>
      <c r="Z13" s="65">
        <f t="shared" si="5"/>
        <v>0</v>
      </c>
      <c r="AA13" s="66"/>
      <c r="AB13" s="32"/>
      <c r="AC13" s="65"/>
      <c r="AD13" s="65"/>
      <c r="AE13" s="65"/>
      <c r="AF13" s="7"/>
      <c r="AG13" s="7"/>
      <c r="AH13" s="7"/>
      <c r="AJ13" s="36"/>
      <c r="AK13" s="4"/>
    </row>
    <row r="14" spans="1:37" ht="15.6" x14ac:dyDescent="0.3">
      <c r="A14" s="16" t="str">
        <f>A31</f>
        <v>Status quo</v>
      </c>
      <c r="B14" t="s">
        <v>81</v>
      </c>
      <c r="E14" s="87">
        <f>F14/SUM(F14:F16)</f>
        <v>4.9527663309480953E-3</v>
      </c>
      <c r="F14" s="88">
        <f>F3*E53</f>
        <v>928.23248276713002</v>
      </c>
      <c r="G14" s="89">
        <f>G10</f>
        <v>0.27</v>
      </c>
      <c r="H14" s="88">
        <f>L14*(1/F14)</f>
        <v>4.5335063931774995</v>
      </c>
      <c r="I14" s="90"/>
      <c r="J14" s="89">
        <f t="shared" si="6"/>
        <v>6.2</v>
      </c>
      <c r="K14" s="91">
        <f>K11</f>
        <v>0.4</v>
      </c>
      <c r="L14" s="92">
        <f>P14*N14</f>
        <v>4208.1478949798075</v>
      </c>
      <c r="M14" s="93">
        <f>H14-H3</f>
        <v>-8.6164936068225018</v>
      </c>
      <c r="N14" s="94">
        <f>E49</f>
        <v>0.01</v>
      </c>
      <c r="O14" s="14"/>
      <c r="P14" s="13">
        <f>P32*(1-E44)</f>
        <v>420814.78949798073</v>
      </c>
      <c r="Q14" s="68">
        <f>NPV_Roadmap!C33</f>
        <v>-347.06430102997354</v>
      </c>
      <c r="R14" s="68">
        <f ca="1">NPV_Roadmap!C67</f>
        <v>314.70051264256352</v>
      </c>
      <c r="S14" s="68">
        <f>K14*(H14*(NPV_Roadmap!C28 + NPV_Baseline!B30)  -   H11*NPV_Baseline!B30) * (NPV_Roadmap!C25+NPV_Roadmap!L25)</f>
        <v>201.55032710870029</v>
      </c>
      <c r="T14" s="69">
        <f>H14*K14*Q14-S14</f>
        <v>-830.91761813392645</v>
      </c>
      <c r="U14" s="6">
        <f ca="1">H14*R14*K14</f>
        <v>570.67871440051931</v>
      </c>
      <c r="V14" s="65">
        <f t="shared" ref="V14:W16" si="8">V10</f>
        <v>567.6926160269353</v>
      </c>
      <c r="W14" s="65">
        <f t="shared" si="8"/>
        <v>4765.436433355384</v>
      </c>
      <c r="X14" s="65">
        <f t="shared" ref="X14:X20" si="9">X10</f>
        <v>2124.3160400000002</v>
      </c>
      <c r="Y14" s="65">
        <f>V14+W14</f>
        <v>5333.129049382319</v>
      </c>
      <c r="Z14" s="65">
        <f t="shared" si="5"/>
        <v>3934.5188152214578</v>
      </c>
      <c r="AA14" s="66">
        <f>(Z14/Y14)</f>
        <v>0.7377505360904687</v>
      </c>
      <c r="AB14" s="32">
        <f>AB10</f>
        <v>3.1067101981070509E-2</v>
      </c>
      <c r="AC14" s="65">
        <f>Z14*F14</f>
        <v>3652148.1683470006</v>
      </c>
      <c r="AD14" s="65">
        <f>AD10</f>
        <v>495038361.84256536</v>
      </c>
      <c r="AE14" s="65">
        <f>AC14-AD14</f>
        <v>-491386213.67421836</v>
      </c>
      <c r="AF14" s="7">
        <f>(AC14+AC15)/AD14</f>
        <v>1.0352275531799688</v>
      </c>
      <c r="AG14" s="7">
        <f>F14*J14/SUMPRODUCT(F14:F16,J14:J16)</f>
        <v>5.0347389238885347E-3</v>
      </c>
      <c r="AH14" s="7">
        <f ca="1">MC_Status_quo!K20</f>
        <v>4.3883966975308697</v>
      </c>
      <c r="AJ14" s="36"/>
      <c r="AK14" s="4">
        <f>AI14*SUM(AD12:AD14)/SUMPRODUCT(F12:F14,J12:J14)</f>
        <v>0</v>
      </c>
    </row>
    <row r="15" spans="1:37" ht="15.6" x14ac:dyDescent="0.3">
      <c r="A15" s="16"/>
      <c r="B15" t="s">
        <v>4</v>
      </c>
      <c r="E15" s="87">
        <f>F15/SUM(F14:F16)</f>
        <v>0.49032386676386142</v>
      </c>
      <c r="F15" s="88">
        <f>F3*(1-E53)</f>
        <v>91895.015793945873</v>
      </c>
      <c r="G15" s="89">
        <f>G11</f>
        <v>0.64</v>
      </c>
      <c r="H15" s="88">
        <f>L15*(1/F15)</f>
        <v>39.914861763680072</v>
      </c>
      <c r="I15" s="90"/>
      <c r="J15" s="89">
        <f t="shared" si="6"/>
        <v>6.2</v>
      </c>
      <c r="K15" s="91">
        <f>K3</f>
        <v>0.4</v>
      </c>
      <c r="L15" s="92">
        <f>P15*N15</f>
        <v>3667976.8521865462</v>
      </c>
      <c r="M15" s="93">
        <f>H15-H3</f>
        <v>26.764861763680074</v>
      </c>
      <c r="N15" s="94">
        <v>1</v>
      </c>
      <c r="O15" s="14"/>
      <c r="P15" s="13">
        <f>P31*E46</f>
        <v>3667976.8521865462</v>
      </c>
      <c r="Q15" s="68">
        <f>NPV_Roadmap!E33</f>
        <v>63.69564668470192</v>
      </c>
      <c r="R15" s="68">
        <f ca="1">NPV_Roadmap!E67</f>
        <v>26.452367731094434</v>
      </c>
      <c r="S15" s="68">
        <f>K15*(H15*(NPV_Roadmap!E28+NPV_Baseline!B30)  -   H11*NPV_Baseline!B30) * (NPV_Roadmap!E25+NPV_Roadmap!L25)</f>
        <v>245.37038566336801</v>
      </c>
      <c r="T15" s="69">
        <f>H15*K15*Q15-S15</f>
        <v>771.59078728386567</v>
      </c>
      <c r="U15" s="6">
        <f ca="1">H15*R15*K15</f>
        <v>422.33704052346633</v>
      </c>
      <c r="V15" s="65">
        <f t="shared" si="8"/>
        <v>567.6926160269353</v>
      </c>
      <c r="W15" s="65">
        <f t="shared" si="8"/>
        <v>4765.436433355384</v>
      </c>
      <c r="X15" s="65">
        <f t="shared" si="9"/>
        <v>2124.3160400000002</v>
      </c>
      <c r="Y15" s="65">
        <f>V15+W15</f>
        <v>5333.129049382319</v>
      </c>
      <c r="Z15" s="65">
        <f t="shared" si="5"/>
        <v>5537.0272206392492</v>
      </c>
      <c r="AA15" s="66">
        <f>(Z15/Y15)</f>
        <v>1.0382323715344082</v>
      </c>
      <c r="AB15" s="32">
        <f>AB11</f>
        <v>3.1067101981070509E-2</v>
      </c>
      <c r="AC15" s="65">
        <f>Z15*F15</f>
        <v>508825203.89215201</v>
      </c>
      <c r="AD15" s="65">
        <f>AD11</f>
        <v>0</v>
      </c>
      <c r="AE15" s="65">
        <f>AC15-AD15</f>
        <v>508825203.89215201</v>
      </c>
      <c r="AF15" s="7">
        <v>0</v>
      </c>
      <c r="AG15" s="7">
        <f>F15*J15/SUMPRODUCT(F14:F16,J14:J16)</f>
        <v>0.49843915346496503</v>
      </c>
      <c r="AH15" s="7">
        <f ca="1">MC_Status_quo!K20</f>
        <v>4.3883966975308697</v>
      </c>
      <c r="AJ15" s="36"/>
      <c r="AK15" s="4">
        <f>AI15*SUM(AD13:AD15)/SUMPRODUCT(F13:F15,J13:J15)</f>
        <v>0</v>
      </c>
    </row>
    <row r="16" spans="1:37" ht="15.6" x14ac:dyDescent="0.3">
      <c r="A16" s="17"/>
      <c r="B16" t="s">
        <v>55</v>
      </c>
      <c r="E16" s="87">
        <f>F16/SUM(F14:F16)</f>
        <v>0.50472336690519048</v>
      </c>
      <c r="F16" s="88">
        <f>F12</f>
        <v>94593.726549442566</v>
      </c>
      <c r="G16" s="89">
        <f>G12</f>
        <v>0.27</v>
      </c>
      <c r="H16" s="88">
        <f>L16*(1/F16)</f>
        <v>4.4041677688345171</v>
      </c>
      <c r="I16" s="90"/>
      <c r="J16" s="89">
        <f t="shared" si="6"/>
        <v>6</v>
      </c>
      <c r="K16" s="91">
        <f>K12</f>
        <v>0.41699999999999998</v>
      </c>
      <c r="L16" s="92">
        <f>P16*N16</f>
        <v>416606.64160300093</v>
      </c>
      <c r="M16" s="93">
        <f>H16-H4</f>
        <v>1.804167768834517</v>
      </c>
      <c r="N16" s="94">
        <f>N4*(1-E49)</f>
        <v>0.99</v>
      </c>
      <c r="O16" s="14"/>
      <c r="P16" s="13">
        <f>P32*(1-E44)</f>
        <v>420814.78949798073</v>
      </c>
      <c r="Q16" s="68">
        <f>NPV_Roadmap!G33</f>
        <v>763.64841134344829</v>
      </c>
      <c r="R16" s="68">
        <f ca="1">NPV_Roadmap!G67</f>
        <v>285.15126574697467</v>
      </c>
      <c r="S16" s="68">
        <f>K16*(H16*(NPV_Roadmap!G28+NPV_Baseline!E30)  -   H12*NPV_Baseline!E30) * (NPV_Roadmap!G25+NPV_Roadmap!L25)</f>
        <v>-81.280539634609752</v>
      </c>
      <c r="T16" s="69">
        <f>H16*K16*Q16-S16</f>
        <v>1483.7498348581373</v>
      </c>
      <c r="U16" s="6">
        <f ca="1">H16*R16*K16</f>
        <v>523.69112377344504</v>
      </c>
      <c r="V16" s="65">
        <f t="shared" si="8"/>
        <v>425.58114327612702</v>
      </c>
      <c r="W16" s="65">
        <f t="shared" si="8"/>
        <v>10735.300922588216</v>
      </c>
      <c r="X16" s="65">
        <f t="shared" si="9"/>
        <v>4785.5369099999998</v>
      </c>
      <c r="Y16" s="65">
        <f>V16+W16</f>
        <v>11160.882065864344</v>
      </c>
      <c r="Z16" s="65">
        <f t="shared" si="5"/>
        <v>12219.050757446354</v>
      </c>
      <c r="AA16" s="66">
        <f>(Z16/Y16)</f>
        <v>1.0948104894700419</v>
      </c>
      <c r="AB16" s="32">
        <f>AB12</f>
        <v>3.1067101981070513E-2</v>
      </c>
      <c r="AC16" s="65">
        <f>Z16*F16</f>
        <v>1155845546.0436394</v>
      </c>
      <c r="AD16" s="65">
        <f>AD12</f>
        <v>1055749426.1889493</v>
      </c>
      <c r="AE16" s="65">
        <f t="shared" si="1"/>
        <v>100096119.85469007</v>
      </c>
      <c r="AF16" s="7">
        <f t="shared" ref="AF16" si="10">AC16/AD16</f>
        <v>1.0948104894700419</v>
      </c>
      <c r="AG16" s="7">
        <f>F16*J16/SUMPRODUCT(F14:F16,J14:J16)</f>
        <v>0.49652610761114646</v>
      </c>
      <c r="AH16" s="7">
        <f ca="1">MC_Status_quo!K20</f>
        <v>4.3883966975308697</v>
      </c>
      <c r="AI16">
        <f>-1+SUM(AC14:AC16)/SUM(AC3:AC4)</f>
        <v>9.1126761339094031E-2</v>
      </c>
      <c r="AJ16" s="36">
        <f ca="1">MC_Status_quo!K20</f>
        <v>4.3883966975308697</v>
      </c>
      <c r="AK16" s="4">
        <f>(AI16)*SUM(AD14:AD16)/SUMPRODUCT(F14:F16,J14:J16)</f>
        <v>123.63083759264649</v>
      </c>
    </row>
    <row r="17" spans="1:37" ht="15.6" x14ac:dyDescent="0.3">
      <c r="A17" s="17"/>
      <c r="E17" s="87"/>
      <c r="F17" s="88"/>
      <c r="G17" s="89"/>
      <c r="H17" s="88"/>
      <c r="I17" s="90"/>
      <c r="J17" s="89">
        <f t="shared" si="6"/>
        <v>0</v>
      </c>
      <c r="K17" s="91"/>
      <c r="L17" s="92"/>
      <c r="M17" s="93"/>
      <c r="N17" s="94"/>
      <c r="O17" s="14"/>
      <c r="P17" s="13"/>
      <c r="Q17" s="68"/>
      <c r="R17" s="68"/>
      <c r="S17" s="68"/>
      <c r="T17" s="69"/>
      <c r="U17" s="6"/>
      <c r="V17" s="65"/>
      <c r="W17" s="65"/>
      <c r="X17" s="65"/>
      <c r="Y17" s="65"/>
      <c r="Z17" s="65"/>
      <c r="AA17" s="66"/>
      <c r="AB17" s="32"/>
      <c r="AC17" s="65"/>
      <c r="AD17" s="65"/>
      <c r="AE17" s="65"/>
      <c r="AF17" s="7"/>
      <c r="AG17" s="7"/>
      <c r="AH17" s="7"/>
      <c r="AJ17" s="36"/>
      <c r="AK17" s="4"/>
    </row>
    <row r="18" spans="1:37" ht="15.6" x14ac:dyDescent="0.3">
      <c r="A18" s="16" t="str">
        <f>A33</f>
        <v>Middle road</v>
      </c>
      <c r="B18" t="s">
        <v>81</v>
      </c>
      <c r="E18" s="87">
        <f>F18/SUM(F18:F20)</f>
        <v>0.10896085928085808</v>
      </c>
      <c r="F18" s="88">
        <f>F3*E54</f>
        <v>20421.114620876859</v>
      </c>
      <c r="G18" s="89">
        <f>G14</f>
        <v>0.27</v>
      </c>
      <c r="H18" s="88">
        <f>L18*(1/F18)</f>
        <v>2.46782148042342</v>
      </c>
      <c r="I18" s="90"/>
      <c r="J18" s="89">
        <f t="shared" si="6"/>
        <v>6.2</v>
      </c>
      <c r="K18" s="91">
        <f>K14</f>
        <v>0.4</v>
      </c>
      <c r="L18" s="92">
        <f>P18*N18</f>
        <v>50395.665315588682</v>
      </c>
      <c r="M18" s="93">
        <f>H18-H3</f>
        <v>-10.682178519576581</v>
      </c>
      <c r="N18" s="94">
        <f>E50</f>
        <v>6.5000000000000002E-2</v>
      </c>
      <c r="O18" s="14"/>
      <c r="P18" s="13">
        <f>P34*(1-E44)</f>
        <v>775317.92793213355</v>
      </c>
      <c r="Q18" s="68">
        <f>NPV_Roadmap!C33</f>
        <v>-347.06430102997354</v>
      </c>
      <c r="R18" s="68">
        <f ca="1">NPV_Roadmap!C67</f>
        <v>314.70051264256352</v>
      </c>
      <c r="S18" s="68">
        <f>K18*(H18*(NPV_Roadmap!C28 + NPV_Baseline!B30)  -   H15*NPV_Baseline!B30) * (NPV_Roadmap!C25+NPV_Roadmap!L25)</f>
        <v>-1160.1234321983056</v>
      </c>
      <c r="T18" s="69">
        <f>H18*K18*Q18-S18</f>
        <v>817.52633733034213</v>
      </c>
      <c r="U18" s="6">
        <f ca="1">H18*R18*K18</f>
        <v>310.64987399983215</v>
      </c>
      <c r="V18" s="65">
        <f t="shared" ref="V18:W20" si="11">V14</f>
        <v>567.6926160269353</v>
      </c>
      <c r="W18" s="65">
        <f t="shared" si="11"/>
        <v>4765.436433355384</v>
      </c>
      <c r="X18" s="65">
        <f t="shared" si="9"/>
        <v>2124.3160400000002</v>
      </c>
      <c r="Y18" s="65">
        <f>V18+W18</f>
        <v>5333.129049382319</v>
      </c>
      <c r="Z18" s="65">
        <f>T18+W18</f>
        <v>5582.9627706857264</v>
      </c>
      <c r="AA18" s="66">
        <f>(Z18/Y18)</f>
        <v>1.0468456170833411</v>
      </c>
      <c r="AB18" s="32">
        <f>AB14</f>
        <v>3.1067101981070509E-2</v>
      </c>
      <c r="AC18" s="65">
        <f>Z18*F18</f>
        <v>114010322.66426146</v>
      </c>
      <c r="AD18" s="65">
        <f>AD14</f>
        <v>495038361.84256536</v>
      </c>
      <c r="AE18" s="65">
        <f t="shared" si="1"/>
        <v>-381028039.1783039</v>
      </c>
      <c r="AF18" s="7">
        <f>(AC18+AC19)/AD18</f>
        <v>1.1623401981366512</v>
      </c>
      <c r="AG18" s="7">
        <f>F18*J18/SUMPRODUCT(F18:F20,J18:J20)</f>
        <v>0.11076425632554779</v>
      </c>
      <c r="AH18" s="7">
        <f ca="1">MC_Middle_rd!K20</f>
        <v>6.2894396200272631</v>
      </c>
      <c r="AJ18" s="36"/>
      <c r="AK18" s="4">
        <f>AI18*SUM(AD16:AD18)/SUMPRODUCT(F16:F18,J16:J18)</f>
        <v>0</v>
      </c>
    </row>
    <row r="19" spans="1:37" ht="15.6" x14ac:dyDescent="0.3">
      <c r="A19" s="16"/>
      <c r="B19" t="s">
        <v>4</v>
      </c>
      <c r="E19" s="87">
        <f>F19/SUM(F18:F20)</f>
        <v>0.38631577381395138</v>
      </c>
      <c r="F19" s="88">
        <f>F3*(1-E54)</f>
        <v>72402.133655836136</v>
      </c>
      <c r="G19" s="89">
        <f>G15</f>
        <v>0.64</v>
      </c>
      <c r="H19" s="88">
        <f>L19*(1/F19)</f>
        <v>14.214817136020125</v>
      </c>
      <c r="I19" s="90"/>
      <c r="J19" s="89">
        <f t="shared" si="6"/>
        <v>6.2</v>
      </c>
      <c r="K19" s="91">
        <f>K15</f>
        <v>0.4</v>
      </c>
      <c r="L19" s="92">
        <f t="shared" ref="L19:L20" si="12">P19*N19</f>
        <v>1029183.0901753989</v>
      </c>
      <c r="M19" s="93">
        <f>H19-H3</f>
        <v>1.0648171360201246</v>
      </c>
      <c r="N19" s="94">
        <v>1</v>
      </c>
      <c r="O19" s="14"/>
      <c r="P19" s="13">
        <f>P33*E46</f>
        <v>1029183.0901753989</v>
      </c>
      <c r="Q19" s="68">
        <f>NPV_Roadmap!E33</f>
        <v>63.69564668470192</v>
      </c>
      <c r="R19" s="68">
        <f ca="1">NPV_Roadmap!E67</f>
        <v>26.452367731094434</v>
      </c>
      <c r="S19" s="68">
        <f>K19*(H19*(NPV_Roadmap!E28+NPV_Baseline!B30)  -   H15*NPV_Baseline!B30) * (NPV_Roadmap!E25+NPV_Roadmap!L25)</f>
        <v>-1245.0338381338945</v>
      </c>
      <c r="T19" s="69">
        <f>H19*K19*Q19-S19</f>
        <v>1607.2026261273281</v>
      </c>
      <c r="U19" s="6">
        <f ca="1">H19*R19*K19</f>
        <v>150.40622804490678</v>
      </c>
      <c r="V19" s="65">
        <f t="shared" si="11"/>
        <v>567.6926160269353</v>
      </c>
      <c r="W19" s="65">
        <f t="shared" si="11"/>
        <v>4765.436433355384</v>
      </c>
      <c r="X19" s="65">
        <f t="shared" si="9"/>
        <v>2124.3160400000002</v>
      </c>
      <c r="Y19" s="65">
        <f>V19+W19</f>
        <v>5333.129049382319</v>
      </c>
      <c r="Z19" s="65">
        <f>T19+W19</f>
        <v>6372.6390594827117</v>
      </c>
      <c r="AA19" s="66">
        <f>(Z19/Y19)</f>
        <v>1.1949155927927131</v>
      </c>
      <c r="AB19" s="32">
        <f>AB15</f>
        <v>3.1067101981070509E-2</v>
      </c>
      <c r="AC19" s="65">
        <f>Z19*F19</f>
        <v>461392664.92506915</v>
      </c>
      <c r="AD19" s="65">
        <f>AD15</f>
        <v>0</v>
      </c>
      <c r="AE19" s="65">
        <f t="shared" si="1"/>
        <v>461392664.92506915</v>
      </c>
      <c r="AF19" s="7">
        <v>0</v>
      </c>
      <c r="AG19" s="7">
        <f>F19*J19/SUMPRODUCT(F18:F20,J18:J20)</f>
        <v>0.39270963606330578</v>
      </c>
      <c r="AH19" s="7">
        <f ca="1">MC_Middle_rd!K20</f>
        <v>6.2894396200272631</v>
      </c>
      <c r="AJ19" s="36"/>
      <c r="AK19" s="4">
        <f>AI19*SUM(AD17:AD19)/SUMPRODUCT(F17:F19,J17:J19)</f>
        <v>0</v>
      </c>
    </row>
    <row r="20" spans="1:37" ht="15.6" x14ac:dyDescent="0.3">
      <c r="A20" s="18"/>
      <c r="B20" t="s">
        <v>55</v>
      </c>
      <c r="E20" s="87">
        <f>F20/SUM(F18:F20)</f>
        <v>0.50472336690519048</v>
      </c>
      <c r="F20" s="88">
        <f>F16</f>
        <v>94593.726549442566</v>
      </c>
      <c r="G20" s="89">
        <f>G16</f>
        <v>0.27</v>
      </c>
      <c r="H20" s="88">
        <f>L20*(1/F20)</f>
        <v>7.6635342433373754</v>
      </c>
      <c r="I20" s="90"/>
      <c r="J20" s="89">
        <f t="shared" si="6"/>
        <v>6</v>
      </c>
      <c r="K20" s="91">
        <f>K16</f>
        <v>0.41699999999999998</v>
      </c>
      <c r="L20" s="92">
        <f t="shared" si="12"/>
        <v>724922.26261654496</v>
      </c>
      <c r="M20" s="93">
        <f>H20-H4</f>
        <v>5.0635342433373758</v>
      </c>
      <c r="N20" s="94">
        <f>N4*(1-E50)</f>
        <v>0.93500000000000005</v>
      </c>
      <c r="O20" s="14"/>
      <c r="P20" s="13">
        <f>P34*(1-E44)</f>
        <v>775317.92793213355</v>
      </c>
      <c r="Q20" s="68">
        <f>NPV_Roadmap!G33</f>
        <v>763.64841134344829</v>
      </c>
      <c r="R20" s="68">
        <f ca="1">NPV_Roadmap!G67</f>
        <v>285.15126574697467</v>
      </c>
      <c r="S20" s="68">
        <f>K20*(H20*(NPV_Roadmap!G28+NPV_Baseline!E30)  -   H16*NPV_Baseline!E30) * (NPV_Roadmap!G25+NPV_Roadmap!L25)</f>
        <v>568.60613781688983</v>
      </c>
      <c r="T20" s="69">
        <f>H20*K20*Q20-S20</f>
        <v>1871.7803400168027</v>
      </c>
      <c r="U20" s="6">
        <f ca="1">H20*R20*K20</f>
        <v>911.25612615608452</v>
      </c>
      <c r="V20" s="65">
        <f t="shared" si="11"/>
        <v>425.58114327612702</v>
      </c>
      <c r="W20" s="65">
        <f t="shared" si="11"/>
        <v>10735.300922588216</v>
      </c>
      <c r="X20" s="65">
        <f t="shared" si="9"/>
        <v>4785.5369099999998</v>
      </c>
      <c r="Y20" s="65">
        <f>V20+W20</f>
        <v>11160.882065864344</v>
      </c>
      <c r="Z20" s="65">
        <f>T20+W20</f>
        <v>12607.081262605019</v>
      </c>
      <c r="AA20" s="66">
        <f>(Z20/Y20)</f>
        <v>1.1295775000762609</v>
      </c>
      <c r="AB20" s="32">
        <f>AB16</f>
        <v>3.1067101981070513E-2</v>
      </c>
      <c r="AC20" s="65">
        <f>Z20*F20</f>
        <v>1192550797.5414603</v>
      </c>
      <c r="AD20" s="65">
        <f>AD16</f>
        <v>1055749426.1889493</v>
      </c>
      <c r="AE20" s="65">
        <f t="shared" si="1"/>
        <v>136801371.35251093</v>
      </c>
      <c r="AF20" s="7">
        <f>AC20/AD20</f>
        <v>1.1295775000762609</v>
      </c>
      <c r="AG20" s="7">
        <f>F20*J20/SUMPRODUCT(F18:F20,J18:J20)</f>
        <v>0.49652610761114657</v>
      </c>
      <c r="AH20" s="7">
        <f ca="1">MC_Middle_rd!K20</f>
        <v>6.2894396200272631</v>
      </c>
      <c r="AI20">
        <f>-1+SUM(AC18:AC20)/SUM(AC3:AC4)</f>
        <v>0.15628796437375203</v>
      </c>
      <c r="AJ20" s="36">
        <f ca="1">MC_Middle_rd!K20</f>
        <v>6.2894396200272631</v>
      </c>
      <c r="AK20" s="4">
        <f>(AI20)*SUM(AD18:AD20)/SUMPRODUCT(F18:F20,J18:J20)</f>
        <v>212.03444144445174</v>
      </c>
    </row>
    <row r="21" spans="1:37" x14ac:dyDescent="0.3">
      <c r="A21" s="2"/>
      <c r="I21" s="43"/>
      <c r="N21" s="3"/>
      <c r="O21" s="3"/>
      <c r="R21" s="8"/>
      <c r="S21" s="8"/>
      <c r="T21" s="8"/>
      <c r="U21" s="8"/>
      <c r="V21" s="6"/>
      <c r="W21" s="7"/>
      <c r="X21" s="7"/>
      <c r="Y21" s="1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3">
      <c r="R22" s="9"/>
      <c r="S22" s="9"/>
      <c r="T22" s="9"/>
      <c r="U22" s="9"/>
      <c r="V22" s="7"/>
      <c r="W22" s="7"/>
      <c r="X22" s="7"/>
      <c r="Y22" s="1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E23" s="75" t="s">
        <v>80</v>
      </c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R23" s="9"/>
      <c r="S23" s="9"/>
      <c r="T23" s="9"/>
      <c r="U23" s="9"/>
      <c r="V23" s="7"/>
      <c r="W23" s="7"/>
      <c r="X23" s="7"/>
      <c r="Y23" s="1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3">
      <c r="E24" t="s">
        <v>0</v>
      </c>
      <c r="H24" s="1"/>
      <c r="I24" s="41"/>
      <c r="J24" s="35"/>
      <c r="K24" s="1"/>
      <c r="L24" t="s">
        <v>78</v>
      </c>
      <c r="M24" t="s">
        <v>79</v>
      </c>
      <c r="N24" t="s">
        <v>1</v>
      </c>
      <c r="O24" t="s">
        <v>2</v>
      </c>
      <c r="P24" t="s">
        <v>3</v>
      </c>
      <c r="AC24" s="7"/>
      <c r="AE24" s="21"/>
    </row>
    <row r="25" spans="1:37" x14ac:dyDescent="0.3">
      <c r="A25" s="2" t="s">
        <v>153</v>
      </c>
      <c r="B25" t="s">
        <v>4</v>
      </c>
      <c r="E25">
        <f>[7]Mufindi!D19</f>
        <v>1.0324753493684273</v>
      </c>
      <c r="F25" s="10">
        <f>1-F26</f>
        <v>0.83230000000000004</v>
      </c>
      <c r="G25" s="10"/>
      <c r="H25" s="4">
        <f>F25*Q41</f>
        <v>1220625.714838776</v>
      </c>
      <c r="I25" s="4"/>
      <c r="J25" s="4"/>
      <c r="L25" s="4">
        <f>H25*E25^12</f>
        <v>1791178.2770881797</v>
      </c>
      <c r="M25" s="63">
        <f>L25/(L25+L26)</f>
        <v>0.81404185047039224</v>
      </c>
      <c r="N25" s="3">
        <f>SUM(L25+L26)</f>
        <v>2200351.5864118673</v>
      </c>
      <c r="O25">
        <v>1</v>
      </c>
      <c r="P25" s="38">
        <f>N25*O25*M25</f>
        <v>1791178.2770881797</v>
      </c>
    </row>
    <row r="26" spans="1:37" x14ac:dyDescent="0.3">
      <c r="A26" s="2"/>
      <c r="B26" t="s">
        <v>5</v>
      </c>
      <c r="E26">
        <f>[7]Mufindi!D20</f>
        <v>1.0433322562243532</v>
      </c>
      <c r="F26">
        <f>[3]prod_herd_data!F3</f>
        <v>0.16769999999999999</v>
      </c>
      <c r="H26" s="4">
        <f>F26*Q41</f>
        <v>245943.68902855067</v>
      </c>
      <c r="I26" s="4"/>
      <c r="J26" s="4"/>
      <c r="L26" s="4">
        <f>H26*E26^12</f>
        <v>409173.3093236874</v>
      </c>
      <c r="M26" s="63">
        <f>L26/(L25+L26)</f>
        <v>0.18595814952960762</v>
      </c>
      <c r="N26" s="3"/>
      <c r="O26">
        <v>1</v>
      </c>
      <c r="P26" s="38">
        <f>N25*O26*M26</f>
        <v>409173.3093236874</v>
      </c>
      <c r="Q26" s="63">
        <f t="shared" ref="Q25:Q27" si="13">P26/(P25+P26)</f>
        <v>0.18595814952960762</v>
      </c>
    </row>
    <row r="27" spans="1:37" x14ac:dyDescent="0.3">
      <c r="A27" s="2" t="str">
        <f>[3]prod_herd_data!A24</f>
        <v>Inclusive</v>
      </c>
      <c r="B27" t="s">
        <v>4</v>
      </c>
      <c r="P27" s="38">
        <f>([3]prod_herd_data!F25*[3]prod_herd_data!F30+[3]prod_herd_data!G25*[3]prod_herd_data!G30)</f>
        <v>933962.51892700489</v>
      </c>
      <c r="Q27" s="63"/>
    </row>
    <row r="28" spans="1:37" x14ac:dyDescent="0.3">
      <c r="A28" s="2"/>
      <c r="B28" t="s">
        <v>5</v>
      </c>
      <c r="H28" s="4"/>
      <c r="I28" s="4"/>
      <c r="J28" s="4"/>
      <c r="L28" s="4"/>
      <c r="P28" s="38">
        <f>([3]prod_herd_data!F24*[3]prod_herd_data!F30+[3]prod_herd_data!G24*[3]prod_herd_data!G30)</f>
        <v>1400943.7783905072</v>
      </c>
      <c r="Q28" s="63">
        <f>P28/(P27+P28)</f>
        <v>0.59999999999999987</v>
      </c>
    </row>
    <row r="29" spans="1:37" x14ac:dyDescent="0.3">
      <c r="A29" s="2" t="str">
        <f>[3]prod_herd_data!A33</f>
        <v>Inequitable</v>
      </c>
      <c r="B29" t="s">
        <v>4</v>
      </c>
      <c r="P29" s="38">
        <f>([3]prod_herd_data!F34*[3]prod_herd_data!F39+[3]prod_herd_data!G34*[3]prod_herd_data!G39)</f>
        <v>933962.51892700489</v>
      </c>
      <c r="Q29" s="63"/>
    </row>
    <row r="30" spans="1:37" x14ac:dyDescent="0.3">
      <c r="A30" s="2"/>
      <c r="B30" t="s">
        <v>5</v>
      </c>
      <c r="P30" s="38">
        <f>([3]prod_herd_data!F33*[3]prod_herd_data!F39+[3]prod_herd_data!G33*[3]prod_herd_data!G39)</f>
        <v>1400943.7783905072</v>
      </c>
      <c r="Q30" s="63">
        <f t="shared" ref="Q30:Q34" si="14">P30/(P29+P30)</f>
        <v>0.59999999999999987</v>
      </c>
    </row>
    <row r="31" spans="1:37" x14ac:dyDescent="0.3">
      <c r="A31" s="2" t="str">
        <f>[3]prod_herd_data!A42</f>
        <v>Status quo</v>
      </c>
      <c r="B31" t="s">
        <v>4</v>
      </c>
      <c r="O31" s="4">
        <f>H25*(E25^12)*([3]prod_herd_data!$D$49*[3]prod_herd_data!$D$5+[3]prod_herd_data!$E$49*[3]prod_herd_data!$E$5)</f>
        <v>5370035.7780079199</v>
      </c>
      <c r="P31" s="38">
        <f>([3]prod_herd_data!F43*[3]prod_herd_data!F48+[3]prod_herd_data!G43*[3]prod_herd_data!G48)</f>
        <v>4075529.8357628291</v>
      </c>
      <c r="Q31" s="63"/>
    </row>
    <row r="32" spans="1:37" x14ac:dyDescent="0.3">
      <c r="A32" s="2"/>
      <c r="B32" t="s">
        <v>5</v>
      </c>
      <c r="P32" s="38">
        <f>([3]prod_herd_data!F42*[3]prod_herd_data!F48+[3]prod_herd_data!G42*[3]prod_herd_data!G48)</f>
        <v>931006.17145570973</v>
      </c>
      <c r="Q32" s="63">
        <f t="shared" si="14"/>
        <v>0.18595814952960762</v>
      </c>
    </row>
    <row r="33" spans="1:21" x14ac:dyDescent="0.3">
      <c r="A33" s="2" t="str">
        <f>[3]prod_herd_data!A51</f>
        <v>Middle road</v>
      </c>
      <c r="B33" t="s">
        <v>4</v>
      </c>
      <c r="O33" s="4"/>
      <c r="P33" s="38">
        <f>([3]prod_herd_data!F57*[3]prod_herd_data!F52+[3]prod_herd_data!G57*[3]prod_herd_data!G52)</f>
        <v>1143536.7668615542</v>
      </c>
      <c r="Q33" s="63"/>
    </row>
    <row r="34" spans="1:21" x14ac:dyDescent="0.3">
      <c r="B34" t="s">
        <v>5</v>
      </c>
      <c r="O34" s="4"/>
      <c r="P34" s="38">
        <f>([3]prod_herd_data!F57*[3]prod_herd_data!F51+[3]prod_herd_data!G57*[3]prod_herd_data!G51)</f>
        <v>1715305.1502923311</v>
      </c>
      <c r="Q34" s="63">
        <f t="shared" si="14"/>
        <v>0.59999999999999987</v>
      </c>
    </row>
    <row r="37" spans="1:21" x14ac:dyDescent="0.3">
      <c r="E37" s="22"/>
    </row>
    <row r="38" spans="1:21" x14ac:dyDescent="0.3">
      <c r="E38" s="22"/>
    </row>
    <row r="41" spans="1:21" x14ac:dyDescent="0.3">
      <c r="P41" s="100" t="s">
        <v>159</v>
      </c>
      <c r="Q41" s="101">
        <f>([3]prod_herd_data!F8+[3]prod_herd_data!G8)</f>
        <v>1466569.4038673267</v>
      </c>
    </row>
    <row r="42" spans="1:21" x14ac:dyDescent="0.3">
      <c r="B42" s="2" t="s">
        <v>105</v>
      </c>
      <c r="C42" s="2"/>
      <c r="D42" s="2"/>
      <c r="F42" t="s">
        <v>26</v>
      </c>
    </row>
    <row r="43" spans="1:21" x14ac:dyDescent="0.3">
      <c r="B43" s="2"/>
      <c r="C43" s="2"/>
      <c r="D43" s="2"/>
      <c r="E43">
        <f>1.064-0.064</f>
        <v>1</v>
      </c>
    </row>
    <row r="44" spans="1:21" x14ac:dyDescent="0.3">
      <c r="B44" s="2" t="s">
        <v>66</v>
      </c>
      <c r="C44" s="2"/>
      <c r="D44" s="2"/>
      <c r="E44">
        <f>0.548</f>
        <v>0.54800000000000004</v>
      </c>
    </row>
    <row r="45" spans="1:21" x14ac:dyDescent="0.3">
      <c r="B45" s="2" t="s">
        <v>67</v>
      </c>
      <c r="C45" s="2"/>
      <c r="D45" s="2"/>
      <c r="E45">
        <f>0.548</f>
        <v>0.54800000000000004</v>
      </c>
    </row>
    <row r="46" spans="1:21" x14ac:dyDescent="0.3">
      <c r="B46" s="85" t="s">
        <v>68</v>
      </c>
      <c r="C46" s="85"/>
      <c r="D46" s="85"/>
      <c r="E46" s="85">
        <f>0.9</f>
        <v>0.9</v>
      </c>
      <c r="F46" s="85"/>
      <c r="G46" s="28"/>
    </row>
    <row r="47" spans="1:21" x14ac:dyDescent="0.3">
      <c r="B47" s="85" t="s">
        <v>25</v>
      </c>
      <c r="C47" s="85"/>
      <c r="D47" s="85"/>
      <c r="E47" s="85">
        <f>0.12</f>
        <v>0.12</v>
      </c>
      <c r="F47" s="85"/>
      <c r="G47" s="28"/>
      <c r="R47" s="2" t="s">
        <v>158</v>
      </c>
    </row>
    <row r="48" spans="1:21" x14ac:dyDescent="0.3">
      <c r="B48" s="85" t="s">
        <v>23</v>
      </c>
      <c r="C48" s="85"/>
      <c r="D48" s="85"/>
      <c r="E48" s="85">
        <v>0.01</v>
      </c>
      <c r="F48" s="85"/>
      <c r="G48" s="28"/>
      <c r="R48" s="96" t="s">
        <v>37</v>
      </c>
      <c r="S48" s="19"/>
      <c r="T48" s="11"/>
      <c r="U48" s="11"/>
    </row>
    <row r="49" spans="2:19" x14ac:dyDescent="0.3">
      <c r="B49" s="85" t="s">
        <v>60</v>
      </c>
      <c r="C49" s="85"/>
      <c r="D49" s="85"/>
      <c r="E49" s="85">
        <f>E48</f>
        <v>0.01</v>
      </c>
      <c r="F49" s="84"/>
      <c r="G49" s="30"/>
      <c r="P49" s="19"/>
      <c r="R49" s="84" t="s">
        <v>46</v>
      </c>
      <c r="S49" s="26"/>
    </row>
    <row r="50" spans="2:19" x14ac:dyDescent="0.3">
      <c r="B50" s="85" t="s">
        <v>27</v>
      </c>
      <c r="C50" s="85"/>
      <c r="D50" s="85"/>
      <c r="E50" s="85">
        <f>E48+(E47-E48)/2</f>
        <v>6.5000000000000002E-2</v>
      </c>
      <c r="F50" s="84"/>
      <c r="G50" s="30"/>
      <c r="H50" t="s">
        <v>113</v>
      </c>
      <c r="P50" s="19"/>
      <c r="R50" s="99" t="s">
        <v>24</v>
      </c>
      <c r="S50" s="26"/>
    </row>
    <row r="51" spans="2:19" x14ac:dyDescent="0.3">
      <c r="B51" s="85" t="s">
        <v>58</v>
      </c>
      <c r="C51" s="85"/>
      <c r="D51" s="85"/>
      <c r="E51" s="85">
        <f>0.43</f>
        <v>0.43</v>
      </c>
      <c r="F51" s="86">
        <f>(E6+E8*H51)/SUM(E6,E7,E8*H51)</f>
        <v>0.69788943241126999</v>
      </c>
      <c r="G51" s="31"/>
      <c r="H51">
        <f>1-0.1298701</f>
        <v>0.87012990000000001</v>
      </c>
      <c r="P51" s="26"/>
      <c r="R51" s="20"/>
      <c r="S51" s="20"/>
    </row>
    <row r="52" spans="2:19" x14ac:dyDescent="0.3">
      <c r="B52" s="85" t="s">
        <v>59</v>
      </c>
      <c r="C52" s="85"/>
      <c r="D52" s="85"/>
      <c r="E52" s="85">
        <v>0.01</v>
      </c>
      <c r="F52" s="86">
        <f>(E10+E12*H51)/SUM(E10,E11,E12*H51)</f>
        <v>0.47528164576694276</v>
      </c>
      <c r="G52" s="31"/>
      <c r="P52" s="20"/>
      <c r="R52" s="27"/>
      <c r="S52" s="27"/>
    </row>
    <row r="53" spans="2:19" x14ac:dyDescent="0.3">
      <c r="B53" s="85" t="s">
        <v>62</v>
      </c>
      <c r="C53" s="85"/>
      <c r="D53" s="85"/>
      <c r="E53" s="85">
        <f>E52</f>
        <v>0.01</v>
      </c>
      <c r="F53" s="86">
        <f>(E14+E16*H51)/SUM(E14,E15,E16*H51)</f>
        <v>0.47528164576694276</v>
      </c>
      <c r="G53" s="31"/>
      <c r="P53" s="20"/>
      <c r="R53" s="27"/>
      <c r="S53" s="27"/>
    </row>
    <row r="54" spans="2:19" x14ac:dyDescent="0.3">
      <c r="B54" s="85" t="s">
        <v>61</v>
      </c>
      <c r="C54" s="85"/>
      <c r="D54" s="85"/>
      <c r="E54" s="85">
        <f>E52+(E51-E52)*0.5</f>
        <v>0.22</v>
      </c>
      <c r="F54" s="86">
        <f>(E18+E20*H51)/SUM(E18,E19,E20*H51)</f>
        <v>0.58658553908910638</v>
      </c>
      <c r="G54" s="31"/>
      <c r="P54" s="27"/>
      <c r="S54" s="28"/>
    </row>
    <row r="55" spans="2:19" x14ac:dyDescent="0.3">
      <c r="B55" s="28"/>
      <c r="E55" s="51"/>
      <c r="P55" s="28"/>
      <c r="R55" s="29"/>
      <c r="S55" s="29"/>
    </row>
    <row r="56" spans="2:19" x14ac:dyDescent="0.3">
      <c r="P56" s="29"/>
      <c r="Q56" s="96">
        <f>[2]All!$B$12</f>
        <v>259</v>
      </c>
      <c r="R56" s="96" t="s">
        <v>44</v>
      </c>
      <c r="S56" s="19"/>
    </row>
    <row r="58" spans="2:19" ht="15.6" x14ac:dyDescent="0.3">
      <c r="G58" s="40"/>
      <c r="H58" s="40"/>
      <c r="I58" s="40"/>
      <c r="J58" s="40"/>
      <c r="K58" s="40"/>
      <c r="Q58" s="45"/>
    </row>
    <row r="59" spans="2:19" x14ac:dyDescent="0.3">
      <c r="G59" s="40"/>
      <c r="H59" s="40"/>
      <c r="I59" s="40"/>
      <c r="J59" s="40"/>
      <c r="K59" s="40"/>
    </row>
    <row r="60" spans="2:19" x14ac:dyDescent="0.3">
      <c r="G60" s="40"/>
      <c r="H60" s="40"/>
      <c r="I60" s="40"/>
      <c r="J60" s="40"/>
      <c r="K60" s="40"/>
    </row>
    <row r="62" spans="2:19" x14ac:dyDescent="0.3">
      <c r="G62" s="36"/>
      <c r="H62" s="36"/>
      <c r="I62" s="36"/>
      <c r="J62" s="36"/>
      <c r="K62" s="36"/>
    </row>
    <row r="63" spans="2:19" x14ac:dyDescent="0.3">
      <c r="G63" s="36"/>
      <c r="H63" s="36"/>
      <c r="I63" s="36"/>
      <c r="J63" s="36"/>
      <c r="K63" s="36"/>
    </row>
    <row r="64" spans="2:19" x14ac:dyDescent="0.3">
      <c r="G64" s="36"/>
      <c r="H64" s="36"/>
      <c r="I64" s="36"/>
      <c r="J64" s="36"/>
      <c r="K64" s="36"/>
    </row>
    <row r="66" spans="6:10" x14ac:dyDescent="0.3">
      <c r="J66" s="40"/>
    </row>
    <row r="70" spans="6:10" x14ac:dyDescent="0.3">
      <c r="J70" s="40"/>
    </row>
    <row r="73" spans="6:10" x14ac:dyDescent="0.3">
      <c r="F73" s="39"/>
      <c r="G73" s="39"/>
      <c r="H73" s="39"/>
      <c r="I73" s="39"/>
      <c r="J73" s="39"/>
    </row>
    <row r="74" spans="6:10" x14ac:dyDescent="0.3">
      <c r="F74" s="39"/>
      <c r="G74" s="39"/>
      <c r="H74" s="39"/>
      <c r="I74" s="39"/>
      <c r="J74" s="39"/>
    </row>
    <row r="75" spans="6:10" x14ac:dyDescent="0.3">
      <c r="F75" s="39"/>
      <c r="G75" s="39"/>
      <c r="H75" s="39"/>
      <c r="I75" s="39"/>
      <c r="J75" s="39"/>
    </row>
    <row r="77" spans="6:10" x14ac:dyDescent="0.3">
      <c r="H77" s="39"/>
      <c r="I77" s="39"/>
    </row>
    <row r="78" spans="6:10" x14ac:dyDescent="0.3">
      <c r="F78" s="38"/>
      <c r="G78" s="38"/>
      <c r="H78" s="38"/>
      <c r="I78" s="38"/>
      <c r="J78" s="38"/>
    </row>
    <row r="79" spans="6:10" x14ac:dyDescent="0.3">
      <c r="F79" s="38"/>
      <c r="G79" s="38"/>
      <c r="H79" s="38"/>
      <c r="I79" s="38"/>
      <c r="J79" s="38"/>
    </row>
    <row r="80" spans="6:10" x14ac:dyDescent="0.3">
      <c r="F80" s="38"/>
      <c r="G80" s="38"/>
      <c r="H80" s="38"/>
      <c r="I80" s="38"/>
      <c r="J80" s="38"/>
    </row>
    <row r="81" spans="6:13" x14ac:dyDescent="0.3">
      <c r="H81" s="39"/>
      <c r="I81" s="39"/>
    </row>
    <row r="85" spans="6:13" x14ac:dyDescent="0.3">
      <c r="H85" s="39"/>
      <c r="I85" s="39"/>
      <c r="J85" s="36"/>
      <c r="K85" s="36"/>
      <c r="L85" s="36"/>
      <c r="M85" s="36"/>
    </row>
    <row r="86" spans="6:13" x14ac:dyDescent="0.3">
      <c r="J86" s="36"/>
      <c r="K86" s="36"/>
      <c r="L86" s="36"/>
      <c r="M86" s="36"/>
    </row>
    <row r="87" spans="6:13" x14ac:dyDescent="0.3">
      <c r="J87" s="36"/>
      <c r="K87" s="36"/>
      <c r="L87" s="36"/>
      <c r="M87" s="36"/>
    </row>
    <row r="93" spans="6:13" x14ac:dyDescent="0.3">
      <c r="F93" s="7"/>
      <c r="G93" s="7"/>
      <c r="H93" s="7"/>
      <c r="I93" s="7"/>
      <c r="J93" s="7"/>
    </row>
    <row r="94" spans="6:13" x14ac:dyDescent="0.3">
      <c r="F94" s="7"/>
      <c r="G94" s="7"/>
      <c r="H94" s="7"/>
      <c r="I94" s="7"/>
      <c r="J94" s="7"/>
    </row>
    <row r="95" spans="6:13" x14ac:dyDescent="0.3">
      <c r="F95" s="7"/>
      <c r="G95" s="7"/>
      <c r="H95" s="7"/>
      <c r="I95" s="7"/>
      <c r="J95" s="7"/>
    </row>
    <row r="96" spans="6:13" x14ac:dyDescent="0.3">
      <c r="H96" s="7"/>
      <c r="I96" s="7"/>
    </row>
    <row r="100" spans="4:11" x14ac:dyDescent="0.3">
      <c r="H100" s="7"/>
      <c r="I100" s="7"/>
    </row>
    <row r="102" spans="4:11" x14ac:dyDescent="0.3">
      <c r="D102" s="15"/>
      <c r="E102" s="15"/>
      <c r="F102" s="15"/>
      <c r="G102" s="3"/>
      <c r="H102" s="3"/>
      <c r="I102" s="3"/>
      <c r="J102" s="37"/>
      <c r="K102" s="3"/>
    </row>
    <row r="103" spans="4:11" x14ac:dyDescent="0.3">
      <c r="D103" s="15"/>
      <c r="E103" s="15"/>
      <c r="F103" s="15"/>
      <c r="G103" s="3"/>
      <c r="H103" s="3"/>
      <c r="I103" s="3"/>
      <c r="J103" s="33"/>
      <c r="K103" s="3"/>
    </row>
    <row r="104" spans="4:11" x14ac:dyDescent="0.3">
      <c r="D104" s="15"/>
      <c r="E104" s="15"/>
      <c r="F104" s="15"/>
      <c r="G104" s="3"/>
      <c r="H104" s="3"/>
      <c r="I104" s="3"/>
      <c r="J104" s="3"/>
      <c r="K104" s="3"/>
    </row>
    <row r="105" spans="4:11" x14ac:dyDescent="0.3">
      <c r="J105" s="3"/>
    </row>
    <row r="106" spans="4:11" x14ac:dyDescent="0.3">
      <c r="G106" s="38"/>
      <c r="H106" s="38"/>
      <c r="I106" s="38"/>
      <c r="J106" s="38"/>
      <c r="K106" s="38"/>
    </row>
    <row r="107" spans="4:11" x14ac:dyDescent="0.3">
      <c r="G107" s="38"/>
      <c r="H107" s="38"/>
      <c r="I107" s="38"/>
      <c r="J107" s="38"/>
      <c r="K107" s="38"/>
    </row>
    <row r="108" spans="4:11" x14ac:dyDescent="0.3">
      <c r="D108" s="36"/>
      <c r="E108" s="36"/>
      <c r="F108" s="36"/>
      <c r="G108" s="38"/>
      <c r="H108" s="38"/>
      <c r="I108" s="38"/>
      <c r="J108" s="38"/>
      <c r="K108" s="38"/>
    </row>
    <row r="109" spans="4:11" x14ac:dyDescent="0.3">
      <c r="D109" s="36"/>
      <c r="E109" s="36"/>
      <c r="F109" s="36"/>
    </row>
    <row r="110" spans="4:11" x14ac:dyDescent="0.3">
      <c r="D110" s="36"/>
      <c r="E110" s="36"/>
      <c r="F110" s="36"/>
      <c r="G110" s="36"/>
    </row>
    <row r="113" spans="10:10" x14ac:dyDescent="0.3">
      <c r="J113" s="3"/>
    </row>
  </sheetData>
  <mergeCells count="5">
    <mergeCell ref="Q1:U1"/>
    <mergeCell ref="V1:AA1"/>
    <mergeCell ref="AB1:AH1"/>
    <mergeCell ref="C1:P1"/>
    <mergeCell ref="E23:P2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E68E-1459-4287-A83A-4800FC5FDE4D}">
  <dimension ref="C3:J129"/>
  <sheetViews>
    <sheetView workbookViewId="0">
      <selection activeCell="G6" sqref="G6"/>
    </sheetView>
  </sheetViews>
  <sheetFormatPr defaultRowHeight="14.4" x14ac:dyDescent="0.3"/>
  <cols>
    <col min="3" max="3" width="43.5546875" customWidth="1"/>
    <col min="4" max="4" width="15.33203125" customWidth="1"/>
    <col min="5" max="5" width="15.6640625" bestFit="1" customWidth="1"/>
    <col min="7" max="7" width="17.77734375" bestFit="1" customWidth="1"/>
    <col min="8" max="8" width="11" customWidth="1"/>
    <col min="9" max="9" width="28.21875" customWidth="1"/>
  </cols>
  <sheetData>
    <row r="3" spans="3:9" x14ac:dyDescent="0.3">
      <c r="D3" s="2" t="s">
        <v>4</v>
      </c>
      <c r="E3" s="2" t="s">
        <v>5</v>
      </c>
      <c r="F3" s="2"/>
      <c r="G3" s="2" t="s">
        <v>85</v>
      </c>
      <c r="H3" s="2"/>
      <c r="I3" s="2"/>
    </row>
    <row r="5" spans="3:9" x14ac:dyDescent="0.3">
      <c r="C5" t="s">
        <v>88</v>
      </c>
      <c r="D5" s="36">
        <f>Mappings!Q3</f>
        <v>81.720063076127744</v>
      </c>
      <c r="E5" s="36">
        <f>Mappings!Q4</f>
        <v>521.99089229121421</v>
      </c>
    </row>
    <row r="6" spans="3:9" x14ac:dyDescent="0.3">
      <c r="C6" t="s">
        <v>89</v>
      </c>
      <c r="D6" s="36">
        <f ca="1">_xlfn.NORM.INV(RAND(),Mappings!Q3,Mappings!R3)</f>
        <v>146.72933532548274</v>
      </c>
      <c r="E6" s="36">
        <f ca="1">_xlfn.NORM.INV(RAND(),Mappings!Q4,Mappings!R4)</f>
        <v>458.83766167576812</v>
      </c>
    </row>
    <row r="7" spans="3:9" x14ac:dyDescent="0.3">
      <c r="C7" t="s">
        <v>90</v>
      </c>
      <c r="D7" s="36">
        <f>Mappings!H3*Mappings!K3</f>
        <v>5.2600000000000007</v>
      </c>
      <c r="E7" s="36">
        <f>Mappings!H4*Mappings!K4</f>
        <v>1.0842000000000001</v>
      </c>
    </row>
    <row r="8" spans="3:9" x14ac:dyDescent="0.3">
      <c r="C8" t="s">
        <v>91</v>
      </c>
      <c r="D8" s="36">
        <f ca="1">_xlfn.NORM.INV(RAND(),D7,D7*Mappings!G3)</f>
        <v>8.8466717134067263</v>
      </c>
      <c r="E8" s="36">
        <f ca="1">_xlfn.NORM.INV(RAND(),E7,E7*Mappings!G4)</f>
        <v>0.74061969241368131</v>
      </c>
    </row>
    <row r="9" spans="3:9" x14ac:dyDescent="0.3">
      <c r="C9" t="s">
        <v>84</v>
      </c>
      <c r="D9" s="36">
        <f>Mappings!W3</f>
        <v>4765.436433355384</v>
      </c>
      <c r="E9" s="36">
        <f>Mappings!W4</f>
        <v>10735.300922588216</v>
      </c>
    </row>
    <row r="10" spans="3:9" x14ac:dyDescent="0.3">
      <c r="C10" t="s">
        <v>92</v>
      </c>
      <c r="D10" s="36">
        <f ca="1">_xlfn.NORM.INV(RAND(),D9,Mappings!X3)</f>
        <v>-81.18123282317174</v>
      </c>
      <c r="E10" s="36">
        <f ca="1">_xlfn.NORM.INV(RAND(),E9,Mappings!X4)</f>
        <v>12197.43439798516</v>
      </c>
    </row>
    <row r="11" spans="3:9" x14ac:dyDescent="0.3">
      <c r="C11" t="s">
        <v>93</v>
      </c>
      <c r="D11" s="36">
        <f>Mappings!F3</f>
        <v>92823.248276712999</v>
      </c>
      <c r="E11" s="36">
        <f>Mappings!F4</f>
        <v>94593.726549442566</v>
      </c>
    </row>
    <row r="12" spans="3:9" x14ac:dyDescent="0.3">
      <c r="C12" t="s">
        <v>94</v>
      </c>
      <c r="D12" s="36">
        <f>Mappings!AB3*D11</f>
        <v>2883.7493204268703</v>
      </c>
      <c r="E12" s="36">
        <f>Mappings!AB4*E11</f>
        <v>2938.7529494810296</v>
      </c>
    </row>
    <row r="13" spans="3:9" x14ac:dyDescent="0.3">
      <c r="D13" s="36"/>
      <c r="E13" s="36"/>
    </row>
    <row r="14" spans="3:9" x14ac:dyDescent="0.3">
      <c r="C14" t="s">
        <v>82</v>
      </c>
      <c r="D14" s="36">
        <f ca="1">D6*D8</f>
        <v>1298.0662603509184</v>
      </c>
      <c r="E14" s="36">
        <f ca="1">E6*E8</f>
        <v>339.82420785812013</v>
      </c>
    </row>
    <row r="15" spans="3:9" x14ac:dyDescent="0.3">
      <c r="C15" t="s">
        <v>83</v>
      </c>
      <c r="D15" s="36">
        <f ca="1">D10</f>
        <v>-81.18123282317174</v>
      </c>
      <c r="E15" s="36">
        <f ca="1">E10</f>
        <v>12197.43439798516</v>
      </c>
    </row>
    <row r="16" spans="3:9" x14ac:dyDescent="0.3">
      <c r="C16" t="s">
        <v>93</v>
      </c>
      <c r="D16" s="36">
        <f ca="1">_xlfn.NORM.INV(RAND(),D11,D12)</f>
        <v>92540.54133979365</v>
      </c>
      <c r="E16" s="36">
        <f t="shared" ref="E16" ca="1" si="0">_xlfn.NORM.INV(RAND(),E11,E12)</f>
        <v>96173.132201042317</v>
      </c>
    </row>
    <row r="17" spans="3:10" x14ac:dyDescent="0.3">
      <c r="D17" s="36"/>
      <c r="E17" s="36"/>
    </row>
    <row r="18" spans="3:10" x14ac:dyDescent="0.3">
      <c r="C18" t="s">
        <v>95</v>
      </c>
      <c r="D18" s="36">
        <f ca="1">(D14+D15)*D16</f>
        <v>112611199.19570737</v>
      </c>
      <c r="E18" s="36">
        <f ca="1">(E14+E15)*E16</f>
        <v>1205747429.3384213</v>
      </c>
      <c r="G18" s="36">
        <f ca="1">D18+E18</f>
        <v>1318358628.5341287</v>
      </c>
    </row>
    <row r="19" spans="3:10" x14ac:dyDescent="0.3">
      <c r="C19" t="s">
        <v>109</v>
      </c>
      <c r="D19" s="46" t="s">
        <v>108</v>
      </c>
      <c r="E19" s="46" t="s">
        <v>108</v>
      </c>
      <c r="G19" s="36">
        <f ca="1">STDEVA(G22:G129)</f>
        <v>455110000.44342715</v>
      </c>
      <c r="I19" s="83" t="s">
        <v>114</v>
      </c>
    </row>
    <row r="20" spans="3:10" x14ac:dyDescent="0.3">
      <c r="C20" t="s">
        <v>96</v>
      </c>
      <c r="D20" s="46" t="s">
        <v>108</v>
      </c>
      <c r="E20" s="46" t="s">
        <v>108</v>
      </c>
      <c r="G20" s="36">
        <f ca="1">AVERAGE(G22:G129)</f>
        <v>1539136927.7208591</v>
      </c>
      <c r="I20" s="83"/>
      <c r="J20" s="2">
        <f ca="1">100*G19/G20</f>
        <v>29.569169074342863</v>
      </c>
    </row>
    <row r="22" spans="3:10" x14ac:dyDescent="0.3">
      <c r="F22">
        <v>1</v>
      </c>
      <c r="G22">
        <f ca="1">G18</f>
        <v>1318358628.5341287</v>
      </c>
    </row>
    <row r="23" spans="3:10" x14ac:dyDescent="0.3">
      <c r="F23">
        <v>2</v>
      </c>
      <c r="G23">
        <f t="dataTable" ref="G23:G129" dt2D="0" dtr="0" r1="G21" ca="1"/>
        <v>1191903705.6208839</v>
      </c>
    </row>
    <row r="24" spans="3:10" x14ac:dyDescent="0.3">
      <c r="F24">
        <v>3</v>
      </c>
      <c r="G24">
        <v>1400411472.5874741</v>
      </c>
    </row>
    <row r="25" spans="3:10" x14ac:dyDescent="0.3">
      <c r="F25">
        <v>4</v>
      </c>
      <c r="G25">
        <v>1472711539.2121665</v>
      </c>
    </row>
    <row r="26" spans="3:10" x14ac:dyDescent="0.3">
      <c r="F26">
        <v>5</v>
      </c>
      <c r="G26">
        <v>753137089.04680693</v>
      </c>
    </row>
    <row r="27" spans="3:10" x14ac:dyDescent="0.3">
      <c r="F27">
        <v>6</v>
      </c>
      <c r="G27">
        <v>1577791995.2527719</v>
      </c>
    </row>
    <row r="28" spans="3:10" x14ac:dyDescent="0.3">
      <c r="F28">
        <v>7</v>
      </c>
      <c r="G28">
        <v>1433840692.0009606</v>
      </c>
    </row>
    <row r="29" spans="3:10" x14ac:dyDescent="0.3">
      <c r="F29">
        <v>8</v>
      </c>
      <c r="G29">
        <v>868438304.41352439</v>
      </c>
    </row>
    <row r="30" spans="3:10" x14ac:dyDescent="0.3">
      <c r="F30">
        <v>9</v>
      </c>
      <c r="G30">
        <v>1846255065.7042687</v>
      </c>
    </row>
    <row r="31" spans="3:10" x14ac:dyDescent="0.3">
      <c r="F31">
        <v>10</v>
      </c>
      <c r="G31">
        <v>1332487516.4769397</v>
      </c>
    </row>
    <row r="32" spans="3:10" x14ac:dyDescent="0.3">
      <c r="F32">
        <v>11</v>
      </c>
      <c r="G32">
        <v>1397575385.0841265</v>
      </c>
    </row>
    <row r="33" spans="6:7" x14ac:dyDescent="0.3">
      <c r="F33">
        <v>12</v>
      </c>
      <c r="G33">
        <v>1782687315.2821057</v>
      </c>
    </row>
    <row r="34" spans="6:7" x14ac:dyDescent="0.3">
      <c r="F34">
        <v>13</v>
      </c>
      <c r="G34">
        <v>1667771254.2105656</v>
      </c>
    </row>
    <row r="35" spans="6:7" x14ac:dyDescent="0.3">
      <c r="F35">
        <v>14</v>
      </c>
      <c r="G35">
        <v>1673937448.0410881</v>
      </c>
    </row>
    <row r="36" spans="6:7" x14ac:dyDescent="0.3">
      <c r="F36">
        <v>15</v>
      </c>
      <c r="G36">
        <v>1740703878.3155193</v>
      </c>
    </row>
    <row r="37" spans="6:7" x14ac:dyDescent="0.3">
      <c r="F37">
        <v>16</v>
      </c>
      <c r="G37">
        <v>2087759170.9679184</v>
      </c>
    </row>
    <row r="38" spans="6:7" x14ac:dyDescent="0.3">
      <c r="F38">
        <v>17</v>
      </c>
      <c r="G38">
        <v>2224350210.1501522</v>
      </c>
    </row>
    <row r="39" spans="6:7" x14ac:dyDescent="0.3">
      <c r="F39">
        <v>18</v>
      </c>
      <c r="G39">
        <v>957970794.9174397</v>
      </c>
    </row>
    <row r="40" spans="6:7" x14ac:dyDescent="0.3">
      <c r="F40">
        <v>19</v>
      </c>
      <c r="G40">
        <v>1410107087.9061396</v>
      </c>
    </row>
    <row r="41" spans="6:7" x14ac:dyDescent="0.3">
      <c r="F41">
        <v>20</v>
      </c>
      <c r="G41">
        <v>2179835872.4516716</v>
      </c>
    </row>
    <row r="42" spans="6:7" x14ac:dyDescent="0.3">
      <c r="F42">
        <v>21</v>
      </c>
      <c r="G42">
        <v>2065894236.6605053</v>
      </c>
    </row>
    <row r="43" spans="6:7" x14ac:dyDescent="0.3">
      <c r="F43">
        <v>22</v>
      </c>
      <c r="G43">
        <v>1352452917.8049796</v>
      </c>
    </row>
    <row r="44" spans="6:7" x14ac:dyDescent="0.3">
      <c r="F44">
        <v>23</v>
      </c>
      <c r="G44">
        <v>2016377447.8588915</v>
      </c>
    </row>
    <row r="45" spans="6:7" x14ac:dyDescent="0.3">
      <c r="F45">
        <v>24</v>
      </c>
      <c r="G45">
        <v>1616026671.4290004</v>
      </c>
    </row>
    <row r="46" spans="6:7" x14ac:dyDescent="0.3">
      <c r="F46">
        <v>25</v>
      </c>
      <c r="G46">
        <v>1391681263.2716632</v>
      </c>
    </row>
    <row r="47" spans="6:7" x14ac:dyDescent="0.3">
      <c r="F47">
        <v>26</v>
      </c>
      <c r="G47">
        <v>1245264854.9374018</v>
      </c>
    </row>
    <row r="48" spans="6:7" x14ac:dyDescent="0.3">
      <c r="F48">
        <v>27</v>
      </c>
      <c r="G48">
        <v>1372594086.82342</v>
      </c>
    </row>
    <row r="49" spans="6:7" x14ac:dyDescent="0.3">
      <c r="F49">
        <v>28</v>
      </c>
      <c r="G49">
        <v>1391204706.1689084</v>
      </c>
    </row>
    <row r="50" spans="6:7" x14ac:dyDescent="0.3">
      <c r="F50">
        <v>29</v>
      </c>
      <c r="G50">
        <v>1288379459.9711585</v>
      </c>
    </row>
    <row r="51" spans="6:7" x14ac:dyDescent="0.3">
      <c r="F51">
        <v>30</v>
      </c>
      <c r="G51">
        <v>1612789054.3422542</v>
      </c>
    </row>
    <row r="52" spans="6:7" x14ac:dyDescent="0.3">
      <c r="F52">
        <v>31</v>
      </c>
      <c r="G52">
        <v>1533521781.2463098</v>
      </c>
    </row>
    <row r="53" spans="6:7" x14ac:dyDescent="0.3">
      <c r="F53">
        <v>32</v>
      </c>
      <c r="G53">
        <v>2058825668.9343204</v>
      </c>
    </row>
    <row r="54" spans="6:7" x14ac:dyDescent="0.3">
      <c r="F54">
        <v>33</v>
      </c>
      <c r="G54">
        <v>1262740056.8761611</v>
      </c>
    </row>
    <row r="55" spans="6:7" x14ac:dyDescent="0.3">
      <c r="F55">
        <v>34</v>
      </c>
      <c r="G55">
        <v>1415197453.3112993</v>
      </c>
    </row>
    <row r="56" spans="6:7" x14ac:dyDescent="0.3">
      <c r="F56">
        <v>35</v>
      </c>
      <c r="G56">
        <v>1843936927.9212515</v>
      </c>
    </row>
    <row r="57" spans="6:7" x14ac:dyDescent="0.3">
      <c r="F57">
        <v>36</v>
      </c>
      <c r="G57">
        <v>2069925039.6411681</v>
      </c>
    </row>
    <row r="58" spans="6:7" x14ac:dyDescent="0.3">
      <c r="F58">
        <v>37</v>
      </c>
      <c r="G58">
        <v>1766433263.0743957</v>
      </c>
    </row>
    <row r="59" spans="6:7" x14ac:dyDescent="0.3">
      <c r="F59">
        <v>38</v>
      </c>
      <c r="G59">
        <v>1412700440.1044078</v>
      </c>
    </row>
    <row r="60" spans="6:7" x14ac:dyDescent="0.3">
      <c r="F60">
        <v>39</v>
      </c>
      <c r="G60">
        <v>1570048685.0604606</v>
      </c>
    </row>
    <row r="61" spans="6:7" x14ac:dyDescent="0.3">
      <c r="F61">
        <v>40</v>
      </c>
      <c r="G61">
        <v>1066790525.7847998</v>
      </c>
    </row>
    <row r="62" spans="6:7" x14ac:dyDescent="0.3">
      <c r="F62">
        <v>41</v>
      </c>
      <c r="G62">
        <v>1849394952.4598444</v>
      </c>
    </row>
    <row r="63" spans="6:7" x14ac:dyDescent="0.3">
      <c r="F63">
        <v>42</v>
      </c>
      <c r="G63">
        <v>1477742882.2374625</v>
      </c>
    </row>
    <row r="64" spans="6:7" x14ac:dyDescent="0.3">
      <c r="F64">
        <v>43</v>
      </c>
      <c r="G64">
        <v>1969298784.2895923</v>
      </c>
    </row>
    <row r="65" spans="6:7" x14ac:dyDescent="0.3">
      <c r="F65">
        <v>44</v>
      </c>
      <c r="G65">
        <v>1660867349.6556001</v>
      </c>
    </row>
    <row r="66" spans="6:7" x14ac:dyDescent="0.3">
      <c r="F66">
        <v>45</v>
      </c>
      <c r="G66">
        <v>2055426042.1460853</v>
      </c>
    </row>
    <row r="67" spans="6:7" x14ac:dyDescent="0.3">
      <c r="F67">
        <v>46</v>
      </c>
      <c r="G67">
        <v>736019092.54941642</v>
      </c>
    </row>
    <row r="68" spans="6:7" x14ac:dyDescent="0.3">
      <c r="F68">
        <v>47</v>
      </c>
      <c r="G68">
        <v>888917105.32978702</v>
      </c>
    </row>
    <row r="69" spans="6:7" x14ac:dyDescent="0.3">
      <c r="F69">
        <v>48</v>
      </c>
      <c r="G69">
        <v>928951096.05921221</v>
      </c>
    </row>
    <row r="70" spans="6:7" x14ac:dyDescent="0.3">
      <c r="F70">
        <v>49</v>
      </c>
      <c r="G70">
        <v>1547472675.4681396</v>
      </c>
    </row>
    <row r="71" spans="6:7" x14ac:dyDescent="0.3">
      <c r="F71">
        <v>50</v>
      </c>
      <c r="G71">
        <v>1157641271.6338151</v>
      </c>
    </row>
    <row r="72" spans="6:7" x14ac:dyDescent="0.3">
      <c r="F72">
        <v>51</v>
      </c>
      <c r="G72">
        <v>1101193165.1788833</v>
      </c>
    </row>
    <row r="73" spans="6:7" x14ac:dyDescent="0.3">
      <c r="F73">
        <v>52</v>
      </c>
      <c r="G73">
        <v>1974370729.9203911</v>
      </c>
    </row>
    <row r="74" spans="6:7" x14ac:dyDescent="0.3">
      <c r="F74">
        <v>53</v>
      </c>
      <c r="G74">
        <v>880314648.58483684</v>
      </c>
    </row>
    <row r="75" spans="6:7" x14ac:dyDescent="0.3">
      <c r="F75">
        <v>54</v>
      </c>
      <c r="G75">
        <v>1535073305.0941741</v>
      </c>
    </row>
    <row r="76" spans="6:7" x14ac:dyDescent="0.3">
      <c r="F76">
        <v>55</v>
      </c>
      <c r="G76">
        <v>2041801085.046263</v>
      </c>
    </row>
    <row r="77" spans="6:7" x14ac:dyDescent="0.3">
      <c r="F77">
        <v>56</v>
      </c>
      <c r="G77">
        <v>1365629340.7528253</v>
      </c>
    </row>
    <row r="78" spans="6:7" x14ac:dyDescent="0.3">
      <c r="F78">
        <v>57</v>
      </c>
      <c r="G78">
        <v>1552713036.1682863</v>
      </c>
    </row>
    <row r="79" spans="6:7" x14ac:dyDescent="0.3">
      <c r="F79">
        <v>58</v>
      </c>
      <c r="G79">
        <v>2980464908.1618781</v>
      </c>
    </row>
    <row r="80" spans="6:7" x14ac:dyDescent="0.3">
      <c r="F80">
        <v>59</v>
      </c>
      <c r="G80">
        <v>1311487758.85568</v>
      </c>
    </row>
    <row r="81" spans="6:7" x14ac:dyDescent="0.3">
      <c r="F81">
        <v>60</v>
      </c>
      <c r="G81">
        <v>1834248712.9047689</v>
      </c>
    </row>
    <row r="82" spans="6:7" x14ac:dyDescent="0.3">
      <c r="F82">
        <v>61</v>
      </c>
      <c r="G82">
        <v>559226052.78931379</v>
      </c>
    </row>
    <row r="83" spans="6:7" x14ac:dyDescent="0.3">
      <c r="F83">
        <v>62</v>
      </c>
      <c r="G83">
        <v>1575082515.0352042</v>
      </c>
    </row>
    <row r="84" spans="6:7" x14ac:dyDescent="0.3">
      <c r="F84">
        <v>63</v>
      </c>
      <c r="G84">
        <v>1776895520.7747798</v>
      </c>
    </row>
    <row r="85" spans="6:7" x14ac:dyDescent="0.3">
      <c r="F85">
        <v>64</v>
      </c>
      <c r="G85">
        <v>765156663.89981222</v>
      </c>
    </row>
    <row r="86" spans="6:7" x14ac:dyDescent="0.3">
      <c r="F86">
        <v>65</v>
      </c>
      <c r="G86">
        <v>1364168509.9167657</v>
      </c>
    </row>
    <row r="87" spans="6:7" x14ac:dyDescent="0.3">
      <c r="F87">
        <v>66</v>
      </c>
      <c r="G87">
        <v>1098865826.3867736</v>
      </c>
    </row>
    <row r="88" spans="6:7" x14ac:dyDescent="0.3">
      <c r="F88">
        <v>67</v>
      </c>
      <c r="G88">
        <v>1167603942.220845</v>
      </c>
    </row>
    <row r="89" spans="6:7" x14ac:dyDescent="0.3">
      <c r="F89">
        <v>68</v>
      </c>
      <c r="G89">
        <v>1572641877.1815116</v>
      </c>
    </row>
    <row r="90" spans="6:7" x14ac:dyDescent="0.3">
      <c r="F90">
        <v>69</v>
      </c>
      <c r="G90">
        <v>2431862648.124248</v>
      </c>
    </row>
    <row r="91" spans="6:7" x14ac:dyDescent="0.3">
      <c r="F91">
        <v>70</v>
      </c>
      <c r="G91">
        <v>1178992179.7711082</v>
      </c>
    </row>
    <row r="92" spans="6:7" x14ac:dyDescent="0.3">
      <c r="F92">
        <v>71</v>
      </c>
      <c r="G92">
        <v>875727505.78331292</v>
      </c>
    </row>
    <row r="93" spans="6:7" x14ac:dyDescent="0.3">
      <c r="F93">
        <v>72</v>
      </c>
      <c r="G93">
        <v>840861408.37031639</v>
      </c>
    </row>
    <row r="94" spans="6:7" x14ac:dyDescent="0.3">
      <c r="F94">
        <v>73</v>
      </c>
      <c r="G94">
        <v>2687747910.3243794</v>
      </c>
    </row>
    <row r="95" spans="6:7" x14ac:dyDescent="0.3">
      <c r="F95">
        <v>74</v>
      </c>
      <c r="G95">
        <v>2067702174.2076273</v>
      </c>
    </row>
    <row r="96" spans="6:7" x14ac:dyDescent="0.3">
      <c r="F96">
        <v>75</v>
      </c>
      <c r="G96">
        <v>1157785934.5718315</v>
      </c>
    </row>
    <row r="97" spans="6:7" x14ac:dyDescent="0.3">
      <c r="F97">
        <v>76</v>
      </c>
      <c r="G97">
        <v>831142029.96165621</v>
      </c>
    </row>
    <row r="98" spans="6:7" x14ac:dyDescent="0.3">
      <c r="F98">
        <v>77</v>
      </c>
      <c r="G98">
        <v>1053256546.4069858</v>
      </c>
    </row>
    <row r="99" spans="6:7" x14ac:dyDescent="0.3">
      <c r="F99">
        <v>78</v>
      </c>
      <c r="G99">
        <v>1227571584.9992404</v>
      </c>
    </row>
    <row r="100" spans="6:7" x14ac:dyDescent="0.3">
      <c r="F100">
        <v>79</v>
      </c>
      <c r="G100">
        <v>2672822705.4568353</v>
      </c>
    </row>
    <row r="101" spans="6:7" x14ac:dyDescent="0.3">
      <c r="F101">
        <v>80</v>
      </c>
      <c r="G101">
        <v>1813592575.5477219</v>
      </c>
    </row>
    <row r="102" spans="6:7" x14ac:dyDescent="0.3">
      <c r="F102">
        <v>81</v>
      </c>
      <c r="G102">
        <v>1283372009.2243824</v>
      </c>
    </row>
    <row r="103" spans="6:7" x14ac:dyDescent="0.3">
      <c r="F103">
        <v>82</v>
      </c>
      <c r="G103">
        <v>1927125735.5000188</v>
      </c>
    </row>
    <row r="104" spans="6:7" x14ac:dyDescent="0.3">
      <c r="F104">
        <v>83</v>
      </c>
      <c r="G104">
        <v>1457622938.4608588</v>
      </c>
    </row>
    <row r="105" spans="6:7" x14ac:dyDescent="0.3">
      <c r="F105">
        <v>84</v>
      </c>
      <c r="G105">
        <v>2196223122.6058307</v>
      </c>
    </row>
    <row r="106" spans="6:7" x14ac:dyDescent="0.3">
      <c r="F106">
        <v>85</v>
      </c>
      <c r="G106">
        <v>1638826291.1330888</v>
      </c>
    </row>
    <row r="107" spans="6:7" x14ac:dyDescent="0.3">
      <c r="F107">
        <v>86</v>
      </c>
      <c r="G107">
        <v>1748501877.2441981</v>
      </c>
    </row>
    <row r="108" spans="6:7" x14ac:dyDescent="0.3">
      <c r="F108">
        <v>87</v>
      </c>
      <c r="G108">
        <v>1665947172.5839734</v>
      </c>
    </row>
    <row r="109" spans="6:7" x14ac:dyDescent="0.3">
      <c r="F109">
        <v>88</v>
      </c>
      <c r="G109">
        <v>1851130871.7927527</v>
      </c>
    </row>
    <row r="110" spans="6:7" x14ac:dyDescent="0.3">
      <c r="F110">
        <v>89</v>
      </c>
      <c r="G110">
        <v>1353222111.4315722</v>
      </c>
    </row>
    <row r="111" spans="6:7" x14ac:dyDescent="0.3">
      <c r="F111">
        <v>90</v>
      </c>
      <c r="G111">
        <v>1373414084.0616784</v>
      </c>
    </row>
    <row r="112" spans="6:7" x14ac:dyDescent="0.3">
      <c r="F112">
        <v>91</v>
      </c>
      <c r="G112">
        <v>2466548361.0853472</v>
      </c>
    </row>
    <row r="113" spans="6:7" x14ac:dyDescent="0.3">
      <c r="F113">
        <v>92</v>
      </c>
      <c r="G113">
        <v>780104448.57477164</v>
      </c>
    </row>
    <row r="114" spans="6:7" x14ac:dyDescent="0.3">
      <c r="F114">
        <v>93</v>
      </c>
      <c r="G114">
        <v>1437877561.5425768</v>
      </c>
    </row>
    <row r="115" spans="6:7" x14ac:dyDescent="0.3">
      <c r="F115">
        <v>94</v>
      </c>
      <c r="G115">
        <v>1940798918.8852034</v>
      </c>
    </row>
    <row r="116" spans="6:7" x14ac:dyDescent="0.3">
      <c r="F116">
        <v>95</v>
      </c>
      <c r="G116">
        <v>1535164687.9296522</v>
      </c>
    </row>
    <row r="117" spans="6:7" x14ac:dyDescent="0.3">
      <c r="F117">
        <v>96</v>
      </c>
      <c r="G117">
        <v>1451455668.5319014</v>
      </c>
    </row>
    <row r="118" spans="6:7" x14ac:dyDescent="0.3">
      <c r="F118">
        <v>97</v>
      </c>
      <c r="G118">
        <v>1177885146.3277388</v>
      </c>
    </row>
    <row r="119" spans="6:7" x14ac:dyDescent="0.3">
      <c r="F119">
        <v>98</v>
      </c>
      <c r="G119">
        <v>2051956106.9666679</v>
      </c>
    </row>
    <row r="120" spans="6:7" x14ac:dyDescent="0.3">
      <c r="F120">
        <v>99</v>
      </c>
      <c r="G120">
        <v>2189534673.2900867</v>
      </c>
    </row>
    <row r="121" spans="6:7" x14ac:dyDescent="0.3">
      <c r="F121">
        <v>100</v>
      </c>
      <c r="G121">
        <v>1362293985.0318081</v>
      </c>
    </row>
    <row r="122" spans="6:7" x14ac:dyDescent="0.3">
      <c r="F122">
        <v>101</v>
      </c>
      <c r="G122">
        <v>954510634.09234381</v>
      </c>
    </row>
    <row r="123" spans="6:7" x14ac:dyDescent="0.3">
      <c r="F123">
        <v>102</v>
      </c>
      <c r="G123">
        <v>1372354046.8534005</v>
      </c>
    </row>
    <row r="124" spans="6:7" x14ac:dyDescent="0.3">
      <c r="F124">
        <v>103</v>
      </c>
      <c r="G124">
        <v>1619199183.2743871</v>
      </c>
    </row>
    <row r="125" spans="6:7" x14ac:dyDescent="0.3">
      <c r="F125">
        <v>104</v>
      </c>
      <c r="G125">
        <v>1504428967.8863788</v>
      </c>
    </row>
    <row r="126" spans="6:7" x14ac:dyDescent="0.3">
      <c r="F126">
        <v>105</v>
      </c>
      <c r="G126">
        <v>1510616582.5191448</v>
      </c>
    </row>
    <row r="127" spans="6:7" x14ac:dyDescent="0.3">
      <c r="F127">
        <v>106</v>
      </c>
      <c r="G127">
        <v>1421206002.8792825</v>
      </c>
    </row>
    <row r="128" spans="6:7" x14ac:dyDescent="0.3">
      <c r="F128">
        <v>107</v>
      </c>
      <c r="G128">
        <v>1660748627.8636425</v>
      </c>
    </row>
    <row r="129" spans="6:7" x14ac:dyDescent="0.3">
      <c r="F129">
        <v>108</v>
      </c>
      <c r="G129">
        <v>2056165354.6534772</v>
      </c>
    </row>
  </sheetData>
  <mergeCells count="1">
    <mergeCell ref="I19:I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C3:K129"/>
  <sheetViews>
    <sheetView workbookViewId="0">
      <selection activeCell="F11" sqref="F11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10" width="18.44140625" customWidth="1"/>
    <col min="11" max="11" width="12" bestFit="1" customWidth="1"/>
  </cols>
  <sheetData>
    <row r="3" spans="3:10" ht="18" customHeight="1" x14ac:dyDescent="0.3">
      <c r="D3" s="34" t="str">
        <f>Mappings!B6</f>
        <v>Adopting</v>
      </c>
      <c r="E3" s="52" t="s">
        <v>115</v>
      </c>
      <c r="F3" s="52" t="s">
        <v>116</v>
      </c>
      <c r="H3" s="2" t="s">
        <v>85</v>
      </c>
      <c r="I3" s="2"/>
      <c r="J3" s="2"/>
    </row>
    <row r="5" spans="3:10" x14ac:dyDescent="0.3">
      <c r="C5" t="s">
        <v>88</v>
      </c>
      <c r="D5" s="36">
        <f>Mappings!Q6</f>
        <v>-347.06430102997354</v>
      </c>
      <c r="E5" s="36">
        <f>Mappings!Q7</f>
        <v>63.69564668470192</v>
      </c>
      <c r="F5" s="36">
        <f>Mappings!Q8</f>
        <v>763.64841134344829</v>
      </c>
    </row>
    <row r="6" spans="3:10" x14ac:dyDescent="0.3">
      <c r="C6" t="s">
        <v>89</v>
      </c>
      <c r="D6" s="36">
        <f ca="1">_xlfn.NORM.INV(RAND(),Mappings!Q6,Mappings!R6)</f>
        <v>-273.92704095026852</v>
      </c>
      <c r="E6" s="36">
        <f ca="1">_xlfn.NORM.INV(RAND(),Mappings!Q7,Mappings!R7)</f>
        <v>95.991411559146513</v>
      </c>
      <c r="F6" s="36">
        <f ca="1">_xlfn.NORM.INV(RAND(),Mappings!Q8,Mappings!R8)</f>
        <v>1360.7683092462071</v>
      </c>
    </row>
    <row r="7" spans="3:10" x14ac:dyDescent="0.3">
      <c r="C7" t="s">
        <v>90</v>
      </c>
      <c r="D7" s="36">
        <f>Mappings!H6</f>
        <v>1.903773029765371</v>
      </c>
      <c r="E7" s="36">
        <f>Mappings!H7</f>
        <v>15.886943075592102</v>
      </c>
      <c r="F7" s="36">
        <f>Mappings!H8</f>
        <v>5.890870543104656</v>
      </c>
    </row>
    <row r="8" spans="3:10" x14ac:dyDescent="0.3">
      <c r="C8" t="s">
        <v>91</v>
      </c>
      <c r="D8" s="36">
        <f ca="1">_xlfn.NORM.INV(RAND(),D7,D7*Mappings!G4)*0+D7</f>
        <v>1.903773029765371</v>
      </c>
      <c r="E8" s="36">
        <f ca="1">_xlfn.NORM.INV(RAND(),E7,E7*Mappings!G3)*0+E7</f>
        <v>15.886943075592102</v>
      </c>
      <c r="F8" s="36">
        <f ca="1">_xlfn.NORM.INV(RAND(),F7,F7*Mappings!G4)*0+F7</f>
        <v>5.890870543104656</v>
      </c>
    </row>
    <row r="9" spans="3:10" x14ac:dyDescent="0.3">
      <c r="C9" t="s">
        <v>84</v>
      </c>
      <c r="D9" s="36">
        <f>Mappings!W6</f>
        <v>4765.436433355384</v>
      </c>
      <c r="E9" s="36">
        <f>Mappings!W7</f>
        <v>4765.436433355384</v>
      </c>
      <c r="F9" s="36">
        <f>Mappings!W8</f>
        <v>10735.300922588216</v>
      </c>
    </row>
    <row r="10" spans="3:10" x14ac:dyDescent="0.3">
      <c r="C10" t="s">
        <v>92</v>
      </c>
      <c r="D10" s="36">
        <f>D9</f>
        <v>4765.436433355384</v>
      </c>
      <c r="E10" s="36">
        <f t="shared" ref="E10:F10" si="0">E9</f>
        <v>4765.436433355384</v>
      </c>
      <c r="F10" s="36">
        <f t="shared" si="0"/>
        <v>10735.300922588216</v>
      </c>
    </row>
    <row r="11" spans="3:10" x14ac:dyDescent="0.3">
      <c r="C11" t="s">
        <v>93</v>
      </c>
      <c r="D11" s="36">
        <f>Mappings!F6</f>
        <v>39913.996758986592</v>
      </c>
      <c r="E11" s="36">
        <f>Mappings!F7</f>
        <v>52909.251517726407</v>
      </c>
      <c r="F11" s="36">
        <f>Mappings!F8</f>
        <v>94593.726549442566</v>
      </c>
    </row>
    <row r="12" spans="3:10" x14ac:dyDescent="0.3">
      <c r="C12" t="s">
        <v>94</v>
      </c>
      <c r="D12" s="36">
        <f>Mappings!AB6*Mappings!F6</f>
        <v>1240.0122077835542</v>
      </c>
      <c r="E12" s="36">
        <f>Mappings!AB7*Mappings!F7</f>
        <v>1643.7371126433159</v>
      </c>
      <c r="F12" s="36">
        <f>Mappings!AB8*F11</f>
        <v>2938.7529494810296</v>
      </c>
    </row>
    <row r="13" spans="3:10" x14ac:dyDescent="0.3">
      <c r="D13" s="36"/>
      <c r="E13" s="36"/>
      <c r="F13" s="36"/>
    </row>
    <row r="14" spans="3:10" x14ac:dyDescent="0.3">
      <c r="C14" t="s">
        <v>82</v>
      </c>
      <c r="D14" s="36">
        <f ca="1">D6*D8</f>
        <v>-521.49491268455552</v>
      </c>
      <c r="E14" s="36">
        <f ca="1">E6*E8</f>
        <v>1525.0100911858945</v>
      </c>
      <c r="F14" s="36">
        <f ca="1">F6*F8</f>
        <v>8016.1099489288081</v>
      </c>
    </row>
    <row r="15" spans="3:10" x14ac:dyDescent="0.3">
      <c r="C15" t="s">
        <v>83</v>
      </c>
      <c r="D15" s="36">
        <f>D10</f>
        <v>4765.436433355384</v>
      </c>
      <c r="E15" s="36">
        <f>E10</f>
        <v>4765.436433355384</v>
      </c>
      <c r="F15" s="36">
        <f>F10</f>
        <v>10735.300922588216</v>
      </c>
    </row>
    <row r="16" spans="3:10" x14ac:dyDescent="0.3">
      <c r="C16" t="s">
        <v>93</v>
      </c>
      <c r="D16" s="36">
        <f ca="1">_xlfn.NORM.INV(RAND(),D11,D12)</f>
        <v>38256.891093486207</v>
      </c>
      <c r="E16" s="36">
        <f ca="1">_xlfn.NORM.INV(RAND(),E11,E12)</f>
        <v>52507.943255536964</v>
      </c>
      <c r="F16" s="36">
        <f t="shared" ref="F16" ca="1" si="1">_xlfn.NORM.INV(RAND(),F11,F12)</f>
        <v>95024.632883502811</v>
      </c>
    </row>
    <row r="17" spans="3:11" x14ac:dyDescent="0.3">
      <c r="D17" s="36"/>
      <c r="E17" s="36"/>
      <c r="F17" s="36"/>
    </row>
    <row r="18" spans="3:11" x14ac:dyDescent="0.3">
      <c r="C18" t="s">
        <v>95</v>
      </c>
      <c r="D18" s="48">
        <f ca="1">(D14+D15)*D16</f>
        <v>162360008.5634281</v>
      </c>
      <c r="E18" s="48">
        <f ca="1">(E14+E15)*E16</f>
        <v>330298409.16260314</v>
      </c>
      <c r="F18" s="48">
        <f ca="1">(F14+F15)*F16</f>
        <v>1781845934.1136286</v>
      </c>
      <c r="H18" s="38">
        <f ca="1">D18+E18+F18</f>
        <v>2274504351.8396597</v>
      </c>
      <c r="I18" s="38"/>
      <c r="J18" s="38"/>
    </row>
    <row r="19" spans="3:11" x14ac:dyDescent="0.3">
      <c r="C19" t="s">
        <v>109</v>
      </c>
      <c r="D19" s="46" t="s">
        <v>108</v>
      </c>
      <c r="E19" s="46" t="s">
        <v>108</v>
      </c>
      <c r="F19" s="46" t="s">
        <v>108</v>
      </c>
      <c r="G19" s="4"/>
      <c r="H19" s="38">
        <f ca="1">STDEV(H22:H129)</f>
        <v>161318060.95972887</v>
      </c>
      <c r="I19" s="38"/>
      <c r="J19" s="54" t="s">
        <v>114</v>
      </c>
      <c r="K19" s="2"/>
    </row>
    <row r="20" spans="3:11" x14ac:dyDescent="0.3">
      <c r="C20" t="s">
        <v>96</v>
      </c>
      <c r="D20" s="46" t="s">
        <v>108</v>
      </c>
      <c r="E20" s="46" t="s">
        <v>108</v>
      </c>
      <c r="F20" s="46" t="s">
        <v>108</v>
      </c>
      <c r="G20" s="4"/>
      <c r="H20" s="38">
        <f ca="1">AVERAGE(H22:H129)</f>
        <v>1882113216.6811066</v>
      </c>
      <c r="I20" s="38"/>
      <c r="J20" s="54"/>
      <c r="K20" s="55">
        <f ca="1">100*H19/H20</f>
        <v>8.5711135509794136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38">
        <f ca="1">H18</f>
        <v>2274504351.8396597</v>
      </c>
      <c r="I22" s="47"/>
      <c r="J22" s="47"/>
    </row>
    <row r="23" spans="3:11" x14ac:dyDescent="0.3">
      <c r="G23">
        <v>2</v>
      </c>
      <c r="H23" s="38">
        <f t="dataTable" ref="H23:H129" dt2D="0" dtr="0" r1="H21" ca="1"/>
        <v>1868371290.6122954</v>
      </c>
      <c r="I23" s="47"/>
      <c r="J23" s="47"/>
    </row>
    <row r="24" spans="3:11" x14ac:dyDescent="0.3">
      <c r="G24">
        <v>3</v>
      </c>
      <c r="H24" s="38">
        <v>1750898066.8297915</v>
      </c>
      <c r="I24" s="47"/>
      <c r="J24" s="47"/>
    </row>
    <row r="25" spans="3:11" x14ac:dyDescent="0.3">
      <c r="G25">
        <v>4</v>
      </c>
      <c r="H25" s="38">
        <v>1936898556.7607265</v>
      </c>
      <c r="I25" s="47"/>
      <c r="J25" s="47"/>
    </row>
    <row r="26" spans="3:11" x14ac:dyDescent="0.3">
      <c r="G26">
        <v>5</v>
      </c>
      <c r="H26" s="38">
        <v>1819865032.2897692</v>
      </c>
      <c r="I26" s="47"/>
      <c r="J26" s="47"/>
    </row>
    <row r="27" spans="3:11" x14ac:dyDescent="0.3">
      <c r="G27">
        <v>6</v>
      </c>
      <c r="H27" s="38">
        <v>2071492932.0506229</v>
      </c>
      <c r="I27" s="47"/>
      <c r="J27" s="47"/>
    </row>
    <row r="28" spans="3:11" x14ac:dyDescent="0.3">
      <c r="G28">
        <v>7</v>
      </c>
      <c r="H28" s="38">
        <v>1770050000.9041853</v>
      </c>
      <c r="I28" s="47"/>
      <c r="J28" s="47"/>
    </row>
    <row r="29" spans="3:11" x14ac:dyDescent="0.3">
      <c r="G29">
        <v>8</v>
      </c>
      <c r="H29" s="38">
        <v>1814867665.1220274</v>
      </c>
      <c r="I29" s="47"/>
      <c r="J29" s="47"/>
    </row>
    <row r="30" spans="3:11" x14ac:dyDescent="0.3">
      <c r="G30">
        <v>9</v>
      </c>
      <c r="H30" s="38">
        <v>1893744144.0693245</v>
      </c>
      <c r="I30" s="47"/>
      <c r="J30" s="47"/>
    </row>
    <row r="31" spans="3:11" x14ac:dyDescent="0.3">
      <c r="G31">
        <v>10</v>
      </c>
      <c r="H31" s="38">
        <v>2072150486.766355</v>
      </c>
      <c r="I31" s="47"/>
      <c r="J31" s="47"/>
    </row>
    <row r="32" spans="3:11" x14ac:dyDescent="0.3">
      <c r="G32">
        <v>11</v>
      </c>
      <c r="H32" s="38">
        <v>1980268393.4376616</v>
      </c>
      <c r="I32" s="47"/>
      <c r="J32" s="47"/>
    </row>
    <row r="33" spans="7:10" x14ac:dyDescent="0.3">
      <c r="G33">
        <v>12</v>
      </c>
      <c r="H33" s="38">
        <v>1969219564.463069</v>
      </c>
      <c r="I33" s="47"/>
      <c r="J33" s="47"/>
    </row>
    <row r="34" spans="7:10" x14ac:dyDescent="0.3">
      <c r="G34">
        <v>13</v>
      </c>
      <c r="H34" s="38">
        <v>1560831256.435894</v>
      </c>
      <c r="I34" s="47"/>
      <c r="J34" s="47"/>
    </row>
    <row r="35" spans="7:10" x14ac:dyDescent="0.3">
      <c r="G35">
        <v>14</v>
      </c>
      <c r="H35" s="38">
        <v>1995208529.1846008</v>
      </c>
      <c r="I35" s="47"/>
      <c r="J35" s="47"/>
    </row>
    <row r="36" spans="7:10" x14ac:dyDescent="0.3">
      <c r="G36">
        <v>15</v>
      </c>
      <c r="H36" s="38">
        <v>2017681199.8061187</v>
      </c>
      <c r="I36" s="47"/>
      <c r="J36" s="47"/>
    </row>
    <row r="37" spans="7:10" x14ac:dyDescent="0.3">
      <c r="G37">
        <v>16</v>
      </c>
      <c r="H37" s="38">
        <v>2037440701.6357675</v>
      </c>
      <c r="I37" s="47"/>
      <c r="J37" s="47"/>
    </row>
    <row r="38" spans="7:10" x14ac:dyDescent="0.3">
      <c r="G38">
        <v>17</v>
      </c>
      <c r="H38" s="38">
        <v>2069640272.4884262</v>
      </c>
      <c r="I38" s="47"/>
      <c r="J38" s="47"/>
    </row>
    <row r="39" spans="7:10" x14ac:dyDescent="0.3">
      <c r="G39">
        <v>18</v>
      </c>
      <c r="H39" s="38">
        <v>1629203859.7521708</v>
      </c>
      <c r="I39" s="47"/>
      <c r="J39" s="47"/>
    </row>
    <row r="40" spans="7:10" x14ac:dyDescent="0.3">
      <c r="G40">
        <v>19</v>
      </c>
      <c r="H40" s="38">
        <v>1634574547.4403269</v>
      </c>
      <c r="I40" s="47"/>
      <c r="J40" s="47"/>
    </row>
    <row r="41" spans="7:10" x14ac:dyDescent="0.3">
      <c r="G41">
        <v>20</v>
      </c>
      <c r="H41" s="38">
        <v>1977915268.1511207</v>
      </c>
      <c r="I41" s="47"/>
      <c r="J41" s="47"/>
    </row>
    <row r="42" spans="7:10" x14ac:dyDescent="0.3">
      <c r="G42">
        <v>21</v>
      </c>
      <c r="H42" s="38">
        <v>1960902995.0109279</v>
      </c>
      <c r="I42" s="47"/>
      <c r="J42" s="47"/>
    </row>
    <row r="43" spans="7:10" x14ac:dyDescent="0.3">
      <c r="G43">
        <v>22</v>
      </c>
      <c r="H43" s="38">
        <v>1831015508.4231524</v>
      </c>
      <c r="I43" s="47"/>
      <c r="J43" s="47"/>
    </row>
    <row r="44" spans="7:10" x14ac:dyDescent="0.3">
      <c r="G44">
        <v>23</v>
      </c>
      <c r="H44" s="38">
        <v>1932089756.1513522</v>
      </c>
      <c r="I44" s="47"/>
      <c r="J44" s="47"/>
    </row>
    <row r="45" spans="7:10" x14ac:dyDescent="0.3">
      <c r="G45">
        <v>24</v>
      </c>
      <c r="H45" s="38">
        <v>1715256013.3287771</v>
      </c>
      <c r="I45" s="47"/>
      <c r="J45" s="47"/>
    </row>
    <row r="46" spans="7:10" x14ac:dyDescent="0.3">
      <c r="G46">
        <v>25</v>
      </c>
      <c r="H46" s="38">
        <v>1750385408.0201936</v>
      </c>
      <c r="I46" s="47"/>
      <c r="J46" s="47"/>
    </row>
    <row r="47" spans="7:10" x14ac:dyDescent="0.3">
      <c r="G47">
        <v>26</v>
      </c>
      <c r="H47" s="38">
        <v>1978054763.5296657</v>
      </c>
      <c r="I47" s="47"/>
      <c r="J47" s="47"/>
    </row>
    <row r="48" spans="7:10" x14ac:dyDescent="0.3">
      <c r="G48">
        <v>27</v>
      </c>
      <c r="H48" s="38">
        <v>1902315574.6782479</v>
      </c>
      <c r="I48" s="47"/>
      <c r="J48" s="47"/>
    </row>
    <row r="49" spans="7:10" x14ac:dyDescent="0.3">
      <c r="G49">
        <v>28</v>
      </c>
      <c r="H49" s="38">
        <v>1642737503.7943304</v>
      </c>
      <c r="I49" s="47"/>
      <c r="J49" s="47"/>
    </row>
    <row r="50" spans="7:10" x14ac:dyDescent="0.3">
      <c r="G50">
        <v>29</v>
      </c>
      <c r="H50" s="38">
        <v>1820965046.8403721</v>
      </c>
      <c r="I50" s="47"/>
      <c r="J50" s="47"/>
    </row>
    <row r="51" spans="7:10" x14ac:dyDescent="0.3">
      <c r="G51">
        <v>30</v>
      </c>
      <c r="H51" s="38">
        <v>1878955768.4890957</v>
      </c>
      <c r="I51" s="47"/>
      <c r="J51" s="47"/>
    </row>
    <row r="52" spans="7:10" x14ac:dyDescent="0.3">
      <c r="G52">
        <v>31</v>
      </c>
      <c r="H52" s="38">
        <v>1877769893.8941107</v>
      </c>
      <c r="I52" s="47"/>
      <c r="J52" s="47"/>
    </row>
    <row r="53" spans="7:10" x14ac:dyDescent="0.3">
      <c r="G53">
        <v>32</v>
      </c>
      <c r="H53" s="38">
        <v>1745492839.7435107</v>
      </c>
      <c r="I53" s="47"/>
      <c r="J53" s="47"/>
    </row>
    <row r="54" spans="7:10" x14ac:dyDescent="0.3">
      <c r="G54">
        <v>33</v>
      </c>
      <c r="H54" s="38">
        <v>1958860100.9576936</v>
      </c>
      <c r="I54" s="47"/>
      <c r="J54" s="47"/>
    </row>
    <row r="55" spans="7:10" x14ac:dyDescent="0.3">
      <c r="G55">
        <v>34</v>
      </c>
      <c r="H55" s="38">
        <v>1857643516.2907362</v>
      </c>
      <c r="I55" s="47"/>
      <c r="J55" s="47"/>
    </row>
    <row r="56" spans="7:10" x14ac:dyDescent="0.3">
      <c r="G56">
        <v>35</v>
      </c>
      <c r="H56" s="38">
        <v>1598321630.7851071</v>
      </c>
      <c r="I56" s="47"/>
      <c r="J56" s="47"/>
    </row>
    <row r="57" spans="7:10" x14ac:dyDescent="0.3">
      <c r="G57">
        <v>36</v>
      </c>
      <c r="H57" s="38">
        <v>1764323051.4538536</v>
      </c>
      <c r="I57" s="47"/>
      <c r="J57" s="47"/>
    </row>
    <row r="58" spans="7:10" x14ac:dyDescent="0.3">
      <c r="G58">
        <v>37</v>
      </c>
      <c r="H58" s="38">
        <v>1839072176.9972231</v>
      </c>
      <c r="I58" s="47"/>
      <c r="J58" s="47"/>
    </row>
    <row r="59" spans="7:10" x14ac:dyDescent="0.3">
      <c r="G59">
        <v>38</v>
      </c>
      <c r="H59" s="38">
        <v>1693181217.1301601</v>
      </c>
      <c r="I59" s="47"/>
      <c r="J59" s="47"/>
    </row>
    <row r="60" spans="7:10" x14ac:dyDescent="0.3">
      <c r="G60">
        <v>39</v>
      </c>
      <c r="H60" s="38">
        <v>2073247038.7915621</v>
      </c>
      <c r="I60" s="47"/>
      <c r="J60" s="47"/>
    </row>
    <row r="61" spans="7:10" x14ac:dyDescent="0.3">
      <c r="G61">
        <v>40</v>
      </c>
      <c r="H61" s="38">
        <v>1823526726.4588714</v>
      </c>
      <c r="I61" s="47"/>
      <c r="J61" s="47"/>
    </row>
    <row r="62" spans="7:10" x14ac:dyDescent="0.3">
      <c r="G62">
        <v>41</v>
      </c>
      <c r="H62" s="38">
        <v>1830051425.3203459</v>
      </c>
      <c r="I62" s="47"/>
      <c r="J62" s="47"/>
    </row>
    <row r="63" spans="7:10" x14ac:dyDescent="0.3">
      <c r="G63">
        <v>42</v>
      </c>
      <c r="H63" s="38">
        <v>1891802577.2463169</v>
      </c>
      <c r="I63" s="47"/>
      <c r="J63" s="47"/>
    </row>
    <row r="64" spans="7:10" x14ac:dyDescent="0.3">
      <c r="G64">
        <v>43</v>
      </c>
      <c r="H64" s="38">
        <v>1941975363.2016628</v>
      </c>
      <c r="I64" s="47"/>
      <c r="J64" s="47"/>
    </row>
    <row r="65" spans="7:10" x14ac:dyDescent="0.3">
      <c r="G65">
        <v>44</v>
      </c>
      <c r="H65" s="38">
        <v>1773615884.8529592</v>
      </c>
      <c r="I65" s="47"/>
      <c r="J65" s="47"/>
    </row>
    <row r="66" spans="7:10" x14ac:dyDescent="0.3">
      <c r="G66">
        <v>45</v>
      </c>
      <c r="H66" s="38">
        <v>1461382009.9601407</v>
      </c>
      <c r="I66" s="47"/>
      <c r="J66" s="47"/>
    </row>
    <row r="67" spans="7:10" x14ac:dyDescent="0.3">
      <c r="G67">
        <v>46</v>
      </c>
      <c r="H67" s="38">
        <v>2079031222.4225953</v>
      </c>
      <c r="I67" s="47"/>
      <c r="J67" s="47"/>
    </row>
    <row r="68" spans="7:10" x14ac:dyDescent="0.3">
      <c r="G68">
        <v>47</v>
      </c>
      <c r="H68" s="38">
        <v>1858076542.3289452</v>
      </c>
      <c r="I68" s="47"/>
      <c r="J68" s="47"/>
    </row>
    <row r="69" spans="7:10" x14ac:dyDescent="0.3">
      <c r="G69">
        <v>48</v>
      </c>
      <c r="H69" s="38">
        <v>1899577934.5655138</v>
      </c>
      <c r="I69" s="47"/>
      <c r="J69" s="47"/>
    </row>
    <row r="70" spans="7:10" x14ac:dyDescent="0.3">
      <c r="G70">
        <v>49</v>
      </c>
      <c r="H70" s="38">
        <v>1840131948.4701328</v>
      </c>
      <c r="I70" s="47"/>
      <c r="J70" s="47"/>
    </row>
    <row r="71" spans="7:10" x14ac:dyDescent="0.3">
      <c r="G71">
        <v>50</v>
      </c>
      <c r="H71" s="38">
        <v>1783571837.3548751</v>
      </c>
      <c r="I71" s="47"/>
      <c r="J71" s="47"/>
    </row>
    <row r="72" spans="7:10" x14ac:dyDescent="0.3">
      <c r="G72">
        <v>51</v>
      </c>
      <c r="H72" s="38">
        <v>1545516561.9046898</v>
      </c>
      <c r="I72" s="47"/>
      <c r="J72" s="47"/>
    </row>
    <row r="73" spans="7:10" x14ac:dyDescent="0.3">
      <c r="G73">
        <v>52</v>
      </c>
      <c r="H73" s="38">
        <v>2016614521.9068162</v>
      </c>
      <c r="I73" s="47"/>
      <c r="J73" s="47"/>
    </row>
    <row r="74" spans="7:10" x14ac:dyDescent="0.3">
      <c r="G74">
        <v>53</v>
      </c>
      <c r="H74" s="38">
        <v>2355757806.9020448</v>
      </c>
      <c r="I74" s="47"/>
      <c r="J74" s="47"/>
    </row>
    <row r="75" spans="7:10" x14ac:dyDescent="0.3">
      <c r="G75">
        <v>54</v>
      </c>
      <c r="H75" s="38">
        <v>1656938300.7829342</v>
      </c>
      <c r="I75" s="47"/>
      <c r="J75" s="47"/>
    </row>
    <row r="76" spans="7:10" x14ac:dyDescent="0.3">
      <c r="G76">
        <v>55</v>
      </c>
      <c r="H76" s="38">
        <v>1795403398.7875676</v>
      </c>
      <c r="I76" s="47"/>
      <c r="J76" s="47"/>
    </row>
    <row r="77" spans="7:10" x14ac:dyDescent="0.3">
      <c r="G77">
        <v>56</v>
      </c>
      <c r="H77" s="38">
        <v>1822878473.0900178</v>
      </c>
      <c r="I77" s="47"/>
      <c r="J77" s="47"/>
    </row>
    <row r="78" spans="7:10" x14ac:dyDescent="0.3">
      <c r="G78">
        <v>57</v>
      </c>
      <c r="H78" s="38">
        <v>1886309789.8072248</v>
      </c>
      <c r="I78" s="47"/>
      <c r="J78" s="47"/>
    </row>
    <row r="79" spans="7:10" x14ac:dyDescent="0.3">
      <c r="G79">
        <v>58</v>
      </c>
      <c r="H79" s="38">
        <v>1960556449.1431856</v>
      </c>
      <c r="I79" s="47"/>
      <c r="J79" s="47"/>
    </row>
    <row r="80" spans="7:10" x14ac:dyDescent="0.3">
      <c r="G80">
        <v>59</v>
      </c>
      <c r="H80" s="38">
        <v>1718823155.5369635</v>
      </c>
      <c r="I80" s="47"/>
      <c r="J80" s="47"/>
    </row>
    <row r="81" spans="7:10" x14ac:dyDescent="0.3">
      <c r="G81">
        <v>60</v>
      </c>
      <c r="H81" s="38">
        <v>1560935933.8309479</v>
      </c>
      <c r="I81" s="47"/>
      <c r="J81" s="47"/>
    </row>
    <row r="82" spans="7:10" x14ac:dyDescent="0.3">
      <c r="G82">
        <v>61</v>
      </c>
      <c r="H82" s="38">
        <v>1989204382.301641</v>
      </c>
      <c r="I82" s="47"/>
      <c r="J82" s="47"/>
    </row>
    <row r="83" spans="7:10" x14ac:dyDescent="0.3">
      <c r="G83">
        <v>62</v>
      </c>
      <c r="H83" s="38">
        <v>1933898068.4820077</v>
      </c>
      <c r="I83" s="47"/>
      <c r="J83" s="47"/>
    </row>
    <row r="84" spans="7:10" x14ac:dyDescent="0.3">
      <c r="G84">
        <v>63</v>
      </c>
      <c r="H84" s="38">
        <v>1952972699.507076</v>
      </c>
      <c r="I84" s="47"/>
      <c r="J84" s="47"/>
    </row>
    <row r="85" spans="7:10" x14ac:dyDescent="0.3">
      <c r="G85">
        <v>64</v>
      </c>
      <c r="H85" s="38">
        <v>1978794899.1624422</v>
      </c>
      <c r="I85" s="47"/>
      <c r="J85" s="47"/>
    </row>
    <row r="86" spans="7:10" x14ac:dyDescent="0.3">
      <c r="G86">
        <v>65</v>
      </c>
      <c r="H86" s="38">
        <v>1860922881.8453221</v>
      </c>
      <c r="I86" s="47"/>
      <c r="J86" s="47"/>
    </row>
    <row r="87" spans="7:10" x14ac:dyDescent="0.3">
      <c r="G87">
        <v>66</v>
      </c>
      <c r="H87" s="38">
        <v>1732409547.5838227</v>
      </c>
      <c r="I87" s="47"/>
      <c r="J87" s="47"/>
    </row>
    <row r="88" spans="7:10" x14ac:dyDescent="0.3">
      <c r="G88">
        <v>67</v>
      </c>
      <c r="H88" s="38">
        <v>1609974167.6100359</v>
      </c>
      <c r="I88" s="47"/>
      <c r="J88" s="47"/>
    </row>
    <row r="89" spans="7:10" x14ac:dyDescent="0.3">
      <c r="G89">
        <v>68</v>
      </c>
      <c r="H89" s="38">
        <v>1945367599.2270458</v>
      </c>
      <c r="I89" s="47"/>
      <c r="J89" s="47"/>
    </row>
    <row r="90" spans="7:10" x14ac:dyDescent="0.3">
      <c r="G90">
        <v>69</v>
      </c>
      <c r="H90" s="38">
        <v>1720442553.4120011</v>
      </c>
      <c r="I90" s="47"/>
      <c r="J90" s="47"/>
    </row>
    <row r="91" spans="7:10" x14ac:dyDescent="0.3">
      <c r="G91">
        <v>70</v>
      </c>
      <c r="H91" s="38">
        <v>1780748951.9595652</v>
      </c>
      <c r="I91" s="47"/>
      <c r="J91" s="47"/>
    </row>
    <row r="92" spans="7:10" x14ac:dyDescent="0.3">
      <c r="G92">
        <v>71</v>
      </c>
      <c r="H92" s="38">
        <v>2004474537.1240702</v>
      </c>
      <c r="I92" s="47"/>
      <c r="J92" s="47"/>
    </row>
    <row r="93" spans="7:10" x14ac:dyDescent="0.3">
      <c r="G93">
        <v>72</v>
      </c>
      <c r="H93" s="38">
        <v>1973692814.2928638</v>
      </c>
      <c r="I93" s="47"/>
      <c r="J93" s="47"/>
    </row>
    <row r="94" spans="7:10" x14ac:dyDescent="0.3">
      <c r="G94">
        <v>73</v>
      </c>
      <c r="H94" s="38">
        <v>2081304149.0583863</v>
      </c>
      <c r="I94" s="47"/>
      <c r="J94" s="47"/>
    </row>
    <row r="95" spans="7:10" x14ac:dyDescent="0.3">
      <c r="G95">
        <v>74</v>
      </c>
      <c r="H95" s="38">
        <v>2009946513.0134122</v>
      </c>
      <c r="I95" s="47"/>
      <c r="J95" s="47"/>
    </row>
    <row r="96" spans="7:10" x14ac:dyDescent="0.3">
      <c r="G96">
        <v>75</v>
      </c>
      <c r="H96" s="38">
        <v>2044668943.0748281</v>
      </c>
      <c r="I96" s="47"/>
      <c r="J96" s="47"/>
    </row>
    <row r="97" spans="7:10" x14ac:dyDescent="0.3">
      <c r="G97">
        <v>76</v>
      </c>
      <c r="H97" s="38">
        <v>2007494985.6208439</v>
      </c>
      <c r="I97" s="47"/>
      <c r="J97" s="47"/>
    </row>
    <row r="98" spans="7:10" x14ac:dyDescent="0.3">
      <c r="G98">
        <v>77</v>
      </c>
      <c r="H98" s="38">
        <v>1857467876.1122439</v>
      </c>
      <c r="I98" s="47"/>
      <c r="J98" s="47"/>
    </row>
    <row r="99" spans="7:10" x14ac:dyDescent="0.3">
      <c r="G99">
        <v>78</v>
      </c>
      <c r="H99" s="38">
        <v>2005261435.9891891</v>
      </c>
      <c r="I99" s="47"/>
      <c r="J99" s="47"/>
    </row>
    <row r="100" spans="7:10" x14ac:dyDescent="0.3">
      <c r="G100">
        <v>79</v>
      </c>
      <c r="H100" s="38">
        <v>1911996844.4005933</v>
      </c>
      <c r="I100" s="47"/>
      <c r="J100" s="47"/>
    </row>
    <row r="101" spans="7:10" x14ac:dyDescent="0.3">
      <c r="G101">
        <v>80</v>
      </c>
      <c r="H101" s="38">
        <v>1686976644.6628513</v>
      </c>
      <c r="I101" s="47"/>
      <c r="J101" s="47"/>
    </row>
    <row r="102" spans="7:10" x14ac:dyDescent="0.3">
      <c r="G102">
        <v>81</v>
      </c>
      <c r="H102" s="38">
        <v>1587029531.1230512</v>
      </c>
      <c r="I102" s="47"/>
      <c r="J102" s="47"/>
    </row>
    <row r="103" spans="7:10" x14ac:dyDescent="0.3">
      <c r="G103">
        <v>82</v>
      </c>
      <c r="H103" s="38">
        <v>2147068830.0386508</v>
      </c>
      <c r="I103" s="47"/>
      <c r="J103" s="47"/>
    </row>
    <row r="104" spans="7:10" x14ac:dyDescent="0.3">
      <c r="G104">
        <v>83</v>
      </c>
      <c r="H104" s="38">
        <v>1975760649.1088374</v>
      </c>
      <c r="I104" s="47"/>
      <c r="J104" s="47"/>
    </row>
    <row r="105" spans="7:10" x14ac:dyDescent="0.3">
      <c r="G105">
        <v>84</v>
      </c>
      <c r="H105" s="38">
        <v>2053944742.7863019</v>
      </c>
      <c r="I105" s="47"/>
      <c r="J105" s="47"/>
    </row>
    <row r="106" spans="7:10" x14ac:dyDescent="0.3">
      <c r="G106">
        <v>85</v>
      </c>
      <c r="H106" s="38">
        <v>1927309681.2798553</v>
      </c>
      <c r="I106" s="47"/>
      <c r="J106" s="47"/>
    </row>
    <row r="107" spans="7:10" x14ac:dyDescent="0.3">
      <c r="G107">
        <v>86</v>
      </c>
      <c r="H107" s="38">
        <v>2036423943.3272393</v>
      </c>
      <c r="I107" s="47"/>
      <c r="J107" s="47"/>
    </row>
    <row r="108" spans="7:10" x14ac:dyDescent="0.3">
      <c r="G108">
        <v>87</v>
      </c>
      <c r="H108" s="38">
        <v>2033344955.3776422</v>
      </c>
      <c r="I108" s="47"/>
      <c r="J108" s="47"/>
    </row>
    <row r="109" spans="7:10" x14ac:dyDescent="0.3">
      <c r="G109">
        <v>88</v>
      </c>
      <c r="H109" s="38">
        <v>2032249735.8845959</v>
      </c>
      <c r="I109" s="47"/>
      <c r="J109" s="47"/>
    </row>
    <row r="110" spans="7:10" x14ac:dyDescent="0.3">
      <c r="G110">
        <v>89</v>
      </c>
      <c r="H110" s="38">
        <v>1888001510.4942031</v>
      </c>
      <c r="I110" s="47"/>
      <c r="J110" s="47"/>
    </row>
    <row r="111" spans="7:10" x14ac:dyDescent="0.3">
      <c r="G111">
        <v>90</v>
      </c>
      <c r="H111" s="38">
        <v>1707154134.7072046</v>
      </c>
      <c r="I111" s="47"/>
      <c r="J111" s="47"/>
    </row>
    <row r="112" spans="7:10" x14ac:dyDescent="0.3">
      <c r="G112">
        <v>91</v>
      </c>
      <c r="H112" s="38">
        <v>2063318222.0399299</v>
      </c>
      <c r="I112" s="47"/>
      <c r="J112" s="47"/>
    </row>
    <row r="113" spans="7:10" x14ac:dyDescent="0.3">
      <c r="G113">
        <v>92</v>
      </c>
      <c r="H113" s="38">
        <v>1633858178.731112</v>
      </c>
      <c r="I113" s="47"/>
      <c r="J113" s="47"/>
    </row>
    <row r="114" spans="7:10" x14ac:dyDescent="0.3">
      <c r="G114">
        <v>93</v>
      </c>
      <c r="H114" s="38">
        <v>1785804798.29897</v>
      </c>
      <c r="I114" s="47"/>
      <c r="J114" s="47"/>
    </row>
    <row r="115" spans="7:10" x14ac:dyDescent="0.3">
      <c r="G115">
        <v>94</v>
      </c>
      <c r="H115" s="38">
        <v>1856491488.2894566</v>
      </c>
      <c r="I115" s="47"/>
      <c r="J115" s="47"/>
    </row>
    <row r="116" spans="7:10" x14ac:dyDescent="0.3">
      <c r="G116">
        <v>95</v>
      </c>
      <c r="H116" s="38">
        <v>1747290635.4126029</v>
      </c>
      <c r="I116" s="47"/>
      <c r="J116" s="47"/>
    </row>
    <row r="117" spans="7:10" x14ac:dyDescent="0.3">
      <c r="G117">
        <v>96</v>
      </c>
      <c r="H117" s="38">
        <v>1990135095.2946644</v>
      </c>
      <c r="I117" s="47"/>
      <c r="J117" s="47"/>
    </row>
    <row r="118" spans="7:10" x14ac:dyDescent="0.3">
      <c r="G118">
        <v>97</v>
      </c>
      <c r="H118" s="38">
        <v>2073272352.9085755</v>
      </c>
      <c r="I118" s="47"/>
      <c r="J118" s="47"/>
    </row>
    <row r="119" spans="7:10" x14ac:dyDescent="0.3">
      <c r="G119">
        <v>98</v>
      </c>
      <c r="H119" s="38">
        <v>1686178397.4419379</v>
      </c>
      <c r="I119" s="47"/>
      <c r="J119" s="47"/>
    </row>
    <row r="120" spans="7:10" x14ac:dyDescent="0.3">
      <c r="G120">
        <v>99</v>
      </c>
      <c r="H120" s="38">
        <v>1900050242.6305394</v>
      </c>
      <c r="I120" s="47"/>
      <c r="J120" s="47"/>
    </row>
    <row r="121" spans="7:10" x14ac:dyDescent="0.3">
      <c r="G121">
        <v>100</v>
      </c>
      <c r="H121" s="38">
        <v>1952641502.2817826</v>
      </c>
      <c r="I121" s="47"/>
      <c r="J121" s="47"/>
    </row>
    <row r="122" spans="7:10" x14ac:dyDescent="0.3">
      <c r="G122">
        <v>101</v>
      </c>
      <c r="H122" s="38">
        <v>2152628796.1602597</v>
      </c>
      <c r="I122" s="47"/>
      <c r="J122" s="47"/>
    </row>
    <row r="123" spans="7:10" x14ac:dyDescent="0.3">
      <c r="G123">
        <v>102</v>
      </c>
      <c r="H123" s="38">
        <v>1834738180.1329224</v>
      </c>
      <c r="I123" s="47"/>
      <c r="J123" s="47"/>
    </row>
    <row r="124" spans="7:10" x14ac:dyDescent="0.3">
      <c r="G124">
        <v>103</v>
      </c>
      <c r="H124" s="38">
        <v>1765277316.0665677</v>
      </c>
      <c r="I124" s="47"/>
      <c r="J124" s="47"/>
    </row>
    <row r="125" spans="7:10" x14ac:dyDescent="0.3">
      <c r="G125">
        <v>104</v>
      </c>
      <c r="H125" s="38">
        <v>1853836482.3303306</v>
      </c>
      <c r="I125" s="47"/>
      <c r="J125" s="47"/>
    </row>
    <row r="126" spans="7:10" x14ac:dyDescent="0.3">
      <c r="G126">
        <v>105</v>
      </c>
      <c r="H126" s="38">
        <v>1942769470.0245328</v>
      </c>
      <c r="I126" s="47"/>
      <c r="J126" s="47"/>
    </row>
    <row r="127" spans="7:10" x14ac:dyDescent="0.3">
      <c r="G127">
        <v>106</v>
      </c>
      <c r="H127" s="38">
        <v>1896758058.5991533</v>
      </c>
      <c r="I127" s="47"/>
      <c r="J127" s="47"/>
    </row>
    <row r="128" spans="7:10" x14ac:dyDescent="0.3">
      <c r="G128">
        <v>107</v>
      </c>
      <c r="H128" s="38">
        <v>2164039424.0770993</v>
      </c>
      <c r="I128" s="47"/>
      <c r="J128" s="47"/>
    </row>
    <row r="129" spans="7:10" x14ac:dyDescent="0.3">
      <c r="G129">
        <v>108</v>
      </c>
      <c r="H129" s="38">
        <v>2024936764.0465426</v>
      </c>
      <c r="I129" s="47"/>
      <c r="J129" s="47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C3:K129"/>
  <sheetViews>
    <sheetView topLeftCell="B1" workbookViewId="0">
      <selection activeCell="D6" sqref="D6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6.33203125" customWidth="1"/>
    <col min="8" max="8" width="16.109375" bestFit="1" customWidth="1"/>
    <col min="9" max="10" width="16.109375" customWidth="1"/>
  </cols>
  <sheetData>
    <row r="3" spans="3:10" ht="18" customHeight="1" x14ac:dyDescent="0.3">
      <c r="D3" s="34" t="str">
        <f>Mappings!B6</f>
        <v>Adopting</v>
      </c>
      <c r="E3" s="52" t="s">
        <v>115</v>
      </c>
      <c r="F3" s="52" t="s">
        <v>116</v>
      </c>
      <c r="H3" s="2" t="s">
        <v>85</v>
      </c>
      <c r="I3" s="2"/>
      <c r="J3" s="2"/>
    </row>
    <row r="5" spans="3:10" x14ac:dyDescent="0.3">
      <c r="C5" t="str">
        <f>MC_Inclusive!C5</f>
        <v>Income per cow (USD/day)</v>
      </c>
      <c r="D5" s="36">
        <f>Mappings!Q10</f>
        <v>-347.06430102997354</v>
      </c>
      <c r="E5" s="36">
        <f>Mappings!Q11</f>
        <v>63.69564668470192</v>
      </c>
      <c r="F5" s="36">
        <f>Mappings!Q12</f>
        <v>763.64841134344829</v>
      </c>
      <c r="G5" s="44"/>
      <c r="H5" s="44"/>
      <c r="I5" s="44"/>
      <c r="J5" s="44"/>
    </row>
    <row r="6" spans="3:10" x14ac:dyDescent="0.3">
      <c r="C6" t="str">
        <f>MC_Inclusive!C6</f>
        <v>Random value income per cow (USD/day)</v>
      </c>
      <c r="D6" s="36">
        <f ca="1">_xlfn.NORM.INV(RAND(),Mappings!Q10,Mappings!R10)</f>
        <v>-445.40480375040505</v>
      </c>
      <c r="E6" s="36">
        <f ca="1">_xlfn.NORM.INV(RAND(),Mappings!Q11,Mappings!R11)</f>
        <v>69.216412191691489</v>
      </c>
      <c r="F6" s="36">
        <f ca="1">_xlfn.NORM.INV(RAND(),Mappings!Q12,Mappings!R12)</f>
        <v>730.51558468371104</v>
      </c>
      <c r="G6" s="44"/>
      <c r="H6" s="44"/>
      <c r="I6" s="44"/>
      <c r="J6" s="44"/>
    </row>
    <row r="7" spans="3:10" x14ac:dyDescent="0.3">
      <c r="C7" t="str">
        <f>MC_Inclusive!C7</f>
        <v>Average number of cows per household (head)</v>
      </c>
      <c r="D7" s="36">
        <f>Mappings!H10*Mappings!K10</f>
        <v>2.7287413426636986</v>
      </c>
      <c r="E7" s="36">
        <f>Mappings!H7</f>
        <v>15.886943075592102</v>
      </c>
      <c r="F7" s="36">
        <f>Mappings!H8</f>
        <v>5.890870543104656</v>
      </c>
      <c r="G7" s="44"/>
      <c r="H7" s="44"/>
      <c r="I7" s="44"/>
      <c r="J7" s="44"/>
    </row>
    <row r="8" spans="3:10" x14ac:dyDescent="0.3">
      <c r="C8" t="str">
        <f>MC_Inclusive!C8</f>
        <v>Random value cows per household (head)</v>
      </c>
      <c r="D8" s="36">
        <f ca="1">_xlfn.NORM.INV(RAND(),D7,D7*Mappings!G4)*0+D7</f>
        <v>2.7287413426636986</v>
      </c>
      <c r="E8" s="36">
        <f ca="1">_xlfn.NORM.INV(RAND(),E7,E7*Mappings!G3)*0+E7</f>
        <v>15.886943075592102</v>
      </c>
      <c r="F8" s="36">
        <f ca="1">_xlfn.NORM.INV(RAND(),F7,F7*Mappings!G4)*0+F7</f>
        <v>5.890870543104656</v>
      </c>
      <c r="G8" s="44"/>
      <c r="H8" s="44"/>
      <c r="I8" s="44"/>
      <c r="J8" s="44"/>
    </row>
    <row r="9" spans="3:10" x14ac:dyDescent="0.3">
      <c r="C9" t="str">
        <f>MC_Inclusive!C9</f>
        <v>Estimated non dairy income (USD/person/day)</v>
      </c>
      <c r="D9" s="36">
        <f>Mappings!W10</f>
        <v>4765.436433355384</v>
      </c>
      <c r="E9" s="36">
        <f>Mappings!W11</f>
        <v>4765.436433355384</v>
      </c>
      <c r="F9" s="36">
        <f>Mappings!W12</f>
        <v>10735.300922588216</v>
      </c>
      <c r="G9" s="44"/>
      <c r="H9" s="44"/>
      <c r="I9" s="44"/>
      <c r="J9" s="44"/>
    </row>
    <row r="10" spans="3:10" x14ac:dyDescent="0.3">
      <c r="C10" t="str">
        <f>MC_Inclusive!C10</f>
        <v>Random value non dairy income (USD/person/day)</v>
      </c>
      <c r="D10" s="36">
        <f>D9</f>
        <v>4765.436433355384</v>
      </c>
      <c r="E10" s="36">
        <f t="shared" ref="E10:F10" si="0">E9</f>
        <v>4765.436433355384</v>
      </c>
      <c r="F10" s="36">
        <f t="shared" si="0"/>
        <v>10735.300922588216</v>
      </c>
      <c r="G10" s="44"/>
      <c r="H10" s="44"/>
      <c r="I10" s="44"/>
      <c r="J10" s="44"/>
    </row>
    <row r="11" spans="3:10" x14ac:dyDescent="0.3">
      <c r="C11" t="str">
        <f>MC_Inclusive!C11</f>
        <v>Quantity households</v>
      </c>
      <c r="D11" s="36">
        <f>Mappings!F10</f>
        <v>928.23248276713002</v>
      </c>
      <c r="E11" s="36">
        <f>Mappings!F11</f>
        <v>91895.015793945873</v>
      </c>
      <c r="F11" s="36">
        <f>Mappings!F12</f>
        <v>94593.726549442566</v>
      </c>
      <c r="G11" s="44"/>
      <c r="H11" s="44"/>
      <c r="I11" s="44"/>
      <c r="J11" s="44"/>
    </row>
    <row r="12" spans="3:10" x14ac:dyDescent="0.3">
      <c r="C12" t="str">
        <f>MC_Inclusive!C12</f>
        <v>SD quantity households</v>
      </c>
      <c r="D12" s="36">
        <f>Mappings!AB10*D11</f>
        <v>28.837493204268704</v>
      </c>
      <c r="E12" s="36">
        <f>Mappings!AB11*E11</f>
        <v>2854.9118272226015</v>
      </c>
      <c r="F12" s="36">
        <f>Mappings!AB12*F11</f>
        <v>2938.7529494810296</v>
      </c>
      <c r="G12" s="44"/>
      <c r="H12" s="44"/>
      <c r="I12" s="44"/>
      <c r="J12" s="44"/>
    </row>
    <row r="13" spans="3:10" x14ac:dyDescent="0.3">
      <c r="D13" s="36"/>
      <c r="E13" s="36"/>
      <c r="F13" s="36"/>
      <c r="G13" s="44"/>
      <c r="H13" s="44"/>
      <c r="I13" s="44"/>
      <c r="J13" s="44"/>
    </row>
    <row r="14" spans="3:10" x14ac:dyDescent="0.3">
      <c r="C14" t="str">
        <f>MC_Inclusive!C14</f>
        <v>Dairy Income (USD/household/year)</v>
      </c>
      <c r="D14" s="36">
        <f ca="1">D6*D8</f>
        <v>-1215.3945022147414</v>
      </c>
      <c r="E14" s="36">
        <f ca="1">E6*E8</f>
        <v>1099.6372003861218</v>
      </c>
      <c r="F14" s="36">
        <f ca="1">F6*F8</f>
        <v>4303.3727390921485</v>
      </c>
      <c r="G14" s="44"/>
      <c r="H14" s="44"/>
      <c r="I14" s="44"/>
      <c r="J14" s="44"/>
    </row>
    <row r="15" spans="3:10" x14ac:dyDescent="0.3">
      <c r="C15" t="str">
        <f>MC_Inclusive!C15</f>
        <v>Non dairy income (USD/household/year)</v>
      </c>
      <c r="D15" s="36">
        <f>D10</f>
        <v>4765.436433355384</v>
      </c>
      <c r="E15" s="36">
        <f>E10</f>
        <v>4765.436433355384</v>
      </c>
      <c r="F15" s="36">
        <f>F10</f>
        <v>10735.300922588216</v>
      </c>
      <c r="G15" s="44"/>
      <c r="H15" s="44"/>
      <c r="I15" s="44"/>
      <c r="J15" s="44"/>
    </row>
    <row r="16" spans="3:10" x14ac:dyDescent="0.3">
      <c r="C16" t="str">
        <f>MC_Inclusive!C16</f>
        <v>Quantity households</v>
      </c>
      <c r="D16" s="36">
        <f ca="1">_xlfn.NORM.INV(RAND(),D11,D12)</f>
        <v>938.03954058453621</v>
      </c>
      <c r="E16" s="36">
        <f ca="1">_xlfn.NORM.INV(RAND(),E11,E12)</f>
        <v>87740.599100842926</v>
      </c>
      <c r="F16" s="36">
        <f t="shared" ref="F16" ca="1" si="1">_xlfn.NORM.INV(RAND(),F11,F12)</f>
        <v>97078.948140400229</v>
      </c>
      <c r="G16" s="44"/>
      <c r="H16" s="44"/>
      <c r="I16" s="44"/>
      <c r="J16" s="44"/>
    </row>
    <row r="17" spans="3:11" x14ac:dyDescent="0.3">
      <c r="D17" s="36"/>
      <c r="E17" s="36"/>
      <c r="F17" s="36"/>
      <c r="G17" s="44"/>
      <c r="H17" s="44"/>
      <c r="I17" s="44"/>
      <c r="J17" s="44"/>
    </row>
    <row r="18" spans="3:11" x14ac:dyDescent="0.3">
      <c r="C18" t="str">
        <f>MC_Inclusive!C18</f>
        <v>Estimated population income (USD/yr)</v>
      </c>
      <c r="D18" s="48">
        <f ca="1">(D14+D15)*D16</f>
        <v>3330079.7021430084</v>
      </c>
      <c r="E18" s="48">
        <f ca="1">(E14+E15)*E16</f>
        <v>514605074.39503747</v>
      </c>
      <c r="F18" s="48">
        <f ca="1">(F14+F15)*F16</f>
        <v>1459938620.502671</v>
      </c>
      <c r="G18" s="44"/>
      <c r="H18" s="36">
        <f ca="1">D18+E18+F18</f>
        <v>1977873774.5998516</v>
      </c>
      <c r="I18" s="44"/>
      <c r="J18" s="44"/>
    </row>
    <row r="19" spans="3:11" x14ac:dyDescent="0.3">
      <c r="C19" t="s">
        <v>109</v>
      </c>
      <c r="D19" s="49" t="s">
        <v>108</v>
      </c>
      <c r="E19" s="49" t="s">
        <v>108</v>
      </c>
      <c r="F19" s="49" t="s">
        <v>108</v>
      </c>
      <c r="G19" s="44"/>
      <c r="H19" s="36">
        <f ca="1">STDEV(H22:H129)</f>
        <v>160881522.13061637</v>
      </c>
      <c r="I19" s="44"/>
      <c r="J19" s="56" t="s">
        <v>114</v>
      </c>
      <c r="K19" s="2"/>
    </row>
    <row r="20" spans="3:11" x14ac:dyDescent="0.3">
      <c r="C20" t="str">
        <f>MC_Inclusive!C20</f>
        <v>Mean population income (USD/yr)</v>
      </c>
      <c r="D20" s="49" t="s">
        <v>108</v>
      </c>
      <c r="E20" s="49" t="s">
        <v>108</v>
      </c>
      <c r="F20" s="49" t="s">
        <v>108</v>
      </c>
      <c r="G20" s="44"/>
      <c r="H20" s="36">
        <f ca="1">AVERAGE(H22:H129)</f>
        <v>1984195001.3744628</v>
      </c>
      <c r="I20" s="44"/>
      <c r="J20" s="56"/>
      <c r="K20" s="55">
        <f ca="1">100*H19/H20</f>
        <v>8.1081507623581768</v>
      </c>
    </row>
    <row r="21" spans="3:11" x14ac:dyDescent="0.3">
      <c r="D21" s="44"/>
      <c r="E21" s="44"/>
      <c r="F21" s="44"/>
      <c r="G21" s="44"/>
      <c r="H21" s="44"/>
      <c r="I21" s="44"/>
      <c r="J21" s="44"/>
    </row>
    <row r="22" spans="3:11" x14ac:dyDescent="0.3">
      <c r="D22" s="44"/>
      <c r="E22" s="44"/>
      <c r="F22" s="44"/>
      <c r="G22" s="44">
        <v>1</v>
      </c>
      <c r="H22" s="36">
        <f ca="1">H18</f>
        <v>1977873774.5998516</v>
      </c>
      <c r="I22" s="44"/>
      <c r="J22" s="44"/>
    </row>
    <row r="23" spans="3:11" x14ac:dyDescent="0.3">
      <c r="G23">
        <v>2</v>
      </c>
      <c r="H23" s="36">
        <f t="dataTable" ref="H23:H129" dt2D="0" dtr="0" r1="H21" ca="1"/>
        <v>2072813391.8805251</v>
      </c>
      <c r="I23" s="4"/>
      <c r="J23" s="4"/>
    </row>
    <row r="24" spans="3:11" x14ac:dyDescent="0.3">
      <c r="G24">
        <v>3</v>
      </c>
      <c r="H24" s="36">
        <v>1880319379.2761431</v>
      </c>
      <c r="I24" s="4"/>
      <c r="J24" s="4"/>
    </row>
    <row r="25" spans="3:11" x14ac:dyDescent="0.3">
      <c r="G25">
        <v>4</v>
      </c>
      <c r="H25" s="36">
        <v>2062138423.8172398</v>
      </c>
      <c r="I25" s="4"/>
      <c r="J25" s="4"/>
    </row>
    <row r="26" spans="3:11" x14ac:dyDescent="0.3">
      <c r="G26">
        <v>5</v>
      </c>
      <c r="H26" s="36">
        <v>1823873262.943156</v>
      </c>
      <c r="I26" s="4"/>
      <c r="J26" s="4"/>
    </row>
    <row r="27" spans="3:11" x14ac:dyDescent="0.3">
      <c r="G27">
        <v>6</v>
      </c>
      <c r="H27" s="36">
        <v>1944723538.5016146</v>
      </c>
      <c r="I27" s="4"/>
      <c r="J27" s="4"/>
    </row>
    <row r="28" spans="3:11" x14ac:dyDescent="0.3">
      <c r="G28">
        <v>7</v>
      </c>
      <c r="H28" s="36">
        <v>1992345721.2914181</v>
      </c>
      <c r="I28" s="4"/>
      <c r="J28" s="4"/>
    </row>
    <row r="29" spans="3:11" x14ac:dyDescent="0.3">
      <c r="G29">
        <v>8</v>
      </c>
      <c r="H29" s="36">
        <v>1951233154.444118</v>
      </c>
      <c r="I29" s="4"/>
      <c r="J29" s="4"/>
    </row>
    <row r="30" spans="3:11" x14ac:dyDescent="0.3">
      <c r="G30">
        <v>9</v>
      </c>
      <c r="H30" s="36">
        <v>1838857058.8600414</v>
      </c>
      <c r="I30" s="4"/>
      <c r="J30" s="4"/>
    </row>
    <row r="31" spans="3:11" x14ac:dyDescent="0.3">
      <c r="G31">
        <v>10</v>
      </c>
      <c r="H31" s="36">
        <v>1972348948.4142449</v>
      </c>
      <c r="I31" s="4"/>
      <c r="J31" s="4"/>
    </row>
    <row r="32" spans="3:11" x14ac:dyDescent="0.3">
      <c r="G32">
        <v>11</v>
      </c>
      <c r="H32" s="36">
        <v>1681598630.9645064</v>
      </c>
      <c r="I32" s="4"/>
      <c r="J32" s="4"/>
    </row>
    <row r="33" spans="7:10" x14ac:dyDescent="0.3">
      <c r="G33">
        <v>12</v>
      </c>
      <c r="H33" s="36">
        <v>1857397442.6023922</v>
      </c>
      <c r="I33" s="4"/>
      <c r="J33" s="4"/>
    </row>
    <row r="34" spans="7:10" x14ac:dyDescent="0.3">
      <c r="G34">
        <v>13</v>
      </c>
      <c r="H34" s="36">
        <v>1963917807.30024</v>
      </c>
      <c r="I34" s="4"/>
      <c r="J34" s="4"/>
    </row>
    <row r="35" spans="7:10" x14ac:dyDescent="0.3">
      <c r="G35">
        <v>14</v>
      </c>
      <c r="H35" s="36">
        <v>2161727244.8817816</v>
      </c>
      <c r="I35" s="4"/>
      <c r="J35" s="4"/>
    </row>
    <row r="36" spans="7:10" x14ac:dyDescent="0.3">
      <c r="G36">
        <v>15</v>
      </c>
      <c r="H36" s="36">
        <v>2020785558.2616305</v>
      </c>
      <c r="I36" s="4"/>
      <c r="J36" s="4"/>
    </row>
    <row r="37" spans="7:10" x14ac:dyDescent="0.3">
      <c r="G37">
        <v>16</v>
      </c>
      <c r="H37" s="36">
        <v>1750065779.7414491</v>
      </c>
      <c r="I37" s="4"/>
      <c r="J37" s="4"/>
    </row>
    <row r="38" spans="7:10" x14ac:dyDescent="0.3">
      <c r="G38">
        <v>17</v>
      </c>
      <c r="H38" s="36">
        <v>1960768484.8143096</v>
      </c>
      <c r="I38" s="4"/>
      <c r="J38" s="4"/>
    </row>
    <row r="39" spans="7:10" x14ac:dyDescent="0.3">
      <c r="G39">
        <v>18</v>
      </c>
      <c r="H39" s="36">
        <v>2163305976.4794698</v>
      </c>
      <c r="I39" s="4"/>
      <c r="J39" s="4"/>
    </row>
    <row r="40" spans="7:10" x14ac:dyDescent="0.3">
      <c r="G40">
        <v>19</v>
      </c>
      <c r="H40" s="36">
        <v>2020487206.4269681</v>
      </c>
      <c r="I40" s="4"/>
      <c r="J40" s="4"/>
    </row>
    <row r="41" spans="7:10" x14ac:dyDescent="0.3">
      <c r="G41">
        <v>20</v>
      </c>
      <c r="H41" s="36">
        <v>1991952326.0364096</v>
      </c>
      <c r="I41" s="4"/>
      <c r="J41" s="4"/>
    </row>
    <row r="42" spans="7:10" x14ac:dyDescent="0.3">
      <c r="G42">
        <v>21</v>
      </c>
      <c r="H42" s="36">
        <v>1840168507.6810699</v>
      </c>
      <c r="I42" s="4"/>
      <c r="J42" s="4"/>
    </row>
    <row r="43" spans="7:10" x14ac:dyDescent="0.3">
      <c r="G43">
        <v>22</v>
      </c>
      <c r="H43" s="36">
        <v>2024077802.7827039</v>
      </c>
      <c r="I43" s="4"/>
      <c r="J43" s="4"/>
    </row>
    <row r="44" spans="7:10" x14ac:dyDescent="0.3">
      <c r="G44">
        <v>23</v>
      </c>
      <c r="H44" s="36">
        <v>2131824102.7735462</v>
      </c>
      <c r="I44" s="4"/>
      <c r="J44" s="4"/>
    </row>
    <row r="45" spans="7:10" x14ac:dyDescent="0.3">
      <c r="G45">
        <v>24</v>
      </c>
      <c r="H45" s="36">
        <v>1899571938.1926222</v>
      </c>
      <c r="I45" s="4"/>
      <c r="J45" s="4"/>
    </row>
    <row r="46" spans="7:10" x14ac:dyDescent="0.3">
      <c r="G46">
        <v>25</v>
      </c>
      <c r="H46" s="36">
        <v>1778229482.9642615</v>
      </c>
      <c r="I46" s="4"/>
      <c r="J46" s="4"/>
    </row>
    <row r="47" spans="7:10" x14ac:dyDescent="0.3">
      <c r="G47">
        <v>26</v>
      </c>
      <c r="H47" s="36">
        <v>2246240439.1312361</v>
      </c>
      <c r="I47" s="4"/>
      <c r="J47" s="4"/>
    </row>
    <row r="48" spans="7:10" x14ac:dyDescent="0.3">
      <c r="G48">
        <v>27</v>
      </c>
      <c r="H48" s="36">
        <v>1830538575.7092786</v>
      </c>
      <c r="I48" s="4"/>
      <c r="J48" s="4"/>
    </row>
    <row r="49" spans="7:10" x14ac:dyDescent="0.3">
      <c r="G49">
        <v>28</v>
      </c>
      <c r="H49" s="36">
        <v>1667474519.1919196</v>
      </c>
      <c r="I49" s="4"/>
      <c r="J49" s="4"/>
    </row>
    <row r="50" spans="7:10" x14ac:dyDescent="0.3">
      <c r="G50">
        <v>29</v>
      </c>
      <c r="H50" s="36">
        <v>1827081111.7973316</v>
      </c>
      <c r="I50" s="4"/>
      <c r="J50" s="4"/>
    </row>
    <row r="51" spans="7:10" x14ac:dyDescent="0.3">
      <c r="G51">
        <v>30</v>
      </c>
      <c r="H51" s="36">
        <v>2240244092.094451</v>
      </c>
      <c r="I51" s="4"/>
      <c r="J51" s="4"/>
    </row>
    <row r="52" spans="7:10" x14ac:dyDescent="0.3">
      <c r="G52">
        <v>31</v>
      </c>
      <c r="H52" s="36">
        <v>2133944126.8202507</v>
      </c>
      <c r="I52" s="4"/>
      <c r="J52" s="4"/>
    </row>
    <row r="53" spans="7:10" x14ac:dyDescent="0.3">
      <c r="G53">
        <v>32</v>
      </c>
      <c r="H53" s="36">
        <v>2111512428.19629</v>
      </c>
      <c r="I53" s="4"/>
      <c r="J53" s="4"/>
    </row>
    <row r="54" spans="7:10" x14ac:dyDescent="0.3">
      <c r="G54">
        <v>33</v>
      </c>
      <c r="H54" s="36">
        <v>1947164488.9610415</v>
      </c>
      <c r="I54" s="4"/>
      <c r="J54" s="4"/>
    </row>
    <row r="55" spans="7:10" x14ac:dyDescent="0.3">
      <c r="G55">
        <v>34</v>
      </c>
      <c r="H55" s="36">
        <v>1850156570.8147426</v>
      </c>
      <c r="I55" s="4"/>
      <c r="J55" s="4"/>
    </row>
    <row r="56" spans="7:10" x14ac:dyDescent="0.3">
      <c r="G56">
        <v>35</v>
      </c>
      <c r="H56" s="36">
        <v>1910230556.489815</v>
      </c>
      <c r="I56" s="4"/>
      <c r="J56" s="4"/>
    </row>
    <row r="57" spans="7:10" x14ac:dyDescent="0.3">
      <c r="G57">
        <v>36</v>
      </c>
      <c r="H57" s="36">
        <v>2236100609.313652</v>
      </c>
      <c r="I57" s="4"/>
      <c r="J57" s="4"/>
    </row>
    <row r="58" spans="7:10" x14ac:dyDescent="0.3">
      <c r="G58">
        <v>37</v>
      </c>
      <c r="H58" s="36">
        <v>1915572583.1345732</v>
      </c>
      <c r="I58" s="4"/>
      <c r="J58" s="4"/>
    </row>
    <row r="59" spans="7:10" x14ac:dyDescent="0.3">
      <c r="G59">
        <v>38</v>
      </c>
      <c r="H59" s="36">
        <v>2004583098.131336</v>
      </c>
      <c r="I59" s="4"/>
      <c r="J59" s="4"/>
    </row>
    <row r="60" spans="7:10" x14ac:dyDescent="0.3">
      <c r="G60">
        <v>39</v>
      </c>
      <c r="H60" s="36">
        <v>2048728843.2242618</v>
      </c>
      <c r="I60" s="4"/>
      <c r="J60" s="4"/>
    </row>
    <row r="61" spans="7:10" x14ac:dyDescent="0.3">
      <c r="G61">
        <v>40</v>
      </c>
      <c r="H61" s="36">
        <v>1968679700.0890603</v>
      </c>
      <c r="I61" s="4"/>
      <c r="J61" s="4"/>
    </row>
    <row r="62" spans="7:10" x14ac:dyDescent="0.3">
      <c r="G62">
        <v>41</v>
      </c>
      <c r="H62" s="36">
        <v>1933769389.1862462</v>
      </c>
      <c r="I62" s="4"/>
      <c r="J62" s="4"/>
    </row>
    <row r="63" spans="7:10" x14ac:dyDescent="0.3">
      <c r="G63">
        <v>42</v>
      </c>
      <c r="H63" s="36">
        <v>2255966639.130702</v>
      </c>
      <c r="I63" s="4"/>
      <c r="J63" s="4"/>
    </row>
    <row r="64" spans="7:10" x14ac:dyDescent="0.3">
      <c r="G64">
        <v>43</v>
      </c>
      <c r="H64" s="36">
        <v>1779567430.5084023</v>
      </c>
      <c r="I64" s="4"/>
      <c r="J64" s="4"/>
    </row>
    <row r="65" spans="7:10" x14ac:dyDescent="0.3">
      <c r="G65">
        <v>44</v>
      </c>
      <c r="H65" s="36">
        <v>1978139903.8859453</v>
      </c>
      <c r="I65" s="4"/>
      <c r="J65" s="4"/>
    </row>
    <row r="66" spans="7:10" x14ac:dyDescent="0.3">
      <c r="G66">
        <v>45</v>
      </c>
      <c r="H66" s="36">
        <v>1725611526.022248</v>
      </c>
      <c r="I66" s="4"/>
      <c r="J66" s="4"/>
    </row>
    <row r="67" spans="7:10" x14ac:dyDescent="0.3">
      <c r="G67">
        <v>46</v>
      </c>
      <c r="H67" s="36">
        <v>2135463372.9320648</v>
      </c>
      <c r="I67" s="4"/>
      <c r="J67" s="4"/>
    </row>
    <row r="68" spans="7:10" x14ac:dyDescent="0.3">
      <c r="G68">
        <v>47</v>
      </c>
      <c r="H68" s="36">
        <v>2064267920.868835</v>
      </c>
      <c r="I68" s="4"/>
      <c r="J68" s="4"/>
    </row>
    <row r="69" spans="7:10" x14ac:dyDescent="0.3">
      <c r="G69">
        <v>48</v>
      </c>
      <c r="H69" s="36">
        <v>2103944933.2030892</v>
      </c>
      <c r="I69" s="4"/>
      <c r="J69" s="4"/>
    </row>
    <row r="70" spans="7:10" x14ac:dyDescent="0.3">
      <c r="G70">
        <v>49</v>
      </c>
      <c r="H70" s="36">
        <v>1883020660.227994</v>
      </c>
      <c r="I70" s="4"/>
      <c r="J70" s="4"/>
    </row>
    <row r="71" spans="7:10" x14ac:dyDescent="0.3">
      <c r="G71">
        <v>50</v>
      </c>
      <c r="H71" s="36">
        <v>1998525174.768415</v>
      </c>
      <c r="I71" s="4"/>
      <c r="J71" s="4"/>
    </row>
    <row r="72" spans="7:10" x14ac:dyDescent="0.3">
      <c r="G72">
        <v>51</v>
      </c>
      <c r="H72" s="36">
        <v>2384272593.9525347</v>
      </c>
      <c r="I72" s="4"/>
      <c r="J72" s="4"/>
    </row>
    <row r="73" spans="7:10" x14ac:dyDescent="0.3">
      <c r="G73">
        <v>52</v>
      </c>
      <c r="H73" s="36">
        <v>1926787579.8236146</v>
      </c>
      <c r="I73" s="4"/>
      <c r="J73" s="4"/>
    </row>
    <row r="74" spans="7:10" x14ac:dyDescent="0.3">
      <c r="G74">
        <v>53</v>
      </c>
      <c r="H74" s="36">
        <v>2006569777.8498995</v>
      </c>
      <c r="I74" s="4"/>
      <c r="J74" s="4"/>
    </row>
    <row r="75" spans="7:10" x14ac:dyDescent="0.3">
      <c r="G75">
        <v>54</v>
      </c>
      <c r="H75" s="36">
        <v>1827188015.9289582</v>
      </c>
      <c r="I75" s="4"/>
      <c r="J75" s="4"/>
    </row>
    <row r="76" spans="7:10" x14ac:dyDescent="0.3">
      <c r="G76">
        <v>55</v>
      </c>
      <c r="H76" s="36">
        <v>1779667058.7097425</v>
      </c>
      <c r="I76" s="4"/>
      <c r="J76" s="4"/>
    </row>
    <row r="77" spans="7:10" x14ac:dyDescent="0.3">
      <c r="G77">
        <v>56</v>
      </c>
      <c r="H77" s="36">
        <v>1893746353.7390571</v>
      </c>
      <c r="I77" s="4"/>
      <c r="J77" s="4"/>
    </row>
    <row r="78" spans="7:10" x14ac:dyDescent="0.3">
      <c r="G78">
        <v>57</v>
      </c>
      <c r="H78" s="36">
        <v>2214486116.9574747</v>
      </c>
      <c r="I78" s="4"/>
      <c r="J78" s="4"/>
    </row>
    <row r="79" spans="7:10" x14ac:dyDescent="0.3">
      <c r="G79">
        <v>58</v>
      </c>
      <c r="H79" s="36">
        <v>1920065417.542973</v>
      </c>
      <c r="I79" s="4"/>
      <c r="J79" s="4"/>
    </row>
    <row r="80" spans="7:10" x14ac:dyDescent="0.3">
      <c r="G80">
        <v>59</v>
      </c>
      <c r="H80" s="36">
        <v>1916348363.9818799</v>
      </c>
      <c r="I80" s="4"/>
      <c r="J80" s="4"/>
    </row>
    <row r="81" spans="7:10" x14ac:dyDescent="0.3">
      <c r="G81">
        <v>60</v>
      </c>
      <c r="H81" s="36">
        <v>2013499247.7040431</v>
      </c>
      <c r="I81" s="4"/>
      <c r="J81" s="4"/>
    </row>
    <row r="82" spans="7:10" x14ac:dyDescent="0.3">
      <c r="G82">
        <v>61</v>
      </c>
      <c r="H82" s="36">
        <v>2156029737.4452333</v>
      </c>
      <c r="I82" s="4"/>
      <c r="J82" s="4"/>
    </row>
    <row r="83" spans="7:10" x14ac:dyDescent="0.3">
      <c r="G83">
        <v>62</v>
      </c>
      <c r="H83" s="36">
        <v>2067294198.9573028</v>
      </c>
      <c r="I83" s="4"/>
      <c r="J83" s="4"/>
    </row>
    <row r="84" spans="7:10" x14ac:dyDescent="0.3">
      <c r="G84">
        <v>63</v>
      </c>
      <c r="H84" s="36">
        <v>1739786182.0955555</v>
      </c>
      <c r="I84" s="4"/>
      <c r="J84" s="4"/>
    </row>
    <row r="85" spans="7:10" x14ac:dyDescent="0.3">
      <c r="G85">
        <v>64</v>
      </c>
      <c r="H85" s="36">
        <v>2300912861.3110309</v>
      </c>
      <c r="I85" s="4"/>
      <c r="J85" s="4"/>
    </row>
    <row r="86" spans="7:10" x14ac:dyDescent="0.3">
      <c r="G86">
        <v>65</v>
      </c>
      <c r="H86" s="36">
        <v>2068718739.4195418</v>
      </c>
      <c r="I86" s="4"/>
      <c r="J86" s="4"/>
    </row>
    <row r="87" spans="7:10" x14ac:dyDescent="0.3">
      <c r="G87">
        <v>66</v>
      </c>
      <c r="H87" s="36">
        <v>2099530810.8538389</v>
      </c>
      <c r="I87" s="4"/>
      <c r="J87" s="4"/>
    </row>
    <row r="88" spans="7:10" x14ac:dyDescent="0.3">
      <c r="G88">
        <v>67</v>
      </c>
      <c r="H88" s="36">
        <v>2097226868.8927393</v>
      </c>
      <c r="I88" s="4"/>
      <c r="J88" s="4"/>
    </row>
    <row r="89" spans="7:10" x14ac:dyDescent="0.3">
      <c r="G89">
        <v>68</v>
      </c>
      <c r="H89" s="36">
        <v>2200254830.5397549</v>
      </c>
      <c r="I89" s="4"/>
      <c r="J89" s="4"/>
    </row>
    <row r="90" spans="7:10" x14ac:dyDescent="0.3">
      <c r="G90">
        <v>69</v>
      </c>
      <c r="H90" s="36">
        <v>1924848240.6940432</v>
      </c>
      <c r="I90" s="4"/>
      <c r="J90" s="4"/>
    </row>
    <row r="91" spans="7:10" x14ac:dyDescent="0.3">
      <c r="G91">
        <v>70</v>
      </c>
      <c r="H91" s="36">
        <v>1995934717.7444725</v>
      </c>
      <c r="I91" s="4"/>
      <c r="J91" s="4"/>
    </row>
    <row r="92" spans="7:10" x14ac:dyDescent="0.3">
      <c r="G92">
        <v>71</v>
      </c>
      <c r="H92" s="36">
        <v>2214708718.1172004</v>
      </c>
      <c r="I92" s="4"/>
      <c r="J92" s="4"/>
    </row>
    <row r="93" spans="7:10" x14ac:dyDescent="0.3">
      <c r="G93">
        <v>72</v>
      </c>
      <c r="H93" s="36">
        <v>2087621565.0740929</v>
      </c>
      <c r="I93" s="4"/>
      <c r="J93" s="4"/>
    </row>
    <row r="94" spans="7:10" x14ac:dyDescent="0.3">
      <c r="G94">
        <v>73</v>
      </c>
      <c r="H94" s="36">
        <v>2183144796.3904071</v>
      </c>
      <c r="I94" s="4"/>
      <c r="J94" s="4"/>
    </row>
    <row r="95" spans="7:10" x14ac:dyDescent="0.3">
      <c r="G95">
        <v>74</v>
      </c>
      <c r="H95" s="36">
        <v>2041365307.8989887</v>
      </c>
      <c r="I95" s="4"/>
      <c r="J95" s="4"/>
    </row>
    <row r="96" spans="7:10" x14ac:dyDescent="0.3">
      <c r="G96">
        <v>75</v>
      </c>
      <c r="H96" s="36">
        <v>2234037834.5480132</v>
      </c>
      <c r="I96" s="4"/>
      <c r="J96" s="4"/>
    </row>
    <row r="97" spans="7:10" x14ac:dyDescent="0.3">
      <c r="G97">
        <v>76</v>
      </c>
      <c r="H97" s="36">
        <v>1900656571.6916161</v>
      </c>
      <c r="I97" s="4"/>
      <c r="J97" s="4"/>
    </row>
    <row r="98" spans="7:10" x14ac:dyDescent="0.3">
      <c r="G98">
        <v>77</v>
      </c>
      <c r="H98" s="36">
        <v>1733425342.6609273</v>
      </c>
      <c r="I98" s="4"/>
      <c r="J98" s="4"/>
    </row>
    <row r="99" spans="7:10" x14ac:dyDescent="0.3">
      <c r="G99">
        <v>78</v>
      </c>
      <c r="H99" s="36">
        <v>1969747004.6759663</v>
      </c>
      <c r="I99" s="4"/>
      <c r="J99" s="4"/>
    </row>
    <row r="100" spans="7:10" x14ac:dyDescent="0.3">
      <c r="G100">
        <v>79</v>
      </c>
      <c r="H100" s="36">
        <v>1774355867.8934331</v>
      </c>
      <c r="I100" s="4"/>
      <c r="J100" s="4"/>
    </row>
    <row r="101" spans="7:10" x14ac:dyDescent="0.3">
      <c r="G101">
        <v>80</v>
      </c>
      <c r="H101" s="36">
        <v>1923149461.1696794</v>
      </c>
      <c r="I101" s="4"/>
      <c r="J101" s="4"/>
    </row>
    <row r="102" spans="7:10" x14ac:dyDescent="0.3">
      <c r="G102">
        <v>81</v>
      </c>
      <c r="H102" s="36">
        <v>1372696126.7840319</v>
      </c>
      <c r="I102" s="4"/>
      <c r="J102" s="4"/>
    </row>
    <row r="103" spans="7:10" x14ac:dyDescent="0.3">
      <c r="G103">
        <v>82</v>
      </c>
      <c r="H103" s="36">
        <v>2176247516.3631349</v>
      </c>
      <c r="I103" s="4"/>
      <c r="J103" s="4"/>
    </row>
    <row r="104" spans="7:10" x14ac:dyDescent="0.3">
      <c r="G104">
        <v>83</v>
      </c>
      <c r="H104" s="36">
        <v>1990127972.6396017</v>
      </c>
      <c r="I104" s="4"/>
      <c r="J104" s="4"/>
    </row>
    <row r="105" spans="7:10" x14ac:dyDescent="0.3">
      <c r="G105">
        <v>84</v>
      </c>
      <c r="H105" s="36">
        <v>2131988517.3387005</v>
      </c>
      <c r="I105" s="4"/>
      <c r="J105" s="4"/>
    </row>
    <row r="106" spans="7:10" x14ac:dyDescent="0.3">
      <c r="G106">
        <v>85</v>
      </c>
      <c r="H106" s="36">
        <v>1939499933.9264839</v>
      </c>
      <c r="I106" s="4"/>
      <c r="J106" s="4"/>
    </row>
    <row r="107" spans="7:10" x14ac:dyDescent="0.3">
      <c r="G107">
        <v>86</v>
      </c>
      <c r="H107" s="36">
        <v>1861152538.8615181</v>
      </c>
      <c r="I107" s="4"/>
      <c r="J107" s="4"/>
    </row>
    <row r="108" spans="7:10" x14ac:dyDescent="0.3">
      <c r="G108">
        <v>87</v>
      </c>
      <c r="H108" s="36">
        <v>1932799896.7591147</v>
      </c>
      <c r="I108" s="4"/>
      <c r="J108" s="4"/>
    </row>
    <row r="109" spans="7:10" x14ac:dyDescent="0.3">
      <c r="G109">
        <v>88</v>
      </c>
      <c r="H109" s="36">
        <v>2037156162.2693748</v>
      </c>
      <c r="I109" s="4"/>
      <c r="J109" s="4"/>
    </row>
    <row r="110" spans="7:10" x14ac:dyDescent="0.3">
      <c r="G110">
        <v>89</v>
      </c>
      <c r="H110" s="36">
        <v>1902925412.6179776</v>
      </c>
      <c r="I110" s="4"/>
      <c r="J110" s="4"/>
    </row>
    <row r="111" spans="7:10" x14ac:dyDescent="0.3">
      <c r="G111">
        <v>90</v>
      </c>
      <c r="H111" s="36">
        <v>2070248138.9674964</v>
      </c>
      <c r="I111" s="4"/>
      <c r="J111" s="4"/>
    </row>
    <row r="112" spans="7:10" x14ac:dyDescent="0.3">
      <c r="G112">
        <v>91</v>
      </c>
      <c r="H112" s="36">
        <v>1858285796.8754869</v>
      </c>
      <c r="I112" s="4"/>
      <c r="J112" s="4"/>
    </row>
    <row r="113" spans="7:10" x14ac:dyDescent="0.3">
      <c r="G113">
        <v>92</v>
      </c>
      <c r="H113" s="36">
        <v>1938045902.6056604</v>
      </c>
      <c r="I113" s="4"/>
      <c r="J113" s="4"/>
    </row>
    <row r="114" spans="7:10" x14ac:dyDescent="0.3">
      <c r="G114">
        <v>93</v>
      </c>
      <c r="H114" s="36">
        <v>2229669171.7753644</v>
      </c>
      <c r="I114" s="4"/>
      <c r="J114" s="4"/>
    </row>
    <row r="115" spans="7:10" x14ac:dyDescent="0.3">
      <c r="G115">
        <v>94</v>
      </c>
      <c r="H115" s="36">
        <v>2054975003.7409472</v>
      </c>
      <c r="I115" s="4"/>
      <c r="J115" s="4"/>
    </row>
    <row r="116" spans="7:10" x14ac:dyDescent="0.3">
      <c r="G116">
        <v>95</v>
      </c>
      <c r="H116" s="36">
        <v>2013443653.3645613</v>
      </c>
      <c r="I116" s="4"/>
      <c r="J116" s="4"/>
    </row>
    <row r="117" spans="7:10" x14ac:dyDescent="0.3">
      <c r="G117">
        <v>96</v>
      </c>
      <c r="H117" s="36">
        <v>2123535548.2318165</v>
      </c>
      <c r="I117" s="4"/>
      <c r="J117" s="4"/>
    </row>
    <row r="118" spans="7:10" x14ac:dyDescent="0.3">
      <c r="G118">
        <v>97</v>
      </c>
      <c r="H118" s="36">
        <v>1766093520.1650138</v>
      </c>
      <c r="I118" s="4"/>
      <c r="J118" s="4"/>
    </row>
    <row r="119" spans="7:10" x14ac:dyDescent="0.3">
      <c r="G119">
        <v>98</v>
      </c>
      <c r="H119" s="36">
        <v>2104580912.3038354</v>
      </c>
      <c r="I119" s="4"/>
      <c r="J119" s="4"/>
    </row>
    <row r="120" spans="7:10" x14ac:dyDescent="0.3">
      <c r="G120">
        <v>99</v>
      </c>
      <c r="H120" s="36">
        <v>1975862430.8365674</v>
      </c>
      <c r="I120" s="4"/>
      <c r="J120" s="4"/>
    </row>
    <row r="121" spans="7:10" x14ac:dyDescent="0.3">
      <c r="G121">
        <v>100</v>
      </c>
      <c r="H121" s="36">
        <v>1817620149.1073375</v>
      </c>
      <c r="I121" s="4"/>
      <c r="J121" s="4"/>
    </row>
    <row r="122" spans="7:10" x14ac:dyDescent="0.3">
      <c r="G122">
        <v>101</v>
      </c>
      <c r="H122" s="36">
        <v>2020867611.9480073</v>
      </c>
      <c r="I122" s="4"/>
      <c r="J122" s="4"/>
    </row>
    <row r="123" spans="7:10" x14ac:dyDescent="0.3">
      <c r="G123">
        <v>102</v>
      </c>
      <c r="H123" s="36">
        <v>1756051114.3226302</v>
      </c>
      <c r="I123" s="4"/>
      <c r="J123" s="4"/>
    </row>
    <row r="124" spans="7:10" x14ac:dyDescent="0.3">
      <c r="G124">
        <v>103</v>
      </c>
      <c r="H124" s="36">
        <v>2032700027.0238814</v>
      </c>
      <c r="I124" s="4"/>
      <c r="J124" s="4"/>
    </row>
    <row r="125" spans="7:10" x14ac:dyDescent="0.3">
      <c r="G125">
        <v>104</v>
      </c>
      <c r="H125" s="36">
        <v>1827861237.6925418</v>
      </c>
      <c r="I125" s="4"/>
      <c r="J125" s="4"/>
    </row>
    <row r="126" spans="7:10" x14ac:dyDescent="0.3">
      <c r="G126">
        <v>105</v>
      </c>
      <c r="H126" s="36">
        <v>1905798731.0866842</v>
      </c>
      <c r="I126" s="4"/>
      <c r="J126" s="4"/>
    </row>
    <row r="127" spans="7:10" x14ac:dyDescent="0.3">
      <c r="G127">
        <v>106</v>
      </c>
      <c r="H127" s="36">
        <v>2275896232.4571562</v>
      </c>
      <c r="I127" s="4"/>
      <c r="J127" s="4"/>
    </row>
    <row r="128" spans="7:10" x14ac:dyDescent="0.3">
      <c r="G128">
        <v>107</v>
      </c>
      <c r="H128" s="36">
        <v>2079788391.6189475</v>
      </c>
      <c r="I128" s="4"/>
      <c r="J128" s="4"/>
    </row>
    <row r="129" spans="7:10" x14ac:dyDescent="0.3">
      <c r="G129">
        <v>108</v>
      </c>
      <c r="H129" s="36">
        <v>1942828672.7292869</v>
      </c>
      <c r="I129" s="4"/>
      <c r="J129" s="4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C3:K129"/>
  <sheetViews>
    <sheetView topLeftCell="C1" workbookViewId="0">
      <selection activeCell="D3" sqref="D3:F3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0.33203125" customWidth="1"/>
    <col min="8" max="10" width="18.6640625" customWidth="1"/>
  </cols>
  <sheetData>
    <row r="3" spans="3:10" ht="18" customHeight="1" x14ac:dyDescent="0.3">
      <c r="D3" s="34" t="str">
        <f>Mappings!B6</f>
        <v>Adopting</v>
      </c>
      <c r="E3" s="52" t="s">
        <v>115</v>
      </c>
      <c r="F3" s="52" t="s">
        <v>116</v>
      </c>
      <c r="H3" s="2" t="s">
        <v>85</v>
      </c>
      <c r="I3" s="2"/>
      <c r="J3" s="2"/>
    </row>
    <row r="5" spans="3:10" x14ac:dyDescent="0.3">
      <c r="C5" t="str">
        <f>MC_Inclusive!C5</f>
        <v>Income per cow (USD/day)</v>
      </c>
      <c r="D5" s="21">
        <f>Mappings!Q14/(365*Mappings!J14)</f>
        <v>-0.1533646933406865</v>
      </c>
      <c r="E5" s="21">
        <f>Mappings!Q15/(365*Mappings!J15)</f>
        <v>2.8146551782899654E-2</v>
      </c>
      <c r="F5" s="44">
        <f>Mappings!Q15/(365*Mappings!J16)</f>
        <v>2.9084770175662977E-2</v>
      </c>
    </row>
    <row r="6" spans="3:10" x14ac:dyDescent="0.3">
      <c r="C6" t="str">
        <f>MC_Inclusive!C6</f>
        <v>Random value income per cow (USD/day)</v>
      </c>
      <c r="D6" s="21">
        <f ca="1">_xlfn.NORM.INV(RAND(),Mappings!Q14,Mappings!R14)/(365*Mappings!J14)</f>
        <v>-0.13057849057523666</v>
      </c>
      <c r="E6" s="21">
        <f ca="1">_xlfn.NORM.INV(RAND(),Mappings!Q15,Mappings!R15)/(365*Mappings!J15)</f>
        <v>2.0648800193800783E-2</v>
      </c>
      <c r="F6" s="21">
        <f ca="1">_xlfn.NORM.INV(RAND(),Mappings!Q16,Mappings!R16)/(365*Mappings!J16)</f>
        <v>0.1292422025758119</v>
      </c>
    </row>
    <row r="7" spans="3:10" x14ac:dyDescent="0.3">
      <c r="C7" t="str">
        <f>MC_Inclusive!C7</f>
        <v>Average number of cows per household (head)</v>
      </c>
      <c r="D7" s="21">
        <f>Mappings!H14*Mappings!K14</f>
        <v>1.813402557271</v>
      </c>
      <c r="E7" s="21">
        <f>Mappings!H15*Mappings!K15</f>
        <v>15.96594470547203</v>
      </c>
      <c r="F7" s="21">
        <f>Mappings!H16*Mappings!K16</f>
        <v>1.8365379596039935</v>
      </c>
    </row>
    <row r="8" spans="3:10" x14ac:dyDescent="0.3">
      <c r="C8" t="str">
        <f>MC_Inclusive!C8</f>
        <v>Random value cows per household (head)</v>
      </c>
      <c r="D8" s="21">
        <f ca="1">_xlfn.NORM.INV(RAND(),D7,D7*Mappings!G4)*0+D7</f>
        <v>1.813402557271</v>
      </c>
      <c r="E8" s="21">
        <f ca="1">_xlfn.NORM.INV(RAND(),E7,E7*Mappings!G3)*0+E7</f>
        <v>15.96594470547203</v>
      </c>
      <c r="F8" s="21">
        <f ca="1">_xlfn.NORM.INV(RAND(),F7,F7*Mappings!G4)*0+F7</f>
        <v>1.8365379596039935</v>
      </c>
    </row>
    <row r="9" spans="3:10" x14ac:dyDescent="0.3">
      <c r="C9" t="str">
        <f>MC_Inclusive!C9</f>
        <v>Estimated non dairy income (USD/person/day)</v>
      </c>
      <c r="D9" s="21">
        <f>Mappings!W14</f>
        <v>4765.436433355384</v>
      </c>
      <c r="E9" s="21">
        <f>Mappings!W15</f>
        <v>4765.436433355384</v>
      </c>
      <c r="F9" s="21">
        <f>Mappings!W16</f>
        <v>10735.300922588216</v>
      </c>
    </row>
    <row r="10" spans="3:10" x14ac:dyDescent="0.3">
      <c r="C10" t="str">
        <f>MC_Inclusive!C10</f>
        <v>Random value non dairy income (USD/person/day)</v>
      </c>
      <c r="D10" s="21">
        <f>D9</f>
        <v>4765.436433355384</v>
      </c>
      <c r="E10" s="21">
        <f t="shared" ref="E10:F10" si="0">E9</f>
        <v>4765.436433355384</v>
      </c>
      <c r="F10" s="21">
        <f t="shared" si="0"/>
        <v>10735.300922588216</v>
      </c>
    </row>
    <row r="11" spans="3:10" x14ac:dyDescent="0.3">
      <c r="C11" t="str">
        <f>MC_Inclusive!C11</f>
        <v>Quantity households</v>
      </c>
      <c r="D11" s="21">
        <f>Mappings!F14</f>
        <v>928.23248276713002</v>
      </c>
      <c r="E11" s="4">
        <f>Mappings!F15</f>
        <v>91895.015793945873</v>
      </c>
      <c r="F11" s="4">
        <f>Mappings!F16</f>
        <v>94593.726549442566</v>
      </c>
    </row>
    <row r="12" spans="3:10" x14ac:dyDescent="0.3">
      <c r="C12" t="str">
        <f>MC_Inclusive!C12</f>
        <v>SD quantity households</v>
      </c>
      <c r="D12" s="21">
        <f>Mappings!AB14*Mappings!F14</f>
        <v>28.837493204268704</v>
      </c>
      <c r="E12" s="21">
        <f>Mappings!AB15*Mappings!F15</f>
        <v>2854.9118272226015</v>
      </c>
      <c r="F12" s="4">
        <f>Mappings!AB16*Mappings!F16</f>
        <v>2938.7529494810296</v>
      </c>
    </row>
    <row r="13" spans="3:10" x14ac:dyDescent="0.3">
      <c r="D13" s="21"/>
    </row>
    <row r="14" spans="3:10" x14ac:dyDescent="0.3">
      <c r="C14" t="str">
        <f>MC_Inclusive!C14</f>
        <v>Dairy Income (USD/household/year)</v>
      </c>
      <c r="D14" s="21">
        <f ca="1">D6*D8*365*Mappings!J14</f>
        <v>-535.85886744441132</v>
      </c>
      <c r="E14" s="21">
        <f ca="1">E6*E8*365*Mappings!J15</f>
        <v>746.06041361693906</v>
      </c>
      <c r="F14" s="21">
        <f ca="1">F6*F8*365*Mappings!J16</f>
        <v>519.81448211914358</v>
      </c>
    </row>
    <row r="15" spans="3:10" x14ac:dyDescent="0.3">
      <c r="C15" t="str">
        <f>MC_Inclusive!C15</f>
        <v>Non dairy income (USD/household/year)</v>
      </c>
      <c r="D15" s="21">
        <f>D10</f>
        <v>4765.436433355384</v>
      </c>
      <c r="E15" s="21">
        <f>E10</f>
        <v>4765.436433355384</v>
      </c>
      <c r="F15" s="21">
        <f>F10</f>
        <v>10735.300922588216</v>
      </c>
    </row>
    <row r="16" spans="3:10" x14ac:dyDescent="0.3">
      <c r="C16" t="str">
        <f>MC_Inclusive!C16</f>
        <v>Quantity households</v>
      </c>
      <c r="D16" s="21">
        <f ca="1">_xlfn.NORM.INV(RAND(),D11,D12)</f>
        <v>970.38824229480463</v>
      </c>
      <c r="E16" s="21">
        <f ca="1">_xlfn.NORM.INV(RAND(),E11,E12)</f>
        <v>90522.131050535012</v>
      </c>
      <c r="F16" s="21">
        <f t="shared" ref="F16" ca="1" si="1">_xlfn.NORM.INV(RAND(),F11,F12)</f>
        <v>95276.858255169645</v>
      </c>
    </row>
    <row r="18" spans="3:11" x14ac:dyDescent="0.3">
      <c r="C18" t="str">
        <f>MC_Inclusive!C18</f>
        <v>Estimated population income (USD/yr)</v>
      </c>
      <c r="D18" s="13">
        <f ca="1">(D14+D15)*D16</f>
        <v>4104332.3398338873</v>
      </c>
      <c r="E18" s="13">
        <f ca="1">(E14+E15)*E16</f>
        <v>498912439.86623907</v>
      </c>
      <c r="F18" s="13">
        <f ca="1">(F14+F15)*F16</f>
        <v>1072352035.0598794</v>
      </c>
      <c r="H18" s="38">
        <f ca="1">D18+E18+F18</f>
        <v>1575368807.2659523</v>
      </c>
      <c r="I18" s="4"/>
      <c r="J18" s="4"/>
    </row>
    <row r="19" spans="3:11" x14ac:dyDescent="0.3">
      <c r="C19" t="s">
        <v>109</v>
      </c>
      <c r="D19" s="46" t="s">
        <v>108</v>
      </c>
      <c r="E19" s="46" t="s">
        <v>108</v>
      </c>
      <c r="F19" s="46" t="s">
        <v>108</v>
      </c>
      <c r="G19" s="4"/>
      <c r="H19" s="38">
        <f ca="1">STDEV(H22:H129)</f>
        <v>73637708.553497225</v>
      </c>
      <c r="J19" s="56" t="s">
        <v>114</v>
      </c>
    </row>
    <row r="20" spans="3:11" x14ac:dyDescent="0.3">
      <c r="C20" t="str">
        <f>MC_Inclusive!C20</f>
        <v>Mean population income (USD/yr)</v>
      </c>
      <c r="D20" s="46" t="s">
        <v>108</v>
      </c>
      <c r="E20" s="46" t="s">
        <v>108</v>
      </c>
      <c r="F20" s="46" t="s">
        <v>108</v>
      </c>
      <c r="G20" s="4"/>
      <c r="H20" s="38">
        <f ca="1">AVERAGE(H22:H129)</f>
        <v>1678009387.6866114</v>
      </c>
      <c r="I20" s="4"/>
      <c r="J20" s="4"/>
      <c r="K20" s="55">
        <f ca="1">100*H19/H20</f>
        <v>4.3883966975308697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38">
        <f ca="1">H18</f>
        <v>1575368807.2659523</v>
      </c>
      <c r="I22" s="4"/>
      <c r="J22" s="4"/>
    </row>
    <row r="23" spans="3:11" x14ac:dyDescent="0.3">
      <c r="G23">
        <v>2</v>
      </c>
      <c r="H23" s="38">
        <f t="dataTable" ref="H23:H129" dt2D="0" dtr="0" r1="H21" ca="1"/>
        <v>1766757449.7937448</v>
      </c>
      <c r="I23" s="4"/>
      <c r="J23" s="4"/>
    </row>
    <row r="24" spans="3:11" x14ac:dyDescent="0.3">
      <c r="G24">
        <v>3</v>
      </c>
      <c r="H24" s="38">
        <v>1702812910.3178039</v>
      </c>
      <c r="I24" s="4"/>
      <c r="J24" s="4"/>
    </row>
    <row r="25" spans="3:11" x14ac:dyDescent="0.3">
      <c r="G25">
        <v>4</v>
      </c>
      <c r="H25" s="38">
        <v>1530539404.119108</v>
      </c>
      <c r="I25" s="4"/>
      <c r="J25" s="4"/>
    </row>
    <row r="26" spans="3:11" x14ac:dyDescent="0.3">
      <c r="G26">
        <v>5</v>
      </c>
      <c r="H26" s="38">
        <v>1576703223.7492747</v>
      </c>
      <c r="I26" s="4"/>
      <c r="J26" s="4"/>
    </row>
    <row r="27" spans="3:11" x14ac:dyDescent="0.3">
      <c r="G27">
        <v>6</v>
      </c>
      <c r="H27" s="38">
        <v>1755234244.8395462</v>
      </c>
      <c r="I27" s="4"/>
      <c r="J27" s="4"/>
    </row>
    <row r="28" spans="3:11" x14ac:dyDescent="0.3">
      <c r="G28">
        <v>7</v>
      </c>
      <c r="H28" s="38">
        <v>1704546882.2063408</v>
      </c>
      <c r="I28" s="4"/>
      <c r="J28" s="4"/>
    </row>
    <row r="29" spans="3:11" x14ac:dyDescent="0.3">
      <c r="G29">
        <v>8</v>
      </c>
      <c r="H29" s="38">
        <v>1701077349.9064324</v>
      </c>
      <c r="I29" s="4"/>
      <c r="J29" s="4"/>
    </row>
    <row r="30" spans="3:11" x14ac:dyDescent="0.3">
      <c r="G30">
        <v>9</v>
      </c>
      <c r="H30" s="38">
        <v>1600294831.4146731</v>
      </c>
      <c r="I30" s="4"/>
      <c r="J30" s="4"/>
    </row>
    <row r="31" spans="3:11" x14ac:dyDescent="0.3">
      <c r="G31">
        <v>10</v>
      </c>
      <c r="H31" s="38">
        <v>1556926786.670377</v>
      </c>
      <c r="I31" s="4"/>
      <c r="J31" s="4"/>
    </row>
    <row r="32" spans="3:11" x14ac:dyDescent="0.3">
      <c r="G32">
        <v>11</v>
      </c>
      <c r="H32" s="38">
        <v>1556940831.3006411</v>
      </c>
      <c r="I32" s="4"/>
      <c r="J32" s="4"/>
    </row>
    <row r="33" spans="7:10" x14ac:dyDescent="0.3">
      <c r="G33">
        <v>12</v>
      </c>
      <c r="H33" s="38">
        <v>1682033506.1152129</v>
      </c>
      <c r="I33" s="4"/>
      <c r="J33" s="4"/>
    </row>
    <row r="34" spans="7:10" x14ac:dyDescent="0.3">
      <c r="G34">
        <v>13</v>
      </c>
      <c r="H34" s="38">
        <v>1721583681.6835856</v>
      </c>
      <c r="I34" s="4"/>
      <c r="J34" s="4"/>
    </row>
    <row r="35" spans="7:10" x14ac:dyDescent="0.3">
      <c r="G35">
        <v>14</v>
      </c>
      <c r="H35" s="38">
        <v>1531508278.710546</v>
      </c>
      <c r="I35" s="4"/>
      <c r="J35" s="4"/>
    </row>
    <row r="36" spans="7:10" x14ac:dyDescent="0.3">
      <c r="G36">
        <v>15</v>
      </c>
      <c r="H36" s="38">
        <v>1643124228.1259334</v>
      </c>
      <c r="I36" s="4"/>
      <c r="J36" s="4"/>
    </row>
    <row r="37" spans="7:10" x14ac:dyDescent="0.3">
      <c r="G37">
        <v>16</v>
      </c>
      <c r="H37" s="38">
        <v>1695849242.0008614</v>
      </c>
      <c r="I37" s="4"/>
      <c r="J37" s="4"/>
    </row>
    <row r="38" spans="7:10" x14ac:dyDescent="0.3">
      <c r="G38">
        <v>17</v>
      </c>
      <c r="H38" s="38">
        <v>1635158675.8180599</v>
      </c>
      <c r="I38" s="4"/>
      <c r="J38" s="4"/>
    </row>
    <row r="39" spans="7:10" x14ac:dyDescent="0.3">
      <c r="G39">
        <v>18</v>
      </c>
      <c r="H39" s="38">
        <v>1557832025.1080277</v>
      </c>
      <c r="I39" s="4"/>
      <c r="J39" s="4"/>
    </row>
    <row r="40" spans="7:10" x14ac:dyDescent="0.3">
      <c r="G40">
        <v>19</v>
      </c>
      <c r="H40" s="38">
        <v>1800638928.3822308</v>
      </c>
      <c r="I40" s="4"/>
      <c r="J40" s="4"/>
    </row>
    <row r="41" spans="7:10" x14ac:dyDescent="0.3">
      <c r="G41">
        <v>20</v>
      </c>
      <c r="H41" s="38">
        <v>1906700814.2595668</v>
      </c>
      <c r="I41" s="4"/>
      <c r="J41" s="4"/>
    </row>
    <row r="42" spans="7:10" x14ac:dyDescent="0.3">
      <c r="G42">
        <v>21</v>
      </c>
      <c r="H42" s="38">
        <v>1725876275.6607966</v>
      </c>
      <c r="I42" s="4"/>
      <c r="J42" s="4"/>
    </row>
    <row r="43" spans="7:10" x14ac:dyDescent="0.3">
      <c r="G43">
        <v>22</v>
      </c>
      <c r="H43" s="38">
        <v>1648282579.2370234</v>
      </c>
      <c r="I43" s="4"/>
      <c r="J43" s="4"/>
    </row>
    <row r="44" spans="7:10" x14ac:dyDescent="0.3">
      <c r="G44">
        <v>23</v>
      </c>
      <c r="H44" s="38">
        <v>1636159542.3343577</v>
      </c>
      <c r="I44" s="4"/>
      <c r="J44" s="4"/>
    </row>
    <row r="45" spans="7:10" x14ac:dyDescent="0.3">
      <c r="G45">
        <v>24</v>
      </c>
      <c r="H45" s="38">
        <v>1745306214.8822718</v>
      </c>
      <c r="I45" s="4"/>
      <c r="J45" s="4"/>
    </row>
    <row r="46" spans="7:10" x14ac:dyDescent="0.3">
      <c r="G46">
        <v>25</v>
      </c>
      <c r="H46" s="38">
        <v>1836333951.2855263</v>
      </c>
      <c r="I46" s="4"/>
      <c r="J46" s="4"/>
    </row>
    <row r="47" spans="7:10" x14ac:dyDescent="0.3">
      <c r="G47">
        <v>26</v>
      </c>
      <c r="H47" s="38">
        <v>1670008680.9225283</v>
      </c>
      <c r="I47" s="4"/>
      <c r="J47" s="4"/>
    </row>
    <row r="48" spans="7:10" x14ac:dyDescent="0.3">
      <c r="G48">
        <v>27</v>
      </c>
      <c r="H48" s="38">
        <v>1654603736.0787778</v>
      </c>
      <c r="I48" s="4"/>
      <c r="J48" s="4"/>
    </row>
    <row r="49" spans="7:10" x14ac:dyDescent="0.3">
      <c r="G49">
        <v>28</v>
      </c>
      <c r="H49" s="38">
        <v>1571759320.7796874</v>
      </c>
      <c r="I49" s="4"/>
      <c r="J49" s="4"/>
    </row>
    <row r="50" spans="7:10" x14ac:dyDescent="0.3">
      <c r="G50">
        <v>29</v>
      </c>
      <c r="H50" s="38">
        <v>1667164702.5562329</v>
      </c>
      <c r="I50" s="4"/>
      <c r="J50" s="4"/>
    </row>
    <row r="51" spans="7:10" x14ac:dyDescent="0.3">
      <c r="G51">
        <v>30</v>
      </c>
      <c r="H51" s="38">
        <v>1694756018.2659895</v>
      </c>
      <c r="I51" s="4"/>
      <c r="J51" s="4"/>
    </row>
    <row r="52" spans="7:10" x14ac:dyDescent="0.3">
      <c r="G52">
        <v>31</v>
      </c>
      <c r="H52" s="38">
        <v>1644021282.9295478</v>
      </c>
      <c r="I52" s="4"/>
      <c r="J52" s="4"/>
    </row>
    <row r="53" spans="7:10" x14ac:dyDescent="0.3">
      <c r="G53">
        <v>32</v>
      </c>
      <c r="H53" s="38">
        <v>1727410813.087481</v>
      </c>
      <c r="I53" s="4"/>
      <c r="J53" s="4"/>
    </row>
    <row r="54" spans="7:10" x14ac:dyDescent="0.3">
      <c r="G54">
        <v>33</v>
      </c>
      <c r="H54" s="38">
        <v>1703137844.4860005</v>
      </c>
      <c r="I54" s="4"/>
      <c r="J54" s="4"/>
    </row>
    <row r="55" spans="7:10" x14ac:dyDescent="0.3">
      <c r="G55">
        <v>34</v>
      </c>
      <c r="H55" s="38">
        <v>1693568714.096334</v>
      </c>
      <c r="I55" s="4"/>
      <c r="J55" s="4"/>
    </row>
    <row r="56" spans="7:10" x14ac:dyDescent="0.3">
      <c r="G56">
        <v>35</v>
      </c>
      <c r="H56" s="38">
        <v>1796466568.9600511</v>
      </c>
      <c r="I56" s="4"/>
      <c r="J56" s="4"/>
    </row>
    <row r="57" spans="7:10" x14ac:dyDescent="0.3">
      <c r="G57">
        <v>36</v>
      </c>
      <c r="H57" s="38">
        <v>1633542713.8902526</v>
      </c>
      <c r="I57" s="4"/>
      <c r="J57" s="4"/>
    </row>
    <row r="58" spans="7:10" x14ac:dyDescent="0.3">
      <c r="G58">
        <v>37</v>
      </c>
      <c r="H58" s="38">
        <v>1660103297.8993492</v>
      </c>
      <c r="I58" s="4"/>
      <c r="J58" s="4"/>
    </row>
    <row r="59" spans="7:10" x14ac:dyDescent="0.3">
      <c r="G59">
        <v>38</v>
      </c>
      <c r="H59" s="38">
        <v>1735781432.99389</v>
      </c>
      <c r="I59" s="4"/>
      <c r="J59" s="4"/>
    </row>
    <row r="60" spans="7:10" x14ac:dyDescent="0.3">
      <c r="G60">
        <v>39</v>
      </c>
      <c r="H60" s="38">
        <v>1613541597.5524285</v>
      </c>
      <c r="I60" s="4"/>
      <c r="J60" s="4"/>
    </row>
    <row r="61" spans="7:10" x14ac:dyDescent="0.3">
      <c r="G61">
        <v>40</v>
      </c>
      <c r="H61" s="38">
        <v>1752046240.2315421</v>
      </c>
      <c r="I61" s="4"/>
      <c r="J61" s="4"/>
    </row>
    <row r="62" spans="7:10" x14ac:dyDescent="0.3">
      <c r="G62">
        <v>41</v>
      </c>
      <c r="H62" s="38">
        <v>1665317722.2647867</v>
      </c>
      <c r="I62" s="4"/>
      <c r="J62" s="4"/>
    </row>
    <row r="63" spans="7:10" x14ac:dyDescent="0.3">
      <c r="G63">
        <v>42</v>
      </c>
      <c r="H63" s="38">
        <v>1700768282.3033767</v>
      </c>
      <c r="I63" s="4"/>
      <c r="J63" s="4"/>
    </row>
    <row r="64" spans="7:10" x14ac:dyDescent="0.3">
      <c r="G64">
        <v>43</v>
      </c>
      <c r="H64" s="38">
        <v>1601944678.4852526</v>
      </c>
      <c r="I64" s="4"/>
      <c r="J64" s="4"/>
    </row>
    <row r="65" spans="7:10" x14ac:dyDescent="0.3">
      <c r="G65">
        <v>44</v>
      </c>
      <c r="H65" s="38">
        <v>1601424215.7767322</v>
      </c>
      <c r="I65" s="4"/>
      <c r="J65" s="4"/>
    </row>
    <row r="66" spans="7:10" x14ac:dyDescent="0.3">
      <c r="G66">
        <v>45</v>
      </c>
      <c r="H66" s="38">
        <v>1646532064.7121477</v>
      </c>
      <c r="I66" s="4"/>
      <c r="J66" s="4"/>
    </row>
    <row r="67" spans="7:10" x14ac:dyDescent="0.3">
      <c r="G67">
        <v>46</v>
      </c>
      <c r="H67" s="38">
        <v>1688780620.660398</v>
      </c>
      <c r="I67" s="4"/>
      <c r="J67" s="4"/>
    </row>
    <row r="68" spans="7:10" x14ac:dyDescent="0.3">
      <c r="G68">
        <v>47</v>
      </c>
      <c r="H68" s="38">
        <v>1690469825.558888</v>
      </c>
      <c r="I68" s="4"/>
      <c r="J68" s="4"/>
    </row>
    <row r="69" spans="7:10" x14ac:dyDescent="0.3">
      <c r="G69">
        <v>48</v>
      </c>
      <c r="H69" s="38">
        <v>1680390468.5031745</v>
      </c>
      <c r="I69" s="4"/>
      <c r="J69" s="4"/>
    </row>
    <row r="70" spans="7:10" x14ac:dyDescent="0.3">
      <c r="G70">
        <v>49</v>
      </c>
      <c r="H70" s="38">
        <v>1612598006.7260001</v>
      </c>
      <c r="I70" s="4"/>
      <c r="J70" s="4"/>
    </row>
    <row r="71" spans="7:10" x14ac:dyDescent="0.3">
      <c r="G71">
        <v>50</v>
      </c>
      <c r="H71" s="38">
        <v>1760505900.113085</v>
      </c>
      <c r="I71" s="4"/>
      <c r="J71" s="4"/>
    </row>
    <row r="72" spans="7:10" x14ac:dyDescent="0.3">
      <c r="G72">
        <v>51</v>
      </c>
      <c r="H72" s="38">
        <v>1639736918.2652664</v>
      </c>
      <c r="I72" s="4"/>
      <c r="J72" s="4"/>
    </row>
    <row r="73" spans="7:10" x14ac:dyDescent="0.3">
      <c r="G73">
        <v>52</v>
      </c>
      <c r="H73" s="38">
        <v>1697689081.774008</v>
      </c>
      <c r="I73" s="4"/>
      <c r="J73" s="4"/>
    </row>
    <row r="74" spans="7:10" x14ac:dyDescent="0.3">
      <c r="G74">
        <v>53</v>
      </c>
      <c r="H74" s="38">
        <v>1689178741.2324939</v>
      </c>
      <c r="I74" s="4"/>
      <c r="J74" s="4"/>
    </row>
    <row r="75" spans="7:10" x14ac:dyDescent="0.3">
      <c r="G75">
        <v>54</v>
      </c>
      <c r="H75" s="38">
        <v>1662453256.1306605</v>
      </c>
      <c r="I75" s="4"/>
      <c r="J75" s="4"/>
    </row>
    <row r="76" spans="7:10" x14ac:dyDescent="0.3">
      <c r="G76">
        <v>55</v>
      </c>
      <c r="H76" s="38">
        <v>1738061776.3297219</v>
      </c>
      <c r="I76" s="4"/>
      <c r="J76" s="4"/>
    </row>
    <row r="77" spans="7:10" x14ac:dyDescent="0.3">
      <c r="G77">
        <v>56</v>
      </c>
      <c r="H77" s="38">
        <v>1731466630.852679</v>
      </c>
      <c r="I77" s="4"/>
      <c r="J77" s="4"/>
    </row>
    <row r="78" spans="7:10" x14ac:dyDescent="0.3">
      <c r="G78">
        <v>57</v>
      </c>
      <c r="H78" s="38">
        <v>1663576977.4106452</v>
      </c>
      <c r="I78" s="4"/>
      <c r="J78" s="4"/>
    </row>
    <row r="79" spans="7:10" x14ac:dyDescent="0.3">
      <c r="G79">
        <v>58</v>
      </c>
      <c r="H79" s="38">
        <v>1721881032.3165832</v>
      </c>
      <c r="I79" s="4"/>
      <c r="J79" s="4"/>
    </row>
    <row r="80" spans="7:10" x14ac:dyDescent="0.3">
      <c r="G80">
        <v>59</v>
      </c>
      <c r="H80" s="38">
        <v>1604120591.048799</v>
      </c>
      <c r="I80" s="4"/>
      <c r="J80" s="4"/>
    </row>
    <row r="81" spans="7:10" x14ac:dyDescent="0.3">
      <c r="G81">
        <v>60</v>
      </c>
      <c r="H81" s="38">
        <v>1647771885.96328</v>
      </c>
      <c r="I81" s="4"/>
      <c r="J81" s="4"/>
    </row>
    <row r="82" spans="7:10" x14ac:dyDescent="0.3">
      <c r="G82">
        <v>61</v>
      </c>
      <c r="H82" s="38">
        <v>1764690591.0233316</v>
      </c>
      <c r="I82" s="4"/>
      <c r="J82" s="4"/>
    </row>
    <row r="83" spans="7:10" x14ac:dyDescent="0.3">
      <c r="G83">
        <v>62</v>
      </c>
      <c r="H83" s="38">
        <v>1701005803.7816739</v>
      </c>
      <c r="I83" s="4"/>
      <c r="J83" s="4"/>
    </row>
    <row r="84" spans="7:10" x14ac:dyDescent="0.3">
      <c r="G84">
        <v>63</v>
      </c>
      <c r="H84" s="38">
        <v>1493980719.5314941</v>
      </c>
      <c r="I84" s="4"/>
      <c r="J84" s="4"/>
    </row>
    <row r="85" spans="7:10" x14ac:dyDescent="0.3">
      <c r="G85">
        <v>64</v>
      </c>
      <c r="H85" s="38">
        <v>1646209044.0518363</v>
      </c>
      <c r="I85" s="4"/>
      <c r="J85" s="4"/>
    </row>
    <row r="86" spans="7:10" x14ac:dyDescent="0.3">
      <c r="G86">
        <v>65</v>
      </c>
      <c r="H86" s="38">
        <v>1682003762.6823697</v>
      </c>
      <c r="I86" s="4"/>
      <c r="J86" s="4"/>
    </row>
    <row r="87" spans="7:10" x14ac:dyDescent="0.3">
      <c r="G87">
        <v>66</v>
      </c>
      <c r="H87" s="38">
        <v>1668750297.1525948</v>
      </c>
      <c r="I87" s="4"/>
      <c r="J87" s="4"/>
    </row>
    <row r="88" spans="7:10" x14ac:dyDescent="0.3">
      <c r="G88">
        <v>67</v>
      </c>
      <c r="H88" s="38">
        <v>1654874483.6600037</v>
      </c>
      <c r="I88" s="4"/>
      <c r="J88" s="4"/>
    </row>
    <row r="89" spans="7:10" x14ac:dyDescent="0.3">
      <c r="G89">
        <v>68</v>
      </c>
      <c r="H89" s="38">
        <v>1611368861.4050603</v>
      </c>
      <c r="I89" s="4"/>
      <c r="J89" s="4"/>
    </row>
    <row r="90" spans="7:10" x14ac:dyDescent="0.3">
      <c r="G90">
        <v>69</v>
      </c>
      <c r="H90" s="38">
        <v>1766145868.9828644</v>
      </c>
      <c r="I90" s="4"/>
      <c r="J90" s="4"/>
    </row>
    <row r="91" spans="7:10" x14ac:dyDescent="0.3">
      <c r="G91">
        <v>70</v>
      </c>
      <c r="H91" s="38">
        <v>1743984818.8806391</v>
      </c>
      <c r="I91" s="4"/>
      <c r="J91" s="4"/>
    </row>
    <row r="92" spans="7:10" x14ac:dyDescent="0.3">
      <c r="G92">
        <v>71</v>
      </c>
      <c r="H92" s="38">
        <v>1658034056.3341007</v>
      </c>
      <c r="I92" s="4"/>
      <c r="J92" s="4"/>
    </row>
    <row r="93" spans="7:10" x14ac:dyDescent="0.3">
      <c r="G93">
        <v>72</v>
      </c>
      <c r="H93" s="38">
        <v>1624963334.8935542</v>
      </c>
      <c r="I93" s="4"/>
      <c r="J93" s="4"/>
    </row>
    <row r="94" spans="7:10" x14ac:dyDescent="0.3">
      <c r="G94">
        <v>73</v>
      </c>
      <c r="H94" s="38">
        <v>1635709849.6548295</v>
      </c>
      <c r="I94" s="4"/>
      <c r="J94" s="4"/>
    </row>
    <row r="95" spans="7:10" x14ac:dyDescent="0.3">
      <c r="G95">
        <v>74</v>
      </c>
      <c r="H95" s="38">
        <v>1629312725.5158429</v>
      </c>
      <c r="I95" s="4"/>
      <c r="J95" s="4"/>
    </row>
    <row r="96" spans="7:10" x14ac:dyDescent="0.3">
      <c r="G96">
        <v>75</v>
      </c>
      <c r="H96" s="38">
        <v>1693498724.1178179</v>
      </c>
      <c r="I96" s="4"/>
      <c r="J96" s="4"/>
    </row>
    <row r="97" spans="7:10" x14ac:dyDescent="0.3">
      <c r="G97">
        <v>76</v>
      </c>
      <c r="H97" s="38">
        <v>1763009100.2582951</v>
      </c>
      <c r="I97" s="4"/>
      <c r="J97" s="4"/>
    </row>
    <row r="98" spans="7:10" x14ac:dyDescent="0.3">
      <c r="G98">
        <v>77</v>
      </c>
      <c r="H98" s="38">
        <v>1582905643.0683742</v>
      </c>
      <c r="I98" s="4"/>
      <c r="J98" s="4"/>
    </row>
    <row r="99" spans="7:10" x14ac:dyDescent="0.3">
      <c r="G99">
        <v>78</v>
      </c>
      <c r="H99" s="38">
        <v>1602100214.2417741</v>
      </c>
      <c r="I99" s="4"/>
      <c r="J99" s="4"/>
    </row>
    <row r="100" spans="7:10" x14ac:dyDescent="0.3">
      <c r="G100">
        <v>79</v>
      </c>
      <c r="H100" s="38">
        <v>1749918142.0755897</v>
      </c>
      <c r="I100" s="4"/>
      <c r="J100" s="4"/>
    </row>
    <row r="101" spans="7:10" x14ac:dyDescent="0.3">
      <c r="G101">
        <v>80</v>
      </c>
      <c r="H101" s="38">
        <v>1796366700.6399837</v>
      </c>
      <c r="I101" s="4"/>
      <c r="J101" s="4"/>
    </row>
    <row r="102" spans="7:10" x14ac:dyDescent="0.3">
      <c r="G102">
        <v>81</v>
      </c>
      <c r="H102" s="38">
        <v>1620209461.6625698</v>
      </c>
      <c r="I102" s="4"/>
      <c r="J102" s="4"/>
    </row>
    <row r="103" spans="7:10" x14ac:dyDescent="0.3">
      <c r="G103">
        <v>82</v>
      </c>
      <c r="H103" s="38">
        <v>1680739508.5780191</v>
      </c>
      <c r="I103" s="4"/>
      <c r="J103" s="4"/>
    </row>
    <row r="104" spans="7:10" x14ac:dyDescent="0.3">
      <c r="G104">
        <v>83</v>
      </c>
      <c r="H104" s="38">
        <v>1676214700.4109237</v>
      </c>
      <c r="I104" s="4"/>
      <c r="J104" s="4"/>
    </row>
    <row r="105" spans="7:10" x14ac:dyDescent="0.3">
      <c r="G105">
        <v>84</v>
      </c>
      <c r="H105" s="38">
        <v>1686586555.9861798</v>
      </c>
      <c r="I105" s="4"/>
      <c r="J105" s="4"/>
    </row>
    <row r="106" spans="7:10" x14ac:dyDescent="0.3">
      <c r="G106">
        <v>85</v>
      </c>
      <c r="H106" s="38">
        <v>1562794574.4428101</v>
      </c>
      <c r="I106" s="4"/>
      <c r="J106" s="4"/>
    </row>
    <row r="107" spans="7:10" x14ac:dyDescent="0.3">
      <c r="G107">
        <v>86</v>
      </c>
      <c r="H107" s="38">
        <v>1692008306.4812546</v>
      </c>
      <c r="I107" s="4"/>
      <c r="J107" s="4"/>
    </row>
    <row r="108" spans="7:10" x14ac:dyDescent="0.3">
      <c r="G108">
        <v>87</v>
      </c>
      <c r="H108" s="38">
        <v>1713141304.4439116</v>
      </c>
      <c r="I108" s="4"/>
      <c r="J108" s="4"/>
    </row>
    <row r="109" spans="7:10" x14ac:dyDescent="0.3">
      <c r="G109">
        <v>88</v>
      </c>
      <c r="H109" s="38">
        <v>1611529450.5915167</v>
      </c>
      <c r="I109" s="4"/>
      <c r="J109" s="4"/>
    </row>
    <row r="110" spans="7:10" x14ac:dyDescent="0.3">
      <c r="G110">
        <v>89</v>
      </c>
      <c r="H110" s="38">
        <v>1628054565.8827291</v>
      </c>
      <c r="I110" s="4"/>
      <c r="J110" s="4"/>
    </row>
    <row r="111" spans="7:10" x14ac:dyDescent="0.3">
      <c r="G111">
        <v>90</v>
      </c>
      <c r="H111" s="38">
        <v>1833527673.9661264</v>
      </c>
      <c r="I111" s="4"/>
      <c r="J111" s="4"/>
    </row>
    <row r="112" spans="7:10" x14ac:dyDescent="0.3">
      <c r="G112">
        <v>91</v>
      </c>
      <c r="H112" s="38">
        <v>1546541675.8971329</v>
      </c>
      <c r="I112" s="4"/>
      <c r="J112" s="4"/>
    </row>
    <row r="113" spans="7:10" x14ac:dyDescent="0.3">
      <c r="G113">
        <v>92</v>
      </c>
      <c r="H113" s="38">
        <v>1795593069.1563852</v>
      </c>
      <c r="I113" s="4"/>
      <c r="J113" s="4"/>
    </row>
    <row r="114" spans="7:10" x14ac:dyDescent="0.3">
      <c r="G114">
        <v>93</v>
      </c>
      <c r="H114" s="38">
        <v>1724449912.9134138</v>
      </c>
      <c r="I114" s="4"/>
      <c r="J114" s="4"/>
    </row>
    <row r="115" spans="7:10" x14ac:dyDescent="0.3">
      <c r="G115">
        <v>94</v>
      </c>
      <c r="H115" s="38">
        <v>1834629213.0546074</v>
      </c>
      <c r="I115" s="4"/>
      <c r="J115" s="4"/>
    </row>
    <row r="116" spans="7:10" x14ac:dyDescent="0.3">
      <c r="G116">
        <v>95</v>
      </c>
      <c r="H116" s="38">
        <v>1730310057.7373533</v>
      </c>
      <c r="I116" s="4"/>
      <c r="J116" s="4"/>
    </row>
    <row r="117" spans="7:10" x14ac:dyDescent="0.3">
      <c r="G117">
        <v>96</v>
      </c>
      <c r="H117" s="38">
        <v>1638872393.0969894</v>
      </c>
      <c r="I117" s="4"/>
      <c r="J117" s="4"/>
    </row>
    <row r="118" spans="7:10" x14ac:dyDescent="0.3">
      <c r="G118">
        <v>97</v>
      </c>
      <c r="H118" s="38">
        <v>1672558549.871769</v>
      </c>
      <c r="I118" s="4"/>
      <c r="J118" s="4"/>
    </row>
    <row r="119" spans="7:10" x14ac:dyDescent="0.3">
      <c r="G119">
        <v>98</v>
      </c>
      <c r="H119" s="38">
        <v>1663802312.4666171</v>
      </c>
      <c r="I119" s="4"/>
      <c r="J119" s="4"/>
    </row>
    <row r="120" spans="7:10" x14ac:dyDescent="0.3">
      <c r="G120">
        <v>99</v>
      </c>
      <c r="H120" s="38">
        <v>1688095704.2196612</v>
      </c>
      <c r="I120" s="4"/>
      <c r="J120" s="4"/>
    </row>
    <row r="121" spans="7:10" x14ac:dyDescent="0.3">
      <c r="G121">
        <v>100</v>
      </c>
      <c r="H121" s="38">
        <v>1752551509.0512366</v>
      </c>
      <c r="I121" s="4"/>
      <c r="J121" s="4"/>
    </row>
    <row r="122" spans="7:10" x14ac:dyDescent="0.3">
      <c r="G122">
        <v>101</v>
      </c>
      <c r="H122" s="38">
        <v>1749417333.378896</v>
      </c>
      <c r="I122" s="4"/>
      <c r="J122" s="4"/>
    </row>
    <row r="123" spans="7:10" x14ac:dyDescent="0.3">
      <c r="G123">
        <v>102</v>
      </c>
      <c r="H123" s="38">
        <v>1710653408.2612848</v>
      </c>
      <c r="I123" s="4"/>
      <c r="J123" s="4"/>
    </row>
    <row r="124" spans="7:10" x14ac:dyDescent="0.3">
      <c r="G124">
        <v>103</v>
      </c>
      <c r="H124" s="38">
        <v>1654690415.3119059</v>
      </c>
      <c r="I124" s="4"/>
      <c r="J124" s="4"/>
    </row>
    <row r="125" spans="7:10" x14ac:dyDescent="0.3">
      <c r="G125">
        <v>104</v>
      </c>
      <c r="H125" s="38">
        <v>1783807355.8241518</v>
      </c>
      <c r="I125" s="4"/>
      <c r="J125" s="4"/>
    </row>
    <row r="126" spans="7:10" x14ac:dyDescent="0.3">
      <c r="G126">
        <v>105</v>
      </c>
      <c r="H126" s="38">
        <v>1632928809.5787072</v>
      </c>
      <c r="I126" s="4"/>
      <c r="J126" s="4"/>
    </row>
    <row r="127" spans="7:10" x14ac:dyDescent="0.3">
      <c r="G127">
        <v>106</v>
      </c>
      <c r="H127" s="38">
        <v>1708063510.9266057</v>
      </c>
      <c r="I127" s="4"/>
      <c r="J127" s="4"/>
    </row>
    <row r="128" spans="7:10" x14ac:dyDescent="0.3">
      <c r="G128">
        <v>107</v>
      </c>
      <c r="H128" s="38">
        <v>1592835883.3922873</v>
      </c>
      <c r="I128" s="4"/>
      <c r="J128" s="4"/>
    </row>
    <row r="129" spans="7:10" x14ac:dyDescent="0.3">
      <c r="G129">
        <v>108</v>
      </c>
      <c r="H129" s="38">
        <v>1715401605.2709281</v>
      </c>
      <c r="I129" s="4"/>
      <c r="J129" s="4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C3:M129"/>
  <sheetViews>
    <sheetView workbookViewId="0">
      <selection activeCell="D17" sqref="D17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30.5546875" customWidth="1"/>
    <col min="8" max="10" width="18.6640625" customWidth="1"/>
  </cols>
  <sheetData>
    <row r="3" spans="3:13" ht="18" customHeight="1" x14ac:dyDescent="0.3">
      <c r="D3" s="34" t="str">
        <f>Mappings!B6</f>
        <v>Adopting</v>
      </c>
      <c r="E3" s="52" t="s">
        <v>115</v>
      </c>
      <c r="F3" s="52" t="s">
        <v>116</v>
      </c>
      <c r="H3" s="2" t="s">
        <v>85</v>
      </c>
      <c r="I3" s="2"/>
      <c r="J3" s="2"/>
    </row>
    <row r="5" spans="3:13" x14ac:dyDescent="0.3">
      <c r="C5" t="str">
        <f>MC_Inclusive!C5</f>
        <v>Income per cow (USD/day)</v>
      </c>
      <c r="D5" s="21">
        <f>Mappings!Q18</f>
        <v>-347.06430102997354</v>
      </c>
      <c r="E5" s="21">
        <f>Mappings!Q19</f>
        <v>63.69564668470192</v>
      </c>
      <c r="F5" s="50">
        <f>Mappings!Q15</f>
        <v>63.69564668470192</v>
      </c>
    </row>
    <row r="6" spans="3:13" x14ac:dyDescent="0.3">
      <c r="C6" t="str">
        <f>MC_Inclusive!C6</f>
        <v>Random value income per cow (USD/day)</v>
      </c>
      <c r="D6" s="21">
        <f ca="1">_xlfn.NORM.INV(RAND(),Mappings!Q18,Mappings!R18)</f>
        <v>-924.79646662647917</v>
      </c>
      <c r="E6" s="21">
        <f ca="1">_xlfn.NORM.INV(RAND(),Mappings!Q19,Mappings!R19)</f>
        <v>53.231254235995578</v>
      </c>
      <c r="F6" s="21">
        <f ca="1">_xlfn.NORM.INV(RAND(),Mappings!Q20,Mappings!R20)</f>
        <v>827.72710218825762</v>
      </c>
    </row>
    <row r="7" spans="3:13" x14ac:dyDescent="0.3">
      <c r="C7" t="str">
        <f>MC_Inclusive!C7</f>
        <v>Average number of cows per household (head)</v>
      </c>
      <c r="D7" s="21">
        <f>Mappings!H18*Mappings!K18</f>
        <v>0.98712859216936799</v>
      </c>
      <c r="E7" s="21">
        <f>Mappings!H19*Mappings!K19</f>
        <v>5.6859268544080503</v>
      </c>
      <c r="F7" s="21">
        <f>Mappings!H20*Mappings!K20</f>
        <v>3.1956937794716853</v>
      </c>
    </row>
    <row r="8" spans="3:13" x14ac:dyDescent="0.3">
      <c r="C8" t="str">
        <f>MC_Inclusive!C8</f>
        <v>Random value cows per household (head)</v>
      </c>
      <c r="D8" s="21">
        <f>D7</f>
        <v>0.98712859216936799</v>
      </c>
      <c r="E8" s="21">
        <f>E7</f>
        <v>5.6859268544080503</v>
      </c>
      <c r="F8" s="21">
        <f>F7</f>
        <v>3.1956937794716853</v>
      </c>
    </row>
    <row r="9" spans="3:13" x14ac:dyDescent="0.3">
      <c r="C9" t="str">
        <f>MC_Inclusive!C9</f>
        <v>Estimated non dairy income (USD/person/day)</v>
      </c>
      <c r="D9" s="21">
        <f>Mappings!W18</f>
        <v>4765.436433355384</v>
      </c>
      <c r="E9" s="21">
        <f>Mappings!W19</f>
        <v>4765.436433355384</v>
      </c>
      <c r="F9" s="21">
        <f>Mappings!W20</f>
        <v>10735.300922588216</v>
      </c>
    </row>
    <row r="10" spans="3:13" x14ac:dyDescent="0.3">
      <c r="C10" t="str">
        <f>MC_Inclusive!C10</f>
        <v>Random value non dairy income (USD/person/day)</v>
      </c>
      <c r="D10" s="21">
        <f>D9</f>
        <v>4765.436433355384</v>
      </c>
      <c r="E10" s="21">
        <f t="shared" ref="E10:F10" si="0">E9</f>
        <v>4765.436433355384</v>
      </c>
      <c r="F10" s="21">
        <f t="shared" si="0"/>
        <v>10735.300922588216</v>
      </c>
      <c r="M10" s="56"/>
    </row>
    <row r="11" spans="3:13" x14ac:dyDescent="0.3">
      <c r="C11" t="str">
        <f>MC_Inclusive!C11</f>
        <v>Quantity households</v>
      </c>
      <c r="D11" s="21">
        <f>Mappings!F18</f>
        <v>20421.114620876859</v>
      </c>
      <c r="E11" s="4">
        <f>Mappings!F19</f>
        <v>72402.133655836136</v>
      </c>
      <c r="F11" s="4">
        <f>Mappings!F20</f>
        <v>94593.726549442566</v>
      </c>
    </row>
    <row r="12" spans="3:13" x14ac:dyDescent="0.3">
      <c r="C12" t="str">
        <f>MC_Inclusive!C12</f>
        <v>SD quantity households</v>
      </c>
      <c r="D12" s="21">
        <f>Mappings!AB18*Mappings!F18</f>
        <v>634.42485049391144</v>
      </c>
      <c r="E12" s="21">
        <f>Mappings!AB19*Mappings!F19</f>
        <v>2249.3244699329584</v>
      </c>
      <c r="F12" s="4">
        <f>Mappings!AB20*Mappings!F20</f>
        <v>2938.7529494810296</v>
      </c>
    </row>
    <row r="13" spans="3:13" x14ac:dyDescent="0.3">
      <c r="D13" s="21"/>
    </row>
    <row r="14" spans="3:13" x14ac:dyDescent="0.3">
      <c r="C14" t="str">
        <f>MC_Inclusive!C14</f>
        <v>Dairy Income (USD/household/year)</v>
      </c>
      <c r="D14" s="21">
        <f ca="1">D6*D8</f>
        <v>-912.89303414420226</v>
      </c>
      <c r="E14" s="21">
        <f ca="1">E6*E8</f>
        <v>302.66901795426952</v>
      </c>
      <c r="F14" s="21">
        <f ca="1">F6*F8</f>
        <v>2645.1623515631391</v>
      </c>
    </row>
    <row r="15" spans="3:13" x14ac:dyDescent="0.3">
      <c r="C15" t="str">
        <f>MC_Inclusive!C15</f>
        <v>Non dairy income (USD/household/year)</v>
      </c>
      <c r="D15" s="21">
        <f>D10</f>
        <v>4765.436433355384</v>
      </c>
      <c r="E15" s="21">
        <f>E10</f>
        <v>4765.436433355384</v>
      </c>
      <c r="F15" s="21">
        <f>F10</f>
        <v>10735.300922588216</v>
      </c>
    </row>
    <row r="16" spans="3:13" x14ac:dyDescent="0.3">
      <c r="C16" t="str">
        <f>MC_Inclusive!C16</f>
        <v>Quantity households</v>
      </c>
      <c r="D16" s="21">
        <f ca="1">_xlfn.NORM.INV(RAND(),D11,D12)</f>
        <v>21022.777160279795</v>
      </c>
      <c r="E16" s="21">
        <f ca="1">_xlfn.NORM.INV(RAND(),E11,E12)</f>
        <v>68475.999486787769</v>
      </c>
      <c r="F16" s="21">
        <f t="shared" ref="F16" ca="1" si="1">_xlfn.NORM.INV(RAND(),F11,F12)</f>
        <v>90520.903887378459</v>
      </c>
    </row>
    <row r="18" spans="3:11" x14ac:dyDescent="0.3">
      <c r="C18" t="str">
        <f>MC_Inclusive!C18</f>
        <v>Estimated population income (USD/yr)</v>
      </c>
      <c r="D18" s="13">
        <f ca="1">(D14+D15)*D16</f>
        <v>80991161.381923512</v>
      </c>
      <c r="E18" s="13">
        <f ca="1">(E14+E15)*E16</f>
        <v>347043586.28286612</v>
      </c>
      <c r="F18" s="13">
        <f ca="1">(F14+F15)*F16</f>
        <v>1211211630.0080521</v>
      </c>
      <c r="H18" s="38">
        <f ca="1">D18+E18+F18</f>
        <v>1639246377.6728418</v>
      </c>
      <c r="I18" s="47"/>
      <c r="J18" s="47"/>
    </row>
    <row r="19" spans="3:11" x14ac:dyDescent="0.3">
      <c r="C19" t="s">
        <v>109</v>
      </c>
      <c r="D19" s="46" t="s">
        <v>108</v>
      </c>
      <c r="E19" s="46" t="s">
        <v>108</v>
      </c>
      <c r="F19" s="46" t="s">
        <v>108</v>
      </c>
      <c r="G19" s="4"/>
      <c r="H19" s="38">
        <f ca="1">STDEV(H22:H129)</f>
        <v>107767162.47656877</v>
      </c>
      <c r="I19" s="47"/>
      <c r="J19" s="56" t="s">
        <v>114</v>
      </c>
    </row>
    <row r="20" spans="3:11" x14ac:dyDescent="0.3">
      <c r="C20" t="str">
        <f>MC_Inclusive!C20</f>
        <v>Mean population income (USD/yr)</v>
      </c>
      <c r="D20" s="46" t="s">
        <v>108</v>
      </c>
      <c r="E20" s="46" t="s">
        <v>108</v>
      </c>
      <c r="F20" s="46" t="s">
        <v>108</v>
      </c>
      <c r="G20" s="4"/>
      <c r="H20" s="38">
        <f ca="1">AVERAGE(H22:H129)</f>
        <v>1713462072.7323499</v>
      </c>
      <c r="I20" s="47"/>
      <c r="J20" s="47"/>
      <c r="K20" s="55">
        <f ca="1">100*H19/H20</f>
        <v>6.2894396200272631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38">
        <f ca="1">H18</f>
        <v>1639246377.6728418</v>
      </c>
      <c r="I22" s="4"/>
      <c r="J22" s="4"/>
    </row>
    <row r="23" spans="3:11" x14ac:dyDescent="0.3">
      <c r="G23">
        <v>2</v>
      </c>
      <c r="H23" s="38">
        <f t="dataTable" ref="H23:H129" dt2D="0" dtr="0" r1="H21" ca="1"/>
        <v>1706861067.3577261</v>
      </c>
      <c r="I23" s="4"/>
      <c r="J23" s="4"/>
    </row>
    <row r="24" spans="3:11" x14ac:dyDescent="0.3">
      <c r="G24">
        <v>3</v>
      </c>
      <c r="H24" s="38">
        <v>1771703432.120863</v>
      </c>
      <c r="I24" s="4"/>
      <c r="J24" s="4"/>
    </row>
    <row r="25" spans="3:11" x14ac:dyDescent="0.3">
      <c r="G25">
        <v>4</v>
      </c>
      <c r="H25" s="38">
        <v>1853818365.2190461</v>
      </c>
      <c r="I25" s="4"/>
      <c r="J25" s="4"/>
    </row>
    <row r="26" spans="3:11" x14ac:dyDescent="0.3">
      <c r="G26">
        <v>5</v>
      </c>
      <c r="H26" s="38">
        <v>1738808284.532212</v>
      </c>
      <c r="I26" s="4"/>
      <c r="J26" s="4"/>
    </row>
    <row r="27" spans="3:11" x14ac:dyDescent="0.3">
      <c r="G27">
        <v>6</v>
      </c>
      <c r="H27" s="38">
        <v>1598886534.1062808</v>
      </c>
      <c r="I27" s="4"/>
      <c r="J27" s="4"/>
    </row>
    <row r="28" spans="3:11" x14ac:dyDescent="0.3">
      <c r="G28">
        <v>7</v>
      </c>
      <c r="H28" s="38">
        <v>1674023345.7271729</v>
      </c>
      <c r="I28" s="4"/>
      <c r="J28" s="4"/>
    </row>
    <row r="29" spans="3:11" x14ac:dyDescent="0.3">
      <c r="G29">
        <v>8</v>
      </c>
      <c r="H29" s="38">
        <v>1814593001.7704415</v>
      </c>
      <c r="I29" s="4"/>
      <c r="J29" s="4"/>
    </row>
    <row r="30" spans="3:11" x14ac:dyDescent="0.3">
      <c r="G30">
        <v>9</v>
      </c>
      <c r="H30" s="38">
        <v>1605906592.2252097</v>
      </c>
      <c r="I30" s="4"/>
      <c r="J30" s="4"/>
    </row>
    <row r="31" spans="3:11" x14ac:dyDescent="0.3">
      <c r="G31">
        <v>10</v>
      </c>
      <c r="H31" s="38">
        <v>1799180061.9794476</v>
      </c>
      <c r="I31" s="4"/>
      <c r="J31" s="4"/>
    </row>
    <row r="32" spans="3:11" x14ac:dyDescent="0.3">
      <c r="G32">
        <v>11</v>
      </c>
      <c r="H32" s="38">
        <v>1759484912.8098152</v>
      </c>
      <c r="I32" s="4"/>
      <c r="J32" s="4"/>
    </row>
    <row r="33" spans="7:10" x14ac:dyDescent="0.3">
      <c r="G33">
        <v>12</v>
      </c>
      <c r="H33" s="38">
        <v>1538142918.6865239</v>
      </c>
      <c r="I33" s="4"/>
      <c r="J33" s="4"/>
    </row>
    <row r="34" spans="7:10" x14ac:dyDescent="0.3">
      <c r="G34">
        <v>13</v>
      </c>
      <c r="H34" s="38">
        <v>1737551468.1798925</v>
      </c>
      <c r="I34" s="4"/>
      <c r="J34" s="4"/>
    </row>
    <row r="35" spans="7:10" x14ac:dyDescent="0.3">
      <c r="G35">
        <v>14</v>
      </c>
      <c r="H35" s="38">
        <v>1433681714.7687445</v>
      </c>
      <c r="I35" s="4"/>
      <c r="J35" s="4"/>
    </row>
    <row r="36" spans="7:10" x14ac:dyDescent="0.3">
      <c r="G36">
        <v>15</v>
      </c>
      <c r="H36" s="38">
        <v>1818863706.2732365</v>
      </c>
      <c r="I36" s="4"/>
      <c r="J36" s="4"/>
    </row>
    <row r="37" spans="7:10" x14ac:dyDescent="0.3">
      <c r="G37">
        <v>16</v>
      </c>
      <c r="H37" s="38">
        <v>1784361493.3124046</v>
      </c>
      <c r="I37" s="4"/>
      <c r="J37" s="4"/>
    </row>
    <row r="38" spans="7:10" x14ac:dyDescent="0.3">
      <c r="G38">
        <v>17</v>
      </c>
      <c r="H38" s="38">
        <v>1797580591.8102417</v>
      </c>
      <c r="I38" s="4"/>
      <c r="J38" s="4"/>
    </row>
    <row r="39" spans="7:10" x14ac:dyDescent="0.3">
      <c r="G39">
        <v>18</v>
      </c>
      <c r="H39" s="38">
        <v>1688497242.8492551</v>
      </c>
      <c r="I39" s="4"/>
      <c r="J39" s="4"/>
    </row>
    <row r="40" spans="7:10" x14ac:dyDescent="0.3">
      <c r="G40">
        <v>19</v>
      </c>
      <c r="H40" s="38">
        <v>1814260377.8549528</v>
      </c>
      <c r="I40" s="4"/>
      <c r="J40" s="4"/>
    </row>
    <row r="41" spans="7:10" x14ac:dyDescent="0.3">
      <c r="G41">
        <v>20</v>
      </c>
      <c r="H41" s="38">
        <v>1714271300.9219499</v>
      </c>
      <c r="I41" s="4"/>
      <c r="J41" s="4"/>
    </row>
    <row r="42" spans="7:10" x14ac:dyDescent="0.3">
      <c r="G42">
        <v>21</v>
      </c>
      <c r="H42" s="38">
        <v>1626858520.4392946</v>
      </c>
      <c r="I42" s="4"/>
      <c r="J42" s="4"/>
    </row>
    <row r="43" spans="7:10" x14ac:dyDescent="0.3">
      <c r="G43">
        <v>22</v>
      </c>
      <c r="H43" s="38">
        <v>1809154576.2599237</v>
      </c>
      <c r="I43" s="4"/>
      <c r="J43" s="4"/>
    </row>
    <row r="44" spans="7:10" x14ac:dyDescent="0.3">
      <c r="G44">
        <v>23</v>
      </c>
      <c r="H44" s="38">
        <v>1587786918.2703123</v>
      </c>
      <c r="I44" s="4"/>
      <c r="J44" s="4"/>
    </row>
    <row r="45" spans="7:10" x14ac:dyDescent="0.3">
      <c r="G45">
        <v>24</v>
      </c>
      <c r="H45" s="38">
        <v>1748011226.8248074</v>
      </c>
      <c r="I45" s="4"/>
      <c r="J45" s="4"/>
    </row>
    <row r="46" spans="7:10" x14ac:dyDescent="0.3">
      <c r="G46">
        <v>25</v>
      </c>
      <c r="H46" s="38">
        <v>1769657539.8515644</v>
      </c>
      <c r="I46" s="4"/>
      <c r="J46" s="4"/>
    </row>
    <row r="47" spans="7:10" x14ac:dyDescent="0.3">
      <c r="G47">
        <v>26</v>
      </c>
      <c r="H47" s="38">
        <v>1569648203.6402531</v>
      </c>
      <c r="I47" s="4"/>
      <c r="J47" s="4"/>
    </row>
    <row r="48" spans="7:10" x14ac:dyDescent="0.3">
      <c r="G48">
        <v>27</v>
      </c>
      <c r="H48" s="38">
        <v>1723000949.875854</v>
      </c>
      <c r="I48" s="4"/>
      <c r="J48" s="4"/>
    </row>
    <row r="49" spans="7:10" x14ac:dyDescent="0.3">
      <c r="G49">
        <v>28</v>
      </c>
      <c r="H49" s="38">
        <v>1554818073.8100901</v>
      </c>
      <c r="I49" s="4"/>
      <c r="J49" s="4"/>
    </row>
    <row r="50" spans="7:10" x14ac:dyDescent="0.3">
      <c r="G50">
        <v>29</v>
      </c>
      <c r="H50" s="38">
        <v>1584886844.6629708</v>
      </c>
      <c r="I50" s="4"/>
      <c r="J50" s="4"/>
    </row>
    <row r="51" spans="7:10" x14ac:dyDescent="0.3">
      <c r="G51">
        <v>30</v>
      </c>
      <c r="H51" s="38">
        <v>1717022371.6315517</v>
      </c>
      <c r="I51" s="4"/>
      <c r="J51" s="4"/>
    </row>
    <row r="52" spans="7:10" x14ac:dyDescent="0.3">
      <c r="G52">
        <v>31</v>
      </c>
      <c r="H52" s="38">
        <v>1777635027.1331599</v>
      </c>
      <c r="I52" s="4"/>
      <c r="J52" s="4"/>
    </row>
    <row r="53" spans="7:10" x14ac:dyDescent="0.3">
      <c r="G53">
        <v>32</v>
      </c>
      <c r="H53" s="38">
        <v>1746509840.9383597</v>
      </c>
      <c r="I53" s="4"/>
      <c r="J53" s="4"/>
    </row>
    <row r="54" spans="7:10" x14ac:dyDescent="0.3">
      <c r="G54">
        <v>33</v>
      </c>
      <c r="H54" s="38">
        <v>1799849639.4656143</v>
      </c>
      <c r="I54" s="4"/>
      <c r="J54" s="4"/>
    </row>
    <row r="55" spans="7:10" x14ac:dyDescent="0.3">
      <c r="G55">
        <v>34</v>
      </c>
      <c r="H55" s="38">
        <v>1620896968.4039164</v>
      </c>
      <c r="I55" s="4"/>
      <c r="J55" s="4"/>
    </row>
    <row r="56" spans="7:10" x14ac:dyDescent="0.3">
      <c r="G56">
        <v>35</v>
      </c>
      <c r="H56" s="38">
        <v>1800299607.1301525</v>
      </c>
      <c r="I56" s="4"/>
      <c r="J56" s="4"/>
    </row>
    <row r="57" spans="7:10" x14ac:dyDescent="0.3">
      <c r="G57">
        <v>36</v>
      </c>
      <c r="H57" s="38">
        <v>1655718307.3716583</v>
      </c>
      <c r="I57" s="4"/>
      <c r="J57" s="4"/>
    </row>
    <row r="58" spans="7:10" x14ac:dyDescent="0.3">
      <c r="G58">
        <v>37</v>
      </c>
      <c r="H58" s="38">
        <v>1543454021.1005049</v>
      </c>
      <c r="I58" s="4"/>
      <c r="J58" s="4"/>
    </row>
    <row r="59" spans="7:10" x14ac:dyDescent="0.3">
      <c r="G59">
        <v>38</v>
      </c>
      <c r="H59" s="38">
        <v>1718690026.5152023</v>
      </c>
      <c r="I59" s="4"/>
      <c r="J59" s="4"/>
    </row>
    <row r="60" spans="7:10" x14ac:dyDescent="0.3">
      <c r="G60">
        <v>39</v>
      </c>
      <c r="H60" s="38">
        <v>1809023962.2978268</v>
      </c>
      <c r="I60" s="4"/>
      <c r="J60" s="4"/>
    </row>
    <row r="61" spans="7:10" x14ac:dyDescent="0.3">
      <c r="G61">
        <v>40</v>
      </c>
      <c r="H61" s="38">
        <v>1823166334.994499</v>
      </c>
      <c r="I61" s="4"/>
      <c r="J61" s="4"/>
    </row>
    <row r="62" spans="7:10" x14ac:dyDescent="0.3">
      <c r="G62">
        <v>41</v>
      </c>
      <c r="H62" s="38">
        <v>1741432475.0102463</v>
      </c>
      <c r="I62" s="4"/>
      <c r="J62" s="4"/>
    </row>
    <row r="63" spans="7:10" x14ac:dyDescent="0.3">
      <c r="G63">
        <v>42</v>
      </c>
      <c r="H63" s="38">
        <v>1739067993.6141443</v>
      </c>
      <c r="I63" s="4"/>
      <c r="J63" s="4"/>
    </row>
    <row r="64" spans="7:10" x14ac:dyDescent="0.3">
      <c r="G64">
        <v>43</v>
      </c>
      <c r="H64" s="38">
        <v>1852787091.8986719</v>
      </c>
      <c r="I64" s="4"/>
      <c r="J64" s="4"/>
    </row>
    <row r="65" spans="7:10" x14ac:dyDescent="0.3">
      <c r="G65">
        <v>44</v>
      </c>
      <c r="H65" s="38">
        <v>1724097438.0985734</v>
      </c>
      <c r="I65" s="4"/>
      <c r="J65" s="4"/>
    </row>
    <row r="66" spans="7:10" x14ac:dyDescent="0.3">
      <c r="G66">
        <v>45</v>
      </c>
      <c r="H66" s="38">
        <v>1765769965.0746953</v>
      </c>
      <c r="I66" s="4"/>
      <c r="J66" s="4"/>
    </row>
    <row r="67" spans="7:10" x14ac:dyDescent="0.3">
      <c r="G67">
        <v>46</v>
      </c>
      <c r="H67" s="38">
        <v>1595643554.1335583</v>
      </c>
      <c r="I67" s="4"/>
      <c r="J67" s="4"/>
    </row>
    <row r="68" spans="7:10" x14ac:dyDescent="0.3">
      <c r="G68">
        <v>47</v>
      </c>
      <c r="H68" s="38">
        <v>1689332921.2804022</v>
      </c>
      <c r="I68" s="4"/>
      <c r="J68" s="4"/>
    </row>
    <row r="69" spans="7:10" x14ac:dyDescent="0.3">
      <c r="G69">
        <v>48</v>
      </c>
      <c r="H69" s="38">
        <v>1853842968.7675452</v>
      </c>
      <c r="I69" s="4"/>
      <c r="J69" s="4"/>
    </row>
    <row r="70" spans="7:10" x14ac:dyDescent="0.3">
      <c r="G70">
        <v>49</v>
      </c>
      <c r="H70" s="38">
        <v>1647017663.7010629</v>
      </c>
      <c r="I70" s="4"/>
      <c r="J70" s="4"/>
    </row>
    <row r="71" spans="7:10" x14ac:dyDescent="0.3">
      <c r="G71">
        <v>50</v>
      </c>
      <c r="H71" s="38">
        <v>1843644414.3017366</v>
      </c>
      <c r="I71" s="4"/>
      <c r="J71" s="4"/>
    </row>
    <row r="72" spans="7:10" x14ac:dyDescent="0.3">
      <c r="G72">
        <v>51</v>
      </c>
      <c r="H72" s="38">
        <v>1759281518.2848308</v>
      </c>
      <c r="I72" s="4"/>
      <c r="J72" s="4"/>
    </row>
    <row r="73" spans="7:10" x14ac:dyDescent="0.3">
      <c r="G73">
        <v>52</v>
      </c>
      <c r="H73" s="38">
        <v>1665979463.6811535</v>
      </c>
      <c r="I73" s="4"/>
      <c r="J73" s="4"/>
    </row>
    <row r="74" spans="7:10" x14ac:dyDescent="0.3">
      <c r="G74">
        <v>53</v>
      </c>
      <c r="H74" s="38">
        <v>1758277539.6258943</v>
      </c>
      <c r="I74" s="4"/>
      <c r="J74" s="4"/>
    </row>
    <row r="75" spans="7:10" x14ac:dyDescent="0.3">
      <c r="G75">
        <v>54</v>
      </c>
      <c r="H75" s="38">
        <v>1919012489.8671033</v>
      </c>
      <c r="I75" s="4"/>
      <c r="J75" s="4"/>
    </row>
    <row r="76" spans="7:10" x14ac:dyDescent="0.3">
      <c r="G76">
        <v>55</v>
      </c>
      <c r="H76" s="38">
        <v>1715548573.2465575</v>
      </c>
      <c r="I76" s="4"/>
      <c r="J76" s="4"/>
    </row>
    <row r="77" spans="7:10" x14ac:dyDescent="0.3">
      <c r="G77">
        <v>56</v>
      </c>
      <c r="H77" s="38">
        <v>1770690573.2525163</v>
      </c>
      <c r="I77" s="4"/>
      <c r="J77" s="4"/>
    </row>
    <row r="78" spans="7:10" x14ac:dyDescent="0.3">
      <c r="G78">
        <v>57</v>
      </c>
      <c r="H78" s="38">
        <v>1688796103.2840877</v>
      </c>
      <c r="I78" s="4"/>
      <c r="J78" s="4"/>
    </row>
    <row r="79" spans="7:10" x14ac:dyDescent="0.3">
      <c r="G79">
        <v>58</v>
      </c>
      <c r="H79" s="38">
        <v>1772080798.101088</v>
      </c>
      <c r="I79" s="4"/>
      <c r="J79" s="4"/>
    </row>
    <row r="80" spans="7:10" x14ac:dyDescent="0.3">
      <c r="G80">
        <v>59</v>
      </c>
      <c r="H80" s="38">
        <v>1766338868.1419864</v>
      </c>
      <c r="I80" s="4"/>
      <c r="J80" s="4"/>
    </row>
    <row r="81" spans="7:10" x14ac:dyDescent="0.3">
      <c r="G81">
        <v>60</v>
      </c>
      <c r="H81" s="38">
        <v>1851255942.1102397</v>
      </c>
      <c r="I81" s="4"/>
      <c r="J81" s="4"/>
    </row>
    <row r="82" spans="7:10" x14ac:dyDescent="0.3">
      <c r="G82">
        <v>61</v>
      </c>
      <c r="H82" s="38">
        <v>1848666302.6138105</v>
      </c>
      <c r="I82" s="4"/>
      <c r="J82" s="4"/>
    </row>
    <row r="83" spans="7:10" x14ac:dyDescent="0.3">
      <c r="G83">
        <v>62</v>
      </c>
      <c r="H83" s="38">
        <v>1739330693.3302336</v>
      </c>
      <c r="I83" s="4"/>
      <c r="J83" s="4"/>
    </row>
    <row r="84" spans="7:10" x14ac:dyDescent="0.3">
      <c r="G84">
        <v>63</v>
      </c>
      <c r="H84" s="38">
        <v>1636040695.1892297</v>
      </c>
      <c r="I84" s="4"/>
      <c r="J84" s="4"/>
    </row>
    <row r="85" spans="7:10" x14ac:dyDescent="0.3">
      <c r="G85">
        <v>64</v>
      </c>
      <c r="H85" s="38">
        <v>1658952498.8711438</v>
      </c>
      <c r="I85" s="4"/>
      <c r="J85" s="4"/>
    </row>
    <row r="86" spans="7:10" x14ac:dyDescent="0.3">
      <c r="G86">
        <v>65</v>
      </c>
      <c r="H86" s="38">
        <v>1690391358.4799957</v>
      </c>
      <c r="I86" s="4"/>
      <c r="J86" s="4"/>
    </row>
    <row r="87" spans="7:10" x14ac:dyDescent="0.3">
      <c r="G87">
        <v>66</v>
      </c>
      <c r="H87" s="38">
        <v>1656988088.869252</v>
      </c>
      <c r="I87" s="4"/>
      <c r="J87" s="4"/>
    </row>
    <row r="88" spans="7:10" x14ac:dyDescent="0.3">
      <c r="G88">
        <v>67</v>
      </c>
      <c r="H88" s="38">
        <v>1639873215.6261947</v>
      </c>
      <c r="I88" s="4"/>
      <c r="J88" s="4"/>
    </row>
    <row r="89" spans="7:10" x14ac:dyDescent="0.3">
      <c r="G89">
        <v>68</v>
      </c>
      <c r="H89" s="38">
        <v>1741363979.2970319</v>
      </c>
      <c r="I89" s="4"/>
      <c r="J89" s="4"/>
    </row>
    <row r="90" spans="7:10" x14ac:dyDescent="0.3">
      <c r="G90">
        <v>69</v>
      </c>
      <c r="H90" s="38">
        <v>1477370787.2784657</v>
      </c>
      <c r="I90" s="4"/>
      <c r="J90" s="4"/>
    </row>
    <row r="91" spans="7:10" x14ac:dyDescent="0.3">
      <c r="G91">
        <v>70</v>
      </c>
      <c r="H91" s="38">
        <v>1562702839.8732448</v>
      </c>
      <c r="I91" s="4"/>
      <c r="J91" s="4"/>
    </row>
    <row r="92" spans="7:10" x14ac:dyDescent="0.3">
      <c r="G92">
        <v>71</v>
      </c>
      <c r="H92" s="38">
        <v>1657599900.5560396</v>
      </c>
      <c r="I92" s="4"/>
      <c r="J92" s="4"/>
    </row>
    <row r="93" spans="7:10" x14ac:dyDescent="0.3">
      <c r="G93">
        <v>72</v>
      </c>
      <c r="H93" s="38">
        <v>1644500708.0245867</v>
      </c>
      <c r="I93" s="4"/>
      <c r="J93" s="4"/>
    </row>
    <row r="94" spans="7:10" x14ac:dyDescent="0.3">
      <c r="G94">
        <v>73</v>
      </c>
      <c r="H94" s="38">
        <v>2000139160.5557435</v>
      </c>
      <c r="I94" s="4"/>
      <c r="J94" s="4"/>
    </row>
    <row r="95" spans="7:10" x14ac:dyDescent="0.3">
      <c r="G95">
        <v>74</v>
      </c>
      <c r="H95" s="38">
        <v>1623305335.7619491</v>
      </c>
      <c r="I95" s="4"/>
      <c r="J95" s="4"/>
    </row>
    <row r="96" spans="7:10" x14ac:dyDescent="0.3">
      <c r="G96">
        <v>75</v>
      </c>
      <c r="H96" s="38">
        <v>1641365340.5565021</v>
      </c>
      <c r="I96" s="4"/>
      <c r="J96" s="4"/>
    </row>
    <row r="97" spans="7:10" x14ac:dyDescent="0.3">
      <c r="G97">
        <v>76</v>
      </c>
      <c r="H97" s="38">
        <v>1751910556.004787</v>
      </c>
      <c r="I97" s="4"/>
      <c r="J97" s="4"/>
    </row>
    <row r="98" spans="7:10" x14ac:dyDescent="0.3">
      <c r="G98">
        <v>77</v>
      </c>
      <c r="H98" s="38">
        <v>1725304527.2679033</v>
      </c>
      <c r="I98" s="4"/>
      <c r="J98" s="4"/>
    </row>
    <row r="99" spans="7:10" x14ac:dyDescent="0.3">
      <c r="G99">
        <v>78</v>
      </c>
      <c r="H99" s="38">
        <v>1742029654.53773</v>
      </c>
      <c r="I99" s="4"/>
      <c r="J99" s="4"/>
    </row>
    <row r="100" spans="7:10" x14ac:dyDescent="0.3">
      <c r="G100">
        <v>79</v>
      </c>
      <c r="H100" s="38">
        <v>1689938216.5025649</v>
      </c>
      <c r="I100" s="4"/>
      <c r="J100" s="4"/>
    </row>
    <row r="101" spans="7:10" x14ac:dyDescent="0.3">
      <c r="G101">
        <v>80</v>
      </c>
      <c r="H101" s="38">
        <v>1635926856.0036247</v>
      </c>
      <c r="I101" s="4"/>
      <c r="J101" s="4"/>
    </row>
    <row r="102" spans="7:10" x14ac:dyDescent="0.3">
      <c r="G102">
        <v>81</v>
      </c>
      <c r="H102" s="38">
        <v>1704831798.4101291</v>
      </c>
      <c r="I102" s="4"/>
      <c r="J102" s="4"/>
    </row>
    <row r="103" spans="7:10" x14ac:dyDescent="0.3">
      <c r="G103">
        <v>82</v>
      </c>
      <c r="H103" s="38">
        <v>1647384613.0881534</v>
      </c>
      <c r="I103" s="4"/>
      <c r="J103" s="4"/>
    </row>
    <row r="104" spans="7:10" x14ac:dyDescent="0.3">
      <c r="G104">
        <v>83</v>
      </c>
      <c r="H104" s="38">
        <v>1481249883.930403</v>
      </c>
      <c r="I104" s="4"/>
      <c r="J104" s="4"/>
    </row>
    <row r="105" spans="7:10" x14ac:dyDescent="0.3">
      <c r="G105">
        <v>84</v>
      </c>
      <c r="H105" s="38">
        <v>1737882413.3811972</v>
      </c>
      <c r="I105" s="4"/>
      <c r="J105" s="4"/>
    </row>
    <row r="106" spans="7:10" x14ac:dyDescent="0.3">
      <c r="G106">
        <v>85</v>
      </c>
      <c r="H106" s="38">
        <v>1655265262.2308555</v>
      </c>
      <c r="I106" s="4"/>
      <c r="J106" s="4"/>
    </row>
    <row r="107" spans="7:10" x14ac:dyDescent="0.3">
      <c r="G107">
        <v>86</v>
      </c>
      <c r="H107" s="38">
        <v>1771973625.9661355</v>
      </c>
      <c r="I107" s="4"/>
      <c r="J107" s="4"/>
    </row>
    <row r="108" spans="7:10" x14ac:dyDescent="0.3">
      <c r="G108">
        <v>87</v>
      </c>
      <c r="H108" s="38">
        <v>1902516808.5733719</v>
      </c>
      <c r="I108" s="4"/>
      <c r="J108" s="4"/>
    </row>
    <row r="109" spans="7:10" x14ac:dyDescent="0.3">
      <c r="G109">
        <v>88</v>
      </c>
      <c r="H109" s="38">
        <v>1638891227.0210609</v>
      </c>
      <c r="I109" s="4"/>
      <c r="J109" s="4"/>
    </row>
    <row r="110" spans="7:10" x14ac:dyDescent="0.3">
      <c r="G110">
        <v>89</v>
      </c>
      <c r="H110" s="38">
        <v>1693149401.8695931</v>
      </c>
      <c r="I110" s="4"/>
      <c r="J110" s="4"/>
    </row>
    <row r="111" spans="7:10" x14ac:dyDescent="0.3">
      <c r="G111">
        <v>90</v>
      </c>
      <c r="H111" s="38">
        <v>1582234805.8298728</v>
      </c>
      <c r="I111" s="4"/>
      <c r="J111" s="4"/>
    </row>
    <row r="112" spans="7:10" x14ac:dyDescent="0.3">
      <c r="G112">
        <v>91</v>
      </c>
      <c r="H112" s="38">
        <v>1799863439.7641668</v>
      </c>
      <c r="I112" s="4"/>
      <c r="J112" s="4"/>
    </row>
    <row r="113" spans="7:10" x14ac:dyDescent="0.3">
      <c r="G113">
        <v>92</v>
      </c>
      <c r="H113" s="38">
        <v>1659883982.4677088</v>
      </c>
      <c r="I113" s="4"/>
      <c r="J113" s="4"/>
    </row>
    <row r="114" spans="7:10" x14ac:dyDescent="0.3">
      <c r="G114">
        <v>93</v>
      </c>
      <c r="H114" s="38">
        <v>1641899802.7267964</v>
      </c>
      <c r="I114" s="4"/>
      <c r="J114" s="4"/>
    </row>
    <row r="115" spans="7:10" x14ac:dyDescent="0.3">
      <c r="G115">
        <v>94</v>
      </c>
      <c r="H115" s="38">
        <v>1912802966.9099569</v>
      </c>
      <c r="I115" s="4"/>
      <c r="J115" s="4"/>
    </row>
    <row r="116" spans="7:10" x14ac:dyDescent="0.3">
      <c r="G116">
        <v>95</v>
      </c>
      <c r="H116" s="38">
        <v>1865808862.2860546</v>
      </c>
      <c r="I116" s="4"/>
      <c r="J116" s="4"/>
    </row>
    <row r="117" spans="7:10" x14ac:dyDescent="0.3">
      <c r="G117">
        <v>96</v>
      </c>
      <c r="H117" s="38">
        <v>1716642977.7779765</v>
      </c>
      <c r="I117" s="4"/>
      <c r="J117" s="4"/>
    </row>
    <row r="118" spans="7:10" x14ac:dyDescent="0.3">
      <c r="G118">
        <v>97</v>
      </c>
      <c r="H118" s="38">
        <v>1547082775.6464324</v>
      </c>
      <c r="I118" s="4"/>
      <c r="J118" s="4"/>
    </row>
    <row r="119" spans="7:10" x14ac:dyDescent="0.3">
      <c r="G119">
        <v>98</v>
      </c>
      <c r="H119" s="38">
        <v>1452153595.1924257</v>
      </c>
      <c r="I119" s="4"/>
      <c r="J119" s="4"/>
    </row>
    <row r="120" spans="7:10" x14ac:dyDescent="0.3">
      <c r="G120">
        <v>99</v>
      </c>
      <c r="H120" s="38">
        <v>1576517450.1084979</v>
      </c>
      <c r="I120" s="4"/>
      <c r="J120" s="4"/>
    </row>
    <row r="121" spans="7:10" x14ac:dyDescent="0.3">
      <c r="G121">
        <v>100</v>
      </c>
      <c r="H121" s="38">
        <v>1832040023.8482728</v>
      </c>
      <c r="I121" s="4"/>
      <c r="J121" s="4"/>
    </row>
    <row r="122" spans="7:10" x14ac:dyDescent="0.3">
      <c r="G122">
        <v>101</v>
      </c>
      <c r="H122" s="38">
        <v>1652347193.7485981</v>
      </c>
      <c r="I122" s="4"/>
      <c r="J122" s="4"/>
    </row>
    <row r="123" spans="7:10" x14ac:dyDescent="0.3">
      <c r="G123">
        <v>102</v>
      </c>
      <c r="H123" s="38">
        <v>1987427703.3598034</v>
      </c>
      <c r="I123" s="4"/>
      <c r="J123" s="4"/>
    </row>
    <row r="124" spans="7:10" x14ac:dyDescent="0.3">
      <c r="G124">
        <v>103</v>
      </c>
      <c r="H124" s="38">
        <v>1884815214.0939848</v>
      </c>
      <c r="I124" s="4"/>
      <c r="J124" s="4"/>
    </row>
    <row r="125" spans="7:10" x14ac:dyDescent="0.3">
      <c r="G125">
        <v>104</v>
      </c>
      <c r="H125" s="38">
        <v>1689898124.8413184</v>
      </c>
      <c r="I125" s="4"/>
      <c r="J125" s="4"/>
    </row>
    <row r="126" spans="7:10" x14ac:dyDescent="0.3">
      <c r="G126">
        <v>105</v>
      </c>
      <c r="H126" s="38">
        <v>1746660731.8155668</v>
      </c>
      <c r="I126" s="4"/>
      <c r="J126" s="4"/>
    </row>
    <row r="127" spans="7:10" x14ac:dyDescent="0.3">
      <c r="G127">
        <v>106</v>
      </c>
      <c r="H127" s="38">
        <v>1776888911.4373469</v>
      </c>
      <c r="I127" s="4"/>
      <c r="J127" s="4"/>
    </row>
    <row r="128" spans="7:10" x14ac:dyDescent="0.3">
      <c r="G128">
        <v>107</v>
      </c>
      <c r="H128" s="38">
        <v>1726852330.8219881</v>
      </c>
      <c r="I128" s="4"/>
      <c r="J128" s="4"/>
    </row>
    <row r="129" spans="7:10" x14ac:dyDescent="0.3">
      <c r="G129">
        <v>108</v>
      </c>
      <c r="H129" s="38">
        <v>1609527106.4742594</v>
      </c>
      <c r="I129" s="4"/>
      <c r="J12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NPV_Roadmap</vt:lpstr>
      <vt:lpstr>NPV_Baseline</vt:lpstr>
      <vt:lpstr>Mappings</vt:lpstr>
      <vt:lpstr>MC_Baseline</vt:lpstr>
      <vt:lpstr>MC_Inclusive</vt:lpstr>
      <vt:lpstr>MC_Inequitable</vt:lpstr>
      <vt:lpstr>MC_Status_quo</vt:lpstr>
      <vt:lpstr>MC_Middle_rd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2021-11-25T12:33:54Z</dcterms:modified>
</cp:coreProperties>
</file>