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F7114B8C-5A82-4FE7-80CA-01C1667005F2}" xr6:coauthVersionLast="46" xr6:coauthVersionMax="46" xr10:uidLastSave="{00000000-0000-0000-0000-000000000000}"/>
  <bookViews>
    <workbookView xWindow="-108" yWindow="-108" windowWidth="23256" windowHeight="12576" activeTab="2" xr2:uid="{64B7B528-6AFC-453E-A699-FBF307BA8192}"/>
  </bookViews>
  <sheets>
    <sheet name="NPV_Roadmap" sheetId="4" r:id="rId1"/>
    <sheet name="NPV_Baseline" sheetId="10" r:id="rId2"/>
    <sheet name="Mappings" sheetId="1" r:id="rId3"/>
    <sheet name="MC_Baseline" sheetId="26" r:id="rId4"/>
    <sheet name="MC_Inclusive" sheetId="25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" l="1"/>
  <c r="E26" i="1" l="1"/>
  <c r="E25" i="1"/>
  <c r="L33" i="4" l="1"/>
  <c r="L32" i="4" l="1"/>
  <c r="K29" i="10" l="1"/>
  <c r="K31" i="10"/>
  <c r="L31" i="10"/>
  <c r="K33" i="10"/>
  <c r="L33" i="10"/>
  <c r="K34" i="10"/>
  <c r="L34" i="10"/>
  <c r="K36" i="10"/>
  <c r="K37" i="10"/>
  <c r="K39" i="10"/>
  <c r="L39" i="10"/>
  <c r="K40" i="10"/>
  <c r="L40" i="10"/>
  <c r="K42" i="10"/>
  <c r="K43" i="10"/>
  <c r="K44" i="10"/>
  <c r="K45" i="10"/>
  <c r="K26" i="10"/>
  <c r="K25" i="10"/>
  <c r="L12" i="10"/>
  <c r="L11" i="10"/>
  <c r="K11" i="10"/>
  <c r="K12" i="10"/>
  <c r="K14" i="10"/>
  <c r="K15" i="10"/>
  <c r="K17" i="10"/>
  <c r="K10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76" i="10"/>
  <c r="D75" i="10"/>
  <c r="L17" i="4"/>
  <c r="L25" i="4"/>
  <c r="D3" i="21"/>
  <c r="D3" i="19"/>
  <c r="D3" i="18"/>
  <c r="H51" i="1"/>
  <c r="E51" i="1"/>
  <c r="L35" i="4" l="1"/>
  <c r="L26" i="10"/>
  <c r="L17" i="10"/>
  <c r="D11" i="10"/>
  <c r="D9" i="10"/>
  <c r="D10" i="10"/>
  <c r="L36" i="4"/>
  <c r="E47" i="1"/>
  <c r="E48" i="1"/>
  <c r="E52" i="1"/>
  <c r="L37" i="10" l="1"/>
  <c r="L36" i="10"/>
  <c r="B46" i="10"/>
  <c r="B44" i="10"/>
  <c r="B11" i="10"/>
  <c r="E45" i="10"/>
  <c r="D8" i="10"/>
  <c r="E42" i="10"/>
  <c r="B42" i="10"/>
  <c r="B45" i="10"/>
  <c r="E47" i="10"/>
  <c r="E46" i="10"/>
  <c r="B10" i="10"/>
  <c r="B9" i="10"/>
  <c r="B47" i="10"/>
  <c r="E44" i="10"/>
  <c r="B12" i="10"/>
  <c r="B8" i="10"/>
  <c r="D12" i="10"/>
  <c r="E46" i="1"/>
  <c r="B14" i="10" l="1"/>
  <c r="D14" i="10"/>
  <c r="B48" i="10"/>
  <c r="E48" i="10"/>
  <c r="E45" i="1"/>
  <c r="E44" i="1"/>
  <c r="J3" i="1"/>
  <c r="J4" i="1"/>
  <c r="J8" i="1" l="1"/>
  <c r="J12" i="1" s="1"/>
  <c r="J16" i="1" s="1"/>
  <c r="J20" i="1" s="1"/>
  <c r="J6" i="1"/>
  <c r="J10" i="1" s="1"/>
  <c r="J14" i="1" s="1"/>
  <c r="J18" i="1" s="1"/>
  <c r="C44" i="4"/>
  <c r="J7" i="1"/>
  <c r="J11" i="1" s="1"/>
  <c r="J15" i="1" s="1"/>
  <c r="J19" i="1" s="1"/>
  <c r="H3" i="1" l="1"/>
  <c r="H4" i="1"/>
  <c r="L14" i="4" l="1"/>
  <c r="L14" i="10" l="1"/>
  <c r="C12" i="4"/>
  <c r="C20" i="19"/>
  <c r="C19" i="19"/>
  <c r="C18" i="19"/>
  <c r="C20" i="18"/>
  <c r="C19" i="18"/>
  <c r="C18" i="18"/>
  <c r="C20" i="25"/>
  <c r="C19" i="25"/>
  <c r="C18" i="25"/>
  <c r="W4" i="1"/>
  <c r="E9" i="26" s="1"/>
  <c r="G6" i="1" l="1"/>
  <c r="E54" i="1"/>
  <c r="G10" i="1" l="1"/>
  <c r="C16" i="21"/>
  <c r="C15" i="21"/>
  <c r="C14" i="21"/>
  <c r="C12" i="21"/>
  <c r="C11" i="21"/>
  <c r="C10" i="21"/>
  <c r="C9" i="21"/>
  <c r="C8" i="21"/>
  <c r="C7" i="21"/>
  <c r="C6" i="21"/>
  <c r="C5" i="21"/>
  <c r="C16" i="19"/>
  <c r="C15" i="19"/>
  <c r="C14" i="19"/>
  <c r="C12" i="19"/>
  <c r="C11" i="19"/>
  <c r="C10" i="19"/>
  <c r="C9" i="19"/>
  <c r="C8" i="19"/>
  <c r="C7" i="19"/>
  <c r="C6" i="19"/>
  <c r="C5" i="19"/>
  <c r="C6" i="18"/>
  <c r="C7" i="18"/>
  <c r="C8" i="18"/>
  <c r="C9" i="18"/>
  <c r="C10" i="18"/>
  <c r="C11" i="18"/>
  <c r="C12" i="18"/>
  <c r="C14" i="18"/>
  <c r="C15" i="18"/>
  <c r="C16" i="18"/>
  <c r="C5" i="18"/>
  <c r="D3" i="25"/>
  <c r="W3" i="1"/>
  <c r="K4" i="1"/>
  <c r="K3" i="1"/>
  <c r="D7" i="26" s="1"/>
  <c r="D9" i="26" l="1"/>
  <c r="E7" i="26"/>
  <c r="E8" i="26" s="1"/>
  <c r="W8" i="1"/>
  <c r="AD11" i="1"/>
  <c r="AD15" i="1" s="1"/>
  <c r="AD19" i="1" s="1"/>
  <c r="F9" i="25" l="1"/>
  <c r="F10" i="25" s="1"/>
  <c r="W12" i="1"/>
  <c r="F9" i="18" s="1"/>
  <c r="F10" i="18" s="1"/>
  <c r="E53" i="1"/>
  <c r="W16" i="1" l="1"/>
  <c r="F9" i="19" s="1"/>
  <c r="F10" i="19" l="1"/>
  <c r="W20" i="1"/>
  <c r="F15" i="25" l="1"/>
  <c r="F9" i="21"/>
  <c r="F10" i="21" s="1"/>
  <c r="W6" i="1"/>
  <c r="W7" i="1"/>
  <c r="D9" i="25" l="1"/>
  <c r="D10" i="25" s="1"/>
  <c r="E9" i="25"/>
  <c r="E10" i="25" s="1"/>
  <c r="W10" i="1"/>
  <c r="F15" i="18"/>
  <c r="W11" i="1"/>
  <c r="E9" i="18" l="1"/>
  <c r="E10" i="18" s="1"/>
  <c r="D9" i="18"/>
  <c r="D10" i="18" s="1"/>
  <c r="E15" i="25"/>
  <c r="D15" i="25"/>
  <c r="F15" i="19"/>
  <c r="W14" i="1"/>
  <c r="W15" i="1"/>
  <c r="E9" i="19" s="1"/>
  <c r="D15" i="18" l="1"/>
  <c r="E15" i="18"/>
  <c r="D9" i="19"/>
  <c r="D10" i="19" s="1"/>
  <c r="W18" i="1"/>
  <c r="W19" i="1"/>
  <c r="E10" i="19"/>
  <c r="E15" i="19" l="1"/>
  <c r="D15" i="19"/>
  <c r="E9" i="21"/>
  <c r="E10" i="21" s="1"/>
  <c r="D9" i="21"/>
  <c r="D10" i="21" s="1"/>
  <c r="D15" i="21" l="1"/>
  <c r="E15" i="21"/>
  <c r="L29" i="4"/>
  <c r="L29" i="10" l="1"/>
  <c r="E49" i="1"/>
  <c r="E50" i="1" l="1"/>
  <c r="N20" i="1" l="1"/>
  <c r="N18" i="1"/>
  <c r="N6" i="1" l="1"/>
  <c r="K15" i="1" l="1"/>
  <c r="K7" i="1"/>
  <c r="G8" i="1" l="1"/>
  <c r="G12" i="1" l="1"/>
  <c r="G16" i="1" s="1"/>
  <c r="G20" i="1" s="1"/>
  <c r="G14" i="1"/>
  <c r="G18" i="1" s="1"/>
  <c r="N14" i="1" l="1"/>
  <c r="N10" i="1"/>
  <c r="K6" i="1"/>
  <c r="A33" i="1" l="1"/>
  <c r="A18" i="1" s="1"/>
  <c r="A31" i="1"/>
  <c r="A14" i="1" s="1"/>
  <c r="A29" i="1"/>
  <c r="A10" i="1" s="1"/>
  <c r="A27" i="1"/>
  <c r="A6" i="1" s="1"/>
  <c r="K8" i="1"/>
  <c r="K12" i="1" l="1"/>
  <c r="K10" i="1"/>
  <c r="K11" i="1"/>
  <c r="K19" i="1"/>
  <c r="K16" i="1" l="1"/>
  <c r="K14" i="1"/>
  <c r="K18" i="1" l="1"/>
  <c r="K20" i="1"/>
  <c r="E43" i="4"/>
  <c r="E38" i="4"/>
  <c r="E41" i="4"/>
  <c r="E42" i="4"/>
  <c r="B56" i="10"/>
  <c r="C42" i="4"/>
  <c r="G42" i="4"/>
  <c r="G11" i="4"/>
  <c r="C11" i="4"/>
  <c r="E59" i="10"/>
  <c r="G9" i="4"/>
  <c r="C9" i="4"/>
  <c r="E57" i="10"/>
  <c r="E9" i="4"/>
  <c r="B57" i="10"/>
  <c r="C43" i="4"/>
  <c r="G43" i="4"/>
  <c r="G10" i="4"/>
  <c r="C10" i="4"/>
  <c r="E58" i="10"/>
  <c r="E10" i="4"/>
  <c r="B58" i="10"/>
  <c r="G12" i="4"/>
  <c r="C41" i="4"/>
  <c r="G41" i="4"/>
  <c r="B59" i="10"/>
  <c r="E11" i="4"/>
  <c r="E12" i="4"/>
  <c r="C38" i="4"/>
  <c r="G38" i="4"/>
  <c r="E56" i="10"/>
  <c r="B64" i="10" l="1"/>
  <c r="E52" i="4"/>
  <c r="E54" i="4"/>
  <c r="E53" i="4"/>
  <c r="E44" i="4"/>
  <c r="G52" i="4"/>
  <c r="G53" i="4"/>
  <c r="C54" i="4"/>
  <c r="G54" i="4"/>
  <c r="G44" i="4"/>
  <c r="E64" i="10"/>
  <c r="C53" i="4"/>
  <c r="C52" i="4"/>
  <c r="N8" i="1" l="1"/>
  <c r="N12" i="1"/>
  <c r="N16" i="1"/>
  <c r="L43" i="4" l="1"/>
  <c r="L41" i="4"/>
  <c r="L42" i="4" l="1"/>
  <c r="C25" i="4"/>
  <c r="E25" i="4"/>
  <c r="L42" i="10"/>
  <c r="B25" i="10" s="1"/>
  <c r="L44" i="4"/>
  <c r="G25" i="4"/>
  <c r="L44" i="10"/>
  <c r="D25" i="10" s="1"/>
  <c r="G46" i="4" l="1"/>
  <c r="G57" i="4" s="1"/>
  <c r="E46" i="4"/>
  <c r="E57" i="4" s="1"/>
  <c r="C46" i="4"/>
  <c r="C57" i="4" s="1"/>
  <c r="L45" i="10"/>
  <c r="E50" i="10" s="1"/>
  <c r="E62" i="10" s="1"/>
  <c r="Q56" i="1"/>
  <c r="L43" i="10"/>
  <c r="B50" i="10" s="1"/>
  <c r="B62" i="10" s="1"/>
  <c r="L15" i="4"/>
  <c r="L15" i="10" l="1"/>
  <c r="X4" i="1"/>
  <c r="X3" i="1"/>
  <c r="G3" i="1"/>
  <c r="E10" i="26" l="1"/>
  <c r="E15" i="26" s="1"/>
  <c r="X8" i="1"/>
  <c r="X12" i="1" s="1"/>
  <c r="X16" i="1" s="1"/>
  <c r="X20" i="1" s="1"/>
  <c r="F15" i="21" s="1"/>
  <c r="D8" i="26"/>
  <c r="G7" i="1"/>
  <c r="G3" i="4"/>
  <c r="D10" i="26"/>
  <c r="D15" i="26" s="1"/>
  <c r="X7" i="1"/>
  <c r="X11" i="1" s="1"/>
  <c r="X15" i="1" s="1"/>
  <c r="X19" i="1" s="1"/>
  <c r="X6" i="1"/>
  <c r="X10" i="1" s="1"/>
  <c r="X14" i="1" s="1"/>
  <c r="X18" i="1" s="1"/>
  <c r="B3" i="10"/>
  <c r="D3" i="10"/>
  <c r="G11" i="1" l="1"/>
  <c r="E54" i="10"/>
  <c r="B54" i="10"/>
  <c r="E3" i="4"/>
  <c r="C3" i="4"/>
  <c r="G49" i="4"/>
  <c r="G15" i="1" l="1"/>
  <c r="E49" i="4"/>
  <c r="C49" i="4"/>
  <c r="G19" i="1" l="1"/>
  <c r="E8" i="4"/>
  <c r="G8" i="4" l="1"/>
  <c r="C8" i="4"/>
  <c r="E40" i="4"/>
  <c r="E51" i="4" s="1"/>
  <c r="E59" i="4" s="1"/>
  <c r="E14" i="4"/>
  <c r="C40" i="4" l="1"/>
  <c r="C51" i="4" s="1"/>
  <c r="C59" i="4" s="1"/>
  <c r="C14" i="4"/>
  <c r="G40" i="4"/>
  <c r="G51" i="4" s="1"/>
  <c r="G59" i="4" s="1"/>
  <c r="G14" i="4"/>
  <c r="G27" i="4" l="1"/>
  <c r="C27" i="4"/>
  <c r="E27" i="4"/>
  <c r="D28" i="10" l="1"/>
  <c r="D29" i="10" s="1"/>
  <c r="B28" i="10"/>
  <c r="B29" i="10" s="1"/>
  <c r="E26" i="4" l="1"/>
  <c r="E28" i="4" s="1"/>
  <c r="C26" i="4"/>
  <c r="B28" i="4" s="1"/>
  <c r="G26" i="4"/>
  <c r="G28" i="4" s="1"/>
  <c r="G45" i="4" l="1"/>
  <c r="G56" i="4" s="1"/>
  <c r="G60" i="4" s="1"/>
  <c r="G29" i="4"/>
  <c r="G30" i="4" s="1"/>
  <c r="E45" i="4"/>
  <c r="E56" i="4" s="1"/>
  <c r="E60" i="4" s="1"/>
  <c r="E29" i="4"/>
  <c r="E30" i="4" s="1"/>
  <c r="D26" i="10"/>
  <c r="D27" i="10" s="1"/>
  <c r="D30" i="10" s="1"/>
  <c r="B26" i="10"/>
  <c r="B27" i="10" s="1"/>
  <c r="B30" i="10" s="1"/>
  <c r="C29" i="4"/>
  <c r="C30" i="4" s="1"/>
  <c r="C45" i="4"/>
  <c r="C56" i="4" s="1"/>
  <c r="C60" i="4" s="1"/>
  <c r="B49" i="10" l="1"/>
  <c r="B61" i="10" s="1"/>
  <c r="B65" i="10" s="1"/>
  <c r="B31" i="10"/>
  <c r="B32" i="10" s="1"/>
  <c r="E49" i="10"/>
  <c r="E61" i="10" s="1"/>
  <c r="E65" i="10" s="1"/>
  <c r="D31" i="10"/>
  <c r="D32" i="10" s="1"/>
  <c r="F25" i="1" l="1"/>
  <c r="Q41" i="1" l="1"/>
  <c r="H25" i="1" s="1"/>
  <c r="L25" i="1" s="1"/>
  <c r="O4" i="1"/>
  <c r="C4" i="1" s="1"/>
  <c r="O3" i="1"/>
  <c r="C3" i="1" s="1"/>
  <c r="B4" i="10"/>
  <c r="E3" i="1" l="1"/>
  <c r="D3" i="1" s="1"/>
  <c r="F3" i="1" s="1"/>
  <c r="B5" i="10"/>
  <c r="B67" i="10"/>
  <c r="B69" i="10" s="1"/>
  <c r="C75" i="10" s="1"/>
  <c r="H26" i="1"/>
  <c r="L26" i="1" s="1"/>
  <c r="D4" i="10"/>
  <c r="E4" i="1" l="1"/>
  <c r="AB4" i="1" s="1"/>
  <c r="AB3" i="1"/>
  <c r="AB7" i="1" s="1"/>
  <c r="M26" i="1"/>
  <c r="D5" i="10"/>
  <c r="E67" i="10"/>
  <c r="E69" i="10" s="1"/>
  <c r="E75" i="10" s="1"/>
  <c r="AB6" i="1"/>
  <c r="B71" i="10"/>
  <c r="B72" i="10"/>
  <c r="R3" i="1" s="1"/>
  <c r="U3" i="1" s="1"/>
  <c r="B19" i="10"/>
  <c r="B20" i="10"/>
  <c r="B17" i="10"/>
  <c r="B18" i="10"/>
  <c r="B21" i="10"/>
  <c r="F6" i="1"/>
  <c r="F18" i="1"/>
  <c r="F14" i="1"/>
  <c r="F10" i="1"/>
  <c r="F11" i="1"/>
  <c r="L3" i="1"/>
  <c r="F19" i="1"/>
  <c r="D11" i="26"/>
  <c r="D12" i="26" s="1"/>
  <c r="D16" i="26" s="1"/>
  <c r="F15" i="1"/>
  <c r="AB11" i="1" l="1"/>
  <c r="D4" i="1"/>
  <c r="F4" i="1" s="1"/>
  <c r="E11" i="26" s="1"/>
  <c r="E12" i="26" s="1"/>
  <c r="E16" i="26" s="1"/>
  <c r="B22" i="10"/>
  <c r="B34" i="10" s="1"/>
  <c r="Q3" i="1" s="1"/>
  <c r="E11" i="21"/>
  <c r="D11" i="19"/>
  <c r="D11" i="21"/>
  <c r="F7" i="1"/>
  <c r="D11" i="25"/>
  <c r="D12" i="25" s="1"/>
  <c r="D16" i="25" s="1"/>
  <c r="AB8" i="1"/>
  <c r="AB10" i="1"/>
  <c r="D11" i="18"/>
  <c r="P32" i="1"/>
  <c r="P31" i="1"/>
  <c r="P15" i="1" s="1"/>
  <c r="L15" i="1" s="1"/>
  <c r="H15" i="1" s="1"/>
  <c r="AG4" i="1"/>
  <c r="L4" i="1"/>
  <c r="E71" i="10"/>
  <c r="E72" i="10"/>
  <c r="R4" i="1" s="1"/>
  <c r="U4" i="1" s="1"/>
  <c r="E11" i="18"/>
  <c r="E12" i="18" s="1"/>
  <c r="E16" i="18" s="1"/>
  <c r="D21" i="10"/>
  <c r="D19" i="10"/>
  <c r="D18" i="10"/>
  <c r="D17" i="10"/>
  <c r="D20" i="10"/>
  <c r="E11" i="19"/>
  <c r="N25" i="1"/>
  <c r="M25" i="1"/>
  <c r="AB15" i="1"/>
  <c r="P33" i="1"/>
  <c r="P19" i="1" s="1"/>
  <c r="L19" i="1" s="1"/>
  <c r="H19" i="1" s="1"/>
  <c r="P34" i="1"/>
  <c r="O31" i="1"/>
  <c r="AG3" i="1" l="1"/>
  <c r="F8" i="1"/>
  <c r="S19" i="1"/>
  <c r="D22" i="10"/>
  <c r="D34" i="10" s="1"/>
  <c r="Q4" i="1" s="1"/>
  <c r="P25" i="1"/>
  <c r="D5" i="26"/>
  <c r="D6" i="26"/>
  <c r="D14" i="26" s="1"/>
  <c r="D18" i="26" s="1"/>
  <c r="E11" i="25"/>
  <c r="E12" i="25" s="1"/>
  <c r="E16" i="25" s="1"/>
  <c r="E7" i="1"/>
  <c r="AG7" i="1"/>
  <c r="P28" i="1"/>
  <c r="P27" i="1"/>
  <c r="P7" i="1" s="1"/>
  <c r="L7" i="1" s="1"/>
  <c r="H7" i="1" s="1"/>
  <c r="Q34" i="1"/>
  <c r="P20" i="1"/>
  <c r="L20" i="1" s="1"/>
  <c r="P18" i="1"/>
  <c r="L18" i="1" s="1"/>
  <c r="H18" i="1" s="1"/>
  <c r="P16" i="1"/>
  <c r="L16" i="1" s="1"/>
  <c r="P14" i="1"/>
  <c r="L14" i="1" s="1"/>
  <c r="H14" i="1" s="1"/>
  <c r="Q32" i="1"/>
  <c r="E12" i="19"/>
  <c r="E16" i="19" s="1"/>
  <c r="AB19" i="1"/>
  <c r="E12" i="21" s="1"/>
  <c r="E16" i="21" s="1"/>
  <c r="P30" i="1"/>
  <c r="P29" i="1"/>
  <c r="P11" i="1" s="1"/>
  <c r="L11" i="1" s="1"/>
  <c r="H11" i="1" s="1"/>
  <c r="AB14" i="1"/>
  <c r="D12" i="18"/>
  <c r="D16" i="18" s="1"/>
  <c r="E7" i="21"/>
  <c r="E8" i="21" s="1"/>
  <c r="M19" i="1"/>
  <c r="P26" i="1"/>
  <c r="AB12" i="1"/>
  <c r="E7" i="19"/>
  <c r="E8" i="19" s="1"/>
  <c r="M15" i="1"/>
  <c r="E6" i="1"/>
  <c r="F12" i="1"/>
  <c r="AG8" i="1"/>
  <c r="E8" i="1"/>
  <c r="F11" i="25"/>
  <c r="F12" i="25" s="1"/>
  <c r="F16" i="25" s="1"/>
  <c r="AG6" i="1"/>
  <c r="E4" i="4"/>
  <c r="Q28" i="1" l="1"/>
  <c r="P4" i="1"/>
  <c r="I4" i="1" s="1"/>
  <c r="M4" i="1" s="1"/>
  <c r="S4" i="1" s="1"/>
  <c r="Q26" i="1"/>
  <c r="S7" i="1"/>
  <c r="S18" i="1"/>
  <c r="P3" i="1"/>
  <c r="I3" i="1" s="1"/>
  <c r="M3" i="1" s="1"/>
  <c r="V4" i="1"/>
  <c r="Y4" i="1" s="1"/>
  <c r="S11" i="1"/>
  <c r="S3" i="1"/>
  <c r="T3" i="1" s="1"/>
  <c r="S14" i="1"/>
  <c r="S15" i="1"/>
  <c r="E7" i="25"/>
  <c r="E8" i="25" s="1"/>
  <c r="M7" i="1"/>
  <c r="P6" i="1"/>
  <c r="L6" i="1" s="1"/>
  <c r="H6" i="1" s="1"/>
  <c r="P8" i="1"/>
  <c r="L8" i="1" s="1"/>
  <c r="H8" i="1" s="1"/>
  <c r="M18" i="1"/>
  <c r="D7" i="21"/>
  <c r="D8" i="21" s="1"/>
  <c r="P12" i="1"/>
  <c r="L12" i="1" s="1"/>
  <c r="H12" i="1" s="1"/>
  <c r="P10" i="1"/>
  <c r="L10" i="1" s="1"/>
  <c r="H10" i="1" s="1"/>
  <c r="Q30" i="1"/>
  <c r="C4" i="4"/>
  <c r="G4" i="4"/>
  <c r="AB18" i="1"/>
  <c r="D12" i="19"/>
  <c r="D16" i="19" s="1"/>
  <c r="M11" i="1"/>
  <c r="E7" i="18"/>
  <c r="E8" i="18" s="1"/>
  <c r="AB16" i="1"/>
  <c r="F51" i="1"/>
  <c r="D7" i="19"/>
  <c r="D8" i="19" s="1"/>
  <c r="M14" i="1"/>
  <c r="F11" i="18"/>
  <c r="F12" i="18" s="1"/>
  <c r="F16" i="18" s="1"/>
  <c r="F16" i="1"/>
  <c r="AG12" i="1"/>
  <c r="E12" i="1"/>
  <c r="E11" i="1"/>
  <c r="E10" i="1"/>
  <c r="F52" i="1" s="1"/>
  <c r="AG11" i="1"/>
  <c r="AG10" i="1"/>
  <c r="E5" i="4"/>
  <c r="E62" i="4"/>
  <c r="E64" i="4" s="1"/>
  <c r="E70" i="4" s="1"/>
  <c r="T4" i="1"/>
  <c r="Z4" i="1" s="1"/>
  <c r="AC4" i="1" s="1"/>
  <c r="E6" i="26"/>
  <c r="E14" i="26" s="1"/>
  <c r="E18" i="26" s="1"/>
  <c r="G18" i="26" s="1"/>
  <c r="G22" i="26" s="1"/>
  <c r="E5" i="26"/>
  <c r="S10" i="1" l="1"/>
  <c r="V3" i="1"/>
  <c r="Y3" i="1" s="1"/>
  <c r="AD3" i="1" s="1"/>
  <c r="S6" i="1"/>
  <c r="S8" i="1"/>
  <c r="Z3" i="1"/>
  <c r="AC3" i="1" s="1"/>
  <c r="D12" i="21"/>
  <c r="D16" i="21" s="1"/>
  <c r="V8" i="1"/>
  <c r="Y8" i="1" s="1"/>
  <c r="S12" i="1"/>
  <c r="M10" i="1"/>
  <c r="D7" i="18"/>
  <c r="D8" i="18" s="1"/>
  <c r="F12" i="19"/>
  <c r="AB20" i="1"/>
  <c r="AD4" i="1"/>
  <c r="F7" i="25"/>
  <c r="F8" i="25" s="1"/>
  <c r="M8" i="1"/>
  <c r="H16" i="1"/>
  <c r="AG16" i="1"/>
  <c r="F11" i="19"/>
  <c r="E16" i="1"/>
  <c r="F20" i="1"/>
  <c r="E15" i="1"/>
  <c r="AG15" i="1"/>
  <c r="AG14" i="1"/>
  <c r="E14" i="1"/>
  <c r="M6" i="1"/>
  <c r="D7" i="25"/>
  <c r="D8" i="25" s="1"/>
  <c r="F7" i="18"/>
  <c r="F8" i="18" s="1"/>
  <c r="M12" i="1"/>
  <c r="E66" i="4"/>
  <c r="E67" i="4"/>
  <c r="G5" i="4"/>
  <c r="G62" i="4"/>
  <c r="G64" i="4" s="1"/>
  <c r="G70" i="4" s="1"/>
  <c r="G20" i="26"/>
  <c r="G19" i="26"/>
  <c r="E20" i="4"/>
  <c r="E21" i="4"/>
  <c r="E18" i="4"/>
  <c r="E17" i="4"/>
  <c r="E19" i="4"/>
  <c r="E16" i="4"/>
  <c r="C5" i="4"/>
  <c r="C62" i="4"/>
  <c r="C64" i="4" s="1"/>
  <c r="C70" i="4" s="1"/>
  <c r="V7" i="1" l="1"/>
  <c r="V6" i="1"/>
  <c r="V12" i="1"/>
  <c r="Y12" i="1" s="1"/>
  <c r="S16" i="1"/>
  <c r="F12" i="21"/>
  <c r="F53" i="1"/>
  <c r="F16" i="19"/>
  <c r="E22" i="4"/>
  <c r="E33" i="4" s="1"/>
  <c r="Q15" i="1" s="1"/>
  <c r="J20" i="26"/>
  <c r="AJ4" i="1" s="1"/>
  <c r="AD8" i="1"/>
  <c r="AH4" i="1"/>
  <c r="R15" i="1"/>
  <c r="U15" i="1" s="1"/>
  <c r="R7" i="1"/>
  <c r="U7" i="1" s="1"/>
  <c r="R19" i="1"/>
  <c r="U19" i="1" s="1"/>
  <c r="R11" i="1"/>
  <c r="U11" i="1" s="1"/>
  <c r="V16" i="1"/>
  <c r="E20" i="1"/>
  <c r="AG20" i="1"/>
  <c r="F11" i="21"/>
  <c r="F16" i="21" s="1"/>
  <c r="AG19" i="1"/>
  <c r="E19" i="1"/>
  <c r="E18" i="1"/>
  <c r="AG18" i="1"/>
  <c r="H20" i="1"/>
  <c r="C66" i="4"/>
  <c r="C67" i="4"/>
  <c r="C17" i="4"/>
  <c r="C18" i="4"/>
  <c r="C20" i="4"/>
  <c r="C19" i="4"/>
  <c r="C16" i="4"/>
  <c r="C21" i="4"/>
  <c r="G66" i="4"/>
  <c r="G67" i="4"/>
  <c r="G17" i="4"/>
  <c r="G16" i="4"/>
  <c r="G21" i="4"/>
  <c r="G19" i="4"/>
  <c r="G20" i="4"/>
  <c r="G18" i="4"/>
  <c r="V10" i="1"/>
  <c r="Y6" i="1"/>
  <c r="V11" i="1"/>
  <c r="Y7" i="1"/>
  <c r="F7" i="19"/>
  <c r="F8" i="19" s="1"/>
  <c r="M16" i="1"/>
  <c r="AH3" i="1"/>
  <c r="AD6" i="1"/>
  <c r="AD10" i="1" l="1"/>
  <c r="AK10" i="1" s="1"/>
  <c r="S20" i="1"/>
  <c r="Q19" i="1"/>
  <c r="E5" i="21" s="1"/>
  <c r="G22" i="4"/>
  <c r="G33" i="4" s="1"/>
  <c r="Q20" i="1" s="1"/>
  <c r="E34" i="4"/>
  <c r="Q7" i="1"/>
  <c r="T7" i="1" s="1"/>
  <c r="Z7" i="1" s="1"/>
  <c r="Q11" i="1"/>
  <c r="E5" i="18" s="1"/>
  <c r="C22" i="4"/>
  <c r="C33" i="4" s="1"/>
  <c r="Q6" i="1" s="1"/>
  <c r="V14" i="1"/>
  <c r="Y10" i="1"/>
  <c r="E5" i="19"/>
  <c r="E6" i="19"/>
  <c r="E14" i="19" s="1"/>
  <c r="E18" i="19" s="1"/>
  <c r="T15" i="1"/>
  <c r="Z15" i="1" s="1"/>
  <c r="AC15" i="1" s="1"/>
  <c r="AE15" i="1" s="1"/>
  <c r="V20" i="1"/>
  <c r="Y20" i="1" s="1"/>
  <c r="Y16" i="1"/>
  <c r="R18" i="1"/>
  <c r="U18" i="1" s="1"/>
  <c r="R10" i="1"/>
  <c r="U10" i="1" s="1"/>
  <c r="R6" i="1"/>
  <c r="U6" i="1" s="1"/>
  <c r="R14" i="1"/>
  <c r="U14" i="1" s="1"/>
  <c r="Y11" i="1"/>
  <c r="V15" i="1"/>
  <c r="M20" i="1"/>
  <c r="F7" i="21"/>
  <c r="F8" i="21" s="1"/>
  <c r="R8" i="1"/>
  <c r="U8" i="1" s="1"/>
  <c r="R12" i="1"/>
  <c r="U12" i="1" s="1"/>
  <c r="R16" i="1"/>
  <c r="U16" i="1" s="1"/>
  <c r="R20" i="1"/>
  <c r="U20" i="1" s="1"/>
  <c r="F54" i="1"/>
  <c r="AD14" i="1"/>
  <c r="AK11" i="1"/>
  <c r="AD12" i="1"/>
  <c r="Q12" i="1" l="1"/>
  <c r="F5" i="18" s="1"/>
  <c r="Q16" i="1"/>
  <c r="F6" i="19" s="1"/>
  <c r="F14" i="19" s="1"/>
  <c r="F18" i="19" s="1"/>
  <c r="Q8" i="1"/>
  <c r="F5" i="25" s="1"/>
  <c r="G34" i="4"/>
  <c r="E6" i="21"/>
  <c r="E14" i="21" s="1"/>
  <c r="E18" i="21" s="1"/>
  <c r="E5" i="25"/>
  <c r="E6" i="25"/>
  <c r="E14" i="25" s="1"/>
  <c r="E18" i="25" s="1"/>
  <c r="T11" i="1"/>
  <c r="Z11" i="1" s="1"/>
  <c r="AC11" i="1" s="1"/>
  <c r="AE11" i="1" s="1"/>
  <c r="E6" i="18"/>
  <c r="E14" i="18" s="1"/>
  <c r="E18" i="18" s="1"/>
  <c r="T19" i="1"/>
  <c r="Z19" i="1" s="1"/>
  <c r="AC19" i="1" s="1"/>
  <c r="AE19" i="1" s="1"/>
  <c r="Q14" i="1"/>
  <c r="D6" i="19" s="1"/>
  <c r="D14" i="19" s="1"/>
  <c r="D18" i="19" s="1"/>
  <c r="Q10" i="1"/>
  <c r="D5" i="18" s="1"/>
  <c r="Q18" i="1"/>
  <c r="D5" i="21" s="1"/>
  <c r="C34" i="4"/>
  <c r="T6" i="1"/>
  <c r="Z6" i="1" s="1"/>
  <c r="D5" i="25"/>
  <c r="D6" i="25"/>
  <c r="D14" i="25" s="1"/>
  <c r="D18" i="25" s="1"/>
  <c r="F5" i="21"/>
  <c r="F6" i="21"/>
  <c r="F14" i="21" s="1"/>
  <c r="F18" i="21" s="1"/>
  <c r="AA7" i="1"/>
  <c r="AC7" i="1"/>
  <c r="AE7" i="1" s="1"/>
  <c r="AD16" i="1"/>
  <c r="AK14" i="1"/>
  <c r="AK15" i="1"/>
  <c r="AD18" i="1"/>
  <c r="T20" i="1"/>
  <c r="Z20" i="1" s="1"/>
  <c r="AC20" i="1" s="1"/>
  <c r="V19" i="1"/>
  <c r="Y19" i="1" s="1"/>
  <c r="Y15" i="1"/>
  <c r="AA15" i="1" s="1"/>
  <c r="V18" i="1"/>
  <c r="Y18" i="1" s="1"/>
  <c r="Y14" i="1"/>
  <c r="T8" i="1" l="1"/>
  <c r="Z8" i="1" s="1"/>
  <c r="AC8" i="1" s="1"/>
  <c r="AK19" i="1"/>
  <c r="F6" i="25"/>
  <c r="F14" i="25" s="1"/>
  <c r="F18" i="25" s="1"/>
  <c r="H18" i="25" s="1"/>
  <c r="H22" i="25" s="1"/>
  <c r="H20" i="25" s="1"/>
  <c r="T12" i="1"/>
  <c r="Z12" i="1" s="1"/>
  <c r="AA12" i="1" s="1"/>
  <c r="F6" i="18"/>
  <c r="F14" i="18" s="1"/>
  <c r="F18" i="18" s="1"/>
  <c r="T16" i="1"/>
  <c r="Z16" i="1" s="1"/>
  <c r="AC16" i="1" s="1"/>
  <c r="AF16" i="1" s="1"/>
  <c r="F5" i="19"/>
  <c r="AA11" i="1"/>
  <c r="AA19" i="1"/>
  <c r="T10" i="1"/>
  <c r="Z10" i="1" s="1"/>
  <c r="AC10" i="1" s="1"/>
  <c r="D6" i="18"/>
  <c r="D14" i="18" s="1"/>
  <c r="D18" i="18" s="1"/>
  <c r="T18" i="1"/>
  <c r="Z18" i="1" s="1"/>
  <c r="AC18" i="1" s="1"/>
  <c r="D6" i="21"/>
  <c r="D14" i="21" s="1"/>
  <c r="D18" i="21" s="1"/>
  <c r="H18" i="21" s="1"/>
  <c r="H22" i="21" s="1"/>
  <c r="H20" i="21" s="1"/>
  <c r="T14" i="1"/>
  <c r="Z14" i="1" s="1"/>
  <c r="AC14" i="1" s="1"/>
  <c r="D5" i="19"/>
  <c r="AA20" i="1"/>
  <c r="AC6" i="1"/>
  <c r="AA6" i="1"/>
  <c r="AD20" i="1"/>
  <c r="AK18" i="1"/>
  <c r="AA8" i="1"/>
  <c r="AE16" i="1"/>
  <c r="H18" i="19"/>
  <c r="H22" i="19" s="1"/>
  <c r="AF20" i="1" l="1"/>
  <c r="AF10" i="1"/>
  <c r="AI16" i="1"/>
  <c r="AK16" i="1" s="1"/>
  <c r="AE18" i="1"/>
  <c r="H18" i="18"/>
  <c r="H22" i="18" s="1"/>
  <c r="H20" i="18" s="1"/>
  <c r="AA10" i="1"/>
  <c r="AC12" i="1"/>
  <c r="AI12" i="1" s="1"/>
  <c r="AK12" i="1" s="1"/>
  <c r="AA16" i="1"/>
  <c r="AE10" i="1"/>
  <c r="AE14" i="1"/>
  <c r="AF14" i="1"/>
  <c r="AA14" i="1"/>
  <c r="AA18" i="1"/>
  <c r="AI20" i="1"/>
  <c r="AK20" i="1" s="1"/>
  <c r="AF18" i="1"/>
  <c r="AI8" i="1"/>
  <c r="AE20" i="1"/>
  <c r="H19" i="25"/>
  <c r="K20" i="25" s="1"/>
  <c r="AH7" i="1" s="1"/>
  <c r="H19" i="21"/>
  <c r="K20" i="21" s="1"/>
  <c r="AE8" i="1"/>
  <c r="AF8" i="1"/>
  <c r="AE6" i="1"/>
  <c r="AF6" i="1"/>
  <c r="H19" i="19"/>
  <c r="H20" i="19"/>
  <c r="AK8" i="1" l="1"/>
  <c r="H19" i="18"/>
  <c r="K20" i="18" s="1"/>
  <c r="AE12" i="1"/>
  <c r="AF12" i="1"/>
  <c r="AJ8" i="1"/>
  <c r="AH8" i="1"/>
  <c r="AH6" i="1"/>
  <c r="AJ20" i="1"/>
  <c r="AH18" i="1"/>
  <c r="AH19" i="1"/>
  <c r="AH20" i="1"/>
  <c r="K20" i="19"/>
  <c r="AH16" i="1" s="1"/>
  <c r="AH14" i="1" l="1"/>
  <c r="AJ16" i="1"/>
  <c r="AH15" i="1"/>
  <c r="AH11" i="1"/>
  <c r="AH12" i="1"/>
  <c r="AJ12" i="1"/>
  <c r="AH10" i="1"/>
</calcChain>
</file>

<file path=xl/sharedStrings.xml><?xml version="1.0" encoding="utf-8"?>
<sst xmlns="http://schemas.openxmlformats.org/spreadsheetml/2006/main" count="288" uniqueCount="165">
  <si>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</si>
  <si>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</si>
  <si>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</si>
  <si>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</si>
  <si>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</si>
  <si>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</si>
  <si>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</si>
  <si>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</si>
  <si>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</si>
  <si>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</si>
  <si>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Total expenses (USD/head/year)</t>
  </si>
  <si>
    <t>NPV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</si>
  <si>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</si>
  <si>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</si>
  <si>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</si>
  <si>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</si>
  <si>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</si>
  <si>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</si>
  <si>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</si>
  <si>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</si>
  <si>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</si>
  <si>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</si>
  <si>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</si>
  <si>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Ratio improved cattle for which new adopters adopt (biased)</t>
  </si>
  <si>
    <t>Gilbert et al. (2018)</t>
  </si>
  <si>
    <t>Ratio improved cattle for which new adopters adopt (pro-poor)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</si>
  <si>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</si>
  <si>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</si>
  <si>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</si>
  <si>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</si>
  <si>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</si>
  <si>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</si>
  <si>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</si>
  <si>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</si>
  <si>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Updated total net income</t>
  </si>
  <si>
    <t>Scenario</t>
  </si>
  <si>
    <t>GLS (2019) and typology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</si>
  <si>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</si>
  <si>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</si>
  <si>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</si>
  <si>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</si>
  <si>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</si>
  <si>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</si>
  <si>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</si>
  <si>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</si>
  <si>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</si>
  <si>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</si>
  <si>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</si>
  <si>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</si>
  <si>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</si>
  <si>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</si>
  <si>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</si>
  <si>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</si>
  <si>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</si>
  <si>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Improved  </t>
  </si>
  <si>
    <t>Aggregate income farm type base</t>
  </si>
  <si>
    <t>Ratio improved cattle for which new adopters adopt (bifurcated)</t>
  </si>
  <si>
    <t>Adoption rate (% of hholds) toggle middle road</t>
  </si>
  <si>
    <t xml:space="preserve">Opportunity cost land strata 1 </t>
  </si>
  <si>
    <t>Opportunity cost land strata 2</t>
  </si>
  <si>
    <t>Base 2018 animals in subsector</t>
  </si>
  <si>
    <t>Fraction Improved owned by larger farms final year</t>
  </si>
  <si>
    <t>Fraction Improved owned by larger farms first year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</si>
  <si>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</si>
  <si>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</si>
  <si>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</si>
  <si>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</si>
  <si>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</si>
  <si>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Change herd relative to base (fraction)</t>
  </si>
  <si>
    <t>Proportion of specific farm type's herd of cattle to total herd of same breed in population</t>
  </si>
  <si>
    <t>Standard deviation net income per cow per year</t>
  </si>
  <si>
    <t>Aggregate income per household type intervention scenario</t>
  </si>
  <si>
    <t xml:space="preserve">Aggregate change in income population for household type 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</si>
  <si>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</si>
  <si>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</si>
  <si>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</si>
  <si>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</si>
  <si>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</si>
  <si>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</si>
  <si>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</si>
  <si>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</si>
  <si>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</si>
  <si>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</si>
  <si>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Average number of cows per household (head)</t>
  </si>
  <si>
    <t>Random value cows per household (head)</t>
  </si>
  <si>
    <t>Estimated non dairy income (USD/person/day)</t>
  </si>
  <si>
    <t>Random value non dairy income (USD/person/day)</t>
  </si>
  <si>
    <t>Quantity households</t>
  </si>
  <si>
    <t>SD quantity households</t>
  </si>
  <si>
    <t>Dairy Income (USD/household/year)</t>
  </si>
  <si>
    <t>Non dairy income (USD/household/year)</t>
  </si>
  <si>
    <t>Estimated population income (USD/yr)</t>
  </si>
  <si>
    <t>SD population income (USD/yr)</t>
  </si>
  <si>
    <t>Mean population income (USD/yr)</t>
  </si>
  <si>
    <t># projected animals in subsector (final year)</t>
  </si>
  <si>
    <t>Change in income from cropping (USD/TLU)</t>
  </si>
  <si>
    <t>Std. dev. dairy income (USD per household)</t>
  </si>
  <si>
    <t>Dairy income base year</t>
  </si>
  <si>
    <t xml:space="preserve">Net income base scenario not including dairy </t>
  </si>
  <si>
    <t xml:space="preserve">Net household income intervention scenario not including dairy </t>
  </si>
  <si>
    <t>Uncertainty (SE) in total income per household type</t>
  </si>
  <si>
    <t xml:space="preserve">Net income </t>
  </si>
  <si>
    <t>Forage expenses</t>
  </si>
  <si>
    <t>--</t>
  </si>
  <si>
    <t xml:space="preserve">Change in napier allocation (ha) </t>
  </si>
  <si>
    <t>Pasture yield (Mg/ha)</t>
  </si>
  <si>
    <t>Change in herd size relative to Base year (for baseline scenario only)</t>
  </si>
  <si>
    <t>Sectoral interpolations</t>
  </si>
  <si>
    <t>Parameters (as defined in Table 1 and other sections of text) (based on TLSA, URT 2017)</t>
  </si>
  <si>
    <t>Adoption rate (% of hholds) toggle inclusive</t>
  </si>
  <si>
    <t>Adoption rate (% of hholds) toggle inequitable</t>
  </si>
  <si>
    <t>Adoption rate (% of hholds) toggle status quo</t>
  </si>
  <si>
    <t>Traditional</t>
  </si>
  <si>
    <t>Modern</t>
  </si>
  <si>
    <t>Standard error of imputed income at population level (%)</t>
  </si>
  <si>
    <t>Household income</t>
  </si>
  <si>
    <t>District aggregation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</si>
  <si>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</si>
  <si>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</si>
  <si>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</si>
  <si>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</si>
  <si>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</si>
  <si>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 xml:space="preserve"> Dairy NPV by household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</si>
  <si>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</si>
  <si>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</si>
  <si>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</si>
  <si>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</si>
  <si>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</si>
  <si>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</si>
  <si>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</si>
  <si>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Net present value calculations</t>
  </si>
  <si>
    <t>Interest rate (fraction)</t>
  </si>
  <si>
    <t>Revenue</t>
  </si>
  <si>
    <t>Change in pasture allocation (ha)</t>
  </si>
  <si>
    <t>Forage seeding cost (USD/year)</t>
  </si>
  <si>
    <t>Use efficiency napier</t>
  </si>
  <si>
    <t>Use efficiency pasture</t>
  </si>
  <si>
    <t>Monte carlo simulations (n = 100)</t>
  </si>
  <si>
    <t>NPV horizon (years)</t>
  </si>
  <si>
    <t>Price acquring new animal (USD/head)</t>
  </si>
  <si>
    <t>Standard error animal price (fraction)</t>
  </si>
  <si>
    <t>Cropping parameters</t>
  </si>
  <si>
    <t>Basic NPV parameters</t>
  </si>
  <si>
    <t>Monte carlo simulations (n = 500)</t>
  </si>
  <si>
    <t>Forage seeding cost (USD/yr)</t>
  </si>
  <si>
    <t xml:space="preserve">Feeding expenses </t>
  </si>
  <si>
    <t>Forage seeding cost (USD/ha/yr)</t>
  </si>
  <si>
    <t xml:space="preserve">proportion of households within region  </t>
  </si>
  <si>
    <t>Dairy expenses</t>
  </si>
  <si>
    <t>Cropping expenses</t>
  </si>
  <si>
    <t xml:space="preserve">Cropping expenses </t>
  </si>
  <si>
    <t>Forage crop allocation</t>
  </si>
  <si>
    <t>Net income from milk, cash expenses, and opportunity costs of land (USD per household)</t>
  </si>
  <si>
    <t>Napier fed (kg/yr)</t>
  </si>
  <si>
    <t xml:space="preserve">Napier land allocation (ha) </t>
  </si>
  <si>
    <t>Pasture fed (kg/yr)</t>
  </si>
  <si>
    <t xml:space="preserve">Pasture allocation (ha) </t>
  </si>
  <si>
    <t xml:space="preserve">frac improved hholds that are &gt; 5 head </t>
  </si>
  <si>
    <t>Baseline</t>
  </si>
  <si>
    <t>Dairy NPV data</t>
  </si>
  <si>
    <t>Total income base</t>
  </si>
  <si>
    <t>Total planted forage allocation (ha)</t>
  </si>
  <si>
    <t>Net dairy income per cow (USD per cow per yr)</t>
  </si>
  <si>
    <t>Sources</t>
  </si>
  <si>
    <t>Total herd size base year (head)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</si>
</sst>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0" xfId="0" applyFont="1"/>
    <xf numFmtId="0" fontId="13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8" fillId="0" borderId="0" xfId="0" applyFont="1"/>
    <xf numFmtId="8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43" fontId="19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65" fontId="0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3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13" fillId="0" borderId="0" xfId="1" applyNumberFormat="1" applyFont="1"/>
    <xf numFmtId="168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2" fillId="0" borderId="0" xfId="0" applyNumberFormat="1" applyFont="1" applyAlignment="1"/>
    <xf numFmtId="165" fontId="0" fillId="0" borderId="0" xfId="0" applyNumberFormat="1" applyAlignment="1"/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  <xf numFmtId="0" fontId="19" fillId="0" borderId="0" xfId="0" applyFont="1"/>
    <xf numFmtId="168" fontId="19" fillId="0" borderId="0" xfId="0" applyNumberFormat="1" applyFont="1"/>
    <xf numFmtId="166" fontId="6" fillId="0" borderId="0" xfId="0" applyNumberFormat="1" applyFont="1"/>
    <xf numFmtId="167" fontId="13" fillId="0" borderId="0" xfId="0" applyNumberFormat="1" applyFont="1"/>
    <xf numFmtId="43" fontId="13" fillId="0" borderId="0" xfId="0" applyNumberFormat="1" applyFont="1"/>
    <xf numFmtId="166" fontId="13" fillId="0" borderId="0" xfId="0" applyNumberFormat="1" applyFont="1"/>
    <xf numFmtId="167" fontId="13" fillId="0" borderId="0" xfId="1" applyNumberFormat="1" applyFont="1" applyAlignment="1">
      <alignment horizontal="center"/>
    </xf>
    <xf numFmtId="2" fontId="6" fillId="0" borderId="0" xfId="0" applyNumberFormat="1" applyFont="1"/>
    <xf numFmtId="0" fontId="20" fillId="0" borderId="0" xfId="0" applyFont="1"/>
    <xf numFmtId="165" fontId="20" fillId="0" borderId="0" xfId="0" applyNumberFormat="1" applyFont="1" applyAlignment="1">
      <alignment horizontal="center"/>
    </xf>
    <xf numFmtId="43" fontId="20" fillId="0" borderId="0" xfId="0" applyNumberFormat="1" applyFont="1"/>
    <xf numFmtId="166" fontId="20" fillId="0" borderId="0" xfId="0" applyNumberFormat="1" applyFont="1"/>
    <xf numFmtId="167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8A6D93"/>
      <color rgb="FFCC00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Mufindi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7">
          <cell r="L7">
            <v>0.43465699999999996</v>
          </cell>
        </row>
        <row r="12">
          <cell r="B12">
            <v>259</v>
          </cell>
          <cell r="E12">
            <v>1465.8779999999999</v>
          </cell>
          <cell r="F12">
            <v>1260.65508</v>
          </cell>
          <cell r="G12">
            <v>4.8</v>
          </cell>
          <cell r="H12">
            <v>0.76279625000000006</v>
          </cell>
          <cell r="I12">
            <v>0.4541</v>
          </cell>
          <cell r="J12">
            <v>5.8360000000000003</v>
          </cell>
          <cell r="L12">
            <v>0.39120099999999997</v>
          </cell>
          <cell r="M12">
            <v>529</v>
          </cell>
          <cell r="N12">
            <v>209</v>
          </cell>
          <cell r="O12">
            <v>26.48</v>
          </cell>
          <cell r="P12">
            <v>2.8980000000000001</v>
          </cell>
          <cell r="Q12">
            <v>10.885</v>
          </cell>
          <cell r="R12">
            <v>1.3013561929000014E-4</v>
          </cell>
          <cell r="S12">
            <v>2.6027123858000024E-2</v>
          </cell>
          <cell r="T12">
            <v>0</v>
          </cell>
          <cell r="U12">
            <v>154.1</v>
          </cell>
          <cell r="V12">
            <v>1.3013561929000014E-5</v>
          </cell>
          <cell r="W12">
            <v>0.66200000000000003</v>
          </cell>
          <cell r="X12">
            <v>1.3586158653875999</v>
          </cell>
          <cell r="Y12">
            <v>1.3013561929000014E-5</v>
          </cell>
        </row>
        <row r="13">
          <cell r="E13">
            <v>1476</v>
          </cell>
          <cell r="F13">
            <v>1180.8</v>
          </cell>
          <cell r="G13">
            <v>2.8</v>
          </cell>
          <cell r="I13">
            <v>0.55710000000000004</v>
          </cell>
          <cell r="J13">
            <v>5.6630000000000003</v>
          </cell>
          <cell r="L13">
            <v>0.28256100000000001</v>
          </cell>
          <cell r="N13">
            <v>232</v>
          </cell>
          <cell r="O13">
            <v>202.3</v>
          </cell>
          <cell r="P13">
            <v>1.873</v>
          </cell>
          <cell r="Q13">
            <v>8</v>
          </cell>
          <cell r="R13">
            <v>1.3013561929000014E-4</v>
          </cell>
          <cell r="S13">
            <v>9.1094933503000103E-2</v>
          </cell>
          <cell r="U13">
            <v>174.3</v>
          </cell>
          <cell r="V13">
            <v>5.5958316294700055</v>
          </cell>
          <cell r="W13">
            <v>0.105</v>
          </cell>
          <cell r="X13">
            <v>2.6440000000000001</v>
          </cell>
          <cell r="Y13">
            <v>1E-4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J17">
            <v>217.17499790194665</v>
          </cell>
        </row>
        <row r="18">
          <cell r="J18">
            <v>556.11659579012849</v>
          </cell>
        </row>
        <row r="20">
          <cell r="J20">
            <v>657.24462884525087</v>
          </cell>
        </row>
        <row r="21">
          <cell r="J21">
            <v>1046.0436747485628</v>
          </cell>
        </row>
        <row r="23">
          <cell r="J23">
            <v>657.24462884525087</v>
          </cell>
        </row>
        <row r="24">
          <cell r="J24">
            <v>1046.0436747485628</v>
          </cell>
        </row>
      </sheetData>
      <sheetData sheetId="2">
        <row r="3">
          <cell r="J3">
            <v>0.68389999999999995</v>
          </cell>
        </row>
        <row r="5">
          <cell r="D5">
            <v>0.89239148711842686</v>
          </cell>
          <cell r="E5">
            <v>0.10760851288157314</v>
          </cell>
        </row>
        <row r="8">
          <cell r="J8">
            <v>658752.030520448</v>
          </cell>
          <cell r="K8">
            <v>337427.14732889878</v>
          </cell>
        </row>
        <row r="16">
          <cell r="J16">
            <v>413.82147257338761</v>
          </cell>
        </row>
        <row r="17">
          <cell r="J17">
            <v>1421.9297913811431</v>
          </cell>
        </row>
        <row r="24">
          <cell r="A24" t="str">
            <v>Inclusive</v>
          </cell>
          <cell r="J24">
            <v>0.85</v>
          </cell>
          <cell r="K24">
            <v>0.85</v>
          </cell>
        </row>
        <row r="25">
          <cell r="J25">
            <v>0.15000000000000002</v>
          </cell>
          <cell r="K25">
            <v>0.15000000000000002</v>
          </cell>
        </row>
        <row r="30">
          <cell r="J30">
            <v>2224438.48967316</v>
          </cell>
          <cell r="K30">
            <v>1056957.4606247754</v>
          </cell>
        </row>
        <row r="33">
          <cell r="A33" t="str">
            <v>Inequitable</v>
          </cell>
          <cell r="J33">
            <v>0.85</v>
          </cell>
          <cell r="K33">
            <v>0.85</v>
          </cell>
        </row>
        <row r="34">
          <cell r="J34">
            <v>0.15000000000000002</v>
          </cell>
          <cell r="K34">
            <v>0.15000000000000002</v>
          </cell>
        </row>
        <row r="37">
          <cell r="J37">
            <v>539.67363750122001</v>
          </cell>
        </row>
        <row r="38">
          <cell r="J38">
            <v>2874.3143719213795</v>
          </cell>
        </row>
        <row r="39">
          <cell r="J39">
            <v>2224438.48967316</v>
          </cell>
          <cell r="K39">
            <v>1056957.4606247754</v>
          </cell>
        </row>
        <row r="42">
          <cell r="A42" t="str">
            <v>Status quo</v>
          </cell>
          <cell r="J42">
            <v>0.71039006499969382</v>
          </cell>
          <cell r="K42">
            <v>0.71039006499969382</v>
          </cell>
        </row>
        <row r="43">
          <cell r="J43">
            <v>0.28960993500030618</v>
          </cell>
          <cell r="K43">
            <v>0.28960993500030618</v>
          </cell>
        </row>
        <row r="48">
          <cell r="J48">
            <v>2773401.3692633882</v>
          </cell>
          <cell r="K48">
            <v>1311408.1279335828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J51">
            <v>0.85</v>
          </cell>
          <cell r="K51">
            <v>0.85</v>
          </cell>
        </row>
        <row r="52">
          <cell r="J52">
            <v>0.15000000000000002</v>
          </cell>
          <cell r="K52">
            <v>0.15000000000000002</v>
          </cell>
        </row>
        <row r="57">
          <cell r="J57">
            <v>2723585.954483097</v>
          </cell>
          <cell r="K57">
            <v>1294130.8593643035</v>
          </cell>
        </row>
      </sheetData>
      <sheetData sheetId="3">
        <row r="4">
          <cell r="J4">
            <v>0.16365313596696862</v>
          </cell>
          <cell r="K4">
            <v>8.3826703011655512E-2</v>
          </cell>
        </row>
        <row r="19">
          <cell r="J19">
            <v>605.27080424669111</v>
          </cell>
        </row>
        <row r="22">
          <cell r="J22">
            <v>1854.3461190775483</v>
          </cell>
        </row>
        <row r="25">
          <cell r="J25">
            <v>2323.2670751224168</v>
          </cell>
        </row>
      </sheetData>
      <sheetData sheetId="4">
        <row r="4">
          <cell r="J4">
            <v>0.16365313596696862</v>
          </cell>
          <cell r="K4">
            <v>8.3826703011655512E-2</v>
          </cell>
        </row>
        <row r="19">
          <cell r="J19">
            <v>121.52583612517354</v>
          </cell>
        </row>
        <row r="22">
          <cell r="J22">
            <v>-342.85144688902682</v>
          </cell>
        </row>
        <row r="25">
          <cell r="J25">
            <v>13.904304736845885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307.59532875454562</v>
          </cell>
        </row>
        <row r="56">
          <cell r="QG56">
            <v>781.97929151507071</v>
          </cell>
          <cell r="QH56">
            <v>397.33982973084221</v>
          </cell>
          <cell r="QO56">
            <v>579.52916159518441</v>
          </cell>
          <cell r="QP56">
            <v>228.5532434243668</v>
          </cell>
        </row>
        <row r="65">
          <cell r="QG65">
            <v>719.09597665640979</v>
          </cell>
          <cell r="QH65">
            <v>207.00420236219679</v>
          </cell>
          <cell r="QO65">
            <v>562.54085742375969</v>
          </cell>
          <cell r="QP65">
            <v>202.82454913252911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>
        <row r="3">
          <cell r="C3">
            <v>0.39429999999999998</v>
          </cell>
        </row>
      </sheetData>
      <sheetData sheetId="1">
        <row r="3">
          <cell r="C3">
            <v>0.38590000000000002</v>
          </cell>
        </row>
      </sheetData>
      <sheetData sheetId="2">
        <row r="3">
          <cell r="C3">
            <v>0.40560000000000002</v>
          </cell>
        </row>
      </sheetData>
      <sheetData sheetId="3">
        <row r="3">
          <cell r="C3">
            <v>0.44080000000000003</v>
          </cell>
        </row>
        <row r="19">
          <cell r="D19">
            <v>1.0324753493684273</v>
          </cell>
        </row>
        <row r="20">
          <cell r="D20">
            <v>1.0433322562243532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Middle_rd"/>
      <sheetName val="NPV_Status_quo"/>
      <sheetName val="NPV_Inequitable"/>
      <sheetName val="NPV_Roadmap"/>
      <sheetName val="NPV_Baseline"/>
      <sheetName val="NPV_Inclusive"/>
      <sheetName val="NPV_Base"/>
      <sheetName val="Mappings"/>
      <sheetName val="MC_sims_Base"/>
      <sheetName val="MC_sims_Inclusive"/>
      <sheetName val="MC_sims_Inequitable"/>
      <sheetName val="MC_sims_Status_quo"/>
      <sheetName val="MC_sims_Middle_rd"/>
      <sheetName val="farm_to_sector_map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8">
          <cell r="C18" t="str">
            <v>Estimated population income (USD/yr)</v>
          </cell>
        </row>
        <row r="19">
          <cell r="C19" t="str">
            <v>SE population income (USD/yr)</v>
          </cell>
        </row>
        <row r="20">
          <cell r="C20" t="str">
            <v>Mean population income (USD/yr)</v>
          </cell>
        </row>
      </sheetData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69"/>
  <sheetViews>
    <sheetView topLeftCell="A13" zoomScaleNormal="100" workbookViewId="0">
      <selection activeCell="A25" sqref="A25:A30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00" t="s">
        <v>122</v>
      </c>
      <c r="D1" s="106"/>
      <c r="E1" s="106"/>
      <c r="F1" s="106"/>
      <c r="G1" s="106"/>
    </row>
    <row r="2" spans="1:12" x14ac:dyDescent="0.3">
      <c r="A2" s="2" t="s">
        <v>132</v>
      </c>
      <c r="B2" s="5"/>
      <c r="C2" s="104" t="s">
        <v>77</v>
      </c>
      <c r="D2" s="104"/>
      <c r="E2" s="104" t="s">
        <v>112</v>
      </c>
      <c r="F2" s="104"/>
      <c r="G2" s="5" t="s">
        <v>113</v>
      </c>
    </row>
    <row r="3" spans="1:12" x14ac:dyDescent="0.3">
      <c r="A3" t="s">
        <v>123</v>
      </c>
      <c r="B3" s="14"/>
      <c r="C3" s="102">
        <f>G3</f>
        <v>0.57181931209084202</v>
      </c>
      <c r="D3" s="102"/>
      <c r="E3" s="102">
        <f>NPV_Baseline!B3</f>
        <v>0.51465014185725644</v>
      </c>
      <c r="F3" s="102"/>
      <c r="G3" s="63">
        <f>[1]All!$L$7*L17</f>
        <v>0.57181931209084202</v>
      </c>
      <c r="J3" s="48"/>
    </row>
    <row r="4" spans="1:12" x14ac:dyDescent="0.3">
      <c r="A4" t="s">
        <v>124</v>
      </c>
      <c r="B4" s="14"/>
      <c r="C4" s="97">
        <f>[2]prod_herd_data!J38</f>
        <v>2874.3143719213795</v>
      </c>
      <c r="D4" s="97"/>
      <c r="E4" s="97">
        <f>[2]prod_herd_data!J37</f>
        <v>539.67363750122001</v>
      </c>
      <c r="F4" s="97"/>
      <c r="G4" s="62">
        <f>[2]prod_herd_data!J38</f>
        <v>2874.3143719213795</v>
      </c>
    </row>
    <row r="5" spans="1:12" x14ac:dyDescent="0.3">
      <c r="A5" t="s">
        <v>125</v>
      </c>
      <c r="B5" s="14"/>
      <c r="C5" s="97">
        <f t="shared" ref="C5" si="0">C4*C3</f>
        <v>1643.5884668849039</v>
      </c>
      <c r="D5" s="97"/>
      <c r="E5" s="97">
        <f t="shared" ref="E5:G5" si="1">E4*E3</f>
        <v>277.74311409662448</v>
      </c>
      <c r="F5" s="97"/>
      <c r="G5" s="62">
        <f t="shared" si="1"/>
        <v>1643.5884668849039</v>
      </c>
    </row>
    <row r="6" spans="1:12" x14ac:dyDescent="0.3">
      <c r="B6" s="14"/>
      <c r="C6" s="97"/>
      <c r="D6" s="97"/>
      <c r="E6" s="97"/>
      <c r="F6" s="97"/>
      <c r="G6" s="62"/>
    </row>
    <row r="7" spans="1:12" x14ac:dyDescent="0.3">
      <c r="A7" s="2" t="s">
        <v>126</v>
      </c>
      <c r="B7" s="14"/>
      <c r="C7" s="97"/>
      <c r="D7" s="97"/>
      <c r="E7" s="97"/>
      <c r="F7" s="97"/>
      <c r="G7" s="62"/>
    </row>
    <row r="8" spans="1:12" x14ac:dyDescent="0.3">
      <c r="A8" t="s">
        <v>145</v>
      </c>
      <c r="B8" s="14"/>
      <c r="C8" s="97">
        <f>(([2]concentrate_feeding!$J$23*L35)+([2]concentrate_feeding!$J$24*L36))</f>
        <v>505.15088341584277</v>
      </c>
      <c r="D8" s="97"/>
      <c r="E8" s="97">
        <f>(([2]concentrate_feeding!$J$17*L35)+([2]concentrate_feeding!$J$18*L36))</f>
        <v>225.06444948034391</v>
      </c>
      <c r="F8" s="97"/>
      <c r="G8" s="62">
        <f>(([2]concentrate_feeding!$J$20*L35)+([2]concentrate_feeding!$J$21*L36))</f>
        <v>505.15088341584277</v>
      </c>
    </row>
    <row r="9" spans="1:12" x14ac:dyDescent="0.3">
      <c r="A9" t="s">
        <v>7</v>
      </c>
      <c r="B9" s="14"/>
      <c r="C9" s="97">
        <f>NPV_Baseline!D9</f>
        <v>2.4640522792596169</v>
      </c>
      <c r="D9" s="97"/>
      <c r="E9" s="97">
        <f>NPV_Baseline!B9</f>
        <v>3.8125058757578052</v>
      </c>
      <c r="F9" s="97"/>
      <c r="G9" s="62">
        <f>NPV_Baseline!D9</f>
        <v>2.4640522792596169</v>
      </c>
    </row>
    <row r="10" spans="1:12" x14ac:dyDescent="0.3">
      <c r="A10" t="s">
        <v>127</v>
      </c>
      <c r="B10" s="14"/>
      <c r="C10" s="97">
        <f>NPV_Baseline!D10</f>
        <v>10.524515875107813</v>
      </c>
      <c r="D10" s="97"/>
      <c r="E10" s="97">
        <f>NPV_Baseline!B10</f>
        <v>14.319919412568568</v>
      </c>
      <c r="F10" s="97"/>
      <c r="G10" s="62">
        <f>NPV_Baseline!D10</f>
        <v>10.524515875107813</v>
      </c>
      <c r="K10" s="2" t="s">
        <v>142</v>
      </c>
    </row>
    <row r="11" spans="1:12" x14ac:dyDescent="0.3">
      <c r="A11" t="s">
        <v>128</v>
      </c>
      <c r="B11" s="23"/>
      <c r="C11" s="97">
        <f>NPV_Baseline!D11</f>
        <v>1.7120179889182412E-4</v>
      </c>
      <c r="D11" s="97"/>
      <c r="E11" s="97">
        <f>NPV_Baseline!B11</f>
        <v>1.7120179889182412E-4</v>
      </c>
      <c r="F11" s="97"/>
      <c r="G11" s="62">
        <f>NPV_Baseline!D11</f>
        <v>1.7120179889182412E-4</v>
      </c>
      <c r="K11" s="66" t="s">
        <v>138</v>
      </c>
      <c r="L11" s="64">
        <v>5</v>
      </c>
    </row>
    <row r="12" spans="1:12" x14ac:dyDescent="0.3">
      <c r="A12" t="s">
        <v>129</v>
      </c>
      <c r="B12" s="14"/>
      <c r="C12" s="97">
        <f>L14*L17</f>
        <v>695.93361224150408</v>
      </c>
      <c r="D12" s="97"/>
      <c r="E12" s="97">
        <f>NPV_Baseline!B12</f>
        <v>0</v>
      </c>
      <c r="F12" s="97"/>
      <c r="G12" s="62">
        <f>NPV_Baseline!D12</f>
        <v>0</v>
      </c>
      <c r="K12" s="66" t="s">
        <v>131</v>
      </c>
      <c r="L12" s="64">
        <v>0.17</v>
      </c>
    </row>
    <row r="13" spans="1:12" s="64" customFormat="1" x14ac:dyDescent="0.3">
      <c r="B13" s="58"/>
      <c r="C13" s="97"/>
      <c r="D13" s="97"/>
      <c r="E13" s="97"/>
      <c r="F13" s="97"/>
      <c r="G13" s="62"/>
      <c r="K13" s="66"/>
    </row>
    <row r="14" spans="1:12" x14ac:dyDescent="0.3">
      <c r="A14" t="s">
        <v>10</v>
      </c>
      <c r="B14" s="14"/>
      <c r="C14" s="97">
        <f>SUM(C8:C12)</f>
        <v>1214.0732350135131</v>
      </c>
      <c r="D14" s="97"/>
      <c r="E14" s="97">
        <f>SUM(E8:E12)</f>
        <v>243.19704597046916</v>
      </c>
      <c r="F14" s="97"/>
      <c r="G14" s="62">
        <f>SUM(G8:G12)</f>
        <v>518.13962277200915</v>
      </c>
      <c r="K14" t="s">
        <v>139</v>
      </c>
      <c r="L14">
        <f>[1]All!$M$12</f>
        <v>529</v>
      </c>
    </row>
    <row r="15" spans="1:12" x14ac:dyDescent="0.3">
      <c r="B15" s="14"/>
      <c r="C15" s="98"/>
      <c r="D15" s="98"/>
      <c r="E15" s="98"/>
      <c r="F15" s="98"/>
      <c r="G15" s="1"/>
      <c r="K15" t="s">
        <v>140</v>
      </c>
      <c r="L15">
        <f>[1]All!$T$12/L14</f>
        <v>0</v>
      </c>
    </row>
    <row r="16" spans="1:12" x14ac:dyDescent="0.3">
      <c r="A16" t="s">
        <v>130</v>
      </c>
      <c r="B16" s="14"/>
      <c r="C16" s="97">
        <f>C5-C14</f>
        <v>429.51523187139082</v>
      </c>
      <c r="D16" s="97"/>
      <c r="E16" s="97">
        <f>E5-E14</f>
        <v>34.546068126155319</v>
      </c>
      <c r="F16" s="97"/>
      <c r="G16" s="62">
        <f>G5-G14</f>
        <v>1125.4488441128947</v>
      </c>
    </row>
    <row r="17" spans="1:12" x14ac:dyDescent="0.3">
      <c r="B17" s="14"/>
      <c r="C17" s="97">
        <f>C5-C14</f>
        <v>429.51523187139082</v>
      </c>
      <c r="D17" s="97"/>
      <c r="E17" s="97">
        <f>E5-E14</f>
        <v>34.546068126155319</v>
      </c>
      <c r="F17" s="97"/>
      <c r="G17" s="62">
        <f>G5-G14</f>
        <v>1125.4488441128947</v>
      </c>
      <c r="K17" t="s">
        <v>47</v>
      </c>
      <c r="L17" s="24">
        <f>[3]Sheet1!$B$7</f>
        <v>1.3155644843884766</v>
      </c>
    </row>
    <row r="18" spans="1:12" x14ac:dyDescent="0.3">
      <c r="B18" s="38"/>
      <c r="C18" s="97">
        <f>C5-C14</f>
        <v>429.51523187139082</v>
      </c>
      <c r="D18" s="97"/>
      <c r="E18" s="105">
        <f>E5-E14</f>
        <v>34.546068126155319</v>
      </c>
      <c r="F18" s="105"/>
      <c r="G18" s="62">
        <f>G5-G14</f>
        <v>1125.4488441128947</v>
      </c>
    </row>
    <row r="19" spans="1:12" x14ac:dyDescent="0.3">
      <c r="B19" s="38"/>
      <c r="C19" s="97">
        <f>C5-C14</f>
        <v>429.51523187139082</v>
      </c>
      <c r="D19" s="97"/>
      <c r="E19" s="97">
        <f>E5-E14</f>
        <v>34.546068126155319</v>
      </c>
      <c r="F19" s="97"/>
      <c r="G19" s="62">
        <f>G5-G14</f>
        <v>1125.4488441128947</v>
      </c>
    </row>
    <row r="20" spans="1:12" x14ac:dyDescent="0.3">
      <c r="B20" s="38"/>
      <c r="C20" s="97">
        <f>C5-C14</f>
        <v>429.51523187139082</v>
      </c>
      <c r="D20" s="97"/>
      <c r="E20" s="97">
        <f>E5-E14</f>
        <v>34.546068126155319</v>
      </c>
      <c r="F20" s="97"/>
      <c r="G20" s="62">
        <f>G5-G14</f>
        <v>1125.4488441128947</v>
      </c>
      <c r="K20" s="33"/>
    </row>
    <row r="21" spans="1:12" x14ac:dyDescent="0.3">
      <c r="B21" s="14"/>
      <c r="C21" s="107">
        <f>C5-C14</f>
        <v>429.51523187139082</v>
      </c>
      <c r="D21" s="107"/>
      <c r="E21" s="97">
        <f>E5-E14</f>
        <v>34.546068126155319</v>
      </c>
      <c r="F21" s="97"/>
      <c r="G21" s="62">
        <f>G5-G14</f>
        <v>1125.4488441128947</v>
      </c>
      <c r="K21" s="33"/>
    </row>
    <row r="22" spans="1:12" x14ac:dyDescent="0.3">
      <c r="A22" t="s">
        <v>11</v>
      </c>
      <c r="B22" s="9"/>
      <c r="C22" s="97">
        <f>NPV(L12,C16:C20)/L11</f>
        <v>274.83358178429671</v>
      </c>
      <c r="D22" s="97"/>
      <c r="E22" s="97">
        <f>NPV(L12,E16:E20)/L11</f>
        <v>22.104966099359416</v>
      </c>
      <c r="F22" s="97"/>
      <c r="G22" s="62">
        <f>NPV(L12,G18:I21:G20)/L11</f>
        <v>617.47413431540622</v>
      </c>
    </row>
    <row r="23" spans="1:12" x14ac:dyDescent="0.3">
      <c r="B23" s="14"/>
      <c r="C23" s="98"/>
      <c r="D23" s="98"/>
      <c r="E23" s="98"/>
      <c r="F23" s="98"/>
      <c r="G23" s="1"/>
    </row>
    <row r="24" spans="1:12" x14ac:dyDescent="0.3">
      <c r="B24" s="53"/>
      <c r="C24" s="101" t="s">
        <v>149</v>
      </c>
      <c r="D24" s="101"/>
      <c r="E24" s="101"/>
      <c r="F24" s="101"/>
      <c r="G24" s="101"/>
      <c r="K24" s="2" t="s">
        <v>141</v>
      </c>
    </row>
    <row r="25" spans="1:12" x14ac:dyDescent="0.3">
      <c r="A25" t="s">
        <v>15</v>
      </c>
      <c r="B25" s="14"/>
      <c r="C25" s="97">
        <f>L41*L17</f>
        <v>274.95297723719159</v>
      </c>
      <c r="D25" s="97"/>
      <c r="E25" s="97">
        <f>L41*L17</f>
        <v>274.95297723719159</v>
      </c>
      <c r="F25" s="97"/>
      <c r="G25" s="61">
        <f>L43*L17</f>
        <v>305.21096037812657</v>
      </c>
      <c r="K25" t="s">
        <v>146</v>
      </c>
      <c r="L25">
        <f>[4]Sheet1!$B$5</f>
        <v>28</v>
      </c>
    </row>
    <row r="26" spans="1:12" x14ac:dyDescent="0.3">
      <c r="A26" t="s">
        <v>104</v>
      </c>
      <c r="B26" s="14"/>
      <c r="C26" s="97">
        <f>(((1/1000)*(1/L29)*[2]feeding_change_data!$J$25/L38))</f>
        <v>0.2382838025766581</v>
      </c>
      <c r="D26" s="97"/>
      <c r="E26" s="97">
        <f>(((1/1000)*(1/L29)*[2]feeding_change_data!$J$19/L38))</f>
        <v>6.2079056845814468E-2</v>
      </c>
      <c r="F26" s="97"/>
      <c r="G26" s="61">
        <f>(((1/1000)*(1/L29)*[2]feeding_change_data!$J$22/L38))</f>
        <v>0.1901893455464152</v>
      </c>
    </row>
    <row r="27" spans="1:12" x14ac:dyDescent="0.3">
      <c r="A27" t="s">
        <v>133</v>
      </c>
      <c r="B27" s="90"/>
      <c r="C27" s="95">
        <f>(((1/1000)*(1/L30)*[2]feeding_change_data_pasture!$J$25/L39))</f>
        <v>5.5617218947383541E-3</v>
      </c>
      <c r="D27" s="95"/>
      <c r="E27" s="97">
        <f>(((1/1000)*(1/L30)*[2]feeding_change_data_pasture!$J$19/L39))</f>
        <v>4.8610334450069417E-2</v>
      </c>
      <c r="F27" s="97"/>
      <c r="G27" s="61">
        <f>(((1/1000)*(1/L30)*[2]feeding_change_data_pasture!$J$22/L39))</f>
        <v>-0.13714057875561073</v>
      </c>
    </row>
    <row r="28" spans="1:12" s="85" customFormat="1" x14ac:dyDescent="0.3">
      <c r="A28" s="91" t="s">
        <v>161</v>
      </c>
      <c r="B28" s="97">
        <f>C26+C27</f>
        <v>0.24384552447139646</v>
      </c>
      <c r="C28" s="98"/>
      <c r="D28" s="98"/>
      <c r="E28" s="97">
        <f>E26+E27</f>
        <v>0.11068939129588388</v>
      </c>
      <c r="F28" s="97"/>
      <c r="G28" s="84">
        <f>G27+G26</f>
        <v>5.3048766790804475E-2</v>
      </c>
    </row>
    <row r="29" spans="1:12" s="64" customFormat="1" x14ac:dyDescent="0.3">
      <c r="A29" s="66" t="s">
        <v>134</v>
      </c>
      <c r="B29" s="90"/>
      <c r="C29" s="97">
        <f>L25*(C26+C27)</f>
        <v>6.827674685199101</v>
      </c>
      <c r="D29" s="97"/>
      <c r="E29" s="97">
        <f>L25*(E26+E27)</f>
        <v>3.0993029562847489</v>
      </c>
      <c r="F29" s="97"/>
      <c r="G29" s="62">
        <f>L25*(G26+G27)</f>
        <v>1.4853654701425252</v>
      </c>
      <c r="K29" t="s">
        <v>135</v>
      </c>
      <c r="L29">
        <f>[4]Sheet1!$B$6</f>
        <v>0.75</v>
      </c>
    </row>
    <row r="30" spans="1:12" x14ac:dyDescent="0.3">
      <c r="A30" t="s">
        <v>16</v>
      </c>
      <c r="B30" s="14"/>
      <c r="C30" s="97">
        <f>(C26+C27)*C25+C29</f>
        <v>73.873727624574016</v>
      </c>
      <c r="D30" s="97"/>
      <c r="E30" s="97">
        <f>(E26+E27)*E25+E29</f>
        <v>33.533680641660503</v>
      </c>
      <c r="F30" s="97"/>
      <c r="G30" s="61">
        <f>(G26+G27)*G25+G29</f>
        <v>17.676430529239227</v>
      </c>
      <c r="K30" t="s">
        <v>136</v>
      </c>
      <c r="L30">
        <v>0.5</v>
      </c>
    </row>
    <row r="31" spans="1:12" s="64" customFormat="1" x14ac:dyDescent="0.3">
      <c r="A31" s="66"/>
      <c r="B31" s="58"/>
      <c r="C31" s="97"/>
      <c r="D31" s="97"/>
      <c r="E31" s="97"/>
      <c r="F31" s="97"/>
      <c r="G31" s="62"/>
    </row>
    <row r="32" spans="1:12" x14ac:dyDescent="0.3">
      <c r="B32" s="14"/>
      <c r="C32" s="97"/>
      <c r="D32" s="97"/>
      <c r="E32" s="97"/>
      <c r="F32" s="97"/>
      <c r="G32" s="61"/>
      <c r="K32" s="34" t="s">
        <v>46</v>
      </c>
      <c r="L32" s="65">
        <f>7.5</f>
        <v>7.5</v>
      </c>
    </row>
    <row r="33" spans="1:17" x14ac:dyDescent="0.3">
      <c r="A33" t="s">
        <v>101</v>
      </c>
      <c r="B33" s="9"/>
      <c r="C33" s="97">
        <f>C22</f>
        <v>274.83358178429671</v>
      </c>
      <c r="D33" s="97"/>
      <c r="E33" s="97">
        <f>E22</f>
        <v>22.104966099359416</v>
      </c>
      <c r="F33" s="97"/>
      <c r="G33" s="61">
        <f>G22</f>
        <v>617.47413431540622</v>
      </c>
      <c r="K33" s="34" t="s">
        <v>46</v>
      </c>
      <c r="L33" s="65">
        <f>20</f>
        <v>20</v>
      </c>
    </row>
    <row r="34" spans="1:17" x14ac:dyDescent="0.3">
      <c r="A34" t="s">
        <v>14</v>
      </c>
      <c r="B34" s="9"/>
      <c r="C34" s="97">
        <f>C33-NPV_Baseline!B34</f>
        <v>172.45160243294714</v>
      </c>
      <c r="D34" s="97"/>
      <c r="E34" s="97">
        <f>E33-NPV_Baseline!D34</f>
        <v>-137.50565879545567</v>
      </c>
      <c r="F34" s="97"/>
      <c r="G34" s="61">
        <f>G33-NPV_Baseline!D34</f>
        <v>457.86350942059113</v>
      </c>
    </row>
    <row r="35" spans="1:17" x14ac:dyDescent="0.3">
      <c r="C35" s="98"/>
      <c r="D35" s="98"/>
      <c r="E35" s="98"/>
      <c r="F35" s="98"/>
      <c r="K35" s="65" t="s">
        <v>49</v>
      </c>
      <c r="L35" s="24">
        <f>0.25*L17</f>
        <v>0.32889112109711915</v>
      </c>
    </row>
    <row r="36" spans="1:17" ht="15.6" x14ac:dyDescent="0.3">
      <c r="A36" s="100" t="s">
        <v>121</v>
      </c>
      <c r="B36" s="100"/>
      <c r="C36" s="100"/>
      <c r="D36" s="100"/>
      <c r="E36" s="100"/>
      <c r="F36" s="100"/>
      <c r="G36" s="100"/>
      <c r="K36" s="65" t="s">
        <v>48</v>
      </c>
      <c r="L36" s="24">
        <f>0.21*L17</f>
        <v>0.27626854172158005</v>
      </c>
    </row>
    <row r="37" spans="1:17" x14ac:dyDescent="0.3">
      <c r="A37" s="98" t="s">
        <v>119</v>
      </c>
      <c r="B37" s="98"/>
      <c r="C37" s="98"/>
      <c r="D37" s="98"/>
      <c r="E37" s="98"/>
      <c r="F37" s="98"/>
      <c r="G37" s="98"/>
    </row>
    <row r="38" spans="1:17" x14ac:dyDescent="0.3">
      <c r="A38" t="s">
        <v>30</v>
      </c>
      <c r="B38" s="14"/>
      <c r="C38" s="102">
        <f>NPV_Baseline!E42</f>
        <v>0.11984125922427689</v>
      </c>
      <c r="D38" s="102"/>
      <c r="E38" s="102">
        <f>NPV_Baseline!B42</f>
        <v>3.4240359778364822E-2</v>
      </c>
      <c r="F38" s="102"/>
      <c r="G38" s="7">
        <f>NPV_Baseline!E42</f>
        <v>0.11984125922427689</v>
      </c>
      <c r="K38" t="s">
        <v>50</v>
      </c>
      <c r="L38">
        <v>13</v>
      </c>
      <c r="M38" s="98"/>
      <c r="N38" s="98"/>
      <c r="O38" s="98"/>
      <c r="P38" s="98"/>
      <c r="Q38" s="58"/>
    </row>
    <row r="39" spans="1:17" x14ac:dyDescent="0.3">
      <c r="B39" s="14"/>
      <c r="C39" s="98"/>
      <c r="D39" s="98"/>
      <c r="E39" s="98"/>
      <c r="F39" s="98"/>
      <c r="G39" s="35"/>
      <c r="K39" t="s">
        <v>105</v>
      </c>
      <c r="L39" s="66">
        <v>5</v>
      </c>
    </row>
    <row r="40" spans="1:17" x14ac:dyDescent="0.3">
      <c r="A40" t="s">
        <v>6</v>
      </c>
      <c r="B40" s="14"/>
      <c r="C40" s="102">
        <f>C8*NPV_Baseline!E44/NPV_Baseline!B8</f>
        <v>106.74997322783567</v>
      </c>
      <c r="D40" s="102"/>
      <c r="E40" s="102">
        <f>E8*NPV_Baseline!E44/NPV_Baseline!D8</f>
        <v>6.2255203414303635</v>
      </c>
      <c r="F40" s="102"/>
      <c r="G40" s="7">
        <f>G8*NPV_Baseline!E44/NPV_Baseline!D8</f>
        <v>13.973006876288128</v>
      </c>
    </row>
    <row r="41" spans="1:17" x14ac:dyDescent="0.3">
      <c r="A41" t="s">
        <v>7</v>
      </c>
      <c r="B41" s="14"/>
      <c r="C41" s="102">
        <f>NPV_Baseline!E45</f>
        <v>0.13813427086079003</v>
      </c>
      <c r="D41" s="102"/>
      <c r="E41" s="102">
        <f>NPV_Baseline!B45</f>
        <v>0.87090368866517154</v>
      </c>
      <c r="F41" s="102"/>
      <c r="G41" s="7">
        <f>NPV_Baseline!E45</f>
        <v>0.13813427086079003</v>
      </c>
      <c r="K41" t="s">
        <v>58</v>
      </c>
      <c r="L41">
        <f>[1]All!$N$12</f>
        <v>209</v>
      </c>
    </row>
    <row r="42" spans="1:17" x14ac:dyDescent="0.3">
      <c r="A42" t="s">
        <v>8</v>
      </c>
      <c r="B42" s="14"/>
      <c r="C42" s="102">
        <f>NPV_Baseline!E46</f>
        <v>3.4783524967231325</v>
      </c>
      <c r="D42" s="102"/>
      <c r="E42" s="102">
        <f>NPV_Baseline!B46</f>
        <v>1.7873467804306418</v>
      </c>
      <c r="F42" s="102"/>
      <c r="G42" s="7">
        <f>NPV_Baseline!E46</f>
        <v>3.4783524967231325</v>
      </c>
      <c r="K42" t="s">
        <v>44</v>
      </c>
      <c r="L42">
        <f>[1]All!$U$12/L41</f>
        <v>0.73732057416267938</v>
      </c>
    </row>
    <row r="43" spans="1:17" x14ac:dyDescent="0.3">
      <c r="A43" t="s">
        <v>13</v>
      </c>
      <c r="B43" s="14"/>
      <c r="C43" s="102">
        <f>NPV_Baseline!E47</f>
        <v>1.3155644843884767E-4</v>
      </c>
      <c r="D43" s="102"/>
      <c r="E43" s="102">
        <f>NPV_Baseline!B47</f>
        <v>1.7120179889182413E-5</v>
      </c>
      <c r="F43" s="102"/>
      <c r="G43" s="7">
        <f>NPV_Baseline!E47</f>
        <v>1.3155644843884767E-4</v>
      </c>
      <c r="K43" t="s">
        <v>59</v>
      </c>
      <c r="L43">
        <f>[1]All!$N$13</f>
        <v>232</v>
      </c>
    </row>
    <row r="44" spans="1:17" x14ac:dyDescent="0.3">
      <c r="A44" t="s">
        <v>9</v>
      </c>
      <c r="B44" s="17"/>
      <c r="C44" s="102">
        <f>NPV_Baseline!E48</f>
        <v>0</v>
      </c>
      <c r="D44" s="102"/>
      <c r="E44" s="102">
        <f>NPV_Baseline!B48</f>
        <v>0</v>
      </c>
      <c r="F44" s="102"/>
      <c r="G44" s="7">
        <f>NPV_Baseline!E48</f>
        <v>0</v>
      </c>
      <c r="K44" t="s">
        <v>44</v>
      </c>
      <c r="L44">
        <f>[1]All!$U$13/L43</f>
        <v>0.75129310344827593</v>
      </c>
    </row>
    <row r="45" spans="1:17" x14ac:dyDescent="0.3">
      <c r="A45" t="s">
        <v>31</v>
      </c>
      <c r="B45" s="14"/>
      <c r="C45" s="102">
        <f>(C26*L32+C27*L33)/100</f>
        <v>1.8983629572197028E-2</v>
      </c>
      <c r="D45" s="102"/>
      <c r="E45" s="102">
        <f>(E26*L32+E27*L33)/100</f>
        <v>1.4377996153449969E-2</v>
      </c>
      <c r="F45" s="102"/>
      <c r="G45" s="7">
        <f>(G26*L32+G27*L33)/100</f>
        <v>-1.3163914835141004E-2</v>
      </c>
    </row>
    <row r="46" spans="1:17" x14ac:dyDescent="0.3">
      <c r="A46" t="s">
        <v>32</v>
      </c>
      <c r="B46" s="28"/>
      <c r="C46" s="97">
        <f>C25*L42</f>
        <v>202.72848704426423</v>
      </c>
      <c r="D46" s="97"/>
      <c r="E46" s="97">
        <f>E25*L42</f>
        <v>202.72848704426423</v>
      </c>
      <c r="F46" s="97"/>
      <c r="G46" s="61">
        <f>G25*L44</f>
        <v>229.30288962891149</v>
      </c>
    </row>
    <row r="47" spans="1:17" x14ac:dyDescent="0.3">
      <c r="C47" s="103"/>
      <c r="D47" s="103"/>
      <c r="E47" s="103"/>
      <c r="F47" s="103"/>
    </row>
    <row r="48" spans="1:17" x14ac:dyDescent="0.3">
      <c r="B48" s="101" t="s">
        <v>120</v>
      </c>
      <c r="C48" s="101"/>
      <c r="D48" s="101"/>
      <c r="E48" s="101"/>
      <c r="F48" s="101"/>
      <c r="G48" s="101"/>
    </row>
    <row r="49" spans="1:7" x14ac:dyDescent="0.3">
      <c r="A49" t="s">
        <v>18</v>
      </c>
      <c r="C49" s="99">
        <f ca="1">_xlfn.NORM.INV(RAND(),C3,C38)</f>
        <v>0.56215583860311957</v>
      </c>
      <c r="D49" s="99"/>
      <c r="E49" s="99">
        <f ca="1">_xlfn.NORM.INV(RAND(),E3,E38)</f>
        <v>0.46512249634012964</v>
      </c>
      <c r="F49" s="99"/>
      <c r="G49" s="59">
        <f ca="1">_xlfn.NORM.INV(RAND(),G3,G38)</f>
        <v>0.58512055293797571</v>
      </c>
    </row>
    <row r="50" spans="1:7" x14ac:dyDescent="0.3">
      <c r="C50" s="98"/>
      <c r="D50" s="98"/>
      <c r="E50" s="98"/>
      <c r="F50" s="98"/>
    </row>
    <row r="51" spans="1:7" x14ac:dyDescent="0.3">
      <c r="A51" t="s">
        <v>19</v>
      </c>
      <c r="C51" s="97">
        <f ca="1">_xlfn.NORM.INV(RAND(),C8,C40)</f>
        <v>485.72754487386811</v>
      </c>
      <c r="D51" s="97"/>
      <c r="E51" s="97">
        <f ca="1">_xlfn.NORM.INV(RAND(),E8,E40)</f>
        <v>227.66787203979385</v>
      </c>
      <c r="F51" s="97"/>
      <c r="G51" s="40">
        <f ca="1">_xlfn.NORM.INV(RAND(),G8,G40)</f>
        <v>508.54968218311598</v>
      </c>
    </row>
    <row r="52" spans="1:7" x14ac:dyDescent="0.3">
      <c r="A52" t="s">
        <v>7</v>
      </c>
      <c r="C52" s="97">
        <f ca="1">_xlfn.NORM.INV(RAND(),C9,C41)</f>
        <v>2.4971439907738491</v>
      </c>
      <c r="D52" s="97"/>
      <c r="E52" s="97">
        <f ca="1">_xlfn.NORM.INV(RAND(),E9,E41)</f>
        <v>5.3420316504332472</v>
      </c>
      <c r="F52" s="97"/>
      <c r="G52" s="40">
        <f ca="1">_xlfn.NORM.INV(RAND(),G9,G41)</f>
        <v>2.2228668697861149</v>
      </c>
    </row>
    <row r="53" spans="1:7" x14ac:dyDescent="0.3">
      <c r="A53" t="s">
        <v>8</v>
      </c>
      <c r="C53" s="97">
        <f ca="1">_xlfn.NORM.INV(RAND(),C10,C42)</f>
        <v>13.4910857307855</v>
      </c>
      <c r="D53" s="97"/>
      <c r="E53" s="97">
        <f ca="1">_xlfn.NORM.INV(RAND(),E10,E42)</f>
        <v>13.76831766632694</v>
      </c>
      <c r="F53" s="97"/>
      <c r="G53" s="40">
        <f ca="1">_xlfn.NORM.INV(RAND(),G10,G42)</f>
        <v>7.7988982205179482</v>
      </c>
    </row>
    <row r="54" spans="1:7" x14ac:dyDescent="0.3">
      <c r="A54" t="s">
        <v>21</v>
      </c>
      <c r="C54" s="97">
        <f ca="1">_xlfn.NORM.INV(RAND(),C11,C43)</f>
        <v>1.9860583538625017E-4</v>
      </c>
      <c r="D54" s="97"/>
      <c r="E54" s="97">
        <f ca="1">_xlfn.NORM.INV(RAND(),E11,E43)</f>
        <v>1.7491517824969529E-4</v>
      </c>
      <c r="F54" s="97"/>
      <c r="G54" s="40">
        <f ca="1">_xlfn.NORM.INV(RAND(),G11,G43)</f>
        <v>5.7931597455147785E-5</v>
      </c>
    </row>
    <row r="55" spans="1:7" x14ac:dyDescent="0.3">
      <c r="A55" t="s">
        <v>9</v>
      </c>
      <c r="C55" s="97">
        <v>1E-4</v>
      </c>
      <c r="D55" s="97"/>
      <c r="E55" s="97">
        <v>1E-4</v>
      </c>
      <c r="F55" s="97"/>
      <c r="G55" s="40">
        <v>1E-4</v>
      </c>
    </row>
    <row r="56" spans="1:7" x14ac:dyDescent="0.3">
      <c r="A56" t="s">
        <v>31</v>
      </c>
      <c r="C56" s="97">
        <f ca="1">_xlfn.NORM.INV(RAND(),C26+C27,C45)</f>
        <v>0.2384260278876916</v>
      </c>
      <c r="D56" s="97"/>
      <c r="E56" s="97">
        <f ca="1">_xlfn.NORM.INV(RAND(),E26+E27,E45)</f>
        <v>0.12864236094686032</v>
      </c>
      <c r="F56" s="97"/>
      <c r="G56" s="40">
        <f ca="1">_xlfn.NORM.INV(RAND(),ABS(G26+G27),ABS(G45))</f>
        <v>4.3010525623576129E-2</v>
      </c>
    </row>
    <row r="57" spans="1:7" x14ac:dyDescent="0.3">
      <c r="A57" t="s">
        <v>32</v>
      </c>
      <c r="C57" s="97">
        <f ca="1">_xlfn.NORM.INV(RAND(),C25,C46)</f>
        <v>108.583615575403</v>
      </c>
      <c r="D57" s="97"/>
      <c r="E57" s="97">
        <f ca="1">_xlfn.NORM.INV(RAND(),E25,E46)</f>
        <v>349.8775216069298</v>
      </c>
      <c r="F57" s="97"/>
      <c r="G57" s="40">
        <f ca="1">_xlfn.NORM.INV(RAND(),G25,G46)</f>
        <v>349.43831380765567</v>
      </c>
    </row>
    <row r="58" spans="1:7" x14ac:dyDescent="0.3">
      <c r="C58" s="97"/>
      <c r="D58" s="97"/>
      <c r="E58" s="97"/>
      <c r="F58" s="97"/>
      <c r="G58" s="40"/>
    </row>
    <row r="59" spans="1:7" x14ac:dyDescent="0.3">
      <c r="A59" s="2" t="s">
        <v>33</v>
      </c>
      <c r="C59" s="97">
        <f ca="1">SUM(C51:C55)</f>
        <v>501.71607320126282</v>
      </c>
      <c r="D59" s="97"/>
      <c r="E59" s="97">
        <f ca="1">SUM(E51:E55)</f>
        <v>246.77849627173231</v>
      </c>
      <c r="F59" s="97"/>
      <c r="G59" s="40">
        <f ca="1">SUM(G51:G55)</f>
        <v>518.57160520501748</v>
      </c>
    </row>
    <row r="60" spans="1:7" x14ac:dyDescent="0.3">
      <c r="A60" s="2" t="s">
        <v>102</v>
      </c>
      <c r="C60" s="97">
        <f ca="1">C56*C57</f>
        <v>25.889160155327421</v>
      </c>
      <c r="D60" s="97"/>
      <c r="E60" s="97">
        <f t="shared" ref="E60" ca="1" si="2">E56*E57</f>
        <v>45.009070421751588</v>
      </c>
      <c r="F60" s="97"/>
      <c r="G60" s="40">
        <f ca="1">G56*G57</f>
        <v>15.029525549883411</v>
      </c>
    </row>
    <row r="61" spans="1:7" x14ac:dyDescent="0.3">
      <c r="A61" s="2"/>
      <c r="C61" s="97"/>
      <c r="D61" s="97"/>
      <c r="E61" s="97"/>
      <c r="F61" s="97"/>
      <c r="G61" s="40"/>
    </row>
    <row r="62" spans="1:7" x14ac:dyDescent="0.3">
      <c r="A62" s="2" t="s">
        <v>101</v>
      </c>
      <c r="C62" s="97">
        <f ca="1">C49*C4-C59-C60</f>
        <v>1088.2073727998718</v>
      </c>
      <c r="D62" s="97"/>
      <c r="E62" s="97">
        <f ca="1">E49*E4-E59-E60</f>
        <v>-40.773217209958247</v>
      </c>
      <c r="F62" s="97"/>
      <c r="G62" s="40">
        <f ca="1">G49*G4-G59-G60</f>
        <v>1148.2192838613071</v>
      </c>
    </row>
    <row r="63" spans="1:7" x14ac:dyDescent="0.3">
      <c r="A63" s="2"/>
      <c r="C63" s="97"/>
      <c r="D63" s="97"/>
      <c r="E63" s="97"/>
      <c r="F63" s="97"/>
      <c r="G63" s="40"/>
    </row>
    <row r="64" spans="1:7" x14ac:dyDescent="0.3">
      <c r="A64" s="2" t="s">
        <v>11</v>
      </c>
      <c r="C64" s="97">
        <f ca="1">NPV(L12,C62*5)/L11</f>
        <v>930.09177162382218</v>
      </c>
      <c r="D64" s="97"/>
      <c r="E64" s="97">
        <f ca="1">NPV(L12,E62*5)/L11</f>
        <v>-34.848903598254921</v>
      </c>
      <c r="F64" s="97"/>
      <c r="G64" s="40">
        <f ca="1">NPV(L12,G62*5)/L11</f>
        <v>981.38400330026252</v>
      </c>
    </row>
    <row r="65" spans="1:7" x14ac:dyDescent="0.3">
      <c r="A65" s="2"/>
      <c r="C65" s="97"/>
      <c r="D65" s="97"/>
      <c r="E65" s="97"/>
      <c r="F65" s="97"/>
      <c r="G65" s="40"/>
    </row>
    <row r="66" spans="1:7" x14ac:dyDescent="0.3">
      <c r="A66" s="2" t="s">
        <v>22</v>
      </c>
      <c r="C66" s="97">
        <f ca="1">AVERAGE(C70:C569)</f>
        <v>911.12623443738005</v>
      </c>
      <c r="D66" s="97"/>
      <c r="E66" s="97">
        <f ca="1">AVERAGE(E70:E569)</f>
        <v>3.6377988075405163</v>
      </c>
      <c r="F66" s="97"/>
      <c r="G66" s="40">
        <f ca="1">AVERAGE(G70:G569)</f>
        <v>961.58967484091022</v>
      </c>
    </row>
    <row r="67" spans="1:7" x14ac:dyDescent="0.3">
      <c r="A67" s="2" t="s">
        <v>20</v>
      </c>
      <c r="C67" s="97">
        <f ca="1">STDEVA(C70:C569)</f>
        <v>323.20611675339285</v>
      </c>
      <c r="D67" s="97"/>
      <c r="E67" s="97">
        <f t="shared" ref="E67:G67" ca="1" si="3">STDEVA(E70:E569)</f>
        <v>25.430715561618889</v>
      </c>
      <c r="F67" s="97"/>
      <c r="G67" s="40">
        <f t="shared" ca="1" si="3"/>
        <v>302.32255971722435</v>
      </c>
    </row>
    <row r="68" spans="1:7" x14ac:dyDescent="0.3">
      <c r="C68" s="98"/>
      <c r="D68" s="98"/>
      <c r="E68" s="98"/>
      <c r="F68" s="98"/>
    </row>
    <row r="69" spans="1:7" x14ac:dyDescent="0.3">
      <c r="A69" s="2" t="s">
        <v>137</v>
      </c>
      <c r="C69" s="98"/>
      <c r="D69" s="98"/>
      <c r="E69" s="98"/>
      <c r="F69" s="98"/>
    </row>
    <row r="70" spans="1:7" x14ac:dyDescent="0.3">
      <c r="B70">
        <v>1</v>
      </c>
      <c r="C70" s="40">
        <f ca="1">C64</f>
        <v>930.09177162382218</v>
      </c>
      <c r="D70" s="64">
        <v>1</v>
      </c>
      <c r="E70" s="40">
        <f ca="1">E64</f>
        <v>-34.848903598254921</v>
      </c>
      <c r="F70" s="64">
        <v>1</v>
      </c>
      <c r="G70" s="40">
        <f ca="1">G64</f>
        <v>981.38400330026252</v>
      </c>
    </row>
    <row r="71" spans="1:7" x14ac:dyDescent="0.3">
      <c r="B71">
        <v>2</v>
      </c>
      <c r="C71" s="40">
        <f t="dataTable" ref="C71:C569" dt2D="0" dtr="0" r1="C69" ca="1"/>
        <v>1078.0904879308989</v>
      </c>
      <c r="D71" s="64">
        <v>2</v>
      </c>
      <c r="E71" s="40">
        <f t="dataTable" ref="E71:E569" dt2D="0" dtr="0" r1="E69" ca="1"/>
        <v>31.116773167815939</v>
      </c>
      <c r="F71" s="64">
        <v>2</v>
      </c>
      <c r="G71" s="40">
        <f t="dataTable" ref="G71:G569" dt2D="0" dtr="0" r1="G69" ca="1"/>
        <v>278.95300746103902</v>
      </c>
    </row>
    <row r="72" spans="1:7" x14ac:dyDescent="0.3">
      <c r="B72">
        <v>3</v>
      </c>
      <c r="C72" s="40">
        <v>1096.1872594713518</v>
      </c>
      <c r="D72" s="64">
        <v>3</v>
      </c>
      <c r="E72" s="40">
        <v>-37.161941803161319</v>
      </c>
      <c r="F72" s="64">
        <v>3</v>
      </c>
      <c r="G72" s="40">
        <v>1144.3129790091948</v>
      </c>
    </row>
    <row r="73" spans="1:7" x14ac:dyDescent="0.3">
      <c r="B73" s="64">
        <v>4</v>
      </c>
      <c r="C73" s="40">
        <v>428.59893756625905</v>
      </c>
      <c r="D73" s="64">
        <v>4</v>
      </c>
      <c r="E73" s="40">
        <v>-11.009194146488808</v>
      </c>
      <c r="F73" s="64">
        <v>4</v>
      </c>
      <c r="G73" s="40">
        <v>1141.8848877705809</v>
      </c>
    </row>
    <row r="74" spans="1:7" x14ac:dyDescent="0.3">
      <c r="B74" s="64">
        <v>5</v>
      </c>
      <c r="C74" s="40">
        <v>793.99417340571279</v>
      </c>
      <c r="D74" s="64">
        <v>5</v>
      </c>
      <c r="E74" s="40">
        <v>-33.305965204954539</v>
      </c>
      <c r="F74" s="64">
        <v>5</v>
      </c>
      <c r="G74" s="40">
        <v>938.10458135253123</v>
      </c>
    </row>
    <row r="75" spans="1:7" x14ac:dyDescent="0.3">
      <c r="B75" s="64">
        <v>6</v>
      </c>
      <c r="C75" s="40">
        <v>1272.3049639203123</v>
      </c>
      <c r="D75" s="64">
        <v>6</v>
      </c>
      <c r="E75" s="40">
        <v>11.609642635621888</v>
      </c>
      <c r="F75" s="64">
        <v>6</v>
      </c>
      <c r="G75" s="40">
        <v>586.71961093763059</v>
      </c>
    </row>
    <row r="76" spans="1:7" x14ac:dyDescent="0.3">
      <c r="B76" s="64">
        <v>7</v>
      </c>
      <c r="C76" s="40">
        <v>794.50898328664482</v>
      </c>
      <c r="D76" s="64">
        <v>7</v>
      </c>
      <c r="E76" s="40">
        <v>-21.123611380031193</v>
      </c>
      <c r="F76" s="64">
        <v>7</v>
      </c>
      <c r="G76" s="40">
        <v>800.18828904198676</v>
      </c>
    </row>
    <row r="77" spans="1:7" x14ac:dyDescent="0.3">
      <c r="B77" s="64">
        <v>8</v>
      </c>
      <c r="C77" s="40">
        <v>794.55686999965951</v>
      </c>
      <c r="D77" s="64">
        <v>8</v>
      </c>
      <c r="E77" s="40">
        <v>-37.835892863688699</v>
      </c>
      <c r="F77" s="64">
        <v>8</v>
      </c>
      <c r="G77" s="40">
        <v>591.75667588437739</v>
      </c>
    </row>
    <row r="78" spans="1:7" x14ac:dyDescent="0.3">
      <c r="B78" s="64">
        <v>9</v>
      </c>
      <c r="C78" s="40">
        <v>523.89796283495571</v>
      </c>
      <c r="D78" s="64">
        <v>9</v>
      </c>
      <c r="E78" s="40">
        <v>-5.497409159117197</v>
      </c>
      <c r="F78" s="64">
        <v>9</v>
      </c>
      <c r="G78" s="40">
        <v>914.71519239122756</v>
      </c>
    </row>
    <row r="79" spans="1:7" x14ac:dyDescent="0.3">
      <c r="B79" s="64">
        <v>10</v>
      </c>
      <c r="C79" s="40">
        <v>762.51653088402884</v>
      </c>
      <c r="D79" s="64">
        <v>10</v>
      </c>
      <c r="E79" s="40">
        <v>42.72619502322005</v>
      </c>
      <c r="F79" s="64">
        <v>10</v>
      </c>
      <c r="G79" s="40">
        <v>1091.9936267915982</v>
      </c>
    </row>
    <row r="80" spans="1:7" x14ac:dyDescent="0.3">
      <c r="B80" s="64">
        <v>11</v>
      </c>
      <c r="C80" s="40">
        <v>1490.247355892416</v>
      </c>
      <c r="D80" s="64">
        <v>11</v>
      </c>
      <c r="E80" s="40">
        <v>11.911198107397549</v>
      </c>
      <c r="F80" s="64">
        <v>11</v>
      </c>
      <c r="G80" s="40">
        <v>1603.2499816902355</v>
      </c>
    </row>
    <row r="81" spans="2:7" x14ac:dyDescent="0.3">
      <c r="B81" s="64">
        <v>12</v>
      </c>
      <c r="C81" s="40">
        <v>737.16362222034184</v>
      </c>
      <c r="D81" s="64">
        <v>12</v>
      </c>
      <c r="E81" s="40">
        <v>6.6753529661010642</v>
      </c>
      <c r="F81" s="64">
        <v>12</v>
      </c>
      <c r="G81" s="40">
        <v>645.22849019996158</v>
      </c>
    </row>
    <row r="82" spans="2:7" x14ac:dyDescent="0.3">
      <c r="B82" s="64">
        <v>13</v>
      </c>
      <c r="C82" s="40">
        <v>1242.9267779430174</v>
      </c>
      <c r="D82" s="64">
        <v>13</v>
      </c>
      <c r="E82" s="40">
        <v>-17.194892616393119</v>
      </c>
      <c r="F82" s="64">
        <v>13</v>
      </c>
      <c r="G82" s="40">
        <v>678.29445181731876</v>
      </c>
    </row>
    <row r="83" spans="2:7" x14ac:dyDescent="0.3">
      <c r="B83" s="64">
        <v>14</v>
      </c>
      <c r="C83" s="40">
        <v>1642.7799263206475</v>
      </c>
      <c r="D83" s="64">
        <v>14</v>
      </c>
      <c r="E83" s="40">
        <v>12.008673047745869</v>
      </c>
      <c r="F83" s="64">
        <v>14</v>
      </c>
      <c r="G83" s="40">
        <v>1020.7874792221808</v>
      </c>
    </row>
    <row r="84" spans="2:7" x14ac:dyDescent="0.3">
      <c r="B84" s="64">
        <v>15</v>
      </c>
      <c r="C84" s="40">
        <v>999.58349872667134</v>
      </c>
      <c r="D84" s="64">
        <v>15</v>
      </c>
      <c r="E84" s="40">
        <v>-2.2125951751601312</v>
      </c>
      <c r="F84" s="64">
        <v>15</v>
      </c>
      <c r="G84" s="40">
        <v>1475.9214320057586</v>
      </c>
    </row>
    <row r="85" spans="2:7" x14ac:dyDescent="0.3">
      <c r="B85" s="64">
        <v>16</v>
      </c>
      <c r="C85" s="40">
        <v>1108.2751880033195</v>
      </c>
      <c r="D85" s="64">
        <v>16</v>
      </c>
      <c r="E85" s="40">
        <v>50.238073953784294</v>
      </c>
      <c r="F85" s="64">
        <v>16</v>
      </c>
      <c r="G85" s="40">
        <v>873.43039891051592</v>
      </c>
    </row>
    <row r="86" spans="2:7" x14ac:dyDescent="0.3">
      <c r="B86" s="64">
        <v>17</v>
      </c>
      <c r="C86" s="40">
        <v>611.97778548565213</v>
      </c>
      <c r="D86" s="64">
        <v>17</v>
      </c>
      <c r="E86" s="40">
        <v>17.640102869798131</v>
      </c>
      <c r="F86" s="64">
        <v>17</v>
      </c>
      <c r="G86" s="40">
        <v>1292.4793100409897</v>
      </c>
    </row>
    <row r="87" spans="2:7" x14ac:dyDescent="0.3">
      <c r="B87" s="64">
        <v>18</v>
      </c>
      <c r="C87" s="40">
        <v>776.37196501754261</v>
      </c>
      <c r="D87" s="64">
        <v>18</v>
      </c>
      <c r="E87" s="40">
        <v>11.422425926616812</v>
      </c>
      <c r="F87" s="64">
        <v>18</v>
      </c>
      <c r="G87" s="40">
        <v>917.2971164133578</v>
      </c>
    </row>
    <row r="88" spans="2:7" x14ac:dyDescent="0.3">
      <c r="B88" s="64">
        <v>19</v>
      </c>
      <c r="C88" s="40">
        <v>573.15536411515734</v>
      </c>
      <c r="D88" s="64">
        <v>19</v>
      </c>
      <c r="E88" s="40">
        <v>9.1938957023138137</v>
      </c>
      <c r="F88" s="64">
        <v>19</v>
      </c>
      <c r="G88" s="40">
        <v>1081.9020660675187</v>
      </c>
    </row>
    <row r="89" spans="2:7" x14ac:dyDescent="0.3">
      <c r="B89" s="64">
        <v>20</v>
      </c>
      <c r="C89" s="40">
        <v>951.21237171465657</v>
      </c>
      <c r="D89" s="64">
        <v>20</v>
      </c>
      <c r="E89" s="40">
        <v>20.634260018711394</v>
      </c>
      <c r="F89" s="64">
        <v>20</v>
      </c>
      <c r="G89" s="40">
        <v>1087.9133156129192</v>
      </c>
    </row>
    <row r="90" spans="2:7" x14ac:dyDescent="0.3">
      <c r="B90" s="64">
        <v>21</v>
      </c>
      <c r="C90" s="40">
        <v>999.6101100098582</v>
      </c>
      <c r="D90" s="64">
        <v>21</v>
      </c>
      <c r="E90" s="40">
        <v>-8.6049980363894623</v>
      </c>
      <c r="F90" s="64">
        <v>21</v>
      </c>
      <c r="G90" s="40">
        <v>1833.4528950090182</v>
      </c>
    </row>
    <row r="91" spans="2:7" x14ac:dyDescent="0.3">
      <c r="B91" s="64">
        <v>22</v>
      </c>
      <c r="C91" s="40">
        <v>940.10170700921424</v>
      </c>
      <c r="D91" s="64">
        <v>22</v>
      </c>
      <c r="E91" s="40">
        <v>29.68636509114296</v>
      </c>
      <c r="F91" s="64">
        <v>22</v>
      </c>
      <c r="G91" s="40">
        <v>756.18688432563908</v>
      </c>
    </row>
    <row r="92" spans="2:7" x14ac:dyDescent="0.3">
      <c r="B92" s="64">
        <v>23</v>
      </c>
      <c r="C92" s="40">
        <v>387.49986844065722</v>
      </c>
      <c r="D92" s="64">
        <v>23</v>
      </c>
      <c r="E92" s="40">
        <v>-1.5152039887786655</v>
      </c>
      <c r="F92" s="64">
        <v>23</v>
      </c>
      <c r="G92" s="40">
        <v>864.32179057867745</v>
      </c>
    </row>
    <row r="93" spans="2:7" x14ac:dyDescent="0.3">
      <c r="B93" s="64">
        <v>24</v>
      </c>
      <c r="C93" s="40">
        <v>447.57004110333912</v>
      </c>
      <c r="D93" s="64">
        <v>24</v>
      </c>
      <c r="E93" s="40">
        <v>22.046752091311777</v>
      </c>
      <c r="F93" s="64">
        <v>24</v>
      </c>
      <c r="G93" s="40">
        <v>816.60700240061601</v>
      </c>
    </row>
    <row r="94" spans="2:7" x14ac:dyDescent="0.3">
      <c r="B94" s="64">
        <v>25</v>
      </c>
      <c r="C94" s="40">
        <v>970.0321289290132</v>
      </c>
      <c r="D94" s="64">
        <v>25</v>
      </c>
      <c r="E94" s="40">
        <v>7.8869056981902004</v>
      </c>
      <c r="F94" s="64">
        <v>25</v>
      </c>
      <c r="G94" s="40">
        <v>1725.991471261907</v>
      </c>
    </row>
    <row r="95" spans="2:7" x14ac:dyDescent="0.3">
      <c r="B95" s="64">
        <v>26</v>
      </c>
      <c r="C95" s="40">
        <v>1067.0389951844209</v>
      </c>
      <c r="D95" s="64">
        <v>26</v>
      </c>
      <c r="E95" s="40">
        <v>-10.399766222826985</v>
      </c>
      <c r="F95" s="64">
        <v>26</v>
      </c>
      <c r="G95" s="40">
        <v>759.95503330222721</v>
      </c>
    </row>
    <row r="96" spans="2:7" x14ac:dyDescent="0.3">
      <c r="B96" s="64">
        <v>27</v>
      </c>
      <c r="C96" s="40">
        <v>1025.4648799110196</v>
      </c>
      <c r="D96" s="64">
        <v>27</v>
      </c>
      <c r="E96" s="40">
        <v>-3.1831070143684448</v>
      </c>
      <c r="F96" s="64">
        <v>27</v>
      </c>
      <c r="G96" s="40">
        <v>1071.575507371851</v>
      </c>
    </row>
    <row r="97" spans="2:7" x14ac:dyDescent="0.3">
      <c r="B97" s="64">
        <v>28</v>
      </c>
      <c r="C97" s="40">
        <v>1005.6203687567771</v>
      </c>
      <c r="D97" s="64">
        <v>28</v>
      </c>
      <c r="E97" s="40">
        <v>17.139585864600399</v>
      </c>
      <c r="F97" s="64">
        <v>28</v>
      </c>
      <c r="G97" s="40">
        <v>894.64126723416757</v>
      </c>
    </row>
    <row r="98" spans="2:7" x14ac:dyDescent="0.3">
      <c r="B98" s="64">
        <v>29</v>
      </c>
      <c r="C98" s="40">
        <v>440.97425352798211</v>
      </c>
      <c r="D98" s="64">
        <v>29</v>
      </c>
      <c r="E98" s="40">
        <v>-5.4722469065274684</v>
      </c>
      <c r="F98" s="64">
        <v>29</v>
      </c>
      <c r="G98" s="40">
        <v>835.75027163128811</v>
      </c>
    </row>
    <row r="99" spans="2:7" x14ac:dyDescent="0.3">
      <c r="B99" s="64">
        <v>30</v>
      </c>
      <c r="C99" s="40">
        <v>1097.4528877362077</v>
      </c>
      <c r="D99" s="64">
        <v>30</v>
      </c>
      <c r="E99" s="40">
        <v>9.6977168132999516</v>
      </c>
      <c r="F99" s="64">
        <v>30</v>
      </c>
      <c r="G99" s="40">
        <v>1294.046177209492</v>
      </c>
    </row>
    <row r="100" spans="2:7" x14ac:dyDescent="0.3">
      <c r="B100" s="64">
        <v>31</v>
      </c>
      <c r="C100" s="40">
        <v>1805.2952686207759</v>
      </c>
      <c r="D100" s="64">
        <v>31</v>
      </c>
      <c r="E100" s="40">
        <v>-34.339702890433287</v>
      </c>
      <c r="F100" s="64">
        <v>31</v>
      </c>
      <c r="G100" s="40">
        <v>1302.5753593771681</v>
      </c>
    </row>
    <row r="101" spans="2:7" x14ac:dyDescent="0.3">
      <c r="B101" s="64">
        <v>32</v>
      </c>
      <c r="C101" s="40">
        <v>595.72509240726333</v>
      </c>
      <c r="D101" s="64">
        <v>32</v>
      </c>
      <c r="E101" s="40">
        <v>71.009426718698279</v>
      </c>
      <c r="F101" s="64">
        <v>32</v>
      </c>
      <c r="G101" s="40">
        <v>1277.7988584873276</v>
      </c>
    </row>
    <row r="102" spans="2:7" x14ac:dyDescent="0.3">
      <c r="B102" s="64">
        <v>33</v>
      </c>
      <c r="C102" s="40">
        <v>1044.2935194487118</v>
      </c>
      <c r="D102" s="64">
        <v>33</v>
      </c>
      <c r="E102" s="40">
        <v>-6.5804477252549365</v>
      </c>
      <c r="F102" s="64">
        <v>33</v>
      </c>
      <c r="G102" s="40">
        <v>834.87418546057984</v>
      </c>
    </row>
    <row r="103" spans="2:7" x14ac:dyDescent="0.3">
      <c r="B103" s="64">
        <v>34</v>
      </c>
      <c r="C103" s="40">
        <v>935.95413046892406</v>
      </c>
      <c r="D103" s="64">
        <v>34</v>
      </c>
      <c r="E103" s="40">
        <v>-12.924536572035169</v>
      </c>
      <c r="F103" s="64">
        <v>34</v>
      </c>
      <c r="G103" s="40">
        <v>467.01750404367397</v>
      </c>
    </row>
    <row r="104" spans="2:7" x14ac:dyDescent="0.3">
      <c r="B104" s="64">
        <v>35</v>
      </c>
      <c r="C104" s="40">
        <v>1099.0775270037013</v>
      </c>
      <c r="D104" s="64">
        <v>35</v>
      </c>
      <c r="E104" s="40">
        <v>26.730059262037496</v>
      </c>
      <c r="F104" s="64">
        <v>35</v>
      </c>
      <c r="G104" s="40">
        <v>588.47376575729857</v>
      </c>
    </row>
    <row r="105" spans="2:7" x14ac:dyDescent="0.3">
      <c r="B105" s="64">
        <v>36</v>
      </c>
      <c r="C105" s="40">
        <v>975.61064993059495</v>
      </c>
      <c r="D105" s="64">
        <v>36</v>
      </c>
      <c r="E105" s="40">
        <v>15.174267875411752</v>
      </c>
      <c r="F105" s="64">
        <v>36</v>
      </c>
      <c r="G105" s="40">
        <v>1174.199419603211</v>
      </c>
    </row>
    <row r="106" spans="2:7" x14ac:dyDescent="0.3">
      <c r="B106" s="64">
        <v>37</v>
      </c>
      <c r="C106" s="40">
        <v>342.921372627822</v>
      </c>
      <c r="D106" s="64">
        <v>37</v>
      </c>
      <c r="E106" s="40">
        <v>-9.9741319170981857</v>
      </c>
      <c r="F106" s="64">
        <v>37</v>
      </c>
      <c r="G106" s="40">
        <v>1076.4546912018905</v>
      </c>
    </row>
    <row r="107" spans="2:7" x14ac:dyDescent="0.3">
      <c r="B107" s="64">
        <v>38</v>
      </c>
      <c r="C107" s="40">
        <v>789.02171191976538</v>
      </c>
      <c r="D107" s="64">
        <v>38</v>
      </c>
      <c r="E107" s="40">
        <v>5.5943409960875563</v>
      </c>
      <c r="F107" s="64">
        <v>38</v>
      </c>
      <c r="G107" s="40">
        <v>724.87780522129742</v>
      </c>
    </row>
    <row r="108" spans="2:7" x14ac:dyDescent="0.3">
      <c r="B108" s="64">
        <v>39</v>
      </c>
      <c r="C108" s="40">
        <v>1101.9747788748364</v>
      </c>
      <c r="D108" s="64">
        <v>39</v>
      </c>
      <c r="E108" s="40">
        <v>9.618441204001563</v>
      </c>
      <c r="F108" s="64">
        <v>39</v>
      </c>
      <c r="G108" s="40">
        <v>1184.384572182684</v>
      </c>
    </row>
    <row r="109" spans="2:7" x14ac:dyDescent="0.3">
      <c r="B109" s="64">
        <v>40</v>
      </c>
      <c r="C109" s="40">
        <v>862.21346838040301</v>
      </c>
      <c r="D109" s="64">
        <v>40</v>
      </c>
      <c r="E109" s="40">
        <v>20.238279998811358</v>
      </c>
      <c r="F109" s="64">
        <v>40</v>
      </c>
      <c r="G109" s="40">
        <v>845.91681853894863</v>
      </c>
    </row>
    <row r="110" spans="2:7" x14ac:dyDescent="0.3">
      <c r="B110" s="64">
        <v>41</v>
      </c>
      <c r="C110" s="40">
        <v>1269.3039483448576</v>
      </c>
      <c r="D110" s="64">
        <v>41</v>
      </c>
      <c r="E110" s="40">
        <v>1.2926890383663507</v>
      </c>
      <c r="F110" s="64">
        <v>41</v>
      </c>
      <c r="G110" s="40">
        <v>851.0841463745661</v>
      </c>
    </row>
    <row r="111" spans="2:7" x14ac:dyDescent="0.3">
      <c r="B111" s="64">
        <v>42</v>
      </c>
      <c r="C111" s="40">
        <v>945.83468764509382</v>
      </c>
      <c r="D111" s="64">
        <v>42</v>
      </c>
      <c r="E111" s="40">
        <v>14.32055249735058</v>
      </c>
      <c r="F111" s="64">
        <v>42</v>
      </c>
      <c r="G111" s="40">
        <v>1127.35653267016</v>
      </c>
    </row>
    <row r="112" spans="2:7" x14ac:dyDescent="0.3">
      <c r="B112" s="64">
        <v>43</v>
      </c>
      <c r="C112" s="40">
        <v>690.11744574184411</v>
      </c>
      <c r="D112" s="64">
        <v>43</v>
      </c>
      <c r="E112" s="40">
        <v>24.890854098592389</v>
      </c>
      <c r="F112" s="64">
        <v>43</v>
      </c>
      <c r="G112" s="40">
        <v>935.69246899573295</v>
      </c>
    </row>
    <row r="113" spans="2:7" x14ac:dyDescent="0.3">
      <c r="B113" s="64">
        <v>44</v>
      </c>
      <c r="C113" s="40">
        <v>592.94955613704587</v>
      </c>
      <c r="D113" s="64">
        <v>44</v>
      </c>
      <c r="E113" s="40">
        <v>-15.9529546150182</v>
      </c>
      <c r="F113" s="64">
        <v>44</v>
      </c>
      <c r="G113" s="40">
        <v>983.68914443173128</v>
      </c>
    </row>
    <row r="114" spans="2:7" x14ac:dyDescent="0.3">
      <c r="B114" s="64">
        <v>45</v>
      </c>
      <c r="C114" s="40">
        <v>790.73891915122408</v>
      </c>
      <c r="D114" s="64">
        <v>45</v>
      </c>
      <c r="E114" s="40">
        <v>-6.110951047471211</v>
      </c>
      <c r="F114" s="64">
        <v>45</v>
      </c>
      <c r="G114" s="40">
        <v>939.36508269446551</v>
      </c>
    </row>
    <row r="115" spans="2:7" x14ac:dyDescent="0.3">
      <c r="B115" s="64">
        <v>46</v>
      </c>
      <c r="C115" s="40">
        <v>1257.2630502324314</v>
      </c>
      <c r="D115" s="64">
        <v>46</v>
      </c>
      <c r="E115" s="40">
        <v>-7.5710571868512559</v>
      </c>
      <c r="F115" s="64">
        <v>46</v>
      </c>
      <c r="G115" s="40">
        <v>1604.0209400434819</v>
      </c>
    </row>
    <row r="116" spans="2:7" x14ac:dyDescent="0.3">
      <c r="B116" s="64">
        <v>47</v>
      </c>
      <c r="C116" s="40">
        <v>115.86197779277438</v>
      </c>
      <c r="D116" s="64">
        <v>47</v>
      </c>
      <c r="E116" s="40">
        <v>30.956742707508596</v>
      </c>
      <c r="F116" s="64">
        <v>47</v>
      </c>
      <c r="G116" s="40">
        <v>871.11321988868383</v>
      </c>
    </row>
    <row r="117" spans="2:7" x14ac:dyDescent="0.3">
      <c r="B117" s="64">
        <v>48</v>
      </c>
      <c r="C117" s="40">
        <v>356.50821742593268</v>
      </c>
      <c r="D117" s="64">
        <v>48</v>
      </c>
      <c r="E117" s="40">
        <v>-17.696930034211455</v>
      </c>
      <c r="F117" s="64">
        <v>48</v>
      </c>
      <c r="G117" s="40">
        <v>1135.0771204159912</v>
      </c>
    </row>
    <row r="118" spans="2:7" x14ac:dyDescent="0.3">
      <c r="B118" s="64">
        <v>49</v>
      </c>
      <c r="C118" s="40">
        <v>959.17181024216518</v>
      </c>
      <c r="D118" s="64">
        <v>49</v>
      </c>
      <c r="E118" s="40">
        <v>24.753110279027037</v>
      </c>
      <c r="F118" s="64">
        <v>49</v>
      </c>
      <c r="G118" s="40">
        <v>525.95653815889796</v>
      </c>
    </row>
    <row r="119" spans="2:7" x14ac:dyDescent="0.3">
      <c r="B119" s="64">
        <v>50</v>
      </c>
      <c r="C119" s="40">
        <v>731.55493521710537</v>
      </c>
      <c r="D119" s="64">
        <v>50</v>
      </c>
      <c r="E119" s="40">
        <v>28.354448696684408</v>
      </c>
      <c r="F119" s="64">
        <v>50</v>
      </c>
      <c r="G119" s="40">
        <v>1027.5729188490857</v>
      </c>
    </row>
    <row r="120" spans="2:7" x14ac:dyDescent="0.3">
      <c r="B120" s="64">
        <v>51</v>
      </c>
      <c r="C120" s="40">
        <v>1037.8506395248726</v>
      </c>
      <c r="D120" s="64">
        <v>51</v>
      </c>
      <c r="E120" s="40">
        <v>-4.7422458323635359</v>
      </c>
      <c r="F120" s="64">
        <v>51</v>
      </c>
      <c r="G120" s="40">
        <v>1062.5880452832048</v>
      </c>
    </row>
    <row r="121" spans="2:7" x14ac:dyDescent="0.3">
      <c r="B121" s="64">
        <v>52</v>
      </c>
      <c r="C121" s="40">
        <v>805.02540033538867</v>
      </c>
      <c r="D121" s="64">
        <v>52</v>
      </c>
      <c r="E121" s="40">
        <v>-6.4015567334092172</v>
      </c>
      <c r="F121" s="64">
        <v>52</v>
      </c>
      <c r="G121" s="40">
        <v>540.56916140183307</v>
      </c>
    </row>
    <row r="122" spans="2:7" x14ac:dyDescent="0.3">
      <c r="B122" s="64">
        <v>53</v>
      </c>
      <c r="C122" s="40">
        <v>37.883521152397307</v>
      </c>
      <c r="D122" s="64">
        <v>53</v>
      </c>
      <c r="E122" s="40">
        <v>5.8907441280906427</v>
      </c>
      <c r="F122" s="64">
        <v>53</v>
      </c>
      <c r="G122" s="40">
        <v>1404.6122244288626</v>
      </c>
    </row>
    <row r="123" spans="2:7" x14ac:dyDescent="0.3">
      <c r="B123" s="64">
        <v>54</v>
      </c>
      <c r="C123" s="40">
        <v>1124.8604535032737</v>
      </c>
      <c r="D123" s="64">
        <v>54</v>
      </c>
      <c r="E123" s="40">
        <v>31.989208809594061</v>
      </c>
      <c r="F123" s="64">
        <v>54</v>
      </c>
      <c r="G123" s="40">
        <v>1513.2858742549015</v>
      </c>
    </row>
    <row r="124" spans="2:7" x14ac:dyDescent="0.3">
      <c r="B124" s="64">
        <v>55</v>
      </c>
      <c r="C124" s="40">
        <v>1229.6704740850862</v>
      </c>
      <c r="D124" s="64">
        <v>55</v>
      </c>
      <c r="E124" s="40">
        <v>-34.033304552532911</v>
      </c>
      <c r="F124" s="64">
        <v>55</v>
      </c>
      <c r="G124" s="40">
        <v>1083.4104483916167</v>
      </c>
    </row>
    <row r="125" spans="2:7" x14ac:dyDescent="0.3">
      <c r="B125" s="64">
        <v>56</v>
      </c>
      <c r="C125" s="40">
        <v>1324.0845421819508</v>
      </c>
      <c r="D125" s="64">
        <v>56</v>
      </c>
      <c r="E125" s="40">
        <v>66.523817671790752</v>
      </c>
      <c r="F125" s="64">
        <v>56</v>
      </c>
      <c r="G125" s="40">
        <v>469.18991983780506</v>
      </c>
    </row>
    <row r="126" spans="2:7" x14ac:dyDescent="0.3">
      <c r="B126" s="64">
        <v>57</v>
      </c>
      <c r="C126" s="40">
        <v>911.06970115356216</v>
      </c>
      <c r="D126" s="64">
        <v>57</v>
      </c>
      <c r="E126" s="40">
        <v>-12.872309168794208</v>
      </c>
      <c r="F126" s="64">
        <v>57</v>
      </c>
      <c r="G126" s="40">
        <v>608.80033274618154</v>
      </c>
    </row>
    <row r="127" spans="2:7" x14ac:dyDescent="0.3">
      <c r="B127" s="64">
        <v>58</v>
      </c>
      <c r="C127" s="40">
        <v>1252.218580577317</v>
      </c>
      <c r="D127" s="64">
        <v>58</v>
      </c>
      <c r="E127" s="40">
        <v>-1.3412706291828556</v>
      </c>
      <c r="F127" s="64">
        <v>58</v>
      </c>
      <c r="G127" s="40">
        <v>1254.4714371467317</v>
      </c>
    </row>
    <row r="128" spans="2:7" x14ac:dyDescent="0.3">
      <c r="B128" s="64">
        <v>59</v>
      </c>
      <c r="C128" s="40">
        <v>1111.9486661996607</v>
      </c>
      <c r="D128" s="64">
        <v>59</v>
      </c>
      <c r="E128" s="40">
        <v>32.16294173210337</v>
      </c>
      <c r="F128" s="64">
        <v>59</v>
      </c>
      <c r="G128" s="40">
        <v>929.25371832930557</v>
      </c>
    </row>
    <row r="129" spans="2:7" x14ac:dyDescent="0.3">
      <c r="B129" s="64">
        <v>60</v>
      </c>
      <c r="C129" s="40">
        <v>738.52982863990587</v>
      </c>
      <c r="D129" s="64">
        <v>60</v>
      </c>
      <c r="E129" s="40">
        <v>32.850447855641121</v>
      </c>
      <c r="F129" s="64">
        <v>60</v>
      </c>
      <c r="G129" s="40">
        <v>1082.7124952338584</v>
      </c>
    </row>
    <row r="130" spans="2:7" x14ac:dyDescent="0.3">
      <c r="B130" s="64">
        <v>61</v>
      </c>
      <c r="C130" s="40">
        <v>530.36794156651331</v>
      </c>
      <c r="D130" s="64">
        <v>61</v>
      </c>
      <c r="E130" s="40">
        <v>18.806592878993545</v>
      </c>
      <c r="F130" s="64">
        <v>61</v>
      </c>
      <c r="G130" s="40">
        <v>711.13884114871655</v>
      </c>
    </row>
    <row r="131" spans="2:7" x14ac:dyDescent="0.3">
      <c r="B131" s="64">
        <v>62</v>
      </c>
      <c r="C131" s="40">
        <v>776.6203705353164</v>
      </c>
      <c r="D131" s="64">
        <v>62</v>
      </c>
      <c r="E131" s="40">
        <v>29.357909850078755</v>
      </c>
      <c r="F131" s="64">
        <v>62</v>
      </c>
      <c r="G131" s="40">
        <v>975.72303524852271</v>
      </c>
    </row>
    <row r="132" spans="2:7" x14ac:dyDescent="0.3">
      <c r="B132" s="64">
        <v>63</v>
      </c>
      <c r="C132" s="40">
        <v>713.45348588737204</v>
      </c>
      <c r="D132" s="64">
        <v>63</v>
      </c>
      <c r="E132" s="40">
        <v>17.324684673699608</v>
      </c>
      <c r="F132" s="64">
        <v>63</v>
      </c>
      <c r="G132" s="40">
        <v>1038.9994186684239</v>
      </c>
    </row>
    <row r="133" spans="2:7" x14ac:dyDescent="0.3">
      <c r="B133" s="64">
        <v>64</v>
      </c>
      <c r="C133" s="40">
        <v>1184.8574959999901</v>
      </c>
      <c r="D133" s="64">
        <v>64</v>
      </c>
      <c r="E133" s="40">
        <v>26.240634829366407</v>
      </c>
      <c r="F133" s="64">
        <v>64</v>
      </c>
      <c r="G133" s="40">
        <v>857.64783748142816</v>
      </c>
    </row>
    <row r="134" spans="2:7" x14ac:dyDescent="0.3">
      <c r="B134" s="64">
        <v>65</v>
      </c>
      <c r="C134" s="40">
        <v>1022.1137458532323</v>
      </c>
      <c r="D134" s="64">
        <v>65</v>
      </c>
      <c r="E134" s="40">
        <v>44.214598445631175</v>
      </c>
      <c r="F134" s="64">
        <v>65</v>
      </c>
      <c r="G134" s="40">
        <v>1120.5718380631527</v>
      </c>
    </row>
    <row r="135" spans="2:7" x14ac:dyDescent="0.3">
      <c r="B135" s="64">
        <v>66</v>
      </c>
      <c r="C135" s="40">
        <v>858.90595871254573</v>
      </c>
      <c r="D135" s="64">
        <v>66</v>
      </c>
      <c r="E135" s="40">
        <v>70.362902564035238</v>
      </c>
      <c r="F135" s="64">
        <v>66</v>
      </c>
      <c r="G135" s="40">
        <v>1798.2045973942193</v>
      </c>
    </row>
    <row r="136" spans="2:7" x14ac:dyDescent="0.3">
      <c r="B136" s="64">
        <v>67</v>
      </c>
      <c r="C136" s="40">
        <v>1329.6402268557808</v>
      </c>
      <c r="D136" s="64">
        <v>67</v>
      </c>
      <c r="E136" s="40">
        <v>19.85865019531072</v>
      </c>
      <c r="F136" s="64">
        <v>67</v>
      </c>
      <c r="G136" s="40">
        <v>1075.4275568710732</v>
      </c>
    </row>
    <row r="137" spans="2:7" x14ac:dyDescent="0.3">
      <c r="B137" s="64">
        <v>68</v>
      </c>
      <c r="C137" s="40">
        <v>1123.6004779221707</v>
      </c>
      <c r="D137" s="64">
        <v>68</v>
      </c>
      <c r="E137" s="40">
        <v>-57.603967875189369</v>
      </c>
      <c r="F137" s="64">
        <v>68</v>
      </c>
      <c r="G137" s="40">
        <v>1141.7724819683563</v>
      </c>
    </row>
    <row r="138" spans="2:7" x14ac:dyDescent="0.3">
      <c r="B138" s="64">
        <v>69</v>
      </c>
      <c r="C138" s="40">
        <v>766.83177609554832</v>
      </c>
      <c r="D138" s="64">
        <v>69</v>
      </c>
      <c r="E138" s="40">
        <v>13.620382371179923</v>
      </c>
      <c r="F138" s="64">
        <v>69</v>
      </c>
      <c r="G138" s="40">
        <v>1156.4217059205505</v>
      </c>
    </row>
    <row r="139" spans="2:7" x14ac:dyDescent="0.3">
      <c r="B139" s="64">
        <v>70</v>
      </c>
      <c r="C139" s="40">
        <v>1347.1249433962371</v>
      </c>
      <c r="D139" s="64">
        <v>70</v>
      </c>
      <c r="E139" s="40">
        <v>-34.27054047327956</v>
      </c>
      <c r="F139" s="64">
        <v>70</v>
      </c>
      <c r="G139" s="40">
        <v>1421.4906850318575</v>
      </c>
    </row>
    <row r="140" spans="2:7" x14ac:dyDescent="0.3">
      <c r="B140" s="64">
        <v>71</v>
      </c>
      <c r="C140" s="40">
        <v>938.77134037737142</v>
      </c>
      <c r="D140" s="64">
        <v>71</v>
      </c>
      <c r="E140" s="40">
        <v>19.896620914819138</v>
      </c>
      <c r="F140" s="64">
        <v>71</v>
      </c>
      <c r="G140" s="40">
        <v>817.59828471604339</v>
      </c>
    </row>
    <row r="141" spans="2:7" x14ac:dyDescent="0.3">
      <c r="B141" s="64">
        <v>72</v>
      </c>
      <c r="C141" s="40">
        <v>1233.8234187295759</v>
      </c>
      <c r="D141" s="64">
        <v>72</v>
      </c>
      <c r="E141" s="40">
        <v>9.4590414527950202</v>
      </c>
      <c r="F141" s="64">
        <v>72</v>
      </c>
      <c r="G141" s="40">
        <v>176.89562270198965</v>
      </c>
    </row>
    <row r="142" spans="2:7" x14ac:dyDescent="0.3">
      <c r="B142" s="64">
        <v>73</v>
      </c>
      <c r="C142" s="40">
        <v>989.89014754908294</v>
      </c>
      <c r="D142" s="64">
        <v>73</v>
      </c>
      <c r="E142" s="40">
        <v>-15.298686613584232</v>
      </c>
      <c r="F142" s="64">
        <v>73</v>
      </c>
      <c r="G142" s="40">
        <v>1136.680571464284</v>
      </c>
    </row>
    <row r="143" spans="2:7" x14ac:dyDescent="0.3">
      <c r="B143" s="64">
        <v>74</v>
      </c>
      <c r="C143" s="40">
        <v>702.25367709049181</v>
      </c>
      <c r="D143" s="64">
        <v>74</v>
      </c>
      <c r="E143" s="40">
        <v>-53.270611620378304</v>
      </c>
      <c r="F143" s="64">
        <v>74</v>
      </c>
      <c r="G143" s="40">
        <v>1301.0117837374439</v>
      </c>
    </row>
    <row r="144" spans="2:7" x14ac:dyDescent="0.3">
      <c r="B144" s="64">
        <v>75</v>
      </c>
      <c r="C144" s="40">
        <v>820.92035723274421</v>
      </c>
      <c r="D144" s="64">
        <v>75</v>
      </c>
      <c r="E144" s="40">
        <v>5.3046225744021918</v>
      </c>
      <c r="F144" s="64">
        <v>75</v>
      </c>
      <c r="G144" s="40">
        <v>1443.6266900603596</v>
      </c>
    </row>
    <row r="145" spans="2:7" x14ac:dyDescent="0.3">
      <c r="B145" s="64">
        <v>76</v>
      </c>
      <c r="C145" s="40">
        <v>743.46681085430396</v>
      </c>
      <c r="D145" s="64">
        <v>76</v>
      </c>
      <c r="E145" s="40">
        <v>5.3513103570271658</v>
      </c>
      <c r="F145" s="64">
        <v>76</v>
      </c>
      <c r="G145" s="40">
        <v>1101.2210525015416</v>
      </c>
    </row>
    <row r="146" spans="2:7" x14ac:dyDescent="0.3">
      <c r="B146" s="64">
        <v>77</v>
      </c>
      <c r="C146" s="40">
        <v>845.33020142065379</v>
      </c>
      <c r="D146" s="64">
        <v>77</v>
      </c>
      <c r="E146" s="40">
        <v>22.04612185978689</v>
      </c>
      <c r="F146" s="64">
        <v>77</v>
      </c>
      <c r="G146" s="40">
        <v>776.97426941028721</v>
      </c>
    </row>
    <row r="147" spans="2:7" x14ac:dyDescent="0.3">
      <c r="B147" s="64">
        <v>78</v>
      </c>
      <c r="C147" s="40">
        <v>1160.536607982918</v>
      </c>
      <c r="D147" s="64">
        <v>78</v>
      </c>
      <c r="E147" s="40">
        <v>-30.141131881026773</v>
      </c>
      <c r="F147" s="64">
        <v>78</v>
      </c>
      <c r="G147" s="40">
        <v>1041.9288880259278</v>
      </c>
    </row>
    <row r="148" spans="2:7" x14ac:dyDescent="0.3">
      <c r="B148" s="64">
        <v>79</v>
      </c>
      <c r="C148" s="40">
        <v>1672.5309378639959</v>
      </c>
      <c r="D148" s="64">
        <v>79</v>
      </c>
      <c r="E148" s="40">
        <v>-16.237270662084306</v>
      </c>
      <c r="F148" s="64">
        <v>79</v>
      </c>
      <c r="G148" s="40">
        <v>1590.8557987057827</v>
      </c>
    </row>
    <row r="149" spans="2:7" x14ac:dyDescent="0.3">
      <c r="B149" s="64">
        <v>80</v>
      </c>
      <c r="C149" s="40">
        <v>732.02806756768518</v>
      </c>
      <c r="D149" s="64">
        <v>80</v>
      </c>
      <c r="E149" s="40">
        <v>45.109962427293041</v>
      </c>
      <c r="F149" s="64">
        <v>80</v>
      </c>
      <c r="G149" s="40">
        <v>1082.1031666404954</v>
      </c>
    </row>
    <row r="150" spans="2:7" x14ac:dyDescent="0.3">
      <c r="B150" s="64">
        <v>81</v>
      </c>
      <c r="C150" s="40">
        <v>659.46166873773234</v>
      </c>
      <c r="D150" s="64">
        <v>81</v>
      </c>
      <c r="E150" s="40">
        <v>5.6127462146404508</v>
      </c>
      <c r="F150" s="64">
        <v>81</v>
      </c>
      <c r="G150" s="40">
        <v>811.97880417172269</v>
      </c>
    </row>
    <row r="151" spans="2:7" x14ac:dyDescent="0.3">
      <c r="B151" s="64">
        <v>82</v>
      </c>
      <c r="C151" s="40">
        <v>704.97029549539877</v>
      </c>
      <c r="D151" s="64">
        <v>82</v>
      </c>
      <c r="E151" s="40">
        <v>-8.2280774771645753</v>
      </c>
      <c r="F151" s="64">
        <v>82</v>
      </c>
      <c r="G151" s="40">
        <v>1168.3857545285121</v>
      </c>
    </row>
    <row r="152" spans="2:7" x14ac:dyDescent="0.3">
      <c r="B152" s="64">
        <v>83</v>
      </c>
      <c r="C152" s="40">
        <v>998.38563866945447</v>
      </c>
      <c r="D152" s="64">
        <v>83</v>
      </c>
      <c r="E152" s="40">
        <v>37.816419286583361</v>
      </c>
      <c r="F152" s="64">
        <v>83</v>
      </c>
      <c r="G152" s="40">
        <v>1339.7069024090738</v>
      </c>
    </row>
    <row r="153" spans="2:7" x14ac:dyDescent="0.3">
      <c r="B153" s="64">
        <v>84</v>
      </c>
      <c r="C153" s="40">
        <v>237.12411537907033</v>
      </c>
      <c r="D153" s="64">
        <v>84</v>
      </c>
      <c r="E153" s="40">
        <v>19.288786965536808</v>
      </c>
      <c r="F153" s="64">
        <v>84</v>
      </c>
      <c r="G153" s="40">
        <v>641.43393232938081</v>
      </c>
    </row>
    <row r="154" spans="2:7" x14ac:dyDescent="0.3">
      <c r="B154" s="64">
        <v>85</v>
      </c>
      <c r="C154" s="40">
        <v>1212.9643562300857</v>
      </c>
      <c r="D154" s="64">
        <v>85</v>
      </c>
      <c r="E154" s="40">
        <v>3.1921611525359128</v>
      </c>
      <c r="F154" s="64">
        <v>85</v>
      </c>
      <c r="G154" s="40">
        <v>578.86631847386229</v>
      </c>
    </row>
    <row r="155" spans="2:7" x14ac:dyDescent="0.3">
      <c r="B155" s="64">
        <v>86</v>
      </c>
      <c r="C155" s="40">
        <v>740.91910936390207</v>
      </c>
      <c r="D155" s="64">
        <v>86</v>
      </c>
      <c r="E155" s="40">
        <v>-16.226556475669295</v>
      </c>
      <c r="F155" s="64">
        <v>86</v>
      </c>
      <c r="G155" s="40">
        <v>232.83115362928356</v>
      </c>
    </row>
    <row r="156" spans="2:7" x14ac:dyDescent="0.3">
      <c r="B156" s="64">
        <v>87</v>
      </c>
      <c r="C156" s="40">
        <v>727.26060001527208</v>
      </c>
      <c r="D156" s="64">
        <v>87</v>
      </c>
      <c r="E156" s="40">
        <v>25.341697150290255</v>
      </c>
      <c r="F156" s="64">
        <v>87</v>
      </c>
      <c r="G156" s="40">
        <v>1058.5847254133628</v>
      </c>
    </row>
    <row r="157" spans="2:7" x14ac:dyDescent="0.3">
      <c r="B157" s="64">
        <v>88</v>
      </c>
      <c r="C157" s="40">
        <v>1091.0671474267149</v>
      </c>
      <c r="D157" s="64">
        <v>88</v>
      </c>
      <c r="E157" s="40">
        <v>9.0174709062121217</v>
      </c>
      <c r="F157" s="64">
        <v>88</v>
      </c>
      <c r="G157" s="40">
        <v>565.43846178279148</v>
      </c>
    </row>
    <row r="158" spans="2:7" x14ac:dyDescent="0.3">
      <c r="B158" s="64">
        <v>89</v>
      </c>
      <c r="C158" s="40">
        <v>553.39973982942081</v>
      </c>
      <c r="D158" s="64">
        <v>89</v>
      </c>
      <c r="E158" s="40">
        <v>28.808557537992733</v>
      </c>
      <c r="F158" s="64">
        <v>89</v>
      </c>
      <c r="G158" s="40">
        <v>825.99505999736141</v>
      </c>
    </row>
    <row r="159" spans="2:7" x14ac:dyDescent="0.3">
      <c r="B159" s="64">
        <v>90</v>
      </c>
      <c r="C159" s="40">
        <v>699.34762554945814</v>
      </c>
      <c r="D159" s="64">
        <v>90</v>
      </c>
      <c r="E159" s="40">
        <v>17.231583231193436</v>
      </c>
      <c r="F159" s="64">
        <v>90</v>
      </c>
      <c r="G159" s="40">
        <v>980.94648458552695</v>
      </c>
    </row>
    <row r="160" spans="2:7" x14ac:dyDescent="0.3">
      <c r="B160" s="64">
        <v>91</v>
      </c>
      <c r="C160" s="40">
        <v>1733.9528098451451</v>
      </c>
      <c r="D160" s="64">
        <v>91</v>
      </c>
      <c r="E160" s="40">
        <v>31.141730360662052</v>
      </c>
      <c r="F160" s="64">
        <v>91</v>
      </c>
      <c r="G160" s="40">
        <v>1492.5009728404257</v>
      </c>
    </row>
    <row r="161" spans="2:7" x14ac:dyDescent="0.3">
      <c r="B161" s="64">
        <v>92</v>
      </c>
      <c r="C161" s="40">
        <v>1194.026778626137</v>
      </c>
      <c r="D161" s="64">
        <v>92</v>
      </c>
      <c r="E161" s="40">
        <v>-35.139499180932276</v>
      </c>
      <c r="F161" s="64">
        <v>92</v>
      </c>
      <c r="G161" s="40">
        <v>446.21327548142551</v>
      </c>
    </row>
    <row r="162" spans="2:7" x14ac:dyDescent="0.3">
      <c r="B162" s="64">
        <v>93</v>
      </c>
      <c r="C162" s="40">
        <v>1120.3087055058231</v>
      </c>
      <c r="D162" s="64">
        <v>93</v>
      </c>
      <c r="E162" s="40">
        <v>-18.465583676883234</v>
      </c>
      <c r="F162" s="64">
        <v>93</v>
      </c>
      <c r="G162" s="40">
        <v>1046.5273551834714</v>
      </c>
    </row>
    <row r="163" spans="2:7" x14ac:dyDescent="0.3">
      <c r="B163" s="64">
        <v>94</v>
      </c>
      <c r="C163" s="40">
        <v>1336.2801968011177</v>
      </c>
      <c r="D163" s="64">
        <v>94</v>
      </c>
      <c r="E163" s="40">
        <v>2.0777699276511705</v>
      </c>
      <c r="F163" s="64">
        <v>94</v>
      </c>
      <c r="G163" s="40">
        <v>786.46719376372062</v>
      </c>
    </row>
    <row r="164" spans="2:7" x14ac:dyDescent="0.3">
      <c r="B164" s="64">
        <v>95</v>
      </c>
      <c r="C164" s="40">
        <v>1036.8434556537095</v>
      </c>
      <c r="D164" s="64">
        <v>95</v>
      </c>
      <c r="E164" s="40">
        <v>33.928304890522647</v>
      </c>
      <c r="F164" s="64">
        <v>95</v>
      </c>
      <c r="G164" s="40">
        <v>482.5362891013512</v>
      </c>
    </row>
    <row r="165" spans="2:7" x14ac:dyDescent="0.3">
      <c r="B165" s="64">
        <v>96</v>
      </c>
      <c r="C165" s="40">
        <v>675.99487565877268</v>
      </c>
      <c r="D165" s="64">
        <v>96</v>
      </c>
      <c r="E165" s="40">
        <v>14.617000672890669</v>
      </c>
      <c r="F165" s="64">
        <v>96</v>
      </c>
      <c r="G165" s="40">
        <v>1193.0243802922937</v>
      </c>
    </row>
    <row r="166" spans="2:7" x14ac:dyDescent="0.3">
      <c r="B166" s="64">
        <v>97</v>
      </c>
      <c r="C166" s="40">
        <v>1179.5121595001779</v>
      </c>
      <c r="D166" s="64">
        <v>97</v>
      </c>
      <c r="E166" s="40">
        <v>-13.992558719676589</v>
      </c>
      <c r="F166" s="64">
        <v>97</v>
      </c>
      <c r="G166" s="40">
        <v>620.61428061326228</v>
      </c>
    </row>
    <row r="167" spans="2:7" x14ac:dyDescent="0.3">
      <c r="B167" s="64">
        <v>98</v>
      </c>
      <c r="C167" s="40">
        <v>926.92018366916568</v>
      </c>
      <c r="D167" s="64">
        <v>98</v>
      </c>
      <c r="E167" s="40">
        <v>0.92457520198693377</v>
      </c>
      <c r="F167" s="64">
        <v>98</v>
      </c>
      <c r="G167" s="40">
        <v>1064.8504674338164</v>
      </c>
    </row>
    <row r="168" spans="2:7" x14ac:dyDescent="0.3">
      <c r="B168" s="64">
        <v>99</v>
      </c>
      <c r="C168" s="40">
        <v>770.30369949218175</v>
      </c>
      <c r="D168" s="64">
        <v>99</v>
      </c>
      <c r="E168" s="40">
        <v>27.475595660178335</v>
      </c>
      <c r="F168" s="64">
        <v>99</v>
      </c>
      <c r="G168" s="40">
        <v>770.47127183007228</v>
      </c>
    </row>
    <row r="169" spans="2:7" x14ac:dyDescent="0.3">
      <c r="B169" s="64">
        <v>100</v>
      </c>
      <c r="C169" s="40">
        <v>1294.6366802578386</v>
      </c>
      <c r="D169" s="64">
        <v>100</v>
      </c>
      <c r="E169" s="40">
        <v>21.774810539137214</v>
      </c>
      <c r="F169" s="64">
        <v>100</v>
      </c>
      <c r="G169" s="40">
        <v>1146.500850166794</v>
      </c>
    </row>
    <row r="170" spans="2:7" x14ac:dyDescent="0.3">
      <c r="B170" s="64">
        <v>101</v>
      </c>
      <c r="C170" s="40">
        <v>826.0421957367613</v>
      </c>
      <c r="D170" s="64">
        <v>101</v>
      </c>
      <c r="E170" s="40">
        <v>39.501915138313464</v>
      </c>
      <c r="F170" s="64">
        <v>101</v>
      </c>
      <c r="G170" s="40">
        <v>1262.8390441447768</v>
      </c>
    </row>
    <row r="171" spans="2:7" x14ac:dyDescent="0.3">
      <c r="B171" s="64">
        <v>102</v>
      </c>
      <c r="C171" s="40">
        <v>1346.9344227356601</v>
      </c>
      <c r="D171" s="64">
        <v>102</v>
      </c>
      <c r="E171" s="40">
        <v>5.8956180653711883</v>
      </c>
      <c r="F171" s="64">
        <v>102</v>
      </c>
      <c r="G171" s="40">
        <v>1243.6445589643549</v>
      </c>
    </row>
    <row r="172" spans="2:7" x14ac:dyDescent="0.3">
      <c r="B172" s="64">
        <v>103</v>
      </c>
      <c r="C172" s="40">
        <v>980.59323590096028</v>
      </c>
      <c r="D172" s="64">
        <v>103</v>
      </c>
      <c r="E172" s="40">
        <v>5.3846691770132855</v>
      </c>
      <c r="F172" s="64">
        <v>103</v>
      </c>
      <c r="G172" s="40">
        <v>1053.6895832143355</v>
      </c>
    </row>
    <row r="173" spans="2:7" x14ac:dyDescent="0.3">
      <c r="B173" s="64">
        <v>104</v>
      </c>
      <c r="C173" s="40">
        <v>854.55629978231013</v>
      </c>
      <c r="D173" s="64">
        <v>104</v>
      </c>
      <c r="E173" s="40">
        <v>27.507876253196446</v>
      </c>
      <c r="F173" s="64">
        <v>104</v>
      </c>
      <c r="G173" s="40">
        <v>575.94340327383236</v>
      </c>
    </row>
    <row r="174" spans="2:7" x14ac:dyDescent="0.3">
      <c r="B174" s="64">
        <v>105</v>
      </c>
      <c r="C174" s="40">
        <v>493.14615394505472</v>
      </c>
      <c r="D174" s="64">
        <v>105</v>
      </c>
      <c r="E174" s="40">
        <v>9.0510004208289594</v>
      </c>
      <c r="F174" s="64">
        <v>105</v>
      </c>
      <c r="G174" s="40">
        <v>1022.5333936298663</v>
      </c>
    </row>
    <row r="175" spans="2:7" x14ac:dyDescent="0.3">
      <c r="B175" s="64">
        <v>106</v>
      </c>
      <c r="C175" s="40">
        <v>989.58117697815032</v>
      </c>
      <c r="D175" s="64">
        <v>106</v>
      </c>
      <c r="E175" s="40">
        <v>42.331287451035415</v>
      </c>
      <c r="F175" s="64">
        <v>106</v>
      </c>
      <c r="G175" s="40">
        <v>1170.7768118279796</v>
      </c>
    </row>
    <row r="176" spans="2:7" x14ac:dyDescent="0.3">
      <c r="B176" s="64">
        <v>107</v>
      </c>
      <c r="C176" s="40">
        <v>651.09649058875425</v>
      </c>
      <c r="D176" s="64">
        <v>107</v>
      </c>
      <c r="E176" s="40">
        <v>-12.92733968074551</v>
      </c>
      <c r="F176" s="64">
        <v>107</v>
      </c>
      <c r="G176" s="40">
        <v>1067.1066955844663</v>
      </c>
    </row>
    <row r="177" spans="2:7" x14ac:dyDescent="0.3">
      <c r="B177" s="64">
        <v>108</v>
      </c>
      <c r="C177" s="40">
        <v>1283.0776567969201</v>
      </c>
      <c r="D177" s="64">
        <v>108</v>
      </c>
      <c r="E177" s="40">
        <v>15.836791958282699</v>
      </c>
      <c r="F177" s="64">
        <v>108</v>
      </c>
      <c r="G177" s="40">
        <v>836.94483846895332</v>
      </c>
    </row>
    <row r="178" spans="2:7" x14ac:dyDescent="0.3">
      <c r="B178" s="64">
        <v>109</v>
      </c>
      <c r="C178" s="40">
        <v>455.64742963975448</v>
      </c>
      <c r="D178" s="64">
        <v>109</v>
      </c>
      <c r="E178" s="40">
        <v>-27.580219151630512</v>
      </c>
      <c r="F178" s="64">
        <v>109</v>
      </c>
      <c r="G178" s="40">
        <v>520.07131676502252</v>
      </c>
    </row>
    <row r="179" spans="2:7" x14ac:dyDescent="0.3">
      <c r="B179" s="64">
        <v>110</v>
      </c>
      <c r="C179" s="40">
        <v>558.87954827507212</v>
      </c>
      <c r="D179" s="64">
        <v>110</v>
      </c>
      <c r="E179" s="40">
        <v>29.925369270195727</v>
      </c>
      <c r="F179" s="64">
        <v>110</v>
      </c>
      <c r="G179" s="40">
        <v>329.26857633197505</v>
      </c>
    </row>
    <row r="180" spans="2:7" x14ac:dyDescent="0.3">
      <c r="B180" s="64">
        <v>111</v>
      </c>
      <c r="C180" s="40">
        <v>500.13974566686431</v>
      </c>
      <c r="D180" s="64">
        <v>111</v>
      </c>
      <c r="E180" s="40">
        <v>13.221996642716158</v>
      </c>
      <c r="F180" s="64">
        <v>111</v>
      </c>
      <c r="G180" s="40">
        <v>743.67816185029369</v>
      </c>
    </row>
    <row r="181" spans="2:7" x14ac:dyDescent="0.3">
      <c r="B181" s="64">
        <v>112</v>
      </c>
      <c r="C181" s="40">
        <v>1482.5684116266398</v>
      </c>
      <c r="D181" s="64">
        <v>112</v>
      </c>
      <c r="E181" s="40">
        <v>1.5838562412260695</v>
      </c>
      <c r="F181" s="64">
        <v>112</v>
      </c>
      <c r="G181" s="40">
        <v>1225.545585155518</v>
      </c>
    </row>
    <row r="182" spans="2:7" x14ac:dyDescent="0.3">
      <c r="B182" s="64">
        <v>113</v>
      </c>
      <c r="C182" s="40">
        <v>161.14108756034122</v>
      </c>
      <c r="D182" s="64">
        <v>113</v>
      </c>
      <c r="E182" s="40">
        <v>16.576341888129235</v>
      </c>
      <c r="F182" s="64">
        <v>113</v>
      </c>
      <c r="G182" s="40">
        <v>1063.6740221121577</v>
      </c>
    </row>
    <row r="183" spans="2:7" x14ac:dyDescent="0.3">
      <c r="B183" s="64">
        <v>114</v>
      </c>
      <c r="C183" s="40">
        <v>1299.9488574620179</v>
      </c>
      <c r="D183" s="64">
        <v>114</v>
      </c>
      <c r="E183" s="40">
        <v>19.732704016781657</v>
      </c>
      <c r="F183" s="64">
        <v>114</v>
      </c>
      <c r="G183" s="40">
        <v>532.59942994833796</v>
      </c>
    </row>
    <row r="184" spans="2:7" x14ac:dyDescent="0.3">
      <c r="B184" s="64">
        <v>115</v>
      </c>
      <c r="C184" s="40">
        <v>576.08182902988813</v>
      </c>
      <c r="D184" s="64">
        <v>115</v>
      </c>
      <c r="E184" s="40">
        <v>-13.910693711739873</v>
      </c>
      <c r="F184" s="64">
        <v>115</v>
      </c>
      <c r="G184" s="40">
        <v>1096.8506526001838</v>
      </c>
    </row>
    <row r="185" spans="2:7" x14ac:dyDescent="0.3">
      <c r="B185" s="64">
        <v>116</v>
      </c>
      <c r="C185" s="40">
        <v>1172.6368760534608</v>
      </c>
      <c r="D185" s="64">
        <v>116</v>
      </c>
      <c r="E185" s="40">
        <v>-18.854648950848294</v>
      </c>
      <c r="F185" s="64">
        <v>116</v>
      </c>
      <c r="G185" s="40">
        <v>1181.2722929588986</v>
      </c>
    </row>
    <row r="186" spans="2:7" x14ac:dyDescent="0.3">
      <c r="B186" s="64">
        <v>117</v>
      </c>
      <c r="C186" s="40">
        <v>667.17808489366666</v>
      </c>
      <c r="D186" s="64">
        <v>117</v>
      </c>
      <c r="E186" s="40">
        <v>1.8058764820140634</v>
      </c>
      <c r="F186" s="64">
        <v>117</v>
      </c>
      <c r="G186" s="40">
        <v>721.80437584306617</v>
      </c>
    </row>
    <row r="187" spans="2:7" x14ac:dyDescent="0.3">
      <c r="B187" s="64">
        <v>118</v>
      </c>
      <c r="C187" s="40">
        <v>757.26387594555104</v>
      </c>
      <c r="D187" s="64">
        <v>118</v>
      </c>
      <c r="E187" s="40">
        <v>18.105495132111781</v>
      </c>
      <c r="F187" s="64">
        <v>118</v>
      </c>
      <c r="G187" s="40">
        <v>1627.2076037431364</v>
      </c>
    </row>
    <row r="188" spans="2:7" x14ac:dyDescent="0.3">
      <c r="B188" s="64">
        <v>119</v>
      </c>
      <c r="C188" s="40">
        <v>831.36322631987605</v>
      </c>
      <c r="D188" s="64">
        <v>119</v>
      </c>
      <c r="E188" s="40">
        <v>-58.085929298244196</v>
      </c>
      <c r="F188" s="64">
        <v>119</v>
      </c>
      <c r="G188" s="40">
        <v>912.14895503744356</v>
      </c>
    </row>
    <row r="189" spans="2:7" x14ac:dyDescent="0.3">
      <c r="B189" s="64">
        <v>120</v>
      </c>
      <c r="C189" s="40">
        <v>1211.5108311695826</v>
      </c>
      <c r="D189" s="64">
        <v>120</v>
      </c>
      <c r="E189" s="40">
        <v>13.196873736984784</v>
      </c>
      <c r="F189" s="64">
        <v>120</v>
      </c>
      <c r="G189" s="40">
        <v>1074.9510863491466</v>
      </c>
    </row>
    <row r="190" spans="2:7" x14ac:dyDescent="0.3">
      <c r="B190" s="64">
        <v>121</v>
      </c>
      <c r="C190" s="40">
        <v>986.21472850462703</v>
      </c>
      <c r="D190" s="64">
        <v>121</v>
      </c>
      <c r="E190" s="40">
        <v>-6.0776991795600237</v>
      </c>
      <c r="F190" s="64">
        <v>121</v>
      </c>
      <c r="G190" s="40">
        <v>324.68103602120328</v>
      </c>
    </row>
    <row r="191" spans="2:7" x14ac:dyDescent="0.3">
      <c r="B191" s="64">
        <v>122</v>
      </c>
      <c r="C191" s="40">
        <v>591.94971097316841</v>
      </c>
      <c r="D191" s="64">
        <v>122</v>
      </c>
      <c r="E191" s="40">
        <v>-22.147894220399998</v>
      </c>
      <c r="F191" s="64">
        <v>122</v>
      </c>
      <c r="G191" s="40">
        <v>295.37597138710794</v>
      </c>
    </row>
    <row r="192" spans="2:7" x14ac:dyDescent="0.3">
      <c r="B192" s="64">
        <v>123</v>
      </c>
      <c r="C192" s="40">
        <v>979.2499263998991</v>
      </c>
      <c r="D192" s="64">
        <v>123</v>
      </c>
      <c r="E192" s="40">
        <v>-3.9880459282366205</v>
      </c>
      <c r="F192" s="64">
        <v>123</v>
      </c>
      <c r="G192" s="40">
        <v>485.88007334801523</v>
      </c>
    </row>
    <row r="193" spans="2:7" x14ac:dyDescent="0.3">
      <c r="B193" s="64">
        <v>124</v>
      </c>
      <c r="C193" s="40">
        <v>934.63863960205799</v>
      </c>
      <c r="D193" s="64">
        <v>124</v>
      </c>
      <c r="E193" s="40">
        <v>20.142356825443436</v>
      </c>
      <c r="F193" s="64">
        <v>124</v>
      </c>
      <c r="G193" s="40">
        <v>1230.8389229428387</v>
      </c>
    </row>
    <row r="194" spans="2:7" x14ac:dyDescent="0.3">
      <c r="B194" s="64">
        <v>125</v>
      </c>
      <c r="C194" s="40">
        <v>505.98917051838527</v>
      </c>
      <c r="D194" s="64">
        <v>125</v>
      </c>
      <c r="E194" s="40">
        <v>-7.2755297511215229</v>
      </c>
      <c r="F194" s="64">
        <v>125</v>
      </c>
      <c r="G194" s="40">
        <v>572.44758114880437</v>
      </c>
    </row>
    <row r="195" spans="2:7" x14ac:dyDescent="0.3">
      <c r="B195" s="64">
        <v>126</v>
      </c>
      <c r="C195" s="40">
        <v>870.14940875938987</v>
      </c>
      <c r="D195" s="64">
        <v>126</v>
      </c>
      <c r="E195" s="40">
        <v>-3.9498002335326161</v>
      </c>
      <c r="F195" s="64">
        <v>126</v>
      </c>
      <c r="G195" s="40">
        <v>1293.6639655463928</v>
      </c>
    </row>
    <row r="196" spans="2:7" x14ac:dyDescent="0.3">
      <c r="B196" s="64">
        <v>127</v>
      </c>
      <c r="C196" s="40">
        <v>990.259495942954</v>
      </c>
      <c r="D196" s="64">
        <v>127</v>
      </c>
      <c r="E196" s="40">
        <v>2.9197181698729797</v>
      </c>
      <c r="F196" s="64">
        <v>127</v>
      </c>
      <c r="G196" s="40">
        <v>770.36736508905301</v>
      </c>
    </row>
    <row r="197" spans="2:7" x14ac:dyDescent="0.3">
      <c r="B197" s="64">
        <v>128</v>
      </c>
      <c r="C197" s="40">
        <v>700.26001627281516</v>
      </c>
      <c r="D197" s="64">
        <v>128</v>
      </c>
      <c r="E197" s="40">
        <v>6.6790954543143668</v>
      </c>
      <c r="F197" s="64">
        <v>128</v>
      </c>
      <c r="G197" s="40">
        <v>1071.0152215541518</v>
      </c>
    </row>
    <row r="198" spans="2:7" x14ac:dyDescent="0.3">
      <c r="B198" s="64">
        <v>129</v>
      </c>
      <c r="C198" s="40">
        <v>1376.3568164239891</v>
      </c>
      <c r="D198" s="64">
        <v>129</v>
      </c>
      <c r="E198" s="40">
        <v>7.1471272630458724</v>
      </c>
      <c r="F198" s="64">
        <v>129</v>
      </c>
      <c r="G198" s="40">
        <v>594.38153351717119</v>
      </c>
    </row>
    <row r="199" spans="2:7" x14ac:dyDescent="0.3">
      <c r="B199" s="64">
        <v>130</v>
      </c>
      <c r="C199" s="40">
        <v>690.71012607309626</v>
      </c>
      <c r="D199" s="64">
        <v>130</v>
      </c>
      <c r="E199" s="40">
        <v>-81.619814809386028</v>
      </c>
      <c r="F199" s="64">
        <v>130</v>
      </c>
      <c r="G199" s="40">
        <v>1085.7334792622257</v>
      </c>
    </row>
    <row r="200" spans="2:7" x14ac:dyDescent="0.3">
      <c r="B200" s="64">
        <v>131</v>
      </c>
      <c r="C200" s="40">
        <v>1021.7454495928454</v>
      </c>
      <c r="D200" s="64">
        <v>131</v>
      </c>
      <c r="E200" s="40">
        <v>33.359483689146053</v>
      </c>
      <c r="F200" s="64">
        <v>131</v>
      </c>
      <c r="G200" s="40">
        <v>660.2057404020685</v>
      </c>
    </row>
    <row r="201" spans="2:7" x14ac:dyDescent="0.3">
      <c r="B201" s="64">
        <v>132</v>
      </c>
      <c r="C201" s="40">
        <v>1211.094019734132</v>
      </c>
      <c r="D201" s="64">
        <v>132</v>
      </c>
      <c r="E201" s="40">
        <v>-22.164133581631926</v>
      </c>
      <c r="F201" s="64">
        <v>132</v>
      </c>
      <c r="G201" s="40">
        <v>1544.3363589660862</v>
      </c>
    </row>
    <row r="202" spans="2:7" x14ac:dyDescent="0.3">
      <c r="B202" s="64">
        <v>133</v>
      </c>
      <c r="C202" s="40">
        <v>634.62382212851321</v>
      </c>
      <c r="D202" s="64">
        <v>133</v>
      </c>
      <c r="E202" s="40">
        <v>26.201410139826816</v>
      </c>
      <c r="F202" s="64">
        <v>133</v>
      </c>
      <c r="G202" s="40">
        <v>963.51666720329672</v>
      </c>
    </row>
    <row r="203" spans="2:7" x14ac:dyDescent="0.3">
      <c r="B203" s="64">
        <v>134</v>
      </c>
      <c r="C203" s="40">
        <v>965.37152039669456</v>
      </c>
      <c r="D203" s="64">
        <v>134</v>
      </c>
      <c r="E203" s="40">
        <v>37.548602638179588</v>
      </c>
      <c r="F203" s="64">
        <v>134</v>
      </c>
      <c r="G203" s="40">
        <v>837.41261642648681</v>
      </c>
    </row>
    <row r="204" spans="2:7" x14ac:dyDescent="0.3">
      <c r="B204" s="64">
        <v>135</v>
      </c>
      <c r="C204" s="40">
        <v>794.54743934453438</v>
      </c>
      <c r="D204" s="64">
        <v>135</v>
      </c>
      <c r="E204" s="40">
        <v>2.7121493804761743</v>
      </c>
      <c r="F204" s="64">
        <v>135</v>
      </c>
      <c r="G204" s="40">
        <v>1157.288407325748</v>
      </c>
    </row>
    <row r="205" spans="2:7" x14ac:dyDescent="0.3">
      <c r="B205" s="64">
        <v>136</v>
      </c>
      <c r="C205" s="40">
        <v>1106.6975081723767</v>
      </c>
      <c r="D205" s="64">
        <v>136</v>
      </c>
      <c r="E205" s="40">
        <v>-3.4463696600572979</v>
      </c>
      <c r="F205" s="64">
        <v>136</v>
      </c>
      <c r="G205" s="40">
        <v>918.01830513349637</v>
      </c>
    </row>
    <row r="206" spans="2:7" x14ac:dyDescent="0.3">
      <c r="B206" s="64">
        <v>137</v>
      </c>
      <c r="C206" s="40">
        <v>588.1932908248848</v>
      </c>
      <c r="D206" s="64">
        <v>137</v>
      </c>
      <c r="E206" s="40">
        <v>-14.31986573608383</v>
      </c>
      <c r="F206" s="64">
        <v>137</v>
      </c>
      <c r="G206" s="40">
        <v>951.21042918921773</v>
      </c>
    </row>
    <row r="207" spans="2:7" x14ac:dyDescent="0.3">
      <c r="B207" s="64">
        <v>138</v>
      </c>
      <c r="C207" s="40">
        <v>895.66308846193226</v>
      </c>
      <c r="D207" s="64">
        <v>138</v>
      </c>
      <c r="E207" s="40">
        <v>8.3742366016646876</v>
      </c>
      <c r="F207" s="64">
        <v>138</v>
      </c>
      <c r="G207" s="40">
        <v>1175.2017341800311</v>
      </c>
    </row>
    <row r="208" spans="2:7" x14ac:dyDescent="0.3">
      <c r="B208" s="64">
        <v>139</v>
      </c>
      <c r="C208" s="40">
        <v>427.2595330127362</v>
      </c>
      <c r="D208" s="64">
        <v>139</v>
      </c>
      <c r="E208" s="40">
        <v>25.172253848249106</v>
      </c>
      <c r="F208" s="64">
        <v>139</v>
      </c>
      <c r="G208" s="40">
        <v>1060.3875751428782</v>
      </c>
    </row>
    <row r="209" spans="2:7" x14ac:dyDescent="0.3">
      <c r="B209" s="64">
        <v>140</v>
      </c>
      <c r="C209" s="40">
        <v>801.98935107224986</v>
      </c>
      <c r="D209" s="64">
        <v>140</v>
      </c>
      <c r="E209" s="40">
        <v>26.107739749328864</v>
      </c>
      <c r="F209" s="64">
        <v>140</v>
      </c>
      <c r="G209" s="40">
        <v>494.51927458599812</v>
      </c>
    </row>
    <row r="210" spans="2:7" x14ac:dyDescent="0.3">
      <c r="B210" s="64">
        <v>141</v>
      </c>
      <c r="C210" s="40">
        <v>620.05152778121328</v>
      </c>
      <c r="D210" s="64">
        <v>141</v>
      </c>
      <c r="E210" s="40">
        <v>59.913949778426954</v>
      </c>
      <c r="F210" s="64">
        <v>141</v>
      </c>
      <c r="G210" s="40">
        <v>1157.3440228851391</v>
      </c>
    </row>
    <row r="211" spans="2:7" x14ac:dyDescent="0.3">
      <c r="B211" s="64">
        <v>142</v>
      </c>
      <c r="C211" s="40">
        <v>1146.024378927611</v>
      </c>
      <c r="D211" s="64">
        <v>142</v>
      </c>
      <c r="E211" s="40">
        <v>2.9864957046529743</v>
      </c>
      <c r="F211" s="64">
        <v>142</v>
      </c>
      <c r="G211" s="40">
        <v>1056.6583783243539</v>
      </c>
    </row>
    <row r="212" spans="2:7" x14ac:dyDescent="0.3">
      <c r="B212" s="64">
        <v>143</v>
      </c>
      <c r="C212" s="40">
        <v>772.57186082991143</v>
      </c>
      <c r="D212" s="64">
        <v>143</v>
      </c>
      <c r="E212" s="40">
        <v>-5.1857906516548713</v>
      </c>
      <c r="F212" s="64">
        <v>143</v>
      </c>
      <c r="G212" s="40">
        <v>938.92913818333147</v>
      </c>
    </row>
    <row r="213" spans="2:7" x14ac:dyDescent="0.3">
      <c r="B213" s="64">
        <v>144</v>
      </c>
      <c r="C213" s="40">
        <v>1443.5547061733239</v>
      </c>
      <c r="D213" s="64">
        <v>144</v>
      </c>
      <c r="E213" s="40">
        <v>-10.144971553179278</v>
      </c>
      <c r="F213" s="64">
        <v>144</v>
      </c>
      <c r="G213" s="40">
        <v>311.9541057433247</v>
      </c>
    </row>
    <row r="214" spans="2:7" x14ac:dyDescent="0.3">
      <c r="B214" s="64">
        <v>145</v>
      </c>
      <c r="C214" s="40">
        <v>607.70731082195402</v>
      </c>
      <c r="D214" s="64">
        <v>145</v>
      </c>
      <c r="E214" s="40">
        <v>-27.969541793095146</v>
      </c>
      <c r="F214" s="64">
        <v>145</v>
      </c>
      <c r="G214" s="40">
        <v>1068.9216716573414</v>
      </c>
    </row>
    <row r="215" spans="2:7" x14ac:dyDescent="0.3">
      <c r="B215" s="64">
        <v>146</v>
      </c>
      <c r="C215" s="40">
        <v>1004.9572368275797</v>
      </c>
      <c r="D215" s="64">
        <v>146</v>
      </c>
      <c r="E215" s="40">
        <v>8.3780034718094338</v>
      </c>
      <c r="F215" s="64">
        <v>146</v>
      </c>
      <c r="G215" s="40">
        <v>1063.8563265760558</v>
      </c>
    </row>
    <row r="216" spans="2:7" x14ac:dyDescent="0.3">
      <c r="B216" s="64">
        <v>147</v>
      </c>
      <c r="C216" s="40">
        <v>1242.5346792772739</v>
      </c>
      <c r="D216" s="64">
        <v>147</v>
      </c>
      <c r="E216" s="40">
        <v>-54.933446076432219</v>
      </c>
      <c r="F216" s="64">
        <v>147</v>
      </c>
      <c r="G216" s="40">
        <v>329.60964942152521</v>
      </c>
    </row>
    <row r="217" spans="2:7" x14ac:dyDescent="0.3">
      <c r="B217" s="64">
        <v>148</v>
      </c>
      <c r="C217" s="40">
        <v>1218.3838580771276</v>
      </c>
      <c r="D217" s="64">
        <v>148</v>
      </c>
      <c r="E217" s="40">
        <v>-3.6629560849731306</v>
      </c>
      <c r="F217" s="64">
        <v>148</v>
      </c>
      <c r="G217" s="40">
        <v>1025.7972982702127</v>
      </c>
    </row>
    <row r="218" spans="2:7" x14ac:dyDescent="0.3">
      <c r="B218" s="64">
        <v>149</v>
      </c>
      <c r="C218" s="40">
        <v>607.43936956321886</v>
      </c>
      <c r="D218" s="64">
        <v>149</v>
      </c>
      <c r="E218" s="40">
        <v>-27.147432610161097</v>
      </c>
      <c r="F218" s="64">
        <v>149</v>
      </c>
      <c r="G218" s="40">
        <v>596.37305186445178</v>
      </c>
    </row>
    <row r="219" spans="2:7" x14ac:dyDescent="0.3">
      <c r="B219" s="64">
        <v>150</v>
      </c>
      <c r="C219" s="40">
        <v>1103.0533572188911</v>
      </c>
      <c r="D219" s="64">
        <v>150</v>
      </c>
      <c r="E219" s="40">
        <v>3.9330920391250013</v>
      </c>
      <c r="F219" s="64">
        <v>150</v>
      </c>
      <c r="G219" s="40">
        <v>941.31410043950871</v>
      </c>
    </row>
    <row r="220" spans="2:7" x14ac:dyDescent="0.3">
      <c r="B220" s="64">
        <v>151</v>
      </c>
      <c r="C220" s="40">
        <v>763.05525283925294</v>
      </c>
      <c r="D220" s="64">
        <v>151</v>
      </c>
      <c r="E220" s="40">
        <v>-5.7430364972264831</v>
      </c>
      <c r="F220" s="64">
        <v>151</v>
      </c>
      <c r="G220" s="40">
        <v>960.81571436239233</v>
      </c>
    </row>
    <row r="221" spans="2:7" x14ac:dyDescent="0.3">
      <c r="B221" s="64">
        <v>152</v>
      </c>
      <c r="C221" s="40">
        <v>665.66584613623809</v>
      </c>
      <c r="D221" s="64">
        <v>152</v>
      </c>
      <c r="E221" s="40">
        <v>14.948884659374965</v>
      </c>
      <c r="F221" s="64">
        <v>152</v>
      </c>
      <c r="G221" s="40">
        <v>1181.1082444002359</v>
      </c>
    </row>
    <row r="222" spans="2:7" x14ac:dyDescent="0.3">
      <c r="B222" s="64">
        <v>153</v>
      </c>
      <c r="C222" s="40">
        <v>962.29136826706122</v>
      </c>
      <c r="D222" s="64">
        <v>153</v>
      </c>
      <c r="E222" s="40">
        <v>-37.300725218634774</v>
      </c>
      <c r="F222" s="64">
        <v>153</v>
      </c>
      <c r="G222" s="40">
        <v>1008.8299637455469</v>
      </c>
    </row>
    <row r="223" spans="2:7" x14ac:dyDescent="0.3">
      <c r="B223" s="64">
        <v>154</v>
      </c>
      <c r="C223" s="40">
        <v>986.04990465342905</v>
      </c>
      <c r="D223" s="64">
        <v>154</v>
      </c>
      <c r="E223" s="40">
        <v>37.267333028250405</v>
      </c>
      <c r="F223" s="64">
        <v>154</v>
      </c>
      <c r="G223" s="40">
        <v>923.64868282410191</v>
      </c>
    </row>
    <row r="224" spans="2:7" x14ac:dyDescent="0.3">
      <c r="B224" s="64">
        <v>155</v>
      </c>
      <c r="C224" s="40">
        <v>1006.5147136406974</v>
      </c>
      <c r="D224" s="64">
        <v>155</v>
      </c>
      <c r="E224" s="40">
        <v>2.1370413231706538</v>
      </c>
      <c r="F224" s="64">
        <v>155</v>
      </c>
      <c r="G224" s="40">
        <v>925.46868601391702</v>
      </c>
    </row>
    <row r="225" spans="2:7" x14ac:dyDescent="0.3">
      <c r="B225" s="64">
        <v>156</v>
      </c>
      <c r="C225" s="40">
        <v>1076.2114352226099</v>
      </c>
      <c r="D225" s="64">
        <v>156</v>
      </c>
      <c r="E225" s="40">
        <v>-8.281306788515149</v>
      </c>
      <c r="F225" s="64">
        <v>156</v>
      </c>
      <c r="G225" s="40">
        <v>947.54554791103533</v>
      </c>
    </row>
    <row r="226" spans="2:7" x14ac:dyDescent="0.3">
      <c r="B226" s="64">
        <v>157</v>
      </c>
      <c r="C226" s="40">
        <v>548.95666281716763</v>
      </c>
      <c r="D226" s="64">
        <v>157</v>
      </c>
      <c r="E226" s="40">
        <v>11.868473441819306</v>
      </c>
      <c r="F226" s="64">
        <v>157</v>
      </c>
      <c r="G226" s="40">
        <v>1775.6162448574619</v>
      </c>
    </row>
    <row r="227" spans="2:7" x14ac:dyDescent="0.3">
      <c r="B227" s="64">
        <v>158</v>
      </c>
      <c r="C227" s="40">
        <v>1323.8003815358302</v>
      </c>
      <c r="D227" s="64">
        <v>158</v>
      </c>
      <c r="E227" s="40">
        <v>-34.043674162844709</v>
      </c>
      <c r="F227" s="64">
        <v>158</v>
      </c>
      <c r="G227" s="40">
        <v>1536.31784845942</v>
      </c>
    </row>
    <row r="228" spans="2:7" x14ac:dyDescent="0.3">
      <c r="B228" s="64">
        <v>159</v>
      </c>
      <c r="C228" s="40">
        <v>1243.8210383483333</v>
      </c>
      <c r="D228" s="64">
        <v>159</v>
      </c>
      <c r="E228" s="40">
        <v>6.1592372707125609</v>
      </c>
      <c r="F228" s="64">
        <v>159</v>
      </c>
      <c r="G228" s="40">
        <v>749.00846417447895</v>
      </c>
    </row>
    <row r="229" spans="2:7" x14ac:dyDescent="0.3">
      <c r="B229" s="64">
        <v>160</v>
      </c>
      <c r="C229" s="40">
        <v>659.00310430452748</v>
      </c>
      <c r="D229" s="64">
        <v>160</v>
      </c>
      <c r="E229" s="40">
        <v>-11.475030067900096</v>
      </c>
      <c r="F229" s="64">
        <v>160</v>
      </c>
      <c r="G229" s="40">
        <v>1449.4902158025275</v>
      </c>
    </row>
    <row r="230" spans="2:7" x14ac:dyDescent="0.3">
      <c r="B230" s="64">
        <v>161</v>
      </c>
      <c r="C230" s="40">
        <v>755.21825156986938</v>
      </c>
      <c r="D230" s="64">
        <v>161</v>
      </c>
      <c r="E230" s="40">
        <v>6.6549355917267716</v>
      </c>
      <c r="F230" s="64">
        <v>161</v>
      </c>
      <c r="G230" s="40">
        <v>714.6722454781235</v>
      </c>
    </row>
    <row r="231" spans="2:7" x14ac:dyDescent="0.3">
      <c r="B231" s="64">
        <v>162</v>
      </c>
      <c r="C231" s="40">
        <v>287.04364988407804</v>
      </c>
      <c r="D231" s="64">
        <v>162</v>
      </c>
      <c r="E231" s="40">
        <v>2.0530324121739842</v>
      </c>
      <c r="F231" s="64">
        <v>162</v>
      </c>
      <c r="G231" s="40">
        <v>748.80464939620379</v>
      </c>
    </row>
    <row r="232" spans="2:7" x14ac:dyDescent="0.3">
      <c r="B232" s="64">
        <v>163</v>
      </c>
      <c r="C232" s="40">
        <v>828.12242022083069</v>
      </c>
      <c r="D232" s="64">
        <v>163</v>
      </c>
      <c r="E232" s="40">
        <v>9.2582734550563597</v>
      </c>
      <c r="F232" s="64">
        <v>163</v>
      </c>
      <c r="G232" s="40">
        <v>837.39936912118105</v>
      </c>
    </row>
    <row r="233" spans="2:7" x14ac:dyDescent="0.3">
      <c r="B233" s="64">
        <v>164</v>
      </c>
      <c r="C233" s="40">
        <v>966.66943568482873</v>
      </c>
      <c r="D233" s="64">
        <v>164</v>
      </c>
      <c r="E233" s="40">
        <v>7.8799068702232047</v>
      </c>
      <c r="F233" s="64">
        <v>164</v>
      </c>
      <c r="G233" s="40">
        <v>383.79313682221971</v>
      </c>
    </row>
    <row r="234" spans="2:7" x14ac:dyDescent="0.3">
      <c r="B234" s="64">
        <v>165</v>
      </c>
      <c r="C234" s="40">
        <v>975.57835686908891</v>
      </c>
      <c r="D234" s="64">
        <v>165</v>
      </c>
      <c r="E234" s="40">
        <v>26.787966382132435</v>
      </c>
      <c r="F234" s="64">
        <v>165</v>
      </c>
      <c r="G234" s="40">
        <v>1197.3305758229435</v>
      </c>
    </row>
    <row r="235" spans="2:7" x14ac:dyDescent="0.3">
      <c r="B235" s="64">
        <v>166</v>
      </c>
      <c r="C235" s="40">
        <v>783.64607065069674</v>
      </c>
      <c r="D235" s="64">
        <v>166</v>
      </c>
      <c r="E235" s="40">
        <v>-10.132312911549729</v>
      </c>
      <c r="F235" s="64">
        <v>166</v>
      </c>
      <c r="G235" s="40">
        <v>948.61351706448534</v>
      </c>
    </row>
    <row r="236" spans="2:7" x14ac:dyDescent="0.3">
      <c r="B236" s="64">
        <v>167</v>
      </c>
      <c r="C236" s="40">
        <v>1175.4723433527797</v>
      </c>
      <c r="D236" s="64">
        <v>167</v>
      </c>
      <c r="E236" s="40">
        <v>22.764434462648921</v>
      </c>
      <c r="F236" s="64">
        <v>167</v>
      </c>
      <c r="G236" s="40">
        <v>1148.65626755166</v>
      </c>
    </row>
    <row r="237" spans="2:7" x14ac:dyDescent="0.3">
      <c r="B237" s="64">
        <v>168</v>
      </c>
      <c r="C237" s="40">
        <v>666.60270793489656</v>
      </c>
      <c r="D237" s="64">
        <v>168</v>
      </c>
      <c r="E237" s="40">
        <v>13.272200640607698</v>
      </c>
      <c r="F237" s="64">
        <v>168</v>
      </c>
      <c r="G237" s="40">
        <v>1159.3601348655325</v>
      </c>
    </row>
    <row r="238" spans="2:7" x14ac:dyDescent="0.3">
      <c r="B238" s="64">
        <v>169</v>
      </c>
      <c r="C238" s="40">
        <v>1247.5279988861162</v>
      </c>
      <c r="D238" s="64">
        <v>169</v>
      </c>
      <c r="E238" s="40">
        <v>47.034130999832811</v>
      </c>
      <c r="F238" s="64">
        <v>169</v>
      </c>
      <c r="G238" s="40">
        <v>956.37228160354186</v>
      </c>
    </row>
    <row r="239" spans="2:7" x14ac:dyDescent="0.3">
      <c r="B239" s="64">
        <v>170</v>
      </c>
      <c r="C239" s="40">
        <v>1335.4258026738892</v>
      </c>
      <c r="D239" s="64">
        <v>170</v>
      </c>
      <c r="E239" s="40">
        <v>20.021428747684023</v>
      </c>
      <c r="F239" s="64">
        <v>170</v>
      </c>
      <c r="G239" s="40">
        <v>1131.7093934212594</v>
      </c>
    </row>
    <row r="240" spans="2:7" x14ac:dyDescent="0.3">
      <c r="B240" s="64">
        <v>171</v>
      </c>
      <c r="C240" s="40">
        <v>1040.6064124347422</v>
      </c>
      <c r="D240" s="64">
        <v>171</v>
      </c>
      <c r="E240" s="40">
        <v>41.970308211768739</v>
      </c>
      <c r="F240" s="64">
        <v>171</v>
      </c>
      <c r="G240" s="40">
        <v>491.20018576451804</v>
      </c>
    </row>
    <row r="241" spans="2:7" x14ac:dyDescent="0.3">
      <c r="B241" s="64">
        <v>172</v>
      </c>
      <c r="C241" s="40">
        <v>408.94839609716774</v>
      </c>
      <c r="D241" s="64">
        <v>172</v>
      </c>
      <c r="E241" s="40">
        <v>5.8489104751593013</v>
      </c>
      <c r="F241" s="64">
        <v>172</v>
      </c>
      <c r="G241" s="40">
        <v>616.66231891566736</v>
      </c>
    </row>
    <row r="242" spans="2:7" x14ac:dyDescent="0.3">
      <c r="B242" s="64">
        <v>173</v>
      </c>
      <c r="C242" s="40">
        <v>1053.01594161705</v>
      </c>
      <c r="D242" s="64">
        <v>173</v>
      </c>
      <c r="E242" s="40">
        <v>14.072893742017886</v>
      </c>
      <c r="F242" s="64">
        <v>173</v>
      </c>
      <c r="G242" s="40">
        <v>667.18575084708584</v>
      </c>
    </row>
    <row r="243" spans="2:7" x14ac:dyDescent="0.3">
      <c r="B243" s="64">
        <v>174</v>
      </c>
      <c r="C243" s="40">
        <v>1065.8578739416621</v>
      </c>
      <c r="D243" s="64">
        <v>174</v>
      </c>
      <c r="E243" s="40">
        <v>-36.613076757635802</v>
      </c>
      <c r="F243" s="64">
        <v>174</v>
      </c>
      <c r="G243" s="40">
        <v>605.1548910244253</v>
      </c>
    </row>
    <row r="244" spans="2:7" x14ac:dyDescent="0.3">
      <c r="B244" s="64">
        <v>175</v>
      </c>
      <c r="C244" s="40">
        <v>1517.2932492049101</v>
      </c>
      <c r="D244" s="64">
        <v>175</v>
      </c>
      <c r="E244" s="40">
        <v>-28.695231962929419</v>
      </c>
      <c r="F244" s="64">
        <v>175</v>
      </c>
      <c r="G244" s="40">
        <v>1372.1205896342717</v>
      </c>
    </row>
    <row r="245" spans="2:7" x14ac:dyDescent="0.3">
      <c r="B245" s="64">
        <v>176</v>
      </c>
      <c r="C245" s="40">
        <v>1176.0421530728586</v>
      </c>
      <c r="D245" s="64">
        <v>176</v>
      </c>
      <c r="E245" s="40">
        <v>18.463308052841889</v>
      </c>
      <c r="F245" s="64">
        <v>176</v>
      </c>
      <c r="G245" s="40">
        <v>772.25816223207232</v>
      </c>
    </row>
    <row r="246" spans="2:7" x14ac:dyDescent="0.3">
      <c r="B246" s="64">
        <v>177</v>
      </c>
      <c r="C246" s="40">
        <v>964.62160480943692</v>
      </c>
      <c r="D246" s="64">
        <v>177</v>
      </c>
      <c r="E246" s="40">
        <v>23.538438521856961</v>
      </c>
      <c r="F246" s="64">
        <v>177</v>
      </c>
      <c r="G246" s="40">
        <v>501.64855992216053</v>
      </c>
    </row>
    <row r="247" spans="2:7" x14ac:dyDescent="0.3">
      <c r="B247" s="64">
        <v>178</v>
      </c>
      <c r="C247" s="40">
        <v>1263.2906716959019</v>
      </c>
      <c r="D247" s="64">
        <v>178</v>
      </c>
      <c r="E247" s="40">
        <v>17.804787459518099</v>
      </c>
      <c r="F247" s="64">
        <v>178</v>
      </c>
      <c r="G247" s="40">
        <v>1247.2170230040451</v>
      </c>
    </row>
    <row r="248" spans="2:7" x14ac:dyDescent="0.3">
      <c r="B248" s="64">
        <v>179</v>
      </c>
      <c r="C248" s="40">
        <v>995.76989070353261</v>
      </c>
      <c r="D248" s="64">
        <v>179</v>
      </c>
      <c r="E248" s="40">
        <v>-47.869991893399749</v>
      </c>
      <c r="F248" s="64">
        <v>179</v>
      </c>
      <c r="G248" s="40">
        <v>1381.0139183944761</v>
      </c>
    </row>
    <row r="249" spans="2:7" x14ac:dyDescent="0.3">
      <c r="B249" s="64">
        <v>180</v>
      </c>
      <c r="C249" s="40">
        <v>735.36169316393591</v>
      </c>
      <c r="D249" s="64">
        <v>180</v>
      </c>
      <c r="E249" s="40">
        <v>7.4290746147045681</v>
      </c>
      <c r="F249" s="64">
        <v>180</v>
      </c>
      <c r="G249" s="40">
        <v>740.17445408223341</v>
      </c>
    </row>
    <row r="250" spans="2:7" x14ac:dyDescent="0.3">
      <c r="B250" s="64">
        <v>181</v>
      </c>
      <c r="C250" s="40">
        <v>712.18841235924049</v>
      </c>
      <c r="D250" s="64">
        <v>181</v>
      </c>
      <c r="E250" s="40">
        <v>-19.674310108015874</v>
      </c>
      <c r="F250" s="64">
        <v>181</v>
      </c>
      <c r="G250" s="40">
        <v>833.81163761174935</v>
      </c>
    </row>
    <row r="251" spans="2:7" x14ac:dyDescent="0.3">
      <c r="B251" s="64">
        <v>182</v>
      </c>
      <c r="C251" s="40">
        <v>938.18037834303345</v>
      </c>
      <c r="D251" s="64">
        <v>182</v>
      </c>
      <c r="E251" s="40">
        <v>8.1682174225671673</v>
      </c>
      <c r="F251" s="64">
        <v>182</v>
      </c>
      <c r="G251" s="40">
        <v>973.49377951319548</v>
      </c>
    </row>
    <row r="252" spans="2:7" x14ac:dyDescent="0.3">
      <c r="B252" s="64">
        <v>183</v>
      </c>
      <c r="C252" s="40">
        <v>984.79250747420031</v>
      </c>
      <c r="D252" s="64">
        <v>183</v>
      </c>
      <c r="E252" s="40">
        <v>15.38500274834492</v>
      </c>
      <c r="F252" s="64">
        <v>183</v>
      </c>
      <c r="G252" s="40">
        <v>775.16273173870661</v>
      </c>
    </row>
    <row r="253" spans="2:7" x14ac:dyDescent="0.3">
      <c r="B253" s="64">
        <v>184</v>
      </c>
      <c r="C253" s="40">
        <v>1128.2489232102228</v>
      </c>
      <c r="D253" s="64">
        <v>184</v>
      </c>
      <c r="E253" s="40">
        <v>-17.629595488324348</v>
      </c>
      <c r="F253" s="64">
        <v>184</v>
      </c>
      <c r="G253" s="40">
        <v>1331.4239360333872</v>
      </c>
    </row>
    <row r="254" spans="2:7" x14ac:dyDescent="0.3">
      <c r="B254" s="64">
        <v>185</v>
      </c>
      <c r="C254" s="40">
        <v>665.53952086603647</v>
      </c>
      <c r="D254" s="64">
        <v>185</v>
      </c>
      <c r="E254" s="40">
        <v>6.5970651110807044</v>
      </c>
      <c r="F254" s="64">
        <v>185</v>
      </c>
      <c r="G254" s="40">
        <v>711.42107337961556</v>
      </c>
    </row>
    <row r="255" spans="2:7" x14ac:dyDescent="0.3">
      <c r="B255" s="64">
        <v>186</v>
      </c>
      <c r="C255" s="40">
        <v>1087.4347488474225</v>
      </c>
      <c r="D255" s="64">
        <v>186</v>
      </c>
      <c r="E255" s="40">
        <v>19.07405105826431</v>
      </c>
      <c r="F255" s="64">
        <v>186</v>
      </c>
      <c r="G255" s="40">
        <v>840.5846760020446</v>
      </c>
    </row>
    <row r="256" spans="2:7" x14ac:dyDescent="0.3">
      <c r="B256" s="64">
        <v>187</v>
      </c>
      <c r="C256" s="40">
        <v>1096.30725232553</v>
      </c>
      <c r="D256" s="64">
        <v>187</v>
      </c>
      <c r="E256" s="40">
        <v>31.789634511373322</v>
      </c>
      <c r="F256" s="64">
        <v>187</v>
      </c>
      <c r="G256" s="40">
        <v>993.68285635344694</v>
      </c>
    </row>
    <row r="257" spans="2:7" x14ac:dyDescent="0.3">
      <c r="B257" s="64">
        <v>188</v>
      </c>
      <c r="C257" s="40">
        <v>1293.5315588212347</v>
      </c>
      <c r="D257" s="64">
        <v>188</v>
      </c>
      <c r="E257" s="40">
        <v>6.4131124999270313</v>
      </c>
      <c r="F257" s="64">
        <v>188</v>
      </c>
      <c r="G257" s="40">
        <v>1274.094240179325</v>
      </c>
    </row>
    <row r="258" spans="2:7" x14ac:dyDescent="0.3">
      <c r="B258" s="64">
        <v>189</v>
      </c>
      <c r="C258" s="40">
        <v>1016.1159341438618</v>
      </c>
      <c r="D258" s="64">
        <v>189</v>
      </c>
      <c r="E258" s="40">
        <v>-30.960062290421085</v>
      </c>
      <c r="F258" s="64">
        <v>189</v>
      </c>
      <c r="G258" s="40">
        <v>974.59822235598654</v>
      </c>
    </row>
    <row r="259" spans="2:7" x14ac:dyDescent="0.3">
      <c r="B259" s="64">
        <v>190</v>
      </c>
      <c r="C259" s="40">
        <v>1193.8451743384019</v>
      </c>
      <c r="D259" s="64">
        <v>190</v>
      </c>
      <c r="E259" s="40">
        <v>48.995066809822688</v>
      </c>
      <c r="F259" s="64">
        <v>190</v>
      </c>
      <c r="G259" s="40">
        <v>717.37414828508952</v>
      </c>
    </row>
    <row r="260" spans="2:7" x14ac:dyDescent="0.3">
      <c r="B260" s="64">
        <v>191</v>
      </c>
      <c r="C260" s="40">
        <v>1126.2691409308213</v>
      </c>
      <c r="D260" s="64">
        <v>191</v>
      </c>
      <c r="E260" s="40">
        <v>-9.9084395261658091</v>
      </c>
      <c r="F260" s="64">
        <v>191</v>
      </c>
      <c r="G260" s="40">
        <v>1114.2260527409037</v>
      </c>
    </row>
    <row r="261" spans="2:7" x14ac:dyDescent="0.3">
      <c r="B261" s="64">
        <v>192</v>
      </c>
      <c r="C261" s="40">
        <v>1149.1395406981621</v>
      </c>
      <c r="D261" s="64">
        <v>192</v>
      </c>
      <c r="E261" s="40">
        <v>4.2244521556623154</v>
      </c>
      <c r="F261" s="64">
        <v>192</v>
      </c>
      <c r="G261" s="40">
        <v>1019.9530937647099</v>
      </c>
    </row>
    <row r="262" spans="2:7" x14ac:dyDescent="0.3">
      <c r="B262" s="64">
        <v>193</v>
      </c>
      <c r="C262" s="40">
        <v>1081.6268999355825</v>
      </c>
      <c r="D262" s="64">
        <v>193</v>
      </c>
      <c r="E262" s="40">
        <v>45.655947547805241</v>
      </c>
      <c r="F262" s="64">
        <v>193</v>
      </c>
      <c r="G262" s="40">
        <v>1071.1038019805371</v>
      </c>
    </row>
    <row r="263" spans="2:7" x14ac:dyDescent="0.3">
      <c r="B263" s="64">
        <v>194</v>
      </c>
      <c r="C263" s="40">
        <v>331.74694656442114</v>
      </c>
      <c r="D263" s="64">
        <v>194</v>
      </c>
      <c r="E263" s="40">
        <v>28.690434399133874</v>
      </c>
      <c r="F263" s="64">
        <v>194</v>
      </c>
      <c r="G263" s="40">
        <v>1014.3952593784921</v>
      </c>
    </row>
    <row r="264" spans="2:7" x14ac:dyDescent="0.3">
      <c r="B264" s="64">
        <v>195</v>
      </c>
      <c r="C264" s="40">
        <v>835.32567928273056</v>
      </c>
      <c r="D264" s="64">
        <v>195</v>
      </c>
      <c r="E264" s="40">
        <v>32.628154536232458</v>
      </c>
      <c r="F264" s="64">
        <v>195</v>
      </c>
      <c r="G264" s="40">
        <v>804.71176120490952</v>
      </c>
    </row>
    <row r="265" spans="2:7" x14ac:dyDescent="0.3">
      <c r="B265" s="64">
        <v>196</v>
      </c>
      <c r="C265" s="40">
        <v>1250.9658287294574</v>
      </c>
      <c r="D265" s="64">
        <v>196</v>
      </c>
      <c r="E265" s="40">
        <v>33.828336401060909</v>
      </c>
      <c r="F265" s="64">
        <v>196</v>
      </c>
      <c r="G265" s="40">
        <v>1054.347325166832</v>
      </c>
    </row>
    <row r="266" spans="2:7" x14ac:dyDescent="0.3">
      <c r="B266" s="64">
        <v>197</v>
      </c>
      <c r="C266" s="40">
        <v>1743.1318138041304</v>
      </c>
      <c r="D266" s="64">
        <v>197</v>
      </c>
      <c r="E266" s="40">
        <v>-41.838323750556086</v>
      </c>
      <c r="F266" s="64">
        <v>197</v>
      </c>
      <c r="G266" s="40">
        <v>997.6156033119214</v>
      </c>
    </row>
    <row r="267" spans="2:7" x14ac:dyDescent="0.3">
      <c r="B267" s="64">
        <v>198</v>
      </c>
      <c r="C267" s="40">
        <v>595.4343243453261</v>
      </c>
      <c r="D267" s="64">
        <v>198</v>
      </c>
      <c r="E267" s="40">
        <v>-3.1447460459648475</v>
      </c>
      <c r="F267" s="64">
        <v>198</v>
      </c>
      <c r="G267" s="40">
        <v>1306.4693106891823</v>
      </c>
    </row>
    <row r="268" spans="2:7" x14ac:dyDescent="0.3">
      <c r="B268" s="64">
        <v>199</v>
      </c>
      <c r="C268" s="40">
        <v>1062.9391692606837</v>
      </c>
      <c r="D268" s="64">
        <v>199</v>
      </c>
      <c r="E268" s="40">
        <v>9.4706501839303296</v>
      </c>
      <c r="F268" s="64">
        <v>199</v>
      </c>
      <c r="G268" s="40">
        <v>964.06154936364453</v>
      </c>
    </row>
    <row r="269" spans="2:7" x14ac:dyDescent="0.3">
      <c r="B269" s="64">
        <v>200</v>
      </c>
      <c r="C269" s="40">
        <v>1304.4737995336807</v>
      </c>
      <c r="D269" s="64">
        <v>200</v>
      </c>
      <c r="E269" s="40">
        <v>-38.295867228529531</v>
      </c>
      <c r="F269" s="64">
        <v>200</v>
      </c>
      <c r="G269" s="40">
        <v>812.69787945341602</v>
      </c>
    </row>
    <row r="270" spans="2:7" x14ac:dyDescent="0.3">
      <c r="B270" s="64">
        <v>201</v>
      </c>
      <c r="C270" s="40">
        <v>1347.7635671422943</v>
      </c>
      <c r="D270" s="64">
        <v>201</v>
      </c>
      <c r="E270" s="40">
        <v>-8.5497016500321283</v>
      </c>
      <c r="F270" s="64">
        <v>201</v>
      </c>
      <c r="G270" s="40">
        <v>625.36204544085888</v>
      </c>
    </row>
    <row r="271" spans="2:7" x14ac:dyDescent="0.3">
      <c r="B271" s="64">
        <v>202</v>
      </c>
      <c r="C271" s="40">
        <v>1378.7948147629779</v>
      </c>
      <c r="D271" s="64">
        <v>202</v>
      </c>
      <c r="E271" s="40">
        <v>14.1679960894076</v>
      </c>
      <c r="F271" s="64">
        <v>202</v>
      </c>
      <c r="G271" s="40">
        <v>762.66008636546746</v>
      </c>
    </row>
    <row r="272" spans="2:7" x14ac:dyDescent="0.3">
      <c r="B272" s="64">
        <v>203</v>
      </c>
      <c r="C272" s="40">
        <v>1316.5379584760783</v>
      </c>
      <c r="D272" s="64">
        <v>203</v>
      </c>
      <c r="E272" s="40">
        <v>22.706739136322959</v>
      </c>
      <c r="F272" s="64">
        <v>203</v>
      </c>
      <c r="G272" s="40">
        <v>707.36033098141934</v>
      </c>
    </row>
    <row r="273" spans="2:7" x14ac:dyDescent="0.3">
      <c r="B273" s="64">
        <v>204</v>
      </c>
      <c r="C273" s="40">
        <v>865.27952890288884</v>
      </c>
      <c r="D273" s="64">
        <v>204</v>
      </c>
      <c r="E273" s="40">
        <v>-2.5263947822202937</v>
      </c>
      <c r="F273" s="64">
        <v>204</v>
      </c>
      <c r="G273" s="40">
        <v>1291.2505058306142</v>
      </c>
    </row>
    <row r="274" spans="2:7" x14ac:dyDescent="0.3">
      <c r="B274" s="64">
        <v>205</v>
      </c>
      <c r="C274" s="40">
        <v>472.02899877242618</v>
      </c>
      <c r="D274" s="64">
        <v>205</v>
      </c>
      <c r="E274" s="40">
        <v>-14.399841497965673</v>
      </c>
      <c r="F274" s="64">
        <v>205</v>
      </c>
      <c r="G274" s="40">
        <v>925.3343206368645</v>
      </c>
    </row>
    <row r="275" spans="2:7" x14ac:dyDescent="0.3">
      <c r="B275" s="64">
        <v>206</v>
      </c>
      <c r="C275" s="40">
        <v>479.65548348253822</v>
      </c>
      <c r="D275" s="64">
        <v>206</v>
      </c>
      <c r="E275" s="40">
        <v>19.487479315178724</v>
      </c>
      <c r="F275" s="64">
        <v>206</v>
      </c>
      <c r="G275" s="40">
        <v>898.31073609811597</v>
      </c>
    </row>
    <row r="276" spans="2:7" x14ac:dyDescent="0.3">
      <c r="B276" s="64">
        <v>207</v>
      </c>
      <c r="C276" s="40">
        <v>1333.7441383216226</v>
      </c>
      <c r="D276" s="64">
        <v>207</v>
      </c>
      <c r="E276" s="40">
        <v>-9.0593149435617466</v>
      </c>
      <c r="F276" s="64">
        <v>207</v>
      </c>
      <c r="G276" s="40">
        <v>1095.371527763009</v>
      </c>
    </row>
    <row r="277" spans="2:7" x14ac:dyDescent="0.3">
      <c r="B277" s="64">
        <v>208</v>
      </c>
      <c r="C277" s="40">
        <v>454.06521449966641</v>
      </c>
      <c r="D277" s="64">
        <v>208</v>
      </c>
      <c r="E277" s="40">
        <v>-3.8935435956455064</v>
      </c>
      <c r="F277" s="64">
        <v>208</v>
      </c>
      <c r="G277" s="40">
        <v>1145.295671174694</v>
      </c>
    </row>
    <row r="278" spans="2:7" x14ac:dyDescent="0.3">
      <c r="B278" s="64">
        <v>209</v>
      </c>
      <c r="C278" s="40">
        <v>1145.1489356897923</v>
      </c>
      <c r="D278" s="64">
        <v>209</v>
      </c>
      <c r="E278" s="40">
        <v>-88.565712032845553</v>
      </c>
      <c r="F278" s="64">
        <v>209</v>
      </c>
      <c r="G278" s="40">
        <v>1081.3495227227477</v>
      </c>
    </row>
    <row r="279" spans="2:7" x14ac:dyDescent="0.3">
      <c r="B279" s="64">
        <v>210</v>
      </c>
      <c r="C279" s="40">
        <v>930.86936559269725</v>
      </c>
      <c r="D279" s="64">
        <v>210</v>
      </c>
      <c r="E279" s="40">
        <v>-11.590839821488613</v>
      </c>
      <c r="F279" s="64">
        <v>210</v>
      </c>
      <c r="G279" s="40">
        <v>734.66309530786134</v>
      </c>
    </row>
    <row r="280" spans="2:7" x14ac:dyDescent="0.3">
      <c r="B280" s="64">
        <v>211</v>
      </c>
      <c r="C280" s="40">
        <v>1029.8627311280538</v>
      </c>
      <c r="D280" s="64">
        <v>211</v>
      </c>
      <c r="E280" s="40">
        <v>19.14102670329142</v>
      </c>
      <c r="F280" s="64">
        <v>211</v>
      </c>
      <c r="G280" s="40">
        <v>427.03798665250633</v>
      </c>
    </row>
    <row r="281" spans="2:7" x14ac:dyDescent="0.3">
      <c r="B281" s="64">
        <v>212</v>
      </c>
      <c r="C281" s="40">
        <v>762.52098567838027</v>
      </c>
      <c r="D281" s="64">
        <v>212</v>
      </c>
      <c r="E281" s="40">
        <v>27.389635545794626</v>
      </c>
      <c r="F281" s="64">
        <v>212</v>
      </c>
      <c r="G281" s="40">
        <v>772.17499584028758</v>
      </c>
    </row>
    <row r="282" spans="2:7" x14ac:dyDescent="0.3">
      <c r="B282" s="64">
        <v>213</v>
      </c>
      <c r="C282" s="40">
        <v>595.61450663725702</v>
      </c>
      <c r="D282" s="64">
        <v>213</v>
      </c>
      <c r="E282" s="40">
        <v>8.4629433278511641</v>
      </c>
      <c r="F282" s="64">
        <v>213</v>
      </c>
      <c r="G282" s="40">
        <v>853.77598426409327</v>
      </c>
    </row>
    <row r="283" spans="2:7" x14ac:dyDescent="0.3">
      <c r="B283" s="64">
        <v>214</v>
      </c>
      <c r="C283" s="40">
        <v>1594.5954577639095</v>
      </c>
      <c r="D283" s="64">
        <v>214</v>
      </c>
      <c r="E283" s="40">
        <v>3.1376680328024982</v>
      </c>
      <c r="F283" s="64">
        <v>214</v>
      </c>
      <c r="G283" s="40">
        <v>632.94413067591302</v>
      </c>
    </row>
    <row r="284" spans="2:7" x14ac:dyDescent="0.3">
      <c r="B284" s="64">
        <v>215</v>
      </c>
      <c r="C284" s="40">
        <v>1056.9328571441788</v>
      </c>
      <c r="D284" s="64">
        <v>215</v>
      </c>
      <c r="E284" s="40">
        <v>3.1792214153300375</v>
      </c>
      <c r="F284" s="64">
        <v>215</v>
      </c>
      <c r="G284" s="40">
        <v>756.47421902747317</v>
      </c>
    </row>
    <row r="285" spans="2:7" x14ac:dyDescent="0.3">
      <c r="B285" s="64">
        <v>216</v>
      </c>
      <c r="C285" s="40">
        <v>1453.2590543715576</v>
      </c>
      <c r="D285" s="64">
        <v>216</v>
      </c>
      <c r="E285" s="40">
        <v>29.555916067769108</v>
      </c>
      <c r="F285" s="64">
        <v>216</v>
      </c>
      <c r="G285" s="40">
        <v>927.17730156393679</v>
      </c>
    </row>
    <row r="286" spans="2:7" x14ac:dyDescent="0.3">
      <c r="B286" s="64">
        <v>217</v>
      </c>
      <c r="C286" s="40">
        <v>484.50727079438349</v>
      </c>
      <c r="D286" s="64">
        <v>217</v>
      </c>
      <c r="E286" s="40">
        <v>-3.3657175095082756</v>
      </c>
      <c r="F286" s="64">
        <v>217</v>
      </c>
      <c r="G286" s="40">
        <v>1123.1921573471186</v>
      </c>
    </row>
    <row r="287" spans="2:7" x14ac:dyDescent="0.3">
      <c r="B287" s="64">
        <v>218</v>
      </c>
      <c r="C287" s="40">
        <v>846.48293309626956</v>
      </c>
      <c r="D287" s="64">
        <v>218</v>
      </c>
      <c r="E287" s="40">
        <v>3.3344764880757034</v>
      </c>
      <c r="F287" s="64">
        <v>218</v>
      </c>
      <c r="G287" s="40">
        <v>1042.5108635849806</v>
      </c>
    </row>
    <row r="288" spans="2:7" x14ac:dyDescent="0.3">
      <c r="B288" s="64">
        <v>219</v>
      </c>
      <c r="C288" s="40">
        <v>793.14087093284547</v>
      </c>
      <c r="D288" s="64">
        <v>219</v>
      </c>
      <c r="E288" s="40">
        <v>-17.88401855484819</v>
      </c>
      <c r="F288" s="64">
        <v>219</v>
      </c>
      <c r="G288" s="40">
        <v>1186.6559048715028</v>
      </c>
    </row>
    <row r="289" spans="2:7" x14ac:dyDescent="0.3">
      <c r="B289" s="64">
        <v>220</v>
      </c>
      <c r="C289" s="40">
        <v>1034.9661320499654</v>
      </c>
      <c r="D289" s="64">
        <v>220</v>
      </c>
      <c r="E289" s="40">
        <v>-37.010594157449404</v>
      </c>
      <c r="F289" s="64">
        <v>220</v>
      </c>
      <c r="G289" s="40">
        <v>1358.186438704774</v>
      </c>
    </row>
    <row r="290" spans="2:7" x14ac:dyDescent="0.3">
      <c r="B290" s="64">
        <v>221</v>
      </c>
      <c r="C290" s="40">
        <v>523.00801259738489</v>
      </c>
      <c r="D290" s="64">
        <v>221</v>
      </c>
      <c r="E290" s="40">
        <v>8.4982757012137675</v>
      </c>
      <c r="F290" s="64">
        <v>221</v>
      </c>
      <c r="G290" s="40">
        <v>662.75329721601634</v>
      </c>
    </row>
    <row r="291" spans="2:7" x14ac:dyDescent="0.3">
      <c r="B291" s="64">
        <v>222</v>
      </c>
      <c r="C291" s="40">
        <v>1095.002072962282</v>
      </c>
      <c r="D291" s="64">
        <v>222</v>
      </c>
      <c r="E291" s="40">
        <v>13.495919680603658</v>
      </c>
      <c r="F291" s="64">
        <v>222</v>
      </c>
      <c r="G291" s="40">
        <v>1408.3896951248223</v>
      </c>
    </row>
    <row r="292" spans="2:7" x14ac:dyDescent="0.3">
      <c r="B292" s="64">
        <v>223</v>
      </c>
      <c r="C292" s="40">
        <v>1001.0978091297584</v>
      </c>
      <c r="D292" s="64">
        <v>223</v>
      </c>
      <c r="E292" s="40">
        <v>-16.152079230460419</v>
      </c>
      <c r="F292" s="64">
        <v>223</v>
      </c>
      <c r="G292" s="40">
        <v>815.64418244904959</v>
      </c>
    </row>
    <row r="293" spans="2:7" x14ac:dyDescent="0.3">
      <c r="B293" s="64">
        <v>224</v>
      </c>
      <c r="C293" s="40">
        <v>777.45846135489285</v>
      </c>
      <c r="D293" s="64">
        <v>224</v>
      </c>
      <c r="E293" s="40">
        <v>-22.81186923603541</v>
      </c>
      <c r="F293" s="64">
        <v>224</v>
      </c>
      <c r="G293" s="40">
        <v>1681.423645166833</v>
      </c>
    </row>
    <row r="294" spans="2:7" x14ac:dyDescent="0.3">
      <c r="B294" s="64">
        <v>225</v>
      </c>
      <c r="C294" s="40">
        <v>1063.4609064383258</v>
      </c>
      <c r="D294" s="64">
        <v>225</v>
      </c>
      <c r="E294" s="40">
        <v>6.7647571463898242</v>
      </c>
      <c r="F294" s="64">
        <v>225</v>
      </c>
      <c r="G294" s="40">
        <v>1378.7317461776024</v>
      </c>
    </row>
    <row r="295" spans="2:7" x14ac:dyDescent="0.3">
      <c r="B295" s="64">
        <v>226</v>
      </c>
      <c r="C295" s="40">
        <v>1045.8166029722174</v>
      </c>
      <c r="D295" s="64">
        <v>226</v>
      </c>
      <c r="E295" s="40">
        <v>-24.312909522681966</v>
      </c>
      <c r="F295" s="64">
        <v>226</v>
      </c>
      <c r="G295" s="40">
        <v>652.37241659703022</v>
      </c>
    </row>
    <row r="296" spans="2:7" x14ac:dyDescent="0.3">
      <c r="B296" s="64">
        <v>227</v>
      </c>
      <c r="C296" s="40">
        <v>491.02109159498406</v>
      </c>
      <c r="D296" s="64">
        <v>227</v>
      </c>
      <c r="E296" s="40">
        <v>-0.37217649170586031</v>
      </c>
      <c r="F296" s="64">
        <v>227</v>
      </c>
      <c r="G296" s="40">
        <v>530.15234768024607</v>
      </c>
    </row>
    <row r="297" spans="2:7" x14ac:dyDescent="0.3">
      <c r="B297" s="64">
        <v>228</v>
      </c>
      <c r="C297" s="40">
        <v>945.56193100006806</v>
      </c>
      <c r="D297" s="64">
        <v>228</v>
      </c>
      <c r="E297" s="40">
        <v>10.901099505241808</v>
      </c>
      <c r="F297" s="64">
        <v>228</v>
      </c>
      <c r="G297" s="40">
        <v>1138.7779478263956</v>
      </c>
    </row>
    <row r="298" spans="2:7" x14ac:dyDescent="0.3">
      <c r="B298" s="64">
        <v>229</v>
      </c>
      <c r="C298" s="40">
        <v>589.33468847190295</v>
      </c>
      <c r="D298" s="64">
        <v>229</v>
      </c>
      <c r="E298" s="40">
        <v>-17.657290155429934</v>
      </c>
      <c r="F298" s="64">
        <v>229</v>
      </c>
      <c r="G298" s="40">
        <v>643.52745506823601</v>
      </c>
    </row>
    <row r="299" spans="2:7" x14ac:dyDescent="0.3">
      <c r="B299" s="64">
        <v>230</v>
      </c>
      <c r="C299" s="40">
        <v>645.99675092470216</v>
      </c>
      <c r="D299" s="64">
        <v>230</v>
      </c>
      <c r="E299" s="40">
        <v>-10.427929753435256</v>
      </c>
      <c r="F299" s="64">
        <v>230</v>
      </c>
      <c r="G299" s="40">
        <v>876.48848168311474</v>
      </c>
    </row>
    <row r="300" spans="2:7" x14ac:dyDescent="0.3">
      <c r="B300" s="64">
        <v>231</v>
      </c>
      <c r="C300" s="40">
        <v>666.14174885323985</v>
      </c>
      <c r="D300" s="64">
        <v>231</v>
      </c>
      <c r="E300" s="40">
        <v>-36.946609016537657</v>
      </c>
      <c r="F300" s="64">
        <v>231</v>
      </c>
      <c r="G300" s="40">
        <v>953.21170518396718</v>
      </c>
    </row>
    <row r="301" spans="2:7" x14ac:dyDescent="0.3">
      <c r="B301" s="64">
        <v>232</v>
      </c>
      <c r="C301" s="40">
        <v>573.68835195242741</v>
      </c>
      <c r="D301" s="64">
        <v>232</v>
      </c>
      <c r="E301" s="40">
        <v>28.054722160532833</v>
      </c>
      <c r="F301" s="64">
        <v>232</v>
      </c>
      <c r="G301" s="40">
        <v>450.47485264557315</v>
      </c>
    </row>
    <row r="302" spans="2:7" x14ac:dyDescent="0.3">
      <c r="B302" s="64">
        <v>233</v>
      </c>
      <c r="C302" s="40">
        <v>637.64670544660555</v>
      </c>
      <c r="D302" s="64">
        <v>233</v>
      </c>
      <c r="E302" s="40">
        <v>24.407321431218474</v>
      </c>
      <c r="F302" s="64">
        <v>233</v>
      </c>
      <c r="G302" s="40">
        <v>1347.5717827542801</v>
      </c>
    </row>
    <row r="303" spans="2:7" x14ac:dyDescent="0.3">
      <c r="B303" s="64">
        <v>234</v>
      </c>
      <c r="C303" s="40">
        <v>797.29924838616239</v>
      </c>
      <c r="D303" s="64">
        <v>234</v>
      </c>
      <c r="E303" s="40">
        <v>-28.6243775552038</v>
      </c>
      <c r="F303" s="64">
        <v>234</v>
      </c>
      <c r="G303" s="40">
        <v>793.62145530610655</v>
      </c>
    </row>
    <row r="304" spans="2:7" x14ac:dyDescent="0.3">
      <c r="B304" s="64">
        <v>235</v>
      </c>
      <c r="C304" s="40">
        <v>1050.2003262452713</v>
      </c>
      <c r="D304" s="64">
        <v>235</v>
      </c>
      <c r="E304" s="40">
        <v>21.170386337268457</v>
      </c>
      <c r="F304" s="64">
        <v>235</v>
      </c>
      <c r="G304" s="40">
        <v>1039.5378072948281</v>
      </c>
    </row>
    <row r="305" spans="2:7" x14ac:dyDescent="0.3">
      <c r="B305" s="64">
        <v>236</v>
      </c>
      <c r="C305" s="40">
        <v>1399.6680364142362</v>
      </c>
      <c r="D305" s="64">
        <v>236</v>
      </c>
      <c r="E305" s="40">
        <v>21.855384120385697</v>
      </c>
      <c r="F305" s="64">
        <v>236</v>
      </c>
      <c r="G305" s="40">
        <v>769.22481992727955</v>
      </c>
    </row>
    <row r="306" spans="2:7" x14ac:dyDescent="0.3">
      <c r="B306" s="64">
        <v>237</v>
      </c>
      <c r="C306" s="40">
        <v>794.22819509779515</v>
      </c>
      <c r="D306" s="64">
        <v>237</v>
      </c>
      <c r="E306" s="40">
        <v>39.490441204593793</v>
      </c>
      <c r="F306" s="64">
        <v>237</v>
      </c>
      <c r="G306" s="40">
        <v>1311.5923539479384</v>
      </c>
    </row>
    <row r="307" spans="2:7" x14ac:dyDescent="0.3">
      <c r="B307" s="64">
        <v>238</v>
      </c>
      <c r="C307" s="40">
        <v>791.90252515945008</v>
      </c>
      <c r="D307" s="64">
        <v>238</v>
      </c>
      <c r="E307" s="40">
        <v>-13.805208393416876</v>
      </c>
      <c r="F307" s="64">
        <v>238</v>
      </c>
      <c r="G307" s="40">
        <v>1349.511311600271</v>
      </c>
    </row>
    <row r="308" spans="2:7" x14ac:dyDescent="0.3">
      <c r="B308" s="64">
        <v>239</v>
      </c>
      <c r="C308" s="40">
        <v>324.06424188219614</v>
      </c>
      <c r="D308" s="64">
        <v>239</v>
      </c>
      <c r="E308" s="40">
        <v>-21.785547406216697</v>
      </c>
      <c r="F308" s="64">
        <v>239</v>
      </c>
      <c r="G308" s="40">
        <v>1306.496714537529</v>
      </c>
    </row>
    <row r="309" spans="2:7" x14ac:dyDescent="0.3">
      <c r="B309" s="64">
        <v>240</v>
      </c>
      <c r="C309" s="40">
        <v>838.25026300364721</v>
      </c>
      <c r="D309" s="64">
        <v>240</v>
      </c>
      <c r="E309" s="40">
        <v>40.623699306536302</v>
      </c>
      <c r="F309" s="64">
        <v>240</v>
      </c>
      <c r="G309" s="40">
        <v>705.9328894325256</v>
      </c>
    </row>
    <row r="310" spans="2:7" x14ac:dyDescent="0.3">
      <c r="B310" s="64">
        <v>241</v>
      </c>
      <c r="C310" s="40">
        <v>255.33937049556226</v>
      </c>
      <c r="D310" s="64">
        <v>241</v>
      </c>
      <c r="E310" s="40">
        <v>32.503936428580623</v>
      </c>
      <c r="F310" s="64">
        <v>241</v>
      </c>
      <c r="G310" s="40">
        <v>589.91625040058238</v>
      </c>
    </row>
    <row r="311" spans="2:7" x14ac:dyDescent="0.3">
      <c r="B311" s="64">
        <v>242</v>
      </c>
      <c r="C311" s="40">
        <v>843.55360204011686</v>
      </c>
      <c r="D311" s="64">
        <v>242</v>
      </c>
      <c r="E311" s="40">
        <v>6.1241189307611013</v>
      </c>
      <c r="F311" s="64">
        <v>242</v>
      </c>
      <c r="G311" s="40">
        <v>1192.0935737689313</v>
      </c>
    </row>
    <row r="312" spans="2:7" x14ac:dyDescent="0.3">
      <c r="B312" s="64">
        <v>243</v>
      </c>
      <c r="C312" s="40">
        <v>1399.5148826256429</v>
      </c>
      <c r="D312" s="64">
        <v>243</v>
      </c>
      <c r="E312" s="40">
        <v>21.01590129154966</v>
      </c>
      <c r="F312" s="64">
        <v>243</v>
      </c>
      <c r="G312" s="40">
        <v>828.4504038012816</v>
      </c>
    </row>
    <row r="313" spans="2:7" x14ac:dyDescent="0.3">
      <c r="B313" s="64">
        <v>244</v>
      </c>
      <c r="C313" s="40">
        <v>593.88895760614264</v>
      </c>
      <c r="D313" s="64">
        <v>244</v>
      </c>
      <c r="E313" s="40">
        <v>-0.44392331123146239</v>
      </c>
      <c r="F313" s="64">
        <v>244</v>
      </c>
      <c r="G313" s="40">
        <v>478.00931183178011</v>
      </c>
    </row>
    <row r="314" spans="2:7" x14ac:dyDescent="0.3">
      <c r="B314" s="64">
        <v>245</v>
      </c>
      <c r="C314" s="40">
        <v>988.58151350699586</v>
      </c>
      <c r="D314" s="64">
        <v>245</v>
      </c>
      <c r="E314" s="40">
        <v>1.1904652895122598</v>
      </c>
      <c r="F314" s="64">
        <v>245</v>
      </c>
      <c r="G314" s="40">
        <v>754.5971390022612</v>
      </c>
    </row>
    <row r="315" spans="2:7" x14ac:dyDescent="0.3">
      <c r="B315" s="64">
        <v>246</v>
      </c>
      <c r="C315" s="40">
        <v>954.71446677390509</v>
      </c>
      <c r="D315" s="64">
        <v>246</v>
      </c>
      <c r="E315" s="40">
        <v>44.009546551675435</v>
      </c>
      <c r="F315" s="64">
        <v>246</v>
      </c>
      <c r="G315" s="40">
        <v>1072.8161632744225</v>
      </c>
    </row>
    <row r="316" spans="2:7" x14ac:dyDescent="0.3">
      <c r="B316" s="64">
        <v>247</v>
      </c>
      <c r="C316" s="40">
        <v>826.77428586165479</v>
      </c>
      <c r="D316" s="64">
        <v>247</v>
      </c>
      <c r="E316" s="40">
        <v>-19.208109795465781</v>
      </c>
      <c r="F316" s="64">
        <v>247</v>
      </c>
      <c r="G316" s="40">
        <v>940.65634631235719</v>
      </c>
    </row>
    <row r="317" spans="2:7" x14ac:dyDescent="0.3">
      <c r="B317" s="64">
        <v>248</v>
      </c>
      <c r="C317" s="40">
        <v>1658.4907737210499</v>
      </c>
      <c r="D317" s="64">
        <v>248</v>
      </c>
      <c r="E317" s="40">
        <v>7.2619731934191138</v>
      </c>
      <c r="F317" s="64">
        <v>248</v>
      </c>
      <c r="G317" s="40">
        <v>598.31448441062196</v>
      </c>
    </row>
    <row r="318" spans="2:7" x14ac:dyDescent="0.3">
      <c r="B318" s="64">
        <v>249</v>
      </c>
      <c r="C318" s="40">
        <v>1381.1849358345637</v>
      </c>
      <c r="D318" s="64">
        <v>249</v>
      </c>
      <c r="E318" s="40">
        <v>-72.721380658558701</v>
      </c>
      <c r="F318" s="64">
        <v>249</v>
      </c>
      <c r="G318" s="40">
        <v>1451.0082970376916</v>
      </c>
    </row>
    <row r="319" spans="2:7" x14ac:dyDescent="0.3">
      <c r="B319" s="64">
        <v>250</v>
      </c>
      <c r="C319" s="40">
        <v>1202.5301911303163</v>
      </c>
      <c r="D319" s="64">
        <v>250</v>
      </c>
      <c r="E319" s="40">
        <v>2.6605187129967049</v>
      </c>
      <c r="F319" s="64">
        <v>250</v>
      </c>
      <c r="G319" s="40">
        <v>705.48746981570685</v>
      </c>
    </row>
    <row r="320" spans="2:7" x14ac:dyDescent="0.3">
      <c r="B320" s="64">
        <v>251</v>
      </c>
      <c r="C320" s="40">
        <v>314.29360857631315</v>
      </c>
      <c r="D320" s="64">
        <v>251</v>
      </c>
      <c r="E320" s="40">
        <v>-11.869274683553156</v>
      </c>
      <c r="F320" s="64">
        <v>251</v>
      </c>
      <c r="G320" s="40">
        <v>1032.7735139592846</v>
      </c>
    </row>
    <row r="321" spans="2:7" x14ac:dyDescent="0.3">
      <c r="B321" s="64">
        <v>252</v>
      </c>
      <c r="C321" s="40">
        <v>1127.9640201778025</v>
      </c>
      <c r="D321" s="64">
        <v>252</v>
      </c>
      <c r="E321" s="40">
        <v>-28.575385317002109</v>
      </c>
      <c r="F321" s="64">
        <v>252</v>
      </c>
      <c r="G321" s="40">
        <v>1084.7831132056467</v>
      </c>
    </row>
    <row r="322" spans="2:7" x14ac:dyDescent="0.3">
      <c r="B322" s="64">
        <v>253</v>
      </c>
      <c r="C322" s="40">
        <v>937.1793283962495</v>
      </c>
      <c r="D322" s="64">
        <v>253</v>
      </c>
      <c r="E322" s="40">
        <v>21.055224803938263</v>
      </c>
      <c r="F322" s="64">
        <v>253</v>
      </c>
      <c r="G322" s="40">
        <v>1050.4098532633777</v>
      </c>
    </row>
    <row r="323" spans="2:7" x14ac:dyDescent="0.3">
      <c r="B323" s="64">
        <v>254</v>
      </c>
      <c r="C323" s="40">
        <v>467.049768537239</v>
      </c>
      <c r="D323" s="64">
        <v>254</v>
      </c>
      <c r="E323" s="40">
        <v>58.235086950816893</v>
      </c>
      <c r="F323" s="64">
        <v>254</v>
      </c>
      <c r="G323" s="40">
        <v>1282.4359304901222</v>
      </c>
    </row>
    <row r="324" spans="2:7" x14ac:dyDescent="0.3">
      <c r="B324" s="64">
        <v>255</v>
      </c>
      <c r="C324" s="40">
        <v>307.93013876890586</v>
      </c>
      <c r="D324" s="64">
        <v>255</v>
      </c>
      <c r="E324" s="40">
        <v>-0.96986711695273031</v>
      </c>
      <c r="F324" s="64">
        <v>255</v>
      </c>
      <c r="G324" s="40">
        <v>1037.5596478467901</v>
      </c>
    </row>
    <row r="325" spans="2:7" x14ac:dyDescent="0.3">
      <c r="B325" s="64">
        <v>256</v>
      </c>
      <c r="C325" s="40">
        <v>689.27220171355361</v>
      </c>
      <c r="D325" s="64">
        <v>256</v>
      </c>
      <c r="E325" s="40">
        <v>23.900829174469543</v>
      </c>
      <c r="F325" s="64">
        <v>256</v>
      </c>
      <c r="G325" s="40">
        <v>1159.462409493133</v>
      </c>
    </row>
    <row r="326" spans="2:7" x14ac:dyDescent="0.3">
      <c r="B326" s="64">
        <v>257</v>
      </c>
      <c r="C326" s="40">
        <v>555.47910115392756</v>
      </c>
      <c r="D326" s="64">
        <v>257</v>
      </c>
      <c r="E326" s="40">
        <v>-31.701301933436049</v>
      </c>
      <c r="F326" s="64">
        <v>257</v>
      </c>
      <c r="G326" s="40">
        <v>951.29111539833025</v>
      </c>
    </row>
    <row r="327" spans="2:7" x14ac:dyDescent="0.3">
      <c r="B327" s="64">
        <v>258</v>
      </c>
      <c r="C327" s="40">
        <v>585.78734409274898</v>
      </c>
      <c r="D327" s="64">
        <v>258</v>
      </c>
      <c r="E327" s="40">
        <v>-19.786321792039963</v>
      </c>
      <c r="F327" s="64">
        <v>258</v>
      </c>
      <c r="G327" s="40">
        <v>975.89730804549708</v>
      </c>
    </row>
    <row r="328" spans="2:7" x14ac:dyDescent="0.3">
      <c r="B328" s="64">
        <v>259</v>
      </c>
      <c r="C328" s="40">
        <v>901.57484695378412</v>
      </c>
      <c r="D328" s="64">
        <v>259</v>
      </c>
      <c r="E328" s="40">
        <v>12.648487772621447</v>
      </c>
      <c r="F328" s="64">
        <v>259</v>
      </c>
      <c r="G328" s="40">
        <v>635.98741219142551</v>
      </c>
    </row>
    <row r="329" spans="2:7" x14ac:dyDescent="0.3">
      <c r="B329" s="64">
        <v>260</v>
      </c>
      <c r="C329" s="40">
        <v>724.12751439094632</v>
      </c>
      <c r="D329" s="64">
        <v>260</v>
      </c>
      <c r="E329" s="40">
        <v>20.219825384648903</v>
      </c>
      <c r="F329" s="64">
        <v>260</v>
      </c>
      <c r="G329" s="40">
        <v>555.00402855916411</v>
      </c>
    </row>
    <row r="330" spans="2:7" x14ac:dyDescent="0.3">
      <c r="B330" s="64">
        <v>261</v>
      </c>
      <c r="C330" s="40">
        <v>659.86570264043496</v>
      </c>
      <c r="D330" s="64">
        <v>261</v>
      </c>
      <c r="E330" s="40">
        <v>21.097774376157304</v>
      </c>
      <c r="F330" s="64">
        <v>261</v>
      </c>
      <c r="G330" s="40">
        <v>883.20952279176277</v>
      </c>
    </row>
    <row r="331" spans="2:7" x14ac:dyDescent="0.3">
      <c r="B331" s="64">
        <v>262</v>
      </c>
      <c r="C331" s="40">
        <v>917.48392730322996</v>
      </c>
      <c r="D331" s="64">
        <v>262</v>
      </c>
      <c r="E331" s="40">
        <v>-0.82587028494232617</v>
      </c>
      <c r="F331" s="64">
        <v>262</v>
      </c>
      <c r="G331" s="40">
        <v>683.57036632100846</v>
      </c>
    </row>
    <row r="332" spans="2:7" x14ac:dyDescent="0.3">
      <c r="B332" s="64">
        <v>263</v>
      </c>
      <c r="C332" s="40">
        <v>265.48136235818578</v>
      </c>
      <c r="D332" s="64">
        <v>263</v>
      </c>
      <c r="E332" s="40">
        <v>9.931884354496372</v>
      </c>
      <c r="F332" s="64">
        <v>263</v>
      </c>
      <c r="G332" s="40">
        <v>677.23090323492966</v>
      </c>
    </row>
    <row r="333" spans="2:7" x14ac:dyDescent="0.3">
      <c r="B333" s="64">
        <v>264</v>
      </c>
      <c r="C333" s="40">
        <v>642.39349462096095</v>
      </c>
      <c r="D333" s="64">
        <v>264</v>
      </c>
      <c r="E333" s="40">
        <v>11.829078827132914</v>
      </c>
      <c r="F333" s="64">
        <v>264</v>
      </c>
      <c r="G333" s="40">
        <v>1448.6160804397798</v>
      </c>
    </row>
    <row r="334" spans="2:7" x14ac:dyDescent="0.3">
      <c r="B334" s="64">
        <v>265</v>
      </c>
      <c r="C334" s="40">
        <v>263.47447249771938</v>
      </c>
      <c r="D334" s="64">
        <v>265</v>
      </c>
      <c r="E334" s="40">
        <v>-29.262910756529561</v>
      </c>
      <c r="F334" s="64">
        <v>265</v>
      </c>
      <c r="G334" s="40">
        <v>647.01083581019225</v>
      </c>
    </row>
    <row r="335" spans="2:7" x14ac:dyDescent="0.3">
      <c r="B335" s="64">
        <v>266</v>
      </c>
      <c r="C335" s="40">
        <v>124.61083433645449</v>
      </c>
      <c r="D335" s="64">
        <v>266</v>
      </c>
      <c r="E335" s="40">
        <v>23.149827391794233</v>
      </c>
      <c r="F335" s="64">
        <v>266</v>
      </c>
      <c r="G335" s="40">
        <v>1163.5259520958996</v>
      </c>
    </row>
    <row r="336" spans="2:7" x14ac:dyDescent="0.3">
      <c r="B336" s="64">
        <v>267</v>
      </c>
      <c r="C336" s="40">
        <v>666.52551735595955</v>
      </c>
      <c r="D336" s="64">
        <v>267</v>
      </c>
      <c r="E336" s="40">
        <v>23.000618853532067</v>
      </c>
      <c r="F336" s="64">
        <v>267</v>
      </c>
      <c r="G336" s="40">
        <v>819.56089006163677</v>
      </c>
    </row>
    <row r="337" spans="2:7" x14ac:dyDescent="0.3">
      <c r="B337" s="64">
        <v>268</v>
      </c>
      <c r="C337" s="40">
        <v>1182.8026405798823</v>
      </c>
      <c r="D337" s="64">
        <v>268</v>
      </c>
      <c r="E337" s="40">
        <v>-3.3009838928030524</v>
      </c>
      <c r="F337" s="64">
        <v>268</v>
      </c>
      <c r="G337" s="40">
        <v>436.03954121698933</v>
      </c>
    </row>
    <row r="338" spans="2:7" x14ac:dyDescent="0.3">
      <c r="B338" s="64">
        <v>269</v>
      </c>
      <c r="C338" s="40">
        <v>1025.5962467012378</v>
      </c>
      <c r="D338" s="64">
        <v>269</v>
      </c>
      <c r="E338" s="40">
        <v>-6.5489882674039906E-2</v>
      </c>
      <c r="F338" s="64">
        <v>269</v>
      </c>
      <c r="G338" s="40">
        <v>902.97418345394306</v>
      </c>
    </row>
    <row r="339" spans="2:7" x14ac:dyDescent="0.3">
      <c r="B339" s="64">
        <v>270</v>
      </c>
      <c r="C339" s="40">
        <v>1111.3853777758122</v>
      </c>
      <c r="D339" s="64">
        <v>270</v>
      </c>
      <c r="E339" s="40">
        <v>-36.481608331564779</v>
      </c>
      <c r="F339" s="64">
        <v>270</v>
      </c>
      <c r="G339" s="40">
        <v>1688.6064136019602</v>
      </c>
    </row>
    <row r="340" spans="2:7" x14ac:dyDescent="0.3">
      <c r="B340" s="64">
        <v>271</v>
      </c>
      <c r="C340" s="40">
        <v>531.42995914833523</v>
      </c>
      <c r="D340" s="64">
        <v>271</v>
      </c>
      <c r="E340" s="40">
        <v>11.359430116761192</v>
      </c>
      <c r="F340" s="64">
        <v>271</v>
      </c>
      <c r="G340" s="40">
        <v>880.48523256832118</v>
      </c>
    </row>
    <row r="341" spans="2:7" x14ac:dyDescent="0.3">
      <c r="B341" s="64">
        <v>272</v>
      </c>
      <c r="C341" s="40">
        <v>1512.0098690480977</v>
      </c>
      <c r="D341" s="64">
        <v>272</v>
      </c>
      <c r="E341" s="40">
        <v>-12.504053438382808</v>
      </c>
      <c r="F341" s="64">
        <v>272</v>
      </c>
      <c r="G341" s="40">
        <v>774.12675323077406</v>
      </c>
    </row>
    <row r="342" spans="2:7" x14ac:dyDescent="0.3">
      <c r="B342" s="64">
        <v>273</v>
      </c>
      <c r="C342" s="40">
        <v>965.5197591557353</v>
      </c>
      <c r="D342" s="64">
        <v>273</v>
      </c>
      <c r="E342" s="40">
        <v>-23.000417017805276</v>
      </c>
      <c r="F342" s="64">
        <v>273</v>
      </c>
      <c r="G342" s="40">
        <v>357.7313762275927</v>
      </c>
    </row>
    <row r="343" spans="2:7" x14ac:dyDescent="0.3">
      <c r="B343" s="64">
        <v>274</v>
      </c>
      <c r="C343" s="40">
        <v>1147.9958076697937</v>
      </c>
      <c r="D343" s="64">
        <v>274</v>
      </c>
      <c r="E343" s="40">
        <v>-54.266706369537772</v>
      </c>
      <c r="F343" s="64">
        <v>274</v>
      </c>
      <c r="G343" s="40">
        <v>477.55562746158131</v>
      </c>
    </row>
    <row r="344" spans="2:7" x14ac:dyDescent="0.3">
      <c r="B344" s="64">
        <v>275</v>
      </c>
      <c r="C344" s="40">
        <v>839.97748085364015</v>
      </c>
      <c r="D344" s="64">
        <v>275</v>
      </c>
      <c r="E344" s="40">
        <v>-11.851014506408024</v>
      </c>
      <c r="F344" s="64">
        <v>275</v>
      </c>
      <c r="G344" s="40">
        <v>1171.8127249958141</v>
      </c>
    </row>
    <row r="345" spans="2:7" x14ac:dyDescent="0.3">
      <c r="B345" s="64">
        <v>276</v>
      </c>
      <c r="C345" s="40">
        <v>1177.462467773589</v>
      </c>
      <c r="D345" s="64">
        <v>276</v>
      </c>
      <c r="E345" s="40">
        <v>-5.9938250630956542</v>
      </c>
      <c r="F345" s="64">
        <v>276</v>
      </c>
      <c r="G345" s="40">
        <v>1632.722757265873</v>
      </c>
    </row>
    <row r="346" spans="2:7" x14ac:dyDescent="0.3">
      <c r="B346" s="64">
        <v>277</v>
      </c>
      <c r="C346" s="40">
        <v>668.31854386571115</v>
      </c>
      <c r="D346" s="64">
        <v>277</v>
      </c>
      <c r="E346" s="40">
        <v>6.4299060706400839</v>
      </c>
      <c r="F346" s="64">
        <v>277</v>
      </c>
      <c r="G346" s="40">
        <v>375.31559609175127</v>
      </c>
    </row>
    <row r="347" spans="2:7" x14ac:dyDescent="0.3">
      <c r="B347" s="64">
        <v>278</v>
      </c>
      <c r="C347" s="40">
        <v>805.39679447843935</v>
      </c>
      <c r="D347" s="64">
        <v>278</v>
      </c>
      <c r="E347" s="40">
        <v>-65.764189987383361</v>
      </c>
      <c r="F347" s="64">
        <v>278</v>
      </c>
      <c r="G347" s="40">
        <v>1596.5474234576423</v>
      </c>
    </row>
    <row r="348" spans="2:7" x14ac:dyDescent="0.3">
      <c r="B348" s="64">
        <v>279</v>
      </c>
      <c r="C348" s="40">
        <v>400.15713634588371</v>
      </c>
      <c r="D348" s="64">
        <v>279</v>
      </c>
      <c r="E348" s="40">
        <v>-7.8473889038724112</v>
      </c>
      <c r="F348" s="64">
        <v>279</v>
      </c>
      <c r="G348" s="40">
        <v>630.62100778536933</v>
      </c>
    </row>
    <row r="349" spans="2:7" x14ac:dyDescent="0.3">
      <c r="B349" s="64">
        <v>280</v>
      </c>
      <c r="C349" s="40">
        <v>361.24040941523003</v>
      </c>
      <c r="D349" s="64">
        <v>280</v>
      </c>
      <c r="E349" s="40">
        <v>15.542623712217164</v>
      </c>
      <c r="F349" s="64">
        <v>280</v>
      </c>
      <c r="G349" s="40">
        <v>1225.4849248445569</v>
      </c>
    </row>
    <row r="350" spans="2:7" x14ac:dyDescent="0.3">
      <c r="B350" s="64">
        <v>281</v>
      </c>
      <c r="C350" s="40">
        <v>811.60143391548831</v>
      </c>
      <c r="D350" s="64">
        <v>281</v>
      </c>
      <c r="E350" s="40">
        <v>-33.965631838305285</v>
      </c>
      <c r="F350" s="64">
        <v>281</v>
      </c>
      <c r="G350" s="40">
        <v>1085.4464770688849</v>
      </c>
    </row>
    <row r="351" spans="2:7" x14ac:dyDescent="0.3">
      <c r="B351" s="64">
        <v>282</v>
      </c>
      <c r="C351" s="40">
        <v>1322.4201022182476</v>
      </c>
      <c r="D351" s="64">
        <v>282</v>
      </c>
      <c r="E351" s="40">
        <v>-42.036482113173591</v>
      </c>
      <c r="F351" s="64">
        <v>282</v>
      </c>
      <c r="G351" s="40">
        <v>939.9752131175162</v>
      </c>
    </row>
    <row r="352" spans="2:7" x14ac:dyDescent="0.3">
      <c r="B352" s="64">
        <v>283</v>
      </c>
      <c r="C352" s="40">
        <v>207.99479632366888</v>
      </c>
      <c r="D352" s="64">
        <v>283</v>
      </c>
      <c r="E352" s="40">
        <v>36.420393695089501</v>
      </c>
      <c r="F352" s="64">
        <v>283</v>
      </c>
      <c r="G352" s="40">
        <v>1098.139225449936</v>
      </c>
    </row>
    <row r="353" spans="2:7" x14ac:dyDescent="0.3">
      <c r="B353" s="64">
        <v>284</v>
      </c>
      <c r="C353" s="40">
        <v>513.87850415718799</v>
      </c>
      <c r="D353" s="64">
        <v>284</v>
      </c>
      <c r="E353" s="40">
        <v>11.386059823736726</v>
      </c>
      <c r="F353" s="64">
        <v>284</v>
      </c>
      <c r="G353" s="40">
        <v>1198.9981704798206</v>
      </c>
    </row>
    <row r="354" spans="2:7" x14ac:dyDescent="0.3">
      <c r="B354" s="64">
        <v>285</v>
      </c>
      <c r="C354" s="40">
        <v>1378.2673165607139</v>
      </c>
      <c r="D354" s="64">
        <v>285</v>
      </c>
      <c r="E354" s="40">
        <v>11.495623092531524</v>
      </c>
      <c r="F354" s="64">
        <v>285</v>
      </c>
      <c r="G354" s="40">
        <v>1229.3984939537827</v>
      </c>
    </row>
    <row r="355" spans="2:7" x14ac:dyDescent="0.3">
      <c r="B355" s="64">
        <v>286</v>
      </c>
      <c r="C355" s="40">
        <v>916.06166915892936</v>
      </c>
      <c r="D355" s="64">
        <v>286</v>
      </c>
      <c r="E355" s="40">
        <v>27.392343399720364</v>
      </c>
      <c r="F355" s="64">
        <v>286</v>
      </c>
      <c r="G355" s="40">
        <v>581.18119111762394</v>
      </c>
    </row>
    <row r="356" spans="2:7" x14ac:dyDescent="0.3">
      <c r="B356" s="64">
        <v>287</v>
      </c>
      <c r="C356" s="40">
        <v>849.45471427834377</v>
      </c>
      <c r="D356" s="64">
        <v>287</v>
      </c>
      <c r="E356" s="40">
        <v>-36.607901761870394</v>
      </c>
      <c r="F356" s="64">
        <v>287</v>
      </c>
      <c r="G356" s="40">
        <v>1001.9439596183156</v>
      </c>
    </row>
    <row r="357" spans="2:7" x14ac:dyDescent="0.3">
      <c r="B357" s="64">
        <v>288</v>
      </c>
      <c r="C357" s="40">
        <v>1124.0139175154368</v>
      </c>
      <c r="D357" s="64">
        <v>288</v>
      </c>
      <c r="E357" s="40">
        <v>20.161131562456866</v>
      </c>
      <c r="F357" s="64">
        <v>288</v>
      </c>
      <c r="G357" s="40">
        <v>541.01876777687391</v>
      </c>
    </row>
    <row r="358" spans="2:7" x14ac:dyDescent="0.3">
      <c r="B358" s="64">
        <v>289</v>
      </c>
      <c r="C358" s="40">
        <v>688.72102822631473</v>
      </c>
      <c r="D358" s="64">
        <v>289</v>
      </c>
      <c r="E358" s="40">
        <v>7.6354514822069017</v>
      </c>
      <c r="F358" s="64">
        <v>289</v>
      </c>
      <c r="G358" s="40">
        <v>683.31806933220946</v>
      </c>
    </row>
    <row r="359" spans="2:7" x14ac:dyDescent="0.3">
      <c r="B359" s="64">
        <v>290</v>
      </c>
      <c r="C359" s="40">
        <v>562.89980185415948</v>
      </c>
      <c r="D359" s="64">
        <v>290</v>
      </c>
      <c r="E359" s="40">
        <v>-28.656955731695952</v>
      </c>
      <c r="F359" s="64">
        <v>290</v>
      </c>
      <c r="G359" s="40">
        <v>1091.4156186246246</v>
      </c>
    </row>
    <row r="360" spans="2:7" x14ac:dyDescent="0.3">
      <c r="B360" s="64">
        <v>291</v>
      </c>
      <c r="C360" s="40">
        <v>739.45897235384439</v>
      </c>
      <c r="D360" s="64">
        <v>291</v>
      </c>
      <c r="E360" s="40">
        <v>-1.6376077153740849</v>
      </c>
      <c r="F360" s="64">
        <v>291</v>
      </c>
      <c r="G360" s="40">
        <v>743.80547185867772</v>
      </c>
    </row>
    <row r="361" spans="2:7" x14ac:dyDescent="0.3">
      <c r="B361" s="64">
        <v>292</v>
      </c>
      <c r="C361" s="40">
        <v>1064.5812982962229</v>
      </c>
      <c r="D361" s="64">
        <v>292</v>
      </c>
      <c r="E361" s="40">
        <v>26.336685135300787</v>
      </c>
      <c r="F361" s="64">
        <v>292</v>
      </c>
      <c r="G361" s="40">
        <v>1337.4859022933399</v>
      </c>
    </row>
    <row r="362" spans="2:7" x14ac:dyDescent="0.3">
      <c r="B362" s="64">
        <v>293</v>
      </c>
      <c r="C362" s="40">
        <v>1360.5320135697623</v>
      </c>
      <c r="D362" s="64">
        <v>293</v>
      </c>
      <c r="E362" s="40">
        <v>4.1973580875027574</v>
      </c>
      <c r="F362" s="64">
        <v>293</v>
      </c>
      <c r="G362" s="40">
        <v>926.87485771043885</v>
      </c>
    </row>
    <row r="363" spans="2:7" x14ac:dyDescent="0.3">
      <c r="B363" s="64">
        <v>294</v>
      </c>
      <c r="C363" s="40">
        <v>929.30743322757939</v>
      </c>
      <c r="D363" s="64">
        <v>294</v>
      </c>
      <c r="E363" s="40">
        <v>14.392383564854466</v>
      </c>
      <c r="F363" s="64">
        <v>294</v>
      </c>
      <c r="G363" s="40">
        <v>699.6384973063806</v>
      </c>
    </row>
    <row r="364" spans="2:7" x14ac:dyDescent="0.3">
      <c r="B364" s="64">
        <v>295</v>
      </c>
      <c r="C364" s="40">
        <v>1126.512308841792</v>
      </c>
      <c r="D364" s="64">
        <v>295</v>
      </c>
      <c r="E364" s="40">
        <v>37.961785846439099</v>
      </c>
      <c r="F364" s="64">
        <v>295</v>
      </c>
      <c r="G364" s="40">
        <v>592.07130709188414</v>
      </c>
    </row>
    <row r="365" spans="2:7" x14ac:dyDescent="0.3">
      <c r="B365" s="64">
        <v>296</v>
      </c>
      <c r="C365" s="40">
        <v>535.90665667485189</v>
      </c>
      <c r="D365" s="64">
        <v>296</v>
      </c>
      <c r="E365" s="40">
        <v>-55.798153273204001</v>
      </c>
      <c r="F365" s="64">
        <v>296</v>
      </c>
      <c r="G365" s="40">
        <v>1066.099473345238</v>
      </c>
    </row>
    <row r="366" spans="2:7" x14ac:dyDescent="0.3">
      <c r="B366" s="64">
        <v>297</v>
      </c>
      <c r="C366" s="40">
        <v>857.52799410113653</v>
      </c>
      <c r="D366" s="64">
        <v>297</v>
      </c>
      <c r="E366" s="40">
        <v>-20.436348560674297</v>
      </c>
      <c r="F366" s="64">
        <v>297</v>
      </c>
      <c r="G366" s="40">
        <v>929.71282263780427</v>
      </c>
    </row>
    <row r="367" spans="2:7" x14ac:dyDescent="0.3">
      <c r="B367" s="64">
        <v>298</v>
      </c>
      <c r="C367" s="40">
        <v>1397.4529988101044</v>
      </c>
      <c r="D367" s="64">
        <v>298</v>
      </c>
      <c r="E367" s="40">
        <v>18.291523300189759</v>
      </c>
      <c r="F367" s="64">
        <v>298</v>
      </c>
      <c r="G367" s="40">
        <v>878.33200000846466</v>
      </c>
    </row>
    <row r="368" spans="2:7" x14ac:dyDescent="0.3">
      <c r="B368" s="64">
        <v>299</v>
      </c>
      <c r="C368" s="40">
        <v>1116.4375900805521</v>
      </c>
      <c r="D368" s="64">
        <v>299</v>
      </c>
      <c r="E368" s="40">
        <v>33.692010801770678</v>
      </c>
      <c r="F368" s="64">
        <v>299</v>
      </c>
      <c r="G368" s="40">
        <v>820.98112869009765</v>
      </c>
    </row>
    <row r="369" spans="2:7" x14ac:dyDescent="0.3">
      <c r="B369" s="64">
        <v>300</v>
      </c>
      <c r="C369" s="40">
        <v>929.29384772023298</v>
      </c>
      <c r="D369" s="64">
        <v>300</v>
      </c>
      <c r="E369" s="40">
        <v>19.790999456418529</v>
      </c>
      <c r="F369" s="64">
        <v>300</v>
      </c>
      <c r="G369" s="40">
        <v>1123.8751235508103</v>
      </c>
    </row>
    <row r="370" spans="2:7" x14ac:dyDescent="0.3">
      <c r="B370" s="64">
        <v>301</v>
      </c>
      <c r="C370" s="40">
        <v>933.09683865603256</v>
      </c>
      <c r="D370" s="64">
        <v>301</v>
      </c>
      <c r="E370" s="40">
        <v>24.332061720748495</v>
      </c>
      <c r="F370" s="64">
        <v>301</v>
      </c>
      <c r="G370" s="40">
        <v>474.88888228165843</v>
      </c>
    </row>
    <row r="371" spans="2:7" x14ac:dyDescent="0.3">
      <c r="B371" s="64">
        <v>302</v>
      </c>
      <c r="C371" s="40">
        <v>991.12927971381146</v>
      </c>
      <c r="D371" s="64">
        <v>302</v>
      </c>
      <c r="E371" s="40">
        <v>-4.0790613879837663</v>
      </c>
      <c r="F371" s="64">
        <v>302</v>
      </c>
      <c r="G371" s="40">
        <v>842.28624422698397</v>
      </c>
    </row>
    <row r="372" spans="2:7" x14ac:dyDescent="0.3">
      <c r="B372" s="64">
        <v>303</v>
      </c>
      <c r="C372" s="40">
        <v>357.19063907102475</v>
      </c>
      <c r="D372" s="64">
        <v>303</v>
      </c>
      <c r="E372" s="40">
        <v>40.282857177513101</v>
      </c>
      <c r="F372" s="64">
        <v>303</v>
      </c>
      <c r="G372" s="40">
        <v>1106.0822551769202</v>
      </c>
    </row>
    <row r="373" spans="2:7" x14ac:dyDescent="0.3">
      <c r="B373" s="64">
        <v>304</v>
      </c>
      <c r="C373" s="40">
        <v>1443.2140236013472</v>
      </c>
      <c r="D373" s="64">
        <v>304</v>
      </c>
      <c r="E373" s="40">
        <v>-41.437896745869992</v>
      </c>
      <c r="F373" s="64">
        <v>304</v>
      </c>
      <c r="G373" s="40">
        <v>1497.7997407203441</v>
      </c>
    </row>
    <row r="374" spans="2:7" x14ac:dyDescent="0.3">
      <c r="B374" s="64">
        <v>305</v>
      </c>
      <c r="C374" s="40">
        <v>784.63772886495258</v>
      </c>
      <c r="D374" s="64">
        <v>305</v>
      </c>
      <c r="E374" s="40">
        <v>8.4038217098406633</v>
      </c>
      <c r="F374" s="64">
        <v>305</v>
      </c>
      <c r="G374" s="40">
        <v>1089.08164799887</v>
      </c>
    </row>
    <row r="375" spans="2:7" x14ac:dyDescent="0.3">
      <c r="B375" s="64">
        <v>306</v>
      </c>
      <c r="C375" s="40">
        <v>877.19655013698889</v>
      </c>
      <c r="D375" s="64">
        <v>306</v>
      </c>
      <c r="E375" s="40">
        <v>-9.3569263398124072</v>
      </c>
      <c r="F375" s="64">
        <v>306</v>
      </c>
      <c r="G375" s="40">
        <v>873.39617288564818</v>
      </c>
    </row>
    <row r="376" spans="2:7" x14ac:dyDescent="0.3">
      <c r="B376" s="64">
        <v>307</v>
      </c>
      <c r="C376" s="40">
        <v>1128.2809446049473</v>
      </c>
      <c r="D376" s="64">
        <v>307</v>
      </c>
      <c r="E376" s="40">
        <v>45.481863665741109</v>
      </c>
      <c r="F376" s="64">
        <v>307</v>
      </c>
      <c r="G376" s="40">
        <v>701.496801223131</v>
      </c>
    </row>
    <row r="377" spans="2:7" x14ac:dyDescent="0.3">
      <c r="B377" s="64">
        <v>308</v>
      </c>
      <c r="C377" s="40">
        <v>1049.9789679332719</v>
      </c>
      <c r="D377" s="64">
        <v>308</v>
      </c>
      <c r="E377" s="40">
        <v>-46.287134426646602</v>
      </c>
      <c r="F377" s="64">
        <v>308</v>
      </c>
      <c r="G377" s="40">
        <v>1037.4591860783817</v>
      </c>
    </row>
    <row r="378" spans="2:7" x14ac:dyDescent="0.3">
      <c r="B378" s="64">
        <v>309</v>
      </c>
      <c r="C378" s="40">
        <v>812.06638044566512</v>
      </c>
      <c r="D378" s="64">
        <v>309</v>
      </c>
      <c r="E378" s="40">
        <v>-31.672871499615866</v>
      </c>
      <c r="F378" s="64">
        <v>309</v>
      </c>
      <c r="G378" s="40">
        <v>563.39114616894483</v>
      </c>
    </row>
    <row r="379" spans="2:7" x14ac:dyDescent="0.3">
      <c r="B379" s="64">
        <v>310</v>
      </c>
      <c r="C379" s="40">
        <v>1331.0330628432207</v>
      </c>
      <c r="D379" s="64">
        <v>310</v>
      </c>
      <c r="E379" s="40">
        <v>-3.2988796843342989</v>
      </c>
      <c r="F379" s="64">
        <v>310</v>
      </c>
      <c r="G379" s="40">
        <v>1091.9491727506352</v>
      </c>
    </row>
    <row r="380" spans="2:7" x14ac:dyDescent="0.3">
      <c r="B380" s="64">
        <v>311</v>
      </c>
      <c r="C380" s="40">
        <v>463.24490705584105</v>
      </c>
      <c r="D380" s="64">
        <v>311</v>
      </c>
      <c r="E380" s="40">
        <v>-2.7211211998479907</v>
      </c>
      <c r="F380" s="64">
        <v>311</v>
      </c>
      <c r="G380" s="40">
        <v>748.77333081089796</v>
      </c>
    </row>
    <row r="381" spans="2:7" x14ac:dyDescent="0.3">
      <c r="B381" s="64">
        <v>312</v>
      </c>
      <c r="C381" s="40">
        <v>733.57430444467582</v>
      </c>
      <c r="D381" s="64">
        <v>312</v>
      </c>
      <c r="E381" s="40">
        <v>3.0507214510042311</v>
      </c>
      <c r="F381" s="64">
        <v>312</v>
      </c>
      <c r="G381" s="40">
        <v>642.6702589254146</v>
      </c>
    </row>
    <row r="382" spans="2:7" x14ac:dyDescent="0.3">
      <c r="B382" s="64">
        <v>313</v>
      </c>
      <c r="C382" s="40">
        <v>1153.062151386514</v>
      </c>
      <c r="D382" s="64">
        <v>313</v>
      </c>
      <c r="E382" s="40">
        <v>-21.552455335674118</v>
      </c>
      <c r="F382" s="64">
        <v>313</v>
      </c>
      <c r="G382" s="40">
        <v>873.55862177221115</v>
      </c>
    </row>
    <row r="383" spans="2:7" x14ac:dyDescent="0.3">
      <c r="B383" s="64">
        <v>314</v>
      </c>
      <c r="C383" s="40">
        <v>669.84899284528888</v>
      </c>
      <c r="D383" s="64">
        <v>314</v>
      </c>
      <c r="E383" s="40">
        <v>-4.2066164702083562</v>
      </c>
      <c r="F383" s="64">
        <v>314</v>
      </c>
      <c r="G383" s="40">
        <v>804.99844640219317</v>
      </c>
    </row>
    <row r="384" spans="2:7" x14ac:dyDescent="0.3">
      <c r="B384" s="64">
        <v>315</v>
      </c>
      <c r="C384" s="40">
        <v>593.01625721289724</v>
      </c>
      <c r="D384" s="64">
        <v>315</v>
      </c>
      <c r="E384" s="40">
        <v>-48.235348803420386</v>
      </c>
      <c r="F384" s="64">
        <v>315</v>
      </c>
      <c r="G384" s="40">
        <v>1611.3661682613092</v>
      </c>
    </row>
    <row r="385" spans="2:7" x14ac:dyDescent="0.3">
      <c r="B385" s="64">
        <v>316</v>
      </c>
      <c r="C385" s="40">
        <v>1179.3550704894694</v>
      </c>
      <c r="D385" s="64">
        <v>316</v>
      </c>
      <c r="E385" s="40">
        <v>-17.456803330056541</v>
      </c>
      <c r="F385" s="64">
        <v>316</v>
      </c>
      <c r="G385" s="40">
        <v>924.53129412357612</v>
      </c>
    </row>
    <row r="386" spans="2:7" x14ac:dyDescent="0.3">
      <c r="B386" s="64">
        <v>317</v>
      </c>
      <c r="C386" s="40">
        <v>1238.4154420970244</v>
      </c>
      <c r="D386" s="64">
        <v>317</v>
      </c>
      <c r="E386" s="40">
        <v>0.74264625095786918</v>
      </c>
      <c r="F386" s="64">
        <v>317</v>
      </c>
      <c r="G386" s="40">
        <v>920.86243276066648</v>
      </c>
    </row>
    <row r="387" spans="2:7" x14ac:dyDescent="0.3">
      <c r="B387" s="64">
        <v>318</v>
      </c>
      <c r="C387" s="40">
        <v>601.2205749676499</v>
      </c>
      <c r="D387" s="64">
        <v>318</v>
      </c>
      <c r="E387" s="40">
        <v>29.230446179524698</v>
      </c>
      <c r="F387" s="64">
        <v>318</v>
      </c>
      <c r="G387" s="40">
        <v>960.59545907315476</v>
      </c>
    </row>
    <row r="388" spans="2:7" x14ac:dyDescent="0.3">
      <c r="B388" s="64">
        <v>319</v>
      </c>
      <c r="C388" s="40">
        <v>733.43882172420513</v>
      </c>
      <c r="D388" s="64">
        <v>319</v>
      </c>
      <c r="E388" s="40">
        <v>-24.440528015330806</v>
      </c>
      <c r="F388" s="64">
        <v>319</v>
      </c>
      <c r="G388" s="40">
        <v>478.25268414765526</v>
      </c>
    </row>
    <row r="389" spans="2:7" x14ac:dyDescent="0.3">
      <c r="B389" s="64">
        <v>320</v>
      </c>
      <c r="C389" s="40">
        <v>903.64523290370448</v>
      </c>
      <c r="D389" s="64">
        <v>320</v>
      </c>
      <c r="E389" s="40">
        <v>4.7273122271171228</v>
      </c>
      <c r="F389" s="64">
        <v>320</v>
      </c>
      <c r="G389" s="40">
        <v>1101.57038356418</v>
      </c>
    </row>
    <row r="390" spans="2:7" x14ac:dyDescent="0.3">
      <c r="B390" s="64">
        <v>321</v>
      </c>
      <c r="C390" s="40">
        <v>1081.8177661783814</v>
      </c>
      <c r="D390" s="64">
        <v>321</v>
      </c>
      <c r="E390" s="40">
        <v>-3.7413748532632147</v>
      </c>
      <c r="F390" s="64">
        <v>321</v>
      </c>
      <c r="G390" s="40">
        <v>1067.3694023875262</v>
      </c>
    </row>
    <row r="391" spans="2:7" x14ac:dyDescent="0.3">
      <c r="B391" s="64">
        <v>322</v>
      </c>
      <c r="C391" s="40">
        <v>1116.6556954476989</v>
      </c>
      <c r="D391" s="64">
        <v>322</v>
      </c>
      <c r="E391" s="40">
        <v>-37.482129500712865</v>
      </c>
      <c r="F391" s="64">
        <v>322</v>
      </c>
      <c r="G391" s="40">
        <v>1370.0927332784156</v>
      </c>
    </row>
    <row r="392" spans="2:7" x14ac:dyDescent="0.3">
      <c r="B392" s="64">
        <v>323</v>
      </c>
      <c r="C392" s="40">
        <v>762.83134538014076</v>
      </c>
      <c r="D392" s="64">
        <v>323</v>
      </c>
      <c r="E392" s="40">
        <v>35.95775778505115</v>
      </c>
      <c r="F392" s="64">
        <v>323</v>
      </c>
      <c r="G392" s="40">
        <v>1046.128550640874</v>
      </c>
    </row>
    <row r="393" spans="2:7" x14ac:dyDescent="0.3">
      <c r="B393" s="64">
        <v>324</v>
      </c>
      <c r="C393" s="40">
        <v>1331.4104653646732</v>
      </c>
      <c r="D393" s="64">
        <v>324</v>
      </c>
      <c r="E393" s="40">
        <v>-57.236475334199987</v>
      </c>
      <c r="F393" s="64">
        <v>324</v>
      </c>
      <c r="G393" s="40">
        <v>1214.4563694100625</v>
      </c>
    </row>
    <row r="394" spans="2:7" x14ac:dyDescent="0.3">
      <c r="B394" s="64">
        <v>325</v>
      </c>
      <c r="C394" s="40">
        <v>649.77679024169015</v>
      </c>
      <c r="D394" s="64">
        <v>325</v>
      </c>
      <c r="E394" s="40">
        <v>30.627882585841228</v>
      </c>
      <c r="F394" s="64">
        <v>325</v>
      </c>
      <c r="G394" s="40">
        <v>1170.5607537646697</v>
      </c>
    </row>
    <row r="395" spans="2:7" x14ac:dyDescent="0.3">
      <c r="B395" s="64">
        <v>326</v>
      </c>
      <c r="C395" s="40">
        <v>1115.814073410726</v>
      </c>
      <c r="D395" s="64">
        <v>326</v>
      </c>
      <c r="E395" s="40">
        <v>18.568756526350718</v>
      </c>
      <c r="F395" s="64">
        <v>326</v>
      </c>
      <c r="G395" s="40">
        <v>972.86209659798783</v>
      </c>
    </row>
    <row r="396" spans="2:7" x14ac:dyDescent="0.3">
      <c r="B396" s="64">
        <v>327</v>
      </c>
      <c r="C396" s="40">
        <v>1302.4115560506611</v>
      </c>
      <c r="D396" s="64">
        <v>327</v>
      </c>
      <c r="E396" s="40">
        <v>-17.181389401699104</v>
      </c>
      <c r="F396" s="64">
        <v>327</v>
      </c>
      <c r="G396" s="40">
        <v>1136.2082698587501</v>
      </c>
    </row>
    <row r="397" spans="2:7" x14ac:dyDescent="0.3">
      <c r="B397" s="64">
        <v>328</v>
      </c>
      <c r="C397" s="40">
        <v>1167.7940896286377</v>
      </c>
      <c r="D397" s="64">
        <v>328</v>
      </c>
      <c r="E397" s="40">
        <v>-60.682766614686628</v>
      </c>
      <c r="F397" s="64">
        <v>328</v>
      </c>
      <c r="G397" s="40">
        <v>1076.2590880678786</v>
      </c>
    </row>
    <row r="398" spans="2:7" x14ac:dyDescent="0.3">
      <c r="B398" s="64">
        <v>329</v>
      </c>
      <c r="C398" s="40">
        <v>1091.4583391842921</v>
      </c>
      <c r="D398" s="64">
        <v>329</v>
      </c>
      <c r="E398" s="40">
        <v>-19.223789775523173</v>
      </c>
      <c r="F398" s="64">
        <v>329</v>
      </c>
      <c r="G398" s="40">
        <v>957.75693189697085</v>
      </c>
    </row>
    <row r="399" spans="2:7" x14ac:dyDescent="0.3">
      <c r="B399" s="64">
        <v>330</v>
      </c>
      <c r="C399" s="40">
        <v>643.91847070999745</v>
      </c>
      <c r="D399" s="64">
        <v>330</v>
      </c>
      <c r="E399" s="40">
        <v>12.94688958002626</v>
      </c>
      <c r="F399" s="64">
        <v>330</v>
      </c>
      <c r="G399" s="40">
        <v>611.66210642698297</v>
      </c>
    </row>
    <row r="400" spans="2:7" x14ac:dyDescent="0.3">
      <c r="B400" s="64">
        <v>331</v>
      </c>
      <c r="C400" s="40">
        <v>669.8009102773276</v>
      </c>
      <c r="D400" s="64">
        <v>331</v>
      </c>
      <c r="E400" s="40">
        <v>-5.0293360794886031</v>
      </c>
      <c r="F400" s="64">
        <v>331</v>
      </c>
      <c r="G400" s="40">
        <v>844.82694712748673</v>
      </c>
    </row>
    <row r="401" spans="2:7" x14ac:dyDescent="0.3">
      <c r="B401" s="64">
        <v>332</v>
      </c>
      <c r="C401" s="40">
        <v>380.35365450617456</v>
      </c>
      <c r="D401" s="64">
        <v>332</v>
      </c>
      <c r="E401" s="40">
        <v>-14.228797671585264</v>
      </c>
      <c r="F401" s="64">
        <v>332</v>
      </c>
      <c r="G401" s="40">
        <v>1132.4243750530241</v>
      </c>
    </row>
    <row r="402" spans="2:7" x14ac:dyDescent="0.3">
      <c r="B402" s="64">
        <v>333</v>
      </c>
      <c r="C402" s="40">
        <v>1227.993239261587</v>
      </c>
      <c r="D402" s="64">
        <v>333</v>
      </c>
      <c r="E402" s="40">
        <v>-35.146628864288616</v>
      </c>
      <c r="F402" s="64">
        <v>333</v>
      </c>
      <c r="G402" s="40">
        <v>1035.7363382262038</v>
      </c>
    </row>
    <row r="403" spans="2:7" x14ac:dyDescent="0.3">
      <c r="B403" s="64">
        <v>334</v>
      </c>
      <c r="C403" s="40">
        <v>910.39377318715526</v>
      </c>
      <c r="D403" s="64">
        <v>334</v>
      </c>
      <c r="E403" s="40">
        <v>38.741530144729509</v>
      </c>
      <c r="F403" s="64">
        <v>334</v>
      </c>
      <c r="G403" s="40">
        <v>1054.4192085811578</v>
      </c>
    </row>
    <row r="404" spans="2:7" x14ac:dyDescent="0.3">
      <c r="B404" s="64">
        <v>335</v>
      </c>
      <c r="C404" s="40">
        <v>1162.8220785178949</v>
      </c>
      <c r="D404" s="64">
        <v>335</v>
      </c>
      <c r="E404" s="40">
        <v>-2.2608791798953098</v>
      </c>
      <c r="F404" s="64">
        <v>335</v>
      </c>
      <c r="G404" s="40">
        <v>777.76684839723271</v>
      </c>
    </row>
    <row r="405" spans="2:7" x14ac:dyDescent="0.3">
      <c r="B405" s="64">
        <v>336</v>
      </c>
      <c r="C405" s="40">
        <v>1258.5925837065286</v>
      </c>
      <c r="D405" s="64">
        <v>336</v>
      </c>
      <c r="E405" s="40">
        <v>-3.4951152867999133</v>
      </c>
      <c r="F405" s="64">
        <v>336</v>
      </c>
      <c r="G405" s="40">
        <v>1039.9156517569813</v>
      </c>
    </row>
    <row r="406" spans="2:7" x14ac:dyDescent="0.3">
      <c r="B406" s="64">
        <v>337</v>
      </c>
      <c r="C406" s="40">
        <v>781.73314341712489</v>
      </c>
      <c r="D406" s="64">
        <v>337</v>
      </c>
      <c r="E406" s="40">
        <v>-10.406652745237393</v>
      </c>
      <c r="F406" s="64">
        <v>337</v>
      </c>
      <c r="G406" s="40">
        <v>509.21323366557391</v>
      </c>
    </row>
    <row r="407" spans="2:7" x14ac:dyDescent="0.3">
      <c r="B407" s="64">
        <v>338</v>
      </c>
      <c r="C407" s="40">
        <v>925.60318859289907</v>
      </c>
      <c r="D407" s="64">
        <v>338</v>
      </c>
      <c r="E407" s="40">
        <v>1.2499564219350421</v>
      </c>
      <c r="F407" s="64">
        <v>338</v>
      </c>
      <c r="G407" s="40">
        <v>519.32108322668091</v>
      </c>
    </row>
    <row r="408" spans="2:7" x14ac:dyDescent="0.3">
      <c r="B408" s="64">
        <v>339</v>
      </c>
      <c r="C408" s="40">
        <v>-6.179229337799681</v>
      </c>
      <c r="D408" s="64">
        <v>339</v>
      </c>
      <c r="E408" s="40">
        <v>12.50390570983183</v>
      </c>
      <c r="F408" s="64">
        <v>339</v>
      </c>
      <c r="G408" s="40">
        <v>997.64534315466005</v>
      </c>
    </row>
    <row r="409" spans="2:7" x14ac:dyDescent="0.3">
      <c r="B409" s="64">
        <v>340</v>
      </c>
      <c r="C409" s="40">
        <v>1546.4227869883493</v>
      </c>
      <c r="D409" s="64">
        <v>340</v>
      </c>
      <c r="E409" s="40">
        <v>-27.969463203451824</v>
      </c>
      <c r="F409" s="64">
        <v>340</v>
      </c>
      <c r="G409" s="40">
        <v>968.90782235810855</v>
      </c>
    </row>
    <row r="410" spans="2:7" x14ac:dyDescent="0.3">
      <c r="B410" s="64">
        <v>341</v>
      </c>
      <c r="C410" s="40">
        <v>1270.977356775943</v>
      </c>
      <c r="D410" s="64">
        <v>341</v>
      </c>
      <c r="E410" s="40">
        <v>-47.23509471033551</v>
      </c>
      <c r="F410" s="64">
        <v>341</v>
      </c>
      <c r="G410" s="40">
        <v>970.62956503900477</v>
      </c>
    </row>
    <row r="411" spans="2:7" x14ac:dyDescent="0.3">
      <c r="B411" s="64">
        <v>342</v>
      </c>
      <c r="C411" s="40">
        <v>1248.4281062478722</v>
      </c>
      <c r="D411" s="64">
        <v>342</v>
      </c>
      <c r="E411" s="40">
        <v>21.014498521833659</v>
      </c>
      <c r="F411" s="64">
        <v>342</v>
      </c>
      <c r="G411" s="40">
        <v>703.94788055693573</v>
      </c>
    </row>
    <row r="412" spans="2:7" x14ac:dyDescent="0.3">
      <c r="B412" s="64">
        <v>343</v>
      </c>
      <c r="C412" s="40">
        <v>540.22852106712639</v>
      </c>
      <c r="D412" s="64">
        <v>343</v>
      </c>
      <c r="E412" s="40">
        <v>14.799094272995228</v>
      </c>
      <c r="F412" s="64">
        <v>343</v>
      </c>
      <c r="G412" s="40">
        <v>840.01247962638865</v>
      </c>
    </row>
    <row r="413" spans="2:7" x14ac:dyDescent="0.3">
      <c r="B413" s="64">
        <v>344</v>
      </c>
      <c r="C413" s="40">
        <v>1214.4068269554241</v>
      </c>
      <c r="D413" s="64">
        <v>344</v>
      </c>
      <c r="E413" s="40">
        <v>50.005613280139144</v>
      </c>
      <c r="F413" s="64">
        <v>344</v>
      </c>
      <c r="G413" s="40">
        <v>885.511394816181</v>
      </c>
    </row>
    <row r="414" spans="2:7" x14ac:dyDescent="0.3">
      <c r="B414" s="64">
        <v>345</v>
      </c>
      <c r="C414" s="40">
        <v>1058.4138028667517</v>
      </c>
      <c r="D414" s="64">
        <v>345</v>
      </c>
      <c r="E414" s="40">
        <v>-1.2829872689091464</v>
      </c>
      <c r="F414" s="64">
        <v>345</v>
      </c>
      <c r="G414" s="40">
        <v>689.66535197809503</v>
      </c>
    </row>
    <row r="415" spans="2:7" x14ac:dyDescent="0.3">
      <c r="B415" s="64">
        <v>346</v>
      </c>
      <c r="C415" s="40">
        <v>1197.5291267227196</v>
      </c>
      <c r="D415" s="64">
        <v>346</v>
      </c>
      <c r="E415" s="40">
        <v>-40.649403812344424</v>
      </c>
      <c r="F415" s="64">
        <v>346</v>
      </c>
      <c r="G415" s="40">
        <v>976.6275003272882</v>
      </c>
    </row>
    <row r="416" spans="2:7" x14ac:dyDescent="0.3">
      <c r="B416" s="64">
        <v>347</v>
      </c>
      <c r="C416" s="40">
        <v>248.32725987374278</v>
      </c>
      <c r="D416" s="64">
        <v>347</v>
      </c>
      <c r="E416" s="40">
        <v>59.947564595245204</v>
      </c>
      <c r="F416" s="64">
        <v>347</v>
      </c>
      <c r="G416" s="40">
        <v>790.36656787164907</v>
      </c>
    </row>
    <row r="417" spans="2:7" x14ac:dyDescent="0.3">
      <c r="B417" s="64">
        <v>348</v>
      </c>
      <c r="C417" s="40">
        <v>1289.3811897872779</v>
      </c>
      <c r="D417" s="64">
        <v>348</v>
      </c>
      <c r="E417" s="40">
        <v>-15.023149591783939</v>
      </c>
      <c r="F417" s="64">
        <v>348</v>
      </c>
      <c r="G417" s="40">
        <v>532.39235550645981</v>
      </c>
    </row>
    <row r="418" spans="2:7" x14ac:dyDescent="0.3">
      <c r="B418" s="64">
        <v>349</v>
      </c>
      <c r="C418" s="40">
        <v>947.67921870900477</v>
      </c>
      <c r="D418" s="64">
        <v>349</v>
      </c>
      <c r="E418" s="40">
        <v>11.782472432731048</v>
      </c>
      <c r="F418" s="64">
        <v>349</v>
      </c>
      <c r="G418" s="40">
        <v>1208.2616555241475</v>
      </c>
    </row>
    <row r="419" spans="2:7" x14ac:dyDescent="0.3">
      <c r="B419" s="64">
        <v>350</v>
      </c>
      <c r="C419" s="40">
        <v>1009.6190320208025</v>
      </c>
      <c r="D419" s="64">
        <v>350</v>
      </c>
      <c r="E419" s="40">
        <v>3.335153952071142</v>
      </c>
      <c r="F419" s="64">
        <v>350</v>
      </c>
      <c r="G419" s="40">
        <v>864.82347137836314</v>
      </c>
    </row>
    <row r="420" spans="2:7" x14ac:dyDescent="0.3">
      <c r="B420" s="64">
        <v>351</v>
      </c>
      <c r="C420" s="40">
        <v>1033.0405417325435</v>
      </c>
      <c r="D420" s="64">
        <v>351</v>
      </c>
      <c r="E420" s="40">
        <v>22.750916820265779</v>
      </c>
      <c r="F420" s="64">
        <v>351</v>
      </c>
      <c r="G420" s="40">
        <v>936.95510690045739</v>
      </c>
    </row>
    <row r="421" spans="2:7" x14ac:dyDescent="0.3">
      <c r="B421" s="64">
        <v>352</v>
      </c>
      <c r="C421" s="40">
        <v>1296.8577939556028</v>
      </c>
      <c r="D421" s="64">
        <v>352</v>
      </c>
      <c r="E421" s="40">
        <v>-4.581219274038399</v>
      </c>
      <c r="F421" s="64">
        <v>352</v>
      </c>
      <c r="G421" s="40">
        <v>1996.7123180849073</v>
      </c>
    </row>
    <row r="422" spans="2:7" x14ac:dyDescent="0.3">
      <c r="B422" s="64">
        <v>353</v>
      </c>
      <c r="C422" s="40">
        <v>610.19702270802998</v>
      </c>
      <c r="D422" s="64">
        <v>353</v>
      </c>
      <c r="E422" s="40">
        <v>21.60353105048933</v>
      </c>
      <c r="F422" s="64">
        <v>353</v>
      </c>
      <c r="G422" s="40">
        <v>1273.181143119396</v>
      </c>
    </row>
    <row r="423" spans="2:7" x14ac:dyDescent="0.3">
      <c r="B423" s="64">
        <v>354</v>
      </c>
      <c r="C423" s="40">
        <v>613.86653872165812</v>
      </c>
      <c r="D423" s="64">
        <v>354</v>
      </c>
      <c r="E423" s="40">
        <v>31.280843728961781</v>
      </c>
      <c r="F423" s="64">
        <v>354</v>
      </c>
      <c r="G423" s="40">
        <v>1042.9227356338695</v>
      </c>
    </row>
    <row r="424" spans="2:7" x14ac:dyDescent="0.3">
      <c r="B424" s="64">
        <v>355</v>
      </c>
      <c r="C424" s="40">
        <v>478.22271177250514</v>
      </c>
      <c r="D424" s="64">
        <v>355</v>
      </c>
      <c r="E424" s="40">
        <v>51.74922301375814</v>
      </c>
      <c r="F424" s="64">
        <v>355</v>
      </c>
      <c r="G424" s="40">
        <v>832.2746699435753</v>
      </c>
    </row>
    <row r="425" spans="2:7" x14ac:dyDescent="0.3">
      <c r="B425" s="64">
        <v>356</v>
      </c>
      <c r="C425" s="40">
        <v>1238.8161578251334</v>
      </c>
      <c r="D425" s="64">
        <v>356</v>
      </c>
      <c r="E425" s="40">
        <v>10.323164836590497</v>
      </c>
      <c r="F425" s="64">
        <v>356</v>
      </c>
      <c r="G425" s="40">
        <v>1347.4177377960389</v>
      </c>
    </row>
    <row r="426" spans="2:7" x14ac:dyDescent="0.3">
      <c r="B426" s="64">
        <v>357</v>
      </c>
      <c r="C426" s="40">
        <v>1177.512099564939</v>
      </c>
      <c r="D426" s="64">
        <v>357</v>
      </c>
      <c r="E426" s="40">
        <v>9.1804634781807852</v>
      </c>
      <c r="F426" s="64">
        <v>357</v>
      </c>
      <c r="G426" s="40">
        <v>968.18522226445953</v>
      </c>
    </row>
    <row r="427" spans="2:7" x14ac:dyDescent="0.3">
      <c r="B427" s="64">
        <v>358</v>
      </c>
      <c r="C427" s="40">
        <v>1070.5672770748615</v>
      </c>
      <c r="D427" s="64">
        <v>358</v>
      </c>
      <c r="E427" s="40">
        <v>74.913212411372285</v>
      </c>
      <c r="F427" s="64">
        <v>358</v>
      </c>
      <c r="G427" s="40">
        <v>1772.0497625938835</v>
      </c>
    </row>
    <row r="428" spans="2:7" x14ac:dyDescent="0.3">
      <c r="B428" s="64">
        <v>359</v>
      </c>
      <c r="C428" s="40">
        <v>854.20651743653707</v>
      </c>
      <c r="D428" s="64">
        <v>359</v>
      </c>
      <c r="E428" s="40">
        <v>10.783159349958131</v>
      </c>
      <c r="F428" s="64">
        <v>359</v>
      </c>
      <c r="G428" s="40">
        <v>684.32729586987352</v>
      </c>
    </row>
    <row r="429" spans="2:7" x14ac:dyDescent="0.3">
      <c r="B429" s="64">
        <v>360</v>
      </c>
      <c r="C429" s="40">
        <v>582.62548354354396</v>
      </c>
      <c r="D429" s="64">
        <v>360</v>
      </c>
      <c r="E429" s="40">
        <v>-9.8141128643010695</v>
      </c>
      <c r="F429" s="64">
        <v>360</v>
      </c>
      <c r="G429" s="40">
        <v>1411.4534904735294</v>
      </c>
    </row>
    <row r="430" spans="2:7" x14ac:dyDescent="0.3">
      <c r="B430" s="64">
        <v>361</v>
      </c>
      <c r="C430" s="40">
        <v>1180.0856451560946</v>
      </c>
      <c r="D430" s="64">
        <v>361</v>
      </c>
      <c r="E430" s="40">
        <v>-10.701615185770329</v>
      </c>
      <c r="F430" s="64">
        <v>361</v>
      </c>
      <c r="G430" s="40">
        <v>471.96516203801337</v>
      </c>
    </row>
    <row r="431" spans="2:7" x14ac:dyDescent="0.3">
      <c r="B431" s="64">
        <v>362</v>
      </c>
      <c r="C431" s="40">
        <v>1060.9894433065313</v>
      </c>
      <c r="D431" s="64">
        <v>362</v>
      </c>
      <c r="E431" s="40">
        <v>15.242973683797269</v>
      </c>
      <c r="F431" s="64">
        <v>362</v>
      </c>
      <c r="G431" s="40">
        <v>1445.4927776413465</v>
      </c>
    </row>
    <row r="432" spans="2:7" x14ac:dyDescent="0.3">
      <c r="B432" s="64">
        <v>363</v>
      </c>
      <c r="C432" s="40">
        <v>962.8044731741827</v>
      </c>
      <c r="D432" s="64">
        <v>363</v>
      </c>
      <c r="E432" s="40">
        <v>-32.092695443480665</v>
      </c>
      <c r="F432" s="64">
        <v>363</v>
      </c>
      <c r="G432" s="40">
        <v>889.65994813540306</v>
      </c>
    </row>
    <row r="433" spans="2:7" x14ac:dyDescent="0.3">
      <c r="B433" s="64">
        <v>364</v>
      </c>
      <c r="C433" s="40">
        <v>1267.2154385693723</v>
      </c>
      <c r="D433" s="64">
        <v>364</v>
      </c>
      <c r="E433" s="40">
        <v>-17.3420755330913</v>
      </c>
      <c r="F433" s="64">
        <v>364</v>
      </c>
      <c r="G433" s="40">
        <v>941.39885169519823</v>
      </c>
    </row>
    <row r="434" spans="2:7" x14ac:dyDescent="0.3">
      <c r="B434" s="64">
        <v>365</v>
      </c>
      <c r="C434" s="40">
        <v>401.24329121451217</v>
      </c>
      <c r="D434" s="64">
        <v>365</v>
      </c>
      <c r="E434" s="40">
        <v>56.025778066063936</v>
      </c>
      <c r="F434" s="64">
        <v>365</v>
      </c>
      <c r="G434" s="40">
        <v>876.09311211453655</v>
      </c>
    </row>
    <row r="435" spans="2:7" x14ac:dyDescent="0.3">
      <c r="B435" s="64">
        <v>366</v>
      </c>
      <c r="C435" s="40">
        <v>756.42904431568536</v>
      </c>
      <c r="D435" s="64">
        <v>366</v>
      </c>
      <c r="E435" s="40">
        <v>12.716354997522938</v>
      </c>
      <c r="F435" s="64">
        <v>366</v>
      </c>
      <c r="G435" s="40">
        <v>1051.3697420269295</v>
      </c>
    </row>
    <row r="436" spans="2:7" x14ac:dyDescent="0.3">
      <c r="B436" s="64">
        <v>367</v>
      </c>
      <c r="C436" s="40">
        <v>675.4580483761199</v>
      </c>
      <c r="D436" s="64">
        <v>367</v>
      </c>
      <c r="E436" s="40">
        <v>58.524364240783385</v>
      </c>
      <c r="F436" s="64">
        <v>367</v>
      </c>
      <c r="G436" s="40">
        <v>1550.8484143562114</v>
      </c>
    </row>
    <row r="437" spans="2:7" x14ac:dyDescent="0.3">
      <c r="B437" s="64">
        <v>368</v>
      </c>
      <c r="C437" s="40">
        <v>747.31673586890361</v>
      </c>
      <c r="D437" s="64">
        <v>368</v>
      </c>
      <c r="E437" s="40">
        <v>-37.391697646166065</v>
      </c>
      <c r="F437" s="64">
        <v>368</v>
      </c>
      <c r="G437" s="40">
        <v>492.5144336680558</v>
      </c>
    </row>
    <row r="438" spans="2:7" x14ac:dyDescent="0.3">
      <c r="B438" s="64">
        <v>369</v>
      </c>
      <c r="C438" s="40">
        <v>428.45836357399759</v>
      </c>
      <c r="D438" s="64">
        <v>369</v>
      </c>
      <c r="E438" s="40">
        <v>17.218741536500357</v>
      </c>
      <c r="F438" s="64">
        <v>369</v>
      </c>
      <c r="G438" s="40">
        <v>903.89358249291877</v>
      </c>
    </row>
    <row r="439" spans="2:7" x14ac:dyDescent="0.3">
      <c r="B439" s="64">
        <v>370</v>
      </c>
      <c r="C439" s="40">
        <v>970.38036546712954</v>
      </c>
      <c r="D439" s="64">
        <v>370</v>
      </c>
      <c r="E439" s="40">
        <v>-28.387273332055656</v>
      </c>
      <c r="F439" s="64">
        <v>370</v>
      </c>
      <c r="G439" s="40">
        <v>1224.1442350053298</v>
      </c>
    </row>
    <row r="440" spans="2:7" x14ac:dyDescent="0.3">
      <c r="B440" s="64">
        <v>371</v>
      </c>
      <c r="C440" s="40">
        <v>722.08289680172106</v>
      </c>
      <c r="D440" s="64">
        <v>371</v>
      </c>
      <c r="E440" s="40">
        <v>19.385287318067778</v>
      </c>
      <c r="F440" s="64">
        <v>371</v>
      </c>
      <c r="G440" s="40">
        <v>922.9918626048526</v>
      </c>
    </row>
    <row r="441" spans="2:7" x14ac:dyDescent="0.3">
      <c r="B441" s="64">
        <v>372</v>
      </c>
      <c r="C441" s="40">
        <v>816.4107858709433</v>
      </c>
      <c r="D441" s="64">
        <v>372</v>
      </c>
      <c r="E441" s="40">
        <v>30.874806968289569</v>
      </c>
      <c r="F441" s="64">
        <v>372</v>
      </c>
      <c r="G441" s="40">
        <v>751.35546858769828</v>
      </c>
    </row>
    <row r="442" spans="2:7" x14ac:dyDescent="0.3">
      <c r="B442" s="64">
        <v>373</v>
      </c>
      <c r="C442" s="40">
        <v>574.68589387492216</v>
      </c>
      <c r="D442" s="64">
        <v>373</v>
      </c>
      <c r="E442" s="40">
        <v>0.91643198098836987</v>
      </c>
      <c r="F442" s="64">
        <v>373</v>
      </c>
      <c r="G442" s="40">
        <v>644.74833137574615</v>
      </c>
    </row>
    <row r="443" spans="2:7" x14ac:dyDescent="0.3">
      <c r="B443" s="64">
        <v>374</v>
      </c>
      <c r="C443" s="40">
        <v>811.49250576756469</v>
      </c>
      <c r="D443" s="64">
        <v>374</v>
      </c>
      <c r="E443" s="40">
        <v>-36.068877180440147</v>
      </c>
      <c r="F443" s="64">
        <v>374</v>
      </c>
      <c r="G443" s="40">
        <v>1162.7469208457819</v>
      </c>
    </row>
    <row r="444" spans="2:7" x14ac:dyDescent="0.3">
      <c r="B444" s="64">
        <v>375</v>
      </c>
      <c r="C444" s="40">
        <v>969.8679650373839</v>
      </c>
      <c r="D444" s="64">
        <v>375</v>
      </c>
      <c r="E444" s="40">
        <v>50.383113087285935</v>
      </c>
      <c r="F444" s="64">
        <v>375</v>
      </c>
      <c r="G444" s="40">
        <v>1370.4828377182287</v>
      </c>
    </row>
    <row r="445" spans="2:7" x14ac:dyDescent="0.3">
      <c r="B445" s="64">
        <v>376</v>
      </c>
      <c r="C445" s="40">
        <v>1402.7558631903189</v>
      </c>
      <c r="D445" s="64">
        <v>376</v>
      </c>
      <c r="E445" s="40">
        <v>-0.92745326531926653</v>
      </c>
      <c r="F445" s="64">
        <v>376</v>
      </c>
      <c r="G445" s="40">
        <v>960.0955615940984</v>
      </c>
    </row>
    <row r="446" spans="2:7" x14ac:dyDescent="0.3">
      <c r="B446" s="64">
        <v>377</v>
      </c>
      <c r="C446" s="40">
        <v>894.90705316091498</v>
      </c>
      <c r="D446" s="64">
        <v>377</v>
      </c>
      <c r="E446" s="40">
        <v>23.413459658383125</v>
      </c>
      <c r="F446" s="64">
        <v>377</v>
      </c>
      <c r="G446" s="40">
        <v>1151.8759572227698</v>
      </c>
    </row>
    <row r="447" spans="2:7" x14ac:dyDescent="0.3">
      <c r="B447" s="64">
        <v>378</v>
      </c>
      <c r="C447" s="40">
        <v>585.7576389412643</v>
      </c>
      <c r="D447" s="64">
        <v>378</v>
      </c>
      <c r="E447" s="40">
        <v>-1.4078379562908376</v>
      </c>
      <c r="F447" s="64">
        <v>378</v>
      </c>
      <c r="G447" s="40">
        <v>564.66496391697763</v>
      </c>
    </row>
    <row r="448" spans="2:7" x14ac:dyDescent="0.3">
      <c r="B448" s="64">
        <v>379</v>
      </c>
      <c r="C448" s="40">
        <v>870.21622455368527</v>
      </c>
      <c r="D448" s="64">
        <v>379</v>
      </c>
      <c r="E448" s="40">
        <v>-6.2999840991801443</v>
      </c>
      <c r="F448" s="64">
        <v>379</v>
      </c>
      <c r="G448" s="40">
        <v>1093.1906443744858</v>
      </c>
    </row>
    <row r="449" spans="2:7" x14ac:dyDescent="0.3">
      <c r="B449" s="64">
        <v>380</v>
      </c>
      <c r="C449" s="40">
        <v>640.20949533242151</v>
      </c>
      <c r="D449" s="64">
        <v>380</v>
      </c>
      <c r="E449" s="40">
        <v>13.191343983231709</v>
      </c>
      <c r="F449" s="64">
        <v>380</v>
      </c>
      <c r="G449" s="40">
        <v>668.6547963583846</v>
      </c>
    </row>
    <row r="450" spans="2:7" x14ac:dyDescent="0.3">
      <c r="B450" s="64">
        <v>381</v>
      </c>
      <c r="C450" s="40">
        <v>1301.9989561639773</v>
      </c>
      <c r="D450" s="64">
        <v>381</v>
      </c>
      <c r="E450" s="40">
        <v>-0.75619253620055182</v>
      </c>
      <c r="F450" s="64">
        <v>381</v>
      </c>
      <c r="G450" s="40">
        <v>779.06791070416136</v>
      </c>
    </row>
    <row r="451" spans="2:7" x14ac:dyDescent="0.3">
      <c r="B451" s="64">
        <v>382</v>
      </c>
      <c r="C451" s="40">
        <v>750.71169570775453</v>
      </c>
      <c r="D451" s="64">
        <v>382</v>
      </c>
      <c r="E451" s="40">
        <v>21.438415626663161</v>
      </c>
      <c r="F451" s="64">
        <v>382</v>
      </c>
      <c r="G451" s="40">
        <v>1415.4996760030058</v>
      </c>
    </row>
    <row r="452" spans="2:7" x14ac:dyDescent="0.3">
      <c r="B452" s="64">
        <v>383</v>
      </c>
      <c r="C452" s="40">
        <v>1016.104724086283</v>
      </c>
      <c r="D452" s="64">
        <v>383</v>
      </c>
      <c r="E452" s="40">
        <v>13.304772987790196</v>
      </c>
      <c r="F452" s="64">
        <v>383</v>
      </c>
      <c r="G452" s="40">
        <v>713.03628852802683</v>
      </c>
    </row>
    <row r="453" spans="2:7" x14ac:dyDescent="0.3">
      <c r="B453" s="64">
        <v>384</v>
      </c>
      <c r="C453" s="40">
        <v>964.77606170914237</v>
      </c>
      <c r="D453" s="64">
        <v>384</v>
      </c>
      <c r="E453" s="40">
        <v>8.3586216299250662</v>
      </c>
      <c r="F453" s="64">
        <v>384</v>
      </c>
      <c r="G453" s="40">
        <v>575.94460155737545</v>
      </c>
    </row>
    <row r="454" spans="2:7" x14ac:dyDescent="0.3">
      <c r="B454" s="64">
        <v>385</v>
      </c>
      <c r="C454" s="40">
        <v>643.87502014506367</v>
      </c>
      <c r="D454" s="64">
        <v>385</v>
      </c>
      <c r="E454" s="40">
        <v>-25.991092562862157</v>
      </c>
      <c r="F454" s="64">
        <v>385</v>
      </c>
      <c r="G454" s="40">
        <v>1035.0287230708325</v>
      </c>
    </row>
    <row r="455" spans="2:7" x14ac:dyDescent="0.3">
      <c r="B455" s="64">
        <v>386</v>
      </c>
      <c r="C455" s="40">
        <v>1380.3908918796728</v>
      </c>
      <c r="D455" s="64">
        <v>386</v>
      </c>
      <c r="E455" s="40">
        <v>7.9680058062552082</v>
      </c>
      <c r="F455" s="64">
        <v>386</v>
      </c>
      <c r="G455" s="40">
        <v>1240.6525315027407</v>
      </c>
    </row>
    <row r="456" spans="2:7" x14ac:dyDescent="0.3">
      <c r="B456" s="64">
        <v>387</v>
      </c>
      <c r="C456" s="40">
        <v>940.62808684644642</v>
      </c>
      <c r="D456" s="64">
        <v>387</v>
      </c>
      <c r="E456" s="40">
        <v>11.709717496427855</v>
      </c>
      <c r="F456" s="64">
        <v>387</v>
      </c>
      <c r="G456" s="40">
        <v>682.05856694593399</v>
      </c>
    </row>
    <row r="457" spans="2:7" x14ac:dyDescent="0.3">
      <c r="B457" s="64">
        <v>388</v>
      </c>
      <c r="C457" s="40">
        <v>740.18059604307234</v>
      </c>
      <c r="D457" s="64">
        <v>388</v>
      </c>
      <c r="E457" s="40">
        <v>37.901920143925501</v>
      </c>
      <c r="F457" s="64">
        <v>388</v>
      </c>
      <c r="G457" s="40">
        <v>739.95645832636569</v>
      </c>
    </row>
    <row r="458" spans="2:7" x14ac:dyDescent="0.3">
      <c r="B458" s="64">
        <v>389</v>
      </c>
      <c r="C458" s="40">
        <v>902.15363602708874</v>
      </c>
      <c r="D458" s="64">
        <v>389</v>
      </c>
      <c r="E458" s="40">
        <v>28.507004547033382</v>
      </c>
      <c r="F458" s="64">
        <v>389</v>
      </c>
      <c r="G458" s="40">
        <v>1108.4616376574081</v>
      </c>
    </row>
    <row r="459" spans="2:7" x14ac:dyDescent="0.3">
      <c r="B459" s="64">
        <v>390</v>
      </c>
      <c r="C459" s="40">
        <v>847.35908967541525</v>
      </c>
      <c r="D459" s="64">
        <v>390</v>
      </c>
      <c r="E459" s="40">
        <v>-26.479513524250354</v>
      </c>
      <c r="F459" s="64">
        <v>390</v>
      </c>
      <c r="G459" s="40">
        <v>910.26702082533052</v>
      </c>
    </row>
    <row r="460" spans="2:7" x14ac:dyDescent="0.3">
      <c r="B460" s="64">
        <v>391</v>
      </c>
      <c r="C460" s="40">
        <v>497.59182557485354</v>
      </c>
      <c r="D460" s="64">
        <v>391</v>
      </c>
      <c r="E460" s="40">
        <v>-9.4181876764080705</v>
      </c>
      <c r="F460" s="64">
        <v>391</v>
      </c>
      <c r="G460" s="40">
        <v>1149.8486690369275</v>
      </c>
    </row>
    <row r="461" spans="2:7" x14ac:dyDescent="0.3">
      <c r="B461" s="64">
        <v>392</v>
      </c>
      <c r="C461" s="40">
        <v>641.097524380609</v>
      </c>
      <c r="D461" s="64">
        <v>392</v>
      </c>
      <c r="E461" s="40">
        <v>13.127640608970339</v>
      </c>
      <c r="F461" s="64">
        <v>392</v>
      </c>
      <c r="G461" s="40">
        <v>449.02802757845893</v>
      </c>
    </row>
    <row r="462" spans="2:7" x14ac:dyDescent="0.3">
      <c r="B462" s="64">
        <v>393</v>
      </c>
      <c r="C462" s="40">
        <v>1093.0913717983028</v>
      </c>
      <c r="D462" s="64">
        <v>393</v>
      </c>
      <c r="E462" s="40">
        <v>5.2972743759519378</v>
      </c>
      <c r="F462" s="64">
        <v>393</v>
      </c>
      <c r="G462" s="40">
        <v>984.22661692905297</v>
      </c>
    </row>
    <row r="463" spans="2:7" x14ac:dyDescent="0.3">
      <c r="B463" s="64">
        <v>394</v>
      </c>
      <c r="C463" s="40">
        <v>602.1565149039709</v>
      </c>
      <c r="D463" s="64">
        <v>394</v>
      </c>
      <c r="E463" s="40">
        <v>58.075005325639495</v>
      </c>
      <c r="F463" s="64">
        <v>394</v>
      </c>
      <c r="G463" s="40">
        <v>911.59820802516606</v>
      </c>
    </row>
    <row r="464" spans="2:7" x14ac:dyDescent="0.3">
      <c r="B464" s="64">
        <v>395</v>
      </c>
      <c r="C464" s="40">
        <v>1555.5231642548915</v>
      </c>
      <c r="D464" s="64">
        <v>395</v>
      </c>
      <c r="E464" s="40">
        <v>-17.654485486690326</v>
      </c>
      <c r="F464" s="64">
        <v>395</v>
      </c>
      <c r="G464" s="40">
        <v>707.69483571124465</v>
      </c>
    </row>
    <row r="465" spans="2:7" x14ac:dyDescent="0.3">
      <c r="B465" s="64">
        <v>396</v>
      </c>
      <c r="C465" s="40">
        <v>712.63223696712043</v>
      </c>
      <c r="D465" s="64">
        <v>396</v>
      </c>
      <c r="E465" s="40">
        <v>-16.511939554315983</v>
      </c>
      <c r="F465" s="64">
        <v>396</v>
      </c>
      <c r="G465" s="40">
        <v>909.1647892342238</v>
      </c>
    </row>
    <row r="466" spans="2:7" x14ac:dyDescent="0.3">
      <c r="B466" s="64">
        <v>397</v>
      </c>
      <c r="C466" s="40">
        <v>595.09181668149654</v>
      </c>
      <c r="D466" s="64">
        <v>397</v>
      </c>
      <c r="E466" s="40">
        <v>-23.418025181648392</v>
      </c>
      <c r="F466" s="64">
        <v>397</v>
      </c>
      <c r="G466" s="40">
        <v>1580.0918780530296</v>
      </c>
    </row>
    <row r="467" spans="2:7" x14ac:dyDescent="0.3">
      <c r="B467" s="64">
        <v>398</v>
      </c>
      <c r="C467" s="40">
        <v>946.65672161300733</v>
      </c>
      <c r="D467" s="64">
        <v>398</v>
      </c>
      <c r="E467" s="40">
        <v>5.2212313314173997</v>
      </c>
      <c r="F467" s="64">
        <v>398</v>
      </c>
      <c r="G467" s="40">
        <v>1074.6261805116706</v>
      </c>
    </row>
    <row r="468" spans="2:7" x14ac:dyDescent="0.3">
      <c r="B468" s="64">
        <v>399</v>
      </c>
      <c r="C468" s="40">
        <v>1635.1914075185812</v>
      </c>
      <c r="D468" s="64">
        <v>399</v>
      </c>
      <c r="E468" s="40">
        <v>40.18600395597187</v>
      </c>
      <c r="F468" s="64">
        <v>399</v>
      </c>
      <c r="G468" s="40">
        <v>679.90240736114959</v>
      </c>
    </row>
    <row r="469" spans="2:7" x14ac:dyDescent="0.3">
      <c r="B469" s="64">
        <v>400</v>
      </c>
      <c r="C469" s="40">
        <v>1123.4780365701019</v>
      </c>
      <c r="D469" s="64">
        <v>400</v>
      </c>
      <c r="E469" s="40">
        <v>11.900600992678001</v>
      </c>
      <c r="F469" s="64">
        <v>400</v>
      </c>
      <c r="G469" s="40">
        <v>1207.058493563972</v>
      </c>
    </row>
    <row r="470" spans="2:7" x14ac:dyDescent="0.3">
      <c r="B470" s="64">
        <v>401</v>
      </c>
      <c r="C470" s="40">
        <v>1613.790634087944</v>
      </c>
      <c r="D470" s="64">
        <v>401</v>
      </c>
      <c r="E470" s="40">
        <v>-10.510702011408039</v>
      </c>
      <c r="F470" s="64">
        <v>401</v>
      </c>
      <c r="G470" s="40">
        <v>1059.0404253245758</v>
      </c>
    </row>
    <row r="471" spans="2:7" x14ac:dyDescent="0.3">
      <c r="B471" s="64">
        <v>402</v>
      </c>
      <c r="C471" s="40">
        <v>907.00868811180226</v>
      </c>
      <c r="D471" s="64">
        <v>402</v>
      </c>
      <c r="E471" s="40">
        <v>-4.8926158926611665</v>
      </c>
      <c r="F471" s="64">
        <v>402</v>
      </c>
      <c r="G471" s="40">
        <v>894.87100026727717</v>
      </c>
    </row>
    <row r="472" spans="2:7" x14ac:dyDescent="0.3">
      <c r="B472" s="64">
        <v>403</v>
      </c>
      <c r="C472" s="40">
        <v>1486.3667998804467</v>
      </c>
      <c r="D472" s="64">
        <v>403</v>
      </c>
      <c r="E472" s="40">
        <v>5.6207783510343123</v>
      </c>
      <c r="F472" s="64">
        <v>403</v>
      </c>
      <c r="G472" s="40">
        <v>1039.1067854755108</v>
      </c>
    </row>
    <row r="473" spans="2:7" x14ac:dyDescent="0.3">
      <c r="B473" s="64">
        <v>404</v>
      </c>
      <c r="C473" s="40">
        <v>935.43823965866466</v>
      </c>
      <c r="D473" s="64">
        <v>404</v>
      </c>
      <c r="E473" s="40">
        <v>-20.471351009668776</v>
      </c>
      <c r="F473" s="64">
        <v>404</v>
      </c>
      <c r="G473" s="40">
        <v>1249.3626236850941</v>
      </c>
    </row>
    <row r="474" spans="2:7" x14ac:dyDescent="0.3">
      <c r="B474" s="64">
        <v>405</v>
      </c>
      <c r="C474" s="40">
        <v>786.15388574363828</v>
      </c>
      <c r="D474" s="64">
        <v>405</v>
      </c>
      <c r="E474" s="40">
        <v>38.621897531012436</v>
      </c>
      <c r="F474" s="64">
        <v>405</v>
      </c>
      <c r="G474" s="40">
        <v>597.69358298506961</v>
      </c>
    </row>
    <row r="475" spans="2:7" x14ac:dyDescent="0.3">
      <c r="B475" s="64">
        <v>406</v>
      </c>
      <c r="C475" s="40">
        <v>939.50966338682554</v>
      </c>
      <c r="D475" s="64">
        <v>406</v>
      </c>
      <c r="E475" s="40">
        <v>15.553144393371344</v>
      </c>
      <c r="F475" s="64">
        <v>406</v>
      </c>
      <c r="G475" s="40">
        <v>781.59560098162683</v>
      </c>
    </row>
    <row r="476" spans="2:7" x14ac:dyDescent="0.3">
      <c r="B476" s="64">
        <v>407</v>
      </c>
      <c r="C476" s="40">
        <v>434.66746857565931</v>
      </c>
      <c r="D476" s="64">
        <v>407</v>
      </c>
      <c r="E476" s="40">
        <v>-12.428835221059146</v>
      </c>
      <c r="F476" s="64">
        <v>407</v>
      </c>
      <c r="G476" s="40">
        <v>897.57971070468352</v>
      </c>
    </row>
    <row r="477" spans="2:7" x14ac:dyDescent="0.3">
      <c r="B477" s="64">
        <v>408</v>
      </c>
      <c r="C477" s="40">
        <v>638.90907287071764</v>
      </c>
      <c r="D477" s="64">
        <v>408</v>
      </c>
      <c r="E477" s="40">
        <v>-61.285180687140176</v>
      </c>
      <c r="F477" s="64">
        <v>408</v>
      </c>
      <c r="G477" s="40">
        <v>1462.7277041396596</v>
      </c>
    </row>
    <row r="478" spans="2:7" x14ac:dyDescent="0.3">
      <c r="B478" s="64">
        <v>409</v>
      </c>
      <c r="C478" s="40">
        <v>1266.7979962452257</v>
      </c>
      <c r="D478" s="64">
        <v>409</v>
      </c>
      <c r="E478" s="40">
        <v>-24.367409018300453</v>
      </c>
      <c r="F478" s="64">
        <v>409</v>
      </c>
      <c r="G478" s="40">
        <v>590.50442099026623</v>
      </c>
    </row>
    <row r="479" spans="2:7" x14ac:dyDescent="0.3">
      <c r="B479" s="64">
        <v>410</v>
      </c>
      <c r="C479" s="40">
        <v>1290.9040713127517</v>
      </c>
      <c r="D479" s="64">
        <v>410</v>
      </c>
      <c r="E479" s="40">
        <v>20.561928588523831</v>
      </c>
      <c r="F479" s="64">
        <v>410</v>
      </c>
      <c r="G479" s="40">
        <v>899.86036064937866</v>
      </c>
    </row>
    <row r="480" spans="2:7" x14ac:dyDescent="0.3">
      <c r="B480" s="64">
        <v>411</v>
      </c>
      <c r="C480" s="40">
        <v>1644.2710102042674</v>
      </c>
      <c r="D480" s="64">
        <v>411</v>
      </c>
      <c r="E480" s="40">
        <v>8.1955996363069357</v>
      </c>
      <c r="F480" s="64">
        <v>411</v>
      </c>
      <c r="G480" s="40">
        <v>569.05883075509462</v>
      </c>
    </row>
    <row r="481" spans="2:7" x14ac:dyDescent="0.3">
      <c r="B481" s="64">
        <v>412</v>
      </c>
      <c r="C481" s="40">
        <v>1064.8666588661724</v>
      </c>
      <c r="D481" s="64">
        <v>412</v>
      </c>
      <c r="E481" s="40">
        <v>20.32936193952073</v>
      </c>
      <c r="F481" s="64">
        <v>412</v>
      </c>
      <c r="G481" s="40">
        <v>1064.5417633446541</v>
      </c>
    </row>
    <row r="482" spans="2:7" x14ac:dyDescent="0.3">
      <c r="B482" s="64">
        <v>413</v>
      </c>
      <c r="C482" s="40">
        <v>953.27885350228212</v>
      </c>
      <c r="D482" s="64">
        <v>413</v>
      </c>
      <c r="E482" s="40">
        <v>-8.2420724584088827</v>
      </c>
      <c r="F482" s="64">
        <v>413</v>
      </c>
      <c r="G482" s="40">
        <v>819.04154335928718</v>
      </c>
    </row>
    <row r="483" spans="2:7" x14ac:dyDescent="0.3">
      <c r="B483" s="64">
        <v>414</v>
      </c>
      <c r="C483" s="40">
        <v>1062.3550403258548</v>
      </c>
      <c r="D483" s="64">
        <v>414</v>
      </c>
      <c r="E483" s="40">
        <v>14.890959134019377</v>
      </c>
      <c r="F483" s="64">
        <v>414</v>
      </c>
      <c r="G483" s="40">
        <v>893.4865469029213</v>
      </c>
    </row>
    <row r="484" spans="2:7" x14ac:dyDescent="0.3">
      <c r="B484" s="64">
        <v>415</v>
      </c>
      <c r="C484" s="40">
        <v>774.01555883183471</v>
      </c>
      <c r="D484" s="64">
        <v>415</v>
      </c>
      <c r="E484" s="40">
        <v>-35.996181569885117</v>
      </c>
      <c r="F484" s="64">
        <v>415</v>
      </c>
      <c r="G484" s="40">
        <v>935.12780843565849</v>
      </c>
    </row>
    <row r="485" spans="2:7" x14ac:dyDescent="0.3">
      <c r="B485" s="64">
        <v>416</v>
      </c>
      <c r="C485" s="40">
        <v>922.95466496897529</v>
      </c>
      <c r="D485" s="64">
        <v>416</v>
      </c>
      <c r="E485" s="40">
        <v>2.9435062681407946</v>
      </c>
      <c r="F485" s="64">
        <v>416</v>
      </c>
      <c r="G485" s="40">
        <v>1242.0595188088021</v>
      </c>
    </row>
    <row r="486" spans="2:7" x14ac:dyDescent="0.3">
      <c r="B486" s="64">
        <v>417</v>
      </c>
      <c r="C486" s="40">
        <v>1415.8560952630698</v>
      </c>
      <c r="D486" s="64">
        <v>417</v>
      </c>
      <c r="E486" s="40">
        <v>17.200760052615315</v>
      </c>
      <c r="F486" s="64">
        <v>417</v>
      </c>
      <c r="G486" s="40">
        <v>1378.9049088716042</v>
      </c>
    </row>
    <row r="487" spans="2:7" x14ac:dyDescent="0.3">
      <c r="B487" s="64">
        <v>418</v>
      </c>
      <c r="C487" s="40">
        <v>903.88596760507369</v>
      </c>
      <c r="D487" s="64">
        <v>418</v>
      </c>
      <c r="E487" s="40">
        <v>-40.229870275287645</v>
      </c>
      <c r="F487" s="64">
        <v>418</v>
      </c>
      <c r="G487" s="40">
        <v>1153.7400448109131</v>
      </c>
    </row>
    <row r="488" spans="2:7" x14ac:dyDescent="0.3">
      <c r="B488" s="64">
        <v>419</v>
      </c>
      <c r="C488" s="40">
        <v>916.48304761740633</v>
      </c>
      <c r="D488" s="64">
        <v>419</v>
      </c>
      <c r="E488" s="40">
        <v>19.38850513792125</v>
      </c>
      <c r="F488" s="64">
        <v>419</v>
      </c>
      <c r="G488" s="40">
        <v>656.47543511899926</v>
      </c>
    </row>
    <row r="489" spans="2:7" x14ac:dyDescent="0.3">
      <c r="B489" s="64">
        <v>420</v>
      </c>
      <c r="C489" s="40">
        <v>611.39745335984287</v>
      </c>
      <c r="D489" s="64">
        <v>420</v>
      </c>
      <c r="E489" s="40">
        <v>8.8915586783560929</v>
      </c>
      <c r="F489" s="64">
        <v>420</v>
      </c>
      <c r="G489" s="40">
        <v>1548.7852214147506</v>
      </c>
    </row>
    <row r="490" spans="2:7" x14ac:dyDescent="0.3">
      <c r="B490" s="64">
        <v>421</v>
      </c>
      <c r="C490" s="40">
        <v>682.10922142922607</v>
      </c>
      <c r="D490" s="64">
        <v>421</v>
      </c>
      <c r="E490" s="40">
        <v>13.914996226918991</v>
      </c>
      <c r="F490" s="64">
        <v>421</v>
      </c>
      <c r="G490" s="40">
        <v>1409.6782206043795</v>
      </c>
    </row>
    <row r="491" spans="2:7" x14ac:dyDescent="0.3">
      <c r="B491" s="64">
        <v>422</v>
      </c>
      <c r="C491" s="40">
        <v>493.44999543159827</v>
      </c>
      <c r="D491" s="64">
        <v>422</v>
      </c>
      <c r="E491" s="40">
        <v>6.5843748022497568</v>
      </c>
      <c r="F491" s="64">
        <v>422</v>
      </c>
      <c r="G491" s="40">
        <v>529.47360662783353</v>
      </c>
    </row>
    <row r="492" spans="2:7" x14ac:dyDescent="0.3">
      <c r="B492" s="64">
        <v>423</v>
      </c>
      <c r="C492" s="40">
        <v>733.70792780939632</v>
      </c>
      <c r="D492" s="64">
        <v>423</v>
      </c>
      <c r="E492" s="40">
        <v>10.98890324465869</v>
      </c>
      <c r="F492" s="64">
        <v>423</v>
      </c>
      <c r="G492" s="40">
        <v>1167.1911536893272</v>
      </c>
    </row>
    <row r="493" spans="2:7" x14ac:dyDescent="0.3">
      <c r="B493" s="64">
        <v>424</v>
      </c>
      <c r="C493" s="40">
        <v>1163.1299806541342</v>
      </c>
      <c r="D493" s="64">
        <v>424</v>
      </c>
      <c r="E493" s="40">
        <v>14.334765753096741</v>
      </c>
      <c r="F493" s="64">
        <v>424</v>
      </c>
      <c r="G493" s="40">
        <v>854.54622595975547</v>
      </c>
    </row>
    <row r="494" spans="2:7" x14ac:dyDescent="0.3">
      <c r="B494" s="64">
        <v>425</v>
      </c>
      <c r="C494" s="40">
        <v>1244.0634883246589</v>
      </c>
      <c r="D494" s="64">
        <v>425</v>
      </c>
      <c r="E494" s="40">
        <v>12.029530909734566</v>
      </c>
      <c r="F494" s="64">
        <v>425</v>
      </c>
      <c r="G494" s="40">
        <v>636.51626619527929</v>
      </c>
    </row>
    <row r="495" spans="2:7" x14ac:dyDescent="0.3">
      <c r="B495" s="64">
        <v>426</v>
      </c>
      <c r="C495" s="40">
        <v>1218.4617463260679</v>
      </c>
      <c r="D495" s="64">
        <v>426</v>
      </c>
      <c r="E495" s="40">
        <v>-2.9986897293393624</v>
      </c>
      <c r="F495" s="64">
        <v>426</v>
      </c>
      <c r="G495" s="40">
        <v>950.86649917398859</v>
      </c>
    </row>
    <row r="496" spans="2:7" x14ac:dyDescent="0.3">
      <c r="B496" s="64">
        <v>427</v>
      </c>
      <c r="C496" s="40">
        <v>545.55097321949813</v>
      </c>
      <c r="D496" s="64">
        <v>427</v>
      </c>
      <c r="E496" s="40">
        <v>-26.186546127978879</v>
      </c>
      <c r="F496" s="64">
        <v>427</v>
      </c>
      <c r="G496" s="40">
        <v>1565.6273523433663</v>
      </c>
    </row>
    <row r="497" spans="2:7" x14ac:dyDescent="0.3">
      <c r="B497" s="64">
        <v>428</v>
      </c>
      <c r="C497" s="40">
        <v>687.34151804862984</v>
      </c>
      <c r="D497" s="64">
        <v>428</v>
      </c>
      <c r="E497" s="40">
        <v>-6.0387994980768687</v>
      </c>
      <c r="F497" s="64">
        <v>428</v>
      </c>
      <c r="G497" s="40">
        <v>878.74868884889145</v>
      </c>
    </row>
    <row r="498" spans="2:7" x14ac:dyDescent="0.3">
      <c r="B498" s="64">
        <v>429</v>
      </c>
      <c r="C498" s="40">
        <v>783.43979949144557</v>
      </c>
      <c r="D498" s="64">
        <v>429</v>
      </c>
      <c r="E498" s="40">
        <v>-24.259285323805575</v>
      </c>
      <c r="F498" s="64">
        <v>429</v>
      </c>
      <c r="G498" s="40">
        <v>1270.4197764332105</v>
      </c>
    </row>
    <row r="499" spans="2:7" x14ac:dyDescent="0.3">
      <c r="B499" s="64">
        <v>430</v>
      </c>
      <c r="C499" s="40">
        <v>820.12699775244107</v>
      </c>
      <c r="D499" s="64">
        <v>430</v>
      </c>
      <c r="E499" s="40">
        <v>1.9625030488686357</v>
      </c>
      <c r="F499" s="64">
        <v>430</v>
      </c>
      <c r="G499" s="40">
        <v>1383.2161832397744</v>
      </c>
    </row>
    <row r="500" spans="2:7" x14ac:dyDescent="0.3">
      <c r="B500" s="64">
        <v>431</v>
      </c>
      <c r="C500" s="40">
        <v>810.92284845096628</v>
      </c>
      <c r="D500" s="64">
        <v>431</v>
      </c>
      <c r="E500" s="40">
        <v>12.161345908372596</v>
      </c>
      <c r="F500" s="64">
        <v>431</v>
      </c>
      <c r="G500" s="40">
        <v>1176.3655432524279</v>
      </c>
    </row>
    <row r="501" spans="2:7" x14ac:dyDescent="0.3">
      <c r="B501" s="64">
        <v>432</v>
      </c>
      <c r="C501" s="40">
        <v>1187.4734006221204</v>
      </c>
      <c r="D501" s="64">
        <v>432</v>
      </c>
      <c r="E501" s="40">
        <v>9.9652713453807014</v>
      </c>
      <c r="F501" s="64">
        <v>432</v>
      </c>
      <c r="G501" s="40">
        <v>1162.87523399325</v>
      </c>
    </row>
    <row r="502" spans="2:7" x14ac:dyDescent="0.3">
      <c r="B502" s="64">
        <v>433</v>
      </c>
      <c r="C502" s="40">
        <v>467.74606550211792</v>
      </c>
      <c r="D502" s="64">
        <v>433</v>
      </c>
      <c r="E502" s="40">
        <v>4.6178002531516658</v>
      </c>
      <c r="F502" s="64">
        <v>433</v>
      </c>
      <c r="G502" s="40">
        <v>810.14063504152568</v>
      </c>
    </row>
    <row r="503" spans="2:7" x14ac:dyDescent="0.3">
      <c r="B503" s="64">
        <v>434</v>
      </c>
      <c r="C503" s="40">
        <v>1647.752769938641</v>
      </c>
      <c r="D503" s="64">
        <v>434</v>
      </c>
      <c r="E503" s="40">
        <v>20.092322652834991</v>
      </c>
      <c r="F503" s="64">
        <v>434</v>
      </c>
      <c r="G503" s="40">
        <v>1032.175473849293</v>
      </c>
    </row>
    <row r="504" spans="2:7" x14ac:dyDescent="0.3">
      <c r="B504" s="64">
        <v>435</v>
      </c>
      <c r="C504" s="40">
        <v>1093.3216529786155</v>
      </c>
      <c r="D504" s="64">
        <v>435</v>
      </c>
      <c r="E504" s="40">
        <v>16.94835651892355</v>
      </c>
      <c r="F504" s="64">
        <v>435</v>
      </c>
      <c r="G504" s="40">
        <v>922.59389854097594</v>
      </c>
    </row>
    <row r="505" spans="2:7" x14ac:dyDescent="0.3">
      <c r="B505" s="64">
        <v>436</v>
      </c>
      <c r="C505" s="40">
        <v>890.67845896504912</v>
      </c>
      <c r="D505" s="64">
        <v>436</v>
      </c>
      <c r="E505" s="40">
        <v>25.613843239396893</v>
      </c>
      <c r="F505" s="64">
        <v>436</v>
      </c>
      <c r="G505" s="40">
        <v>679.62277939307523</v>
      </c>
    </row>
    <row r="506" spans="2:7" x14ac:dyDescent="0.3">
      <c r="B506" s="64">
        <v>437</v>
      </c>
      <c r="C506" s="40">
        <v>1153.4122163871982</v>
      </c>
      <c r="D506" s="64">
        <v>437</v>
      </c>
      <c r="E506" s="40">
        <v>13.761471219814506</v>
      </c>
      <c r="F506" s="64">
        <v>437</v>
      </c>
      <c r="G506" s="40">
        <v>726.58024916160798</v>
      </c>
    </row>
    <row r="507" spans="2:7" x14ac:dyDescent="0.3">
      <c r="B507" s="64">
        <v>438</v>
      </c>
      <c r="C507" s="40">
        <v>474.80357360705403</v>
      </c>
      <c r="D507" s="64">
        <v>438</v>
      </c>
      <c r="E507" s="40">
        <v>13.664939493104313</v>
      </c>
      <c r="F507" s="64">
        <v>438</v>
      </c>
      <c r="G507" s="40">
        <v>903.14462317453422</v>
      </c>
    </row>
    <row r="508" spans="2:7" x14ac:dyDescent="0.3">
      <c r="B508" s="64">
        <v>439</v>
      </c>
      <c r="C508" s="40">
        <v>1408.1874201499536</v>
      </c>
      <c r="D508" s="64">
        <v>439</v>
      </c>
      <c r="E508" s="40">
        <v>0.21428712418819867</v>
      </c>
      <c r="F508" s="64">
        <v>439</v>
      </c>
      <c r="G508" s="40">
        <v>1029.9715040238484</v>
      </c>
    </row>
    <row r="509" spans="2:7" x14ac:dyDescent="0.3">
      <c r="B509" s="64">
        <v>440</v>
      </c>
      <c r="C509" s="40">
        <v>710.51893960925804</v>
      </c>
      <c r="D509" s="64">
        <v>440</v>
      </c>
      <c r="E509" s="40">
        <v>7.5953886343937755</v>
      </c>
      <c r="F509" s="64">
        <v>440</v>
      </c>
      <c r="G509" s="40">
        <v>737.78586840745015</v>
      </c>
    </row>
    <row r="510" spans="2:7" x14ac:dyDescent="0.3">
      <c r="B510" s="64">
        <v>441</v>
      </c>
      <c r="C510" s="40">
        <v>699.42801847201349</v>
      </c>
      <c r="D510" s="64">
        <v>441</v>
      </c>
      <c r="E510" s="40">
        <v>62.297258025642215</v>
      </c>
      <c r="F510" s="64">
        <v>441</v>
      </c>
      <c r="G510" s="40">
        <v>880.89822118395239</v>
      </c>
    </row>
    <row r="511" spans="2:7" x14ac:dyDescent="0.3">
      <c r="B511" s="64">
        <v>442</v>
      </c>
      <c r="C511" s="40">
        <v>1387.268774885581</v>
      </c>
      <c r="D511" s="64">
        <v>442</v>
      </c>
      <c r="E511" s="40">
        <v>28.003260030771749</v>
      </c>
      <c r="F511" s="64">
        <v>442</v>
      </c>
      <c r="G511" s="40">
        <v>1313.1731833183371</v>
      </c>
    </row>
    <row r="512" spans="2:7" x14ac:dyDescent="0.3">
      <c r="B512" s="64">
        <v>443</v>
      </c>
      <c r="C512" s="40">
        <v>1408.9718151999593</v>
      </c>
      <c r="D512" s="64">
        <v>443</v>
      </c>
      <c r="E512" s="40">
        <v>-17.637182685382491</v>
      </c>
      <c r="F512" s="64">
        <v>443</v>
      </c>
      <c r="G512" s="40">
        <v>1058.0856626628233</v>
      </c>
    </row>
    <row r="513" spans="2:7" x14ac:dyDescent="0.3">
      <c r="B513" s="64">
        <v>444</v>
      </c>
      <c r="C513" s="40">
        <v>1075.7865823913262</v>
      </c>
      <c r="D513" s="64">
        <v>444</v>
      </c>
      <c r="E513" s="40">
        <v>-49.153534049861697</v>
      </c>
      <c r="F513" s="64">
        <v>444</v>
      </c>
      <c r="G513" s="40">
        <v>445.47915552990207</v>
      </c>
    </row>
    <row r="514" spans="2:7" x14ac:dyDescent="0.3">
      <c r="B514" s="64">
        <v>445</v>
      </c>
      <c r="C514" s="40">
        <v>1071.2047494297613</v>
      </c>
      <c r="D514" s="64">
        <v>445</v>
      </c>
      <c r="E514" s="40">
        <v>-10.809020546303099</v>
      </c>
      <c r="F514" s="64">
        <v>445</v>
      </c>
      <c r="G514" s="40">
        <v>988.74497250201216</v>
      </c>
    </row>
    <row r="515" spans="2:7" x14ac:dyDescent="0.3">
      <c r="B515" s="64">
        <v>446</v>
      </c>
      <c r="C515" s="40">
        <v>1231.6564297561265</v>
      </c>
      <c r="D515" s="64">
        <v>446</v>
      </c>
      <c r="E515" s="40">
        <v>5.407424237166663</v>
      </c>
      <c r="F515" s="64">
        <v>446</v>
      </c>
      <c r="G515" s="40">
        <v>1030.540458699792</v>
      </c>
    </row>
    <row r="516" spans="2:7" x14ac:dyDescent="0.3">
      <c r="B516" s="64">
        <v>447</v>
      </c>
      <c r="C516" s="40">
        <v>1062.1180737300731</v>
      </c>
      <c r="D516" s="64">
        <v>447</v>
      </c>
      <c r="E516" s="40">
        <v>-27.100209068843334</v>
      </c>
      <c r="F516" s="64">
        <v>447</v>
      </c>
      <c r="G516" s="40">
        <v>1136.0937921670741</v>
      </c>
    </row>
    <row r="517" spans="2:7" x14ac:dyDescent="0.3">
      <c r="B517" s="64">
        <v>448</v>
      </c>
      <c r="C517" s="40">
        <v>95.012892103352044</v>
      </c>
      <c r="D517" s="64">
        <v>448</v>
      </c>
      <c r="E517" s="40">
        <v>14.663618360188059</v>
      </c>
      <c r="F517" s="64">
        <v>448</v>
      </c>
      <c r="G517" s="40">
        <v>909.87050680386471</v>
      </c>
    </row>
    <row r="518" spans="2:7" x14ac:dyDescent="0.3">
      <c r="B518" s="64">
        <v>449</v>
      </c>
      <c r="C518" s="40">
        <v>684.74835776233601</v>
      </c>
      <c r="D518" s="64">
        <v>449</v>
      </c>
      <c r="E518" s="40">
        <v>45.129433126707781</v>
      </c>
      <c r="F518" s="64">
        <v>449</v>
      </c>
      <c r="G518" s="40">
        <v>569.73241941447645</v>
      </c>
    </row>
    <row r="519" spans="2:7" x14ac:dyDescent="0.3">
      <c r="B519" s="64">
        <v>450</v>
      </c>
      <c r="C519" s="40">
        <v>677.67292440004826</v>
      </c>
      <c r="D519" s="64">
        <v>450</v>
      </c>
      <c r="E519" s="40">
        <v>-14.39974473634202</v>
      </c>
      <c r="F519" s="64">
        <v>450</v>
      </c>
      <c r="G519" s="40">
        <v>570.37972780190216</v>
      </c>
    </row>
    <row r="520" spans="2:7" x14ac:dyDescent="0.3">
      <c r="B520" s="64">
        <v>451</v>
      </c>
      <c r="C520" s="40">
        <v>1137.2077173200157</v>
      </c>
      <c r="D520" s="64">
        <v>451</v>
      </c>
      <c r="E520" s="40">
        <v>22.061060536666982</v>
      </c>
      <c r="F520" s="64">
        <v>451</v>
      </c>
      <c r="G520" s="40">
        <v>1377.8733908077966</v>
      </c>
    </row>
    <row r="521" spans="2:7" x14ac:dyDescent="0.3">
      <c r="B521" s="64">
        <v>452</v>
      </c>
      <c r="C521" s="40">
        <v>573.40624744129741</v>
      </c>
      <c r="D521" s="64">
        <v>452</v>
      </c>
      <c r="E521" s="40">
        <v>-39.138581161948323</v>
      </c>
      <c r="F521" s="64">
        <v>452</v>
      </c>
      <c r="G521" s="40">
        <v>744.96016569125618</v>
      </c>
    </row>
    <row r="522" spans="2:7" x14ac:dyDescent="0.3">
      <c r="B522" s="64">
        <v>453</v>
      </c>
      <c r="C522" s="40">
        <v>565.86459275139191</v>
      </c>
      <c r="D522" s="64">
        <v>453</v>
      </c>
      <c r="E522" s="40">
        <v>31.732716841801086</v>
      </c>
      <c r="F522" s="64">
        <v>453</v>
      </c>
      <c r="G522" s="40">
        <v>803.7985209988999</v>
      </c>
    </row>
    <row r="523" spans="2:7" x14ac:dyDescent="0.3">
      <c r="B523" s="64">
        <v>454</v>
      </c>
      <c r="C523" s="40">
        <v>847.78450314812926</v>
      </c>
      <c r="D523" s="64">
        <v>454</v>
      </c>
      <c r="E523" s="40">
        <v>4.8353429119441724</v>
      </c>
      <c r="F523" s="64">
        <v>454</v>
      </c>
      <c r="G523" s="40">
        <v>1095.8997683969078</v>
      </c>
    </row>
    <row r="524" spans="2:7" x14ac:dyDescent="0.3">
      <c r="B524" s="64">
        <v>455</v>
      </c>
      <c r="C524" s="40">
        <v>1179.2922322784227</v>
      </c>
      <c r="D524" s="64">
        <v>455</v>
      </c>
      <c r="E524" s="40">
        <v>-23.557100318218108</v>
      </c>
      <c r="F524" s="64">
        <v>455</v>
      </c>
      <c r="G524" s="40">
        <v>901.95768901271219</v>
      </c>
    </row>
    <row r="525" spans="2:7" x14ac:dyDescent="0.3">
      <c r="B525" s="64">
        <v>456</v>
      </c>
      <c r="C525" s="40">
        <v>1023.7827484106405</v>
      </c>
      <c r="D525" s="64">
        <v>456</v>
      </c>
      <c r="E525" s="40">
        <v>2.2024466668040734</v>
      </c>
      <c r="F525" s="64">
        <v>456</v>
      </c>
      <c r="G525" s="40">
        <v>904.01908496334488</v>
      </c>
    </row>
    <row r="526" spans="2:7" x14ac:dyDescent="0.3">
      <c r="B526" s="64">
        <v>457</v>
      </c>
      <c r="C526" s="40">
        <v>1167.4582707264215</v>
      </c>
      <c r="D526" s="64">
        <v>457</v>
      </c>
      <c r="E526" s="40">
        <v>0.18331730184195877</v>
      </c>
      <c r="F526" s="64">
        <v>457</v>
      </c>
      <c r="G526" s="40">
        <v>933.69372713628945</v>
      </c>
    </row>
    <row r="527" spans="2:7" x14ac:dyDescent="0.3">
      <c r="B527" s="64">
        <v>458</v>
      </c>
      <c r="C527" s="40">
        <v>811.99561211304842</v>
      </c>
      <c r="D527" s="64">
        <v>458</v>
      </c>
      <c r="E527" s="40">
        <v>41.739931747187924</v>
      </c>
      <c r="F527" s="64">
        <v>458</v>
      </c>
      <c r="G527" s="40">
        <v>1152.4025778784392</v>
      </c>
    </row>
    <row r="528" spans="2:7" x14ac:dyDescent="0.3">
      <c r="B528" s="64">
        <v>459</v>
      </c>
      <c r="C528" s="40">
        <v>136.95461272985935</v>
      </c>
      <c r="D528" s="64">
        <v>459</v>
      </c>
      <c r="E528" s="40">
        <v>27.825580585121237</v>
      </c>
      <c r="F528" s="64">
        <v>459</v>
      </c>
      <c r="G528" s="40">
        <v>855.81885563124433</v>
      </c>
    </row>
    <row r="529" spans="2:7" x14ac:dyDescent="0.3">
      <c r="B529" s="64">
        <v>460</v>
      </c>
      <c r="C529" s="40">
        <v>1212.566947213646</v>
      </c>
      <c r="D529" s="64">
        <v>460</v>
      </c>
      <c r="E529" s="40">
        <v>15.642497690276201</v>
      </c>
      <c r="F529" s="64">
        <v>460</v>
      </c>
      <c r="G529" s="40">
        <v>1504.8193439553022</v>
      </c>
    </row>
    <row r="530" spans="2:7" x14ac:dyDescent="0.3">
      <c r="B530" s="64">
        <v>461</v>
      </c>
      <c r="C530" s="40">
        <v>880.17684751702325</v>
      </c>
      <c r="D530" s="64">
        <v>461</v>
      </c>
      <c r="E530" s="40">
        <v>-12.20433640261265</v>
      </c>
      <c r="F530" s="64">
        <v>461</v>
      </c>
      <c r="G530" s="40">
        <v>388.11674087484124</v>
      </c>
    </row>
    <row r="531" spans="2:7" x14ac:dyDescent="0.3">
      <c r="B531" s="64">
        <v>462</v>
      </c>
      <c r="C531" s="40">
        <v>442.47775623146055</v>
      </c>
      <c r="D531" s="64">
        <v>462</v>
      </c>
      <c r="E531" s="40">
        <v>6.6749666205858205</v>
      </c>
      <c r="F531" s="64">
        <v>462</v>
      </c>
      <c r="G531" s="40">
        <v>1085.1550460200258</v>
      </c>
    </row>
    <row r="532" spans="2:7" x14ac:dyDescent="0.3">
      <c r="B532" s="64">
        <v>463</v>
      </c>
      <c r="C532" s="40">
        <v>484.67446164156343</v>
      </c>
      <c r="D532" s="64">
        <v>463</v>
      </c>
      <c r="E532" s="40">
        <v>-11.040949092649154</v>
      </c>
      <c r="F532" s="64">
        <v>463</v>
      </c>
      <c r="G532" s="40">
        <v>715.4104403840081</v>
      </c>
    </row>
    <row r="533" spans="2:7" x14ac:dyDescent="0.3">
      <c r="B533" s="64">
        <v>464</v>
      </c>
      <c r="C533" s="40">
        <v>1271.8916782398589</v>
      </c>
      <c r="D533" s="64">
        <v>464</v>
      </c>
      <c r="E533" s="40">
        <v>5.0314590433394608</v>
      </c>
      <c r="F533" s="64">
        <v>464</v>
      </c>
      <c r="G533" s="40">
        <v>942.28586337875606</v>
      </c>
    </row>
    <row r="534" spans="2:7" x14ac:dyDescent="0.3">
      <c r="B534" s="64">
        <v>465</v>
      </c>
      <c r="C534" s="40">
        <v>1000.1328125741298</v>
      </c>
      <c r="D534" s="64">
        <v>465</v>
      </c>
      <c r="E534" s="40">
        <v>-9.8998684093788167</v>
      </c>
      <c r="F534" s="64">
        <v>465</v>
      </c>
      <c r="G534" s="40">
        <v>1032.3613977616772</v>
      </c>
    </row>
    <row r="535" spans="2:7" x14ac:dyDescent="0.3">
      <c r="B535" s="64">
        <v>466</v>
      </c>
      <c r="C535" s="40">
        <v>959.65494513291503</v>
      </c>
      <c r="D535" s="64">
        <v>466</v>
      </c>
      <c r="E535" s="40">
        <v>43.753584280775939</v>
      </c>
      <c r="F535" s="64">
        <v>466</v>
      </c>
      <c r="G535" s="40">
        <v>808.23798090237892</v>
      </c>
    </row>
    <row r="536" spans="2:7" x14ac:dyDescent="0.3">
      <c r="B536" s="64">
        <v>467</v>
      </c>
      <c r="C536" s="40">
        <v>1191.2628617620603</v>
      </c>
      <c r="D536" s="64">
        <v>467</v>
      </c>
      <c r="E536" s="40">
        <v>16.028536283139605</v>
      </c>
      <c r="F536" s="64">
        <v>467</v>
      </c>
      <c r="G536" s="40">
        <v>1334.2153493980502</v>
      </c>
    </row>
    <row r="537" spans="2:7" x14ac:dyDescent="0.3">
      <c r="B537" s="64">
        <v>468</v>
      </c>
      <c r="C537" s="40">
        <v>305.98698509485575</v>
      </c>
      <c r="D537" s="64">
        <v>468</v>
      </c>
      <c r="E537" s="40">
        <v>27.372402404240386</v>
      </c>
      <c r="F537" s="64">
        <v>468</v>
      </c>
      <c r="G537" s="40">
        <v>1633.9556132614075</v>
      </c>
    </row>
    <row r="538" spans="2:7" x14ac:dyDescent="0.3">
      <c r="B538" s="64">
        <v>469</v>
      </c>
      <c r="C538" s="40">
        <v>852.0527134415521</v>
      </c>
      <c r="D538" s="64">
        <v>469</v>
      </c>
      <c r="E538" s="40">
        <v>5.1477356019358611</v>
      </c>
      <c r="F538" s="64">
        <v>469</v>
      </c>
      <c r="G538" s="40">
        <v>959.17555408783358</v>
      </c>
    </row>
    <row r="539" spans="2:7" x14ac:dyDescent="0.3">
      <c r="B539" s="64">
        <v>470</v>
      </c>
      <c r="C539" s="40">
        <v>986.52073337907984</v>
      </c>
      <c r="D539" s="64">
        <v>470</v>
      </c>
      <c r="E539" s="40">
        <v>2.1771902586953482</v>
      </c>
      <c r="F539" s="64">
        <v>470</v>
      </c>
      <c r="G539" s="40">
        <v>662.03593524429436</v>
      </c>
    </row>
    <row r="540" spans="2:7" x14ac:dyDescent="0.3">
      <c r="B540" s="64">
        <v>471</v>
      </c>
      <c r="C540" s="40">
        <v>661.74789061760157</v>
      </c>
      <c r="D540" s="64">
        <v>471</v>
      </c>
      <c r="E540" s="40">
        <v>31.562247197202755</v>
      </c>
      <c r="F540" s="64">
        <v>471</v>
      </c>
      <c r="G540" s="40">
        <v>1448.6273789366478</v>
      </c>
    </row>
    <row r="541" spans="2:7" x14ac:dyDescent="0.3">
      <c r="B541" s="64">
        <v>472</v>
      </c>
      <c r="C541" s="40">
        <v>717.37712792584966</v>
      </c>
      <c r="D541" s="64">
        <v>472</v>
      </c>
      <c r="E541" s="40">
        <v>3.1385818748891339</v>
      </c>
      <c r="F541" s="64">
        <v>472</v>
      </c>
      <c r="G541" s="40">
        <v>1028.0192959054698</v>
      </c>
    </row>
    <row r="542" spans="2:7" x14ac:dyDescent="0.3">
      <c r="B542" s="64">
        <v>473</v>
      </c>
      <c r="C542" s="40">
        <v>845.40049163498259</v>
      </c>
      <c r="D542" s="64">
        <v>473</v>
      </c>
      <c r="E542" s="40">
        <v>-5.939741374681125</v>
      </c>
      <c r="F542" s="64">
        <v>473</v>
      </c>
      <c r="G542" s="40">
        <v>935.13049638315738</v>
      </c>
    </row>
    <row r="543" spans="2:7" x14ac:dyDescent="0.3">
      <c r="B543" s="64">
        <v>474</v>
      </c>
      <c r="C543" s="40">
        <v>549.55733571200324</v>
      </c>
      <c r="D543" s="64">
        <v>474</v>
      </c>
      <c r="E543" s="40">
        <v>46.272728078644626</v>
      </c>
      <c r="F543" s="64">
        <v>474</v>
      </c>
      <c r="G543" s="40">
        <v>799.54927842006043</v>
      </c>
    </row>
    <row r="544" spans="2:7" x14ac:dyDescent="0.3">
      <c r="B544" s="64">
        <v>475</v>
      </c>
      <c r="C544" s="40">
        <v>642.40812106400404</v>
      </c>
      <c r="D544" s="64">
        <v>475</v>
      </c>
      <c r="E544" s="40">
        <v>3.3452798630749307</v>
      </c>
      <c r="F544" s="64">
        <v>475</v>
      </c>
      <c r="G544" s="40">
        <v>1097.70185764186</v>
      </c>
    </row>
    <row r="545" spans="2:7" x14ac:dyDescent="0.3">
      <c r="B545" s="64">
        <v>476</v>
      </c>
      <c r="C545" s="40">
        <v>566.44109046636481</v>
      </c>
      <c r="D545" s="64">
        <v>476</v>
      </c>
      <c r="E545" s="40">
        <v>-13.002329571538095</v>
      </c>
      <c r="F545" s="64">
        <v>476</v>
      </c>
      <c r="G545" s="40">
        <v>904.87737292278416</v>
      </c>
    </row>
    <row r="546" spans="2:7" x14ac:dyDescent="0.3">
      <c r="B546" s="64">
        <v>477</v>
      </c>
      <c r="C546" s="40">
        <v>1182.1071059775318</v>
      </c>
      <c r="D546" s="64">
        <v>477</v>
      </c>
      <c r="E546" s="40">
        <v>-2.6028326415870513</v>
      </c>
      <c r="F546" s="64">
        <v>477</v>
      </c>
      <c r="G546" s="40">
        <v>1124.4794230288489</v>
      </c>
    </row>
    <row r="547" spans="2:7" x14ac:dyDescent="0.3">
      <c r="B547" s="64">
        <v>478</v>
      </c>
      <c r="C547" s="40">
        <v>918.74432075023412</v>
      </c>
      <c r="D547" s="64">
        <v>478</v>
      </c>
      <c r="E547" s="40">
        <v>16.242244194567604</v>
      </c>
      <c r="F547" s="64">
        <v>478</v>
      </c>
      <c r="G547" s="40">
        <v>1691.8899305318719</v>
      </c>
    </row>
    <row r="548" spans="2:7" x14ac:dyDescent="0.3">
      <c r="B548" s="64">
        <v>479</v>
      </c>
      <c r="C548" s="40">
        <v>1764.368176672026</v>
      </c>
      <c r="D548" s="64">
        <v>479</v>
      </c>
      <c r="E548" s="40">
        <v>-39.491251574116276</v>
      </c>
      <c r="F548" s="64">
        <v>479</v>
      </c>
      <c r="G548" s="40">
        <v>578.37571812541046</v>
      </c>
    </row>
    <row r="549" spans="2:7" x14ac:dyDescent="0.3">
      <c r="B549" s="64">
        <v>480</v>
      </c>
      <c r="C549" s="40">
        <v>1232.2043321376552</v>
      </c>
      <c r="D549" s="64">
        <v>480</v>
      </c>
      <c r="E549" s="40">
        <v>18.987309646847542</v>
      </c>
      <c r="F549" s="64">
        <v>480</v>
      </c>
      <c r="G549" s="40">
        <v>1127.3189435429545</v>
      </c>
    </row>
    <row r="550" spans="2:7" x14ac:dyDescent="0.3">
      <c r="B550" s="64">
        <v>481</v>
      </c>
      <c r="C550" s="40">
        <v>1152.3936285180666</v>
      </c>
      <c r="D550" s="64">
        <v>481</v>
      </c>
      <c r="E550" s="40">
        <v>24.909132819800593</v>
      </c>
      <c r="F550" s="64">
        <v>481</v>
      </c>
      <c r="G550" s="40">
        <v>1173.9116015895788</v>
      </c>
    </row>
    <row r="551" spans="2:7" x14ac:dyDescent="0.3">
      <c r="B551" s="64">
        <v>482</v>
      </c>
      <c r="C551" s="40">
        <v>1219.1216885068229</v>
      </c>
      <c r="D551" s="64">
        <v>482</v>
      </c>
      <c r="E551" s="40">
        <v>-10.406779493007805</v>
      </c>
      <c r="F551" s="64">
        <v>482</v>
      </c>
      <c r="G551" s="40">
        <v>997.75011010601099</v>
      </c>
    </row>
    <row r="552" spans="2:7" x14ac:dyDescent="0.3">
      <c r="B552" s="64">
        <v>483</v>
      </c>
      <c r="C552" s="40">
        <v>1400.5401939694536</v>
      </c>
      <c r="D552" s="64">
        <v>483</v>
      </c>
      <c r="E552" s="40">
        <v>28.542431120052008</v>
      </c>
      <c r="F552" s="64">
        <v>483</v>
      </c>
      <c r="G552" s="40">
        <v>1028.3844025980256</v>
      </c>
    </row>
    <row r="553" spans="2:7" x14ac:dyDescent="0.3">
      <c r="B553" s="64">
        <v>484</v>
      </c>
      <c r="C553" s="40">
        <v>323.1790088407746</v>
      </c>
      <c r="D553" s="64">
        <v>484</v>
      </c>
      <c r="E553" s="40">
        <v>17.155639982289696</v>
      </c>
      <c r="F553" s="64">
        <v>484</v>
      </c>
      <c r="G553" s="40">
        <v>982.57593313129678</v>
      </c>
    </row>
    <row r="554" spans="2:7" x14ac:dyDescent="0.3">
      <c r="B554" s="64">
        <v>485</v>
      </c>
      <c r="C554" s="40">
        <v>987.49855875283936</v>
      </c>
      <c r="D554" s="64">
        <v>485</v>
      </c>
      <c r="E554" s="40">
        <v>-18.6582381048947</v>
      </c>
      <c r="F554" s="64">
        <v>485</v>
      </c>
      <c r="G554" s="40">
        <v>1174.3372725866839</v>
      </c>
    </row>
    <row r="555" spans="2:7" x14ac:dyDescent="0.3">
      <c r="B555" s="64">
        <v>486</v>
      </c>
      <c r="C555" s="40">
        <v>693.50872117067229</v>
      </c>
      <c r="D555" s="64">
        <v>486</v>
      </c>
      <c r="E555" s="40">
        <v>7.3987178202852375</v>
      </c>
      <c r="F555" s="64">
        <v>486</v>
      </c>
      <c r="G555" s="40">
        <v>789.82273713617951</v>
      </c>
    </row>
    <row r="556" spans="2:7" x14ac:dyDescent="0.3">
      <c r="B556" s="64">
        <v>487</v>
      </c>
      <c r="C556" s="40">
        <v>752.45402115443937</v>
      </c>
      <c r="D556" s="64">
        <v>487</v>
      </c>
      <c r="E556" s="40">
        <v>18.589991286583444</v>
      </c>
      <c r="F556" s="64">
        <v>487</v>
      </c>
      <c r="G556" s="40">
        <v>388.17732786338422</v>
      </c>
    </row>
    <row r="557" spans="2:7" x14ac:dyDescent="0.3">
      <c r="B557" s="64">
        <v>488</v>
      </c>
      <c r="C557" s="40">
        <v>1296.1097654728462</v>
      </c>
      <c r="D557" s="64">
        <v>488</v>
      </c>
      <c r="E557" s="40">
        <v>-25.591765528255319</v>
      </c>
      <c r="F557" s="64">
        <v>488</v>
      </c>
      <c r="G557" s="40">
        <v>895.37840019311568</v>
      </c>
    </row>
    <row r="558" spans="2:7" x14ac:dyDescent="0.3">
      <c r="B558" s="64">
        <v>489</v>
      </c>
      <c r="C558" s="40">
        <v>1043.9823311109476</v>
      </c>
      <c r="D558" s="64">
        <v>489</v>
      </c>
      <c r="E558" s="40">
        <v>33.477134015303214</v>
      </c>
      <c r="F558" s="64">
        <v>489</v>
      </c>
      <c r="G558" s="40">
        <v>1032.1605476093205</v>
      </c>
    </row>
    <row r="559" spans="2:7" x14ac:dyDescent="0.3">
      <c r="B559" s="64">
        <v>490</v>
      </c>
      <c r="C559" s="40">
        <v>1163.609079381119</v>
      </c>
      <c r="D559" s="64">
        <v>490</v>
      </c>
      <c r="E559" s="40">
        <v>11.735354435713353</v>
      </c>
      <c r="F559" s="64">
        <v>490</v>
      </c>
      <c r="G559" s="40">
        <v>839.39351357191902</v>
      </c>
    </row>
    <row r="560" spans="2:7" x14ac:dyDescent="0.3">
      <c r="B560" s="64">
        <v>491</v>
      </c>
      <c r="C560" s="40">
        <v>925.88586083837731</v>
      </c>
      <c r="D560" s="64">
        <v>491</v>
      </c>
      <c r="E560" s="40">
        <v>1.0931796077238116</v>
      </c>
      <c r="F560" s="64">
        <v>491</v>
      </c>
      <c r="G560" s="40">
        <v>1115.5856289150622</v>
      </c>
    </row>
    <row r="561" spans="2:7" x14ac:dyDescent="0.3">
      <c r="B561" s="64">
        <v>492</v>
      </c>
      <c r="C561" s="40">
        <v>902.11878016098967</v>
      </c>
      <c r="D561" s="64">
        <v>492</v>
      </c>
      <c r="E561" s="40">
        <v>10.123950852254726</v>
      </c>
      <c r="F561" s="64">
        <v>492</v>
      </c>
      <c r="G561" s="40">
        <v>800.21594052261332</v>
      </c>
    </row>
    <row r="562" spans="2:7" x14ac:dyDescent="0.3">
      <c r="B562" s="64">
        <v>493</v>
      </c>
      <c r="C562" s="40">
        <v>360.12792530439702</v>
      </c>
      <c r="D562" s="64">
        <v>493</v>
      </c>
      <c r="E562" s="40">
        <v>20.925773587013616</v>
      </c>
      <c r="F562" s="64">
        <v>493</v>
      </c>
      <c r="G562" s="40">
        <v>965.2383930701302</v>
      </c>
    </row>
    <row r="563" spans="2:7" x14ac:dyDescent="0.3">
      <c r="B563" s="64">
        <v>494</v>
      </c>
      <c r="C563" s="40">
        <v>958.60626483086742</v>
      </c>
      <c r="D563" s="64">
        <v>494</v>
      </c>
      <c r="E563" s="40">
        <v>-25.039267642260491</v>
      </c>
      <c r="F563" s="64">
        <v>494</v>
      </c>
      <c r="G563" s="40">
        <v>1075.4076877486232</v>
      </c>
    </row>
    <row r="564" spans="2:7" x14ac:dyDescent="0.3">
      <c r="B564" s="64">
        <v>495</v>
      </c>
      <c r="C564" s="40">
        <v>811.7286221942237</v>
      </c>
      <c r="D564" s="64">
        <v>495</v>
      </c>
      <c r="E564" s="40">
        <v>3.978021485240324</v>
      </c>
      <c r="F564" s="64">
        <v>495</v>
      </c>
      <c r="G564" s="40">
        <v>591.55559102211112</v>
      </c>
    </row>
    <row r="565" spans="2:7" x14ac:dyDescent="0.3">
      <c r="B565" s="64">
        <v>496</v>
      </c>
      <c r="C565" s="40">
        <v>818.36584760645292</v>
      </c>
      <c r="D565" s="64">
        <v>496</v>
      </c>
      <c r="E565" s="40">
        <v>23.913936422613844</v>
      </c>
      <c r="F565" s="64">
        <v>496</v>
      </c>
      <c r="G565" s="40">
        <v>1186.080541751752</v>
      </c>
    </row>
    <row r="566" spans="2:7" x14ac:dyDescent="0.3">
      <c r="B566" s="64">
        <v>497</v>
      </c>
      <c r="C566" s="40">
        <v>929.80533574393417</v>
      </c>
      <c r="D566" s="64">
        <v>497</v>
      </c>
      <c r="E566" s="40">
        <v>50.302234474762386</v>
      </c>
      <c r="F566" s="64">
        <v>497</v>
      </c>
      <c r="G566" s="40">
        <v>993.62379060437763</v>
      </c>
    </row>
    <row r="567" spans="2:7" x14ac:dyDescent="0.3">
      <c r="B567" s="64">
        <v>498</v>
      </c>
      <c r="C567" s="40">
        <v>866.44353415698993</v>
      </c>
      <c r="D567" s="64">
        <v>498</v>
      </c>
      <c r="E567" s="40">
        <v>9.2778210591025605</v>
      </c>
      <c r="F567" s="64">
        <v>498</v>
      </c>
      <c r="G567" s="40">
        <v>1118.6781008840292</v>
      </c>
    </row>
    <row r="568" spans="2:7" x14ac:dyDescent="0.3">
      <c r="B568" s="64">
        <v>499</v>
      </c>
      <c r="C568" s="40">
        <v>1217.0727591890168</v>
      </c>
      <c r="D568" s="64">
        <v>499</v>
      </c>
      <c r="E568" s="40">
        <v>-11.453024286369416</v>
      </c>
      <c r="F568" s="64">
        <v>499</v>
      </c>
      <c r="G568" s="40">
        <v>1165.0197803716153</v>
      </c>
    </row>
    <row r="569" spans="2:7" x14ac:dyDescent="0.3">
      <c r="B569" s="64">
        <v>500</v>
      </c>
      <c r="C569" s="40">
        <v>673.91396696254014</v>
      </c>
      <c r="D569" s="64">
        <v>500</v>
      </c>
      <c r="E569" s="40">
        <v>-0.15943076371442971</v>
      </c>
      <c r="F569" s="64">
        <v>500</v>
      </c>
      <c r="G569" s="40">
        <v>945.85058583229124</v>
      </c>
    </row>
    <row r="570" spans="2:7" x14ac:dyDescent="0.3">
      <c r="C570" s="40"/>
      <c r="E570" s="40"/>
      <c r="G570" s="40"/>
    </row>
    <row r="571" spans="2:7" x14ac:dyDescent="0.3">
      <c r="C571" s="40"/>
      <c r="E571" s="40"/>
      <c r="G571" s="40"/>
    </row>
    <row r="572" spans="2:7" x14ac:dyDescent="0.3">
      <c r="C572" s="40"/>
      <c r="E572" s="40"/>
      <c r="G572" s="40"/>
    </row>
    <row r="573" spans="2:7" x14ac:dyDescent="0.3">
      <c r="C573" s="40"/>
      <c r="E573" s="40"/>
      <c r="G573" s="40"/>
    </row>
    <row r="574" spans="2:7" x14ac:dyDescent="0.3">
      <c r="C574" s="40"/>
      <c r="E574" s="40"/>
      <c r="G574" s="40"/>
    </row>
    <row r="575" spans="2:7" x14ac:dyDescent="0.3">
      <c r="C575" s="40"/>
      <c r="E575" s="40"/>
      <c r="G575" s="40"/>
    </row>
    <row r="576" spans="2:7" x14ac:dyDescent="0.3">
      <c r="C576" s="40"/>
      <c r="E576" s="40"/>
      <c r="G576" s="40"/>
    </row>
    <row r="577" spans="3:7" x14ac:dyDescent="0.3">
      <c r="C577" s="40"/>
      <c r="E577" s="40"/>
      <c r="G577" s="40"/>
    </row>
    <row r="578" spans="3:7" x14ac:dyDescent="0.3">
      <c r="C578" s="40"/>
      <c r="E578" s="40"/>
      <c r="G578" s="40"/>
    </row>
    <row r="579" spans="3:7" x14ac:dyDescent="0.3">
      <c r="C579" s="40"/>
      <c r="E579" s="40"/>
      <c r="G579" s="40"/>
    </row>
    <row r="580" spans="3:7" x14ac:dyDescent="0.3">
      <c r="C580" s="40"/>
      <c r="E580" s="40"/>
      <c r="G580" s="40"/>
    </row>
    <row r="581" spans="3:7" x14ac:dyDescent="0.3">
      <c r="C581" s="40"/>
      <c r="E581" s="40"/>
      <c r="G581" s="40"/>
    </row>
    <row r="582" spans="3:7" x14ac:dyDescent="0.3">
      <c r="C582" s="40"/>
      <c r="E582" s="40"/>
      <c r="G582" s="40"/>
    </row>
    <row r="583" spans="3:7" x14ac:dyDescent="0.3">
      <c r="C583" s="40"/>
      <c r="E583" s="40"/>
      <c r="G583" s="40"/>
    </row>
    <row r="584" spans="3:7" x14ac:dyDescent="0.3">
      <c r="C584" s="40"/>
      <c r="E584" s="40"/>
      <c r="G584" s="40"/>
    </row>
    <row r="585" spans="3:7" x14ac:dyDescent="0.3">
      <c r="C585" s="40"/>
      <c r="E585" s="40"/>
      <c r="G585" s="40"/>
    </row>
    <row r="586" spans="3:7" x14ac:dyDescent="0.3">
      <c r="C586" s="40"/>
      <c r="E586" s="40"/>
      <c r="G586" s="40"/>
    </row>
    <row r="587" spans="3:7" x14ac:dyDescent="0.3">
      <c r="C587" s="40"/>
      <c r="E587" s="40"/>
      <c r="G587" s="40"/>
    </row>
    <row r="588" spans="3:7" x14ac:dyDescent="0.3">
      <c r="C588" s="40"/>
      <c r="E588" s="40"/>
      <c r="G588" s="40"/>
    </row>
    <row r="589" spans="3:7" x14ac:dyDescent="0.3">
      <c r="C589" s="40"/>
      <c r="E589" s="40"/>
      <c r="G589" s="40"/>
    </row>
    <row r="590" spans="3:7" x14ac:dyDescent="0.3">
      <c r="C590" s="40"/>
      <c r="E590" s="40"/>
      <c r="G590" s="40"/>
    </row>
    <row r="591" spans="3:7" x14ac:dyDescent="0.3">
      <c r="C591" s="40"/>
      <c r="E591" s="40"/>
      <c r="G591" s="40"/>
    </row>
    <row r="592" spans="3:7" x14ac:dyDescent="0.3">
      <c r="C592" s="40"/>
      <c r="E592" s="40"/>
      <c r="G592" s="40"/>
    </row>
    <row r="593" spans="3:7" x14ac:dyDescent="0.3">
      <c r="C593" s="40"/>
      <c r="E593" s="40"/>
      <c r="G593" s="40"/>
    </row>
    <row r="594" spans="3:7" x14ac:dyDescent="0.3">
      <c r="C594" s="40"/>
      <c r="E594" s="40"/>
      <c r="G594" s="40"/>
    </row>
    <row r="595" spans="3:7" x14ac:dyDescent="0.3">
      <c r="C595" s="40"/>
      <c r="E595" s="40"/>
      <c r="G595" s="40"/>
    </row>
    <row r="596" spans="3:7" x14ac:dyDescent="0.3">
      <c r="C596" s="40"/>
      <c r="E596" s="40"/>
      <c r="G596" s="40"/>
    </row>
    <row r="597" spans="3:7" x14ac:dyDescent="0.3">
      <c r="C597" s="40"/>
      <c r="E597" s="40"/>
      <c r="G597" s="40"/>
    </row>
    <row r="598" spans="3:7" x14ac:dyDescent="0.3">
      <c r="C598" s="40"/>
      <c r="E598" s="40"/>
      <c r="G598" s="40"/>
    </row>
    <row r="599" spans="3:7" x14ac:dyDescent="0.3">
      <c r="C599" s="40"/>
      <c r="E599" s="40"/>
      <c r="G599" s="40"/>
    </row>
    <row r="600" spans="3:7" x14ac:dyDescent="0.3">
      <c r="C600" s="40"/>
      <c r="E600" s="40"/>
      <c r="G600" s="40"/>
    </row>
    <row r="601" spans="3:7" x14ac:dyDescent="0.3">
      <c r="C601" s="40"/>
      <c r="E601" s="40"/>
      <c r="G601" s="40"/>
    </row>
    <row r="602" spans="3:7" x14ac:dyDescent="0.3">
      <c r="C602" s="40"/>
      <c r="E602" s="40"/>
      <c r="G602" s="40"/>
    </row>
    <row r="603" spans="3:7" x14ac:dyDescent="0.3">
      <c r="C603" s="40"/>
      <c r="E603" s="40"/>
      <c r="G603" s="40"/>
    </row>
    <row r="604" spans="3:7" x14ac:dyDescent="0.3">
      <c r="C604" s="40"/>
      <c r="E604" s="40"/>
      <c r="G604" s="40"/>
    </row>
    <row r="605" spans="3:7" x14ac:dyDescent="0.3">
      <c r="C605" s="40"/>
      <c r="E605" s="40"/>
      <c r="G605" s="40"/>
    </row>
    <row r="606" spans="3:7" x14ac:dyDescent="0.3">
      <c r="C606" s="40"/>
      <c r="E606" s="40"/>
      <c r="G606" s="40"/>
    </row>
    <row r="607" spans="3:7" x14ac:dyDescent="0.3">
      <c r="C607" s="40"/>
      <c r="E607" s="40"/>
      <c r="G607" s="40"/>
    </row>
    <row r="608" spans="3:7" x14ac:dyDescent="0.3">
      <c r="C608" s="40"/>
      <c r="E608" s="40"/>
      <c r="G608" s="40"/>
    </row>
    <row r="609" spans="3:7" x14ac:dyDescent="0.3">
      <c r="C609" s="40"/>
      <c r="E609" s="40"/>
      <c r="G609" s="40"/>
    </row>
    <row r="610" spans="3:7" x14ac:dyDescent="0.3">
      <c r="C610" s="40"/>
      <c r="E610" s="40"/>
      <c r="G610" s="40"/>
    </row>
    <row r="611" spans="3:7" x14ac:dyDescent="0.3">
      <c r="C611" s="40"/>
      <c r="E611" s="40"/>
      <c r="G611" s="40"/>
    </row>
    <row r="612" spans="3:7" x14ac:dyDescent="0.3">
      <c r="C612" s="40"/>
      <c r="E612" s="40"/>
      <c r="G612" s="40"/>
    </row>
    <row r="613" spans="3:7" x14ac:dyDescent="0.3">
      <c r="C613" s="40"/>
      <c r="E613" s="40"/>
      <c r="G613" s="40"/>
    </row>
    <row r="614" spans="3:7" x14ac:dyDescent="0.3">
      <c r="C614" s="40"/>
      <c r="E614" s="40"/>
      <c r="G614" s="40"/>
    </row>
    <row r="615" spans="3:7" x14ac:dyDescent="0.3">
      <c r="C615" s="40"/>
      <c r="E615" s="40"/>
      <c r="G615" s="40"/>
    </row>
    <row r="616" spans="3:7" x14ac:dyDescent="0.3">
      <c r="C616" s="40"/>
      <c r="E616" s="40"/>
      <c r="G616" s="40"/>
    </row>
    <row r="617" spans="3:7" x14ac:dyDescent="0.3">
      <c r="C617" s="40"/>
      <c r="E617" s="40"/>
      <c r="G617" s="40"/>
    </row>
    <row r="618" spans="3:7" x14ac:dyDescent="0.3">
      <c r="C618" s="40"/>
      <c r="E618" s="40"/>
      <c r="G618" s="40"/>
    </row>
    <row r="619" spans="3:7" x14ac:dyDescent="0.3">
      <c r="C619" s="40"/>
      <c r="E619" s="40"/>
      <c r="G619" s="40"/>
    </row>
    <row r="620" spans="3:7" x14ac:dyDescent="0.3">
      <c r="C620" s="40"/>
      <c r="E620" s="40"/>
      <c r="G620" s="40"/>
    </row>
    <row r="621" spans="3:7" x14ac:dyDescent="0.3">
      <c r="C621" s="40"/>
      <c r="E621" s="40"/>
      <c r="G621" s="40"/>
    </row>
    <row r="622" spans="3:7" x14ac:dyDescent="0.3">
      <c r="C622" s="40"/>
      <c r="E622" s="40"/>
      <c r="G622" s="40"/>
    </row>
    <row r="623" spans="3:7" x14ac:dyDescent="0.3">
      <c r="C623" s="40"/>
      <c r="E623" s="40"/>
      <c r="G623" s="40"/>
    </row>
    <row r="624" spans="3:7" x14ac:dyDescent="0.3">
      <c r="C624" s="40"/>
      <c r="E624" s="40"/>
      <c r="G624" s="40"/>
    </row>
    <row r="625" spans="3:7" x14ac:dyDescent="0.3">
      <c r="C625" s="40"/>
      <c r="E625" s="40"/>
      <c r="G625" s="40"/>
    </row>
    <row r="626" spans="3:7" x14ac:dyDescent="0.3">
      <c r="C626" s="40"/>
      <c r="E626" s="40"/>
      <c r="G626" s="40"/>
    </row>
    <row r="627" spans="3:7" x14ac:dyDescent="0.3">
      <c r="C627" s="40"/>
      <c r="E627" s="40"/>
      <c r="G627" s="40"/>
    </row>
    <row r="628" spans="3:7" x14ac:dyDescent="0.3">
      <c r="C628" s="40"/>
      <c r="E628" s="40"/>
      <c r="G628" s="40"/>
    </row>
    <row r="629" spans="3:7" x14ac:dyDescent="0.3">
      <c r="C629" s="40"/>
      <c r="E629" s="40"/>
      <c r="G629" s="40"/>
    </row>
    <row r="630" spans="3:7" x14ac:dyDescent="0.3">
      <c r="C630" s="40"/>
      <c r="E630" s="40"/>
      <c r="G630" s="40"/>
    </row>
    <row r="631" spans="3:7" x14ac:dyDescent="0.3">
      <c r="C631" s="40"/>
      <c r="E631" s="40"/>
      <c r="G631" s="40"/>
    </row>
    <row r="632" spans="3:7" x14ac:dyDescent="0.3">
      <c r="C632" s="40"/>
      <c r="E632" s="40"/>
      <c r="G632" s="40"/>
    </row>
    <row r="633" spans="3:7" x14ac:dyDescent="0.3">
      <c r="C633" s="40"/>
      <c r="E633" s="40"/>
      <c r="G633" s="40"/>
    </row>
    <row r="634" spans="3:7" x14ac:dyDescent="0.3">
      <c r="C634" s="40"/>
      <c r="E634" s="40"/>
      <c r="G634" s="40"/>
    </row>
    <row r="635" spans="3:7" x14ac:dyDescent="0.3">
      <c r="C635" s="40"/>
      <c r="E635" s="40"/>
      <c r="G635" s="40"/>
    </row>
    <row r="636" spans="3:7" x14ac:dyDescent="0.3">
      <c r="C636" s="40"/>
      <c r="E636" s="40"/>
      <c r="G636" s="40"/>
    </row>
    <row r="637" spans="3:7" x14ac:dyDescent="0.3">
      <c r="C637" s="40"/>
      <c r="E637" s="40"/>
      <c r="G637" s="40"/>
    </row>
    <row r="638" spans="3:7" x14ac:dyDescent="0.3">
      <c r="C638" s="40"/>
      <c r="E638" s="40"/>
      <c r="G638" s="40"/>
    </row>
    <row r="639" spans="3:7" x14ac:dyDescent="0.3">
      <c r="C639" s="40"/>
      <c r="E639" s="40"/>
      <c r="G639" s="40"/>
    </row>
    <row r="640" spans="3:7" x14ac:dyDescent="0.3">
      <c r="C640" s="40"/>
      <c r="E640" s="40"/>
      <c r="G640" s="40"/>
    </row>
    <row r="641" spans="3:7" x14ac:dyDescent="0.3">
      <c r="C641" s="40"/>
      <c r="E641" s="40"/>
      <c r="G641" s="40"/>
    </row>
    <row r="642" spans="3:7" x14ac:dyDescent="0.3">
      <c r="C642" s="40"/>
      <c r="E642" s="40"/>
      <c r="G642" s="40"/>
    </row>
    <row r="643" spans="3:7" x14ac:dyDescent="0.3">
      <c r="C643" s="40"/>
      <c r="E643" s="40"/>
      <c r="G643" s="40"/>
    </row>
    <row r="644" spans="3:7" x14ac:dyDescent="0.3">
      <c r="C644" s="40"/>
      <c r="E644" s="40"/>
      <c r="G644" s="40"/>
    </row>
    <row r="645" spans="3:7" x14ac:dyDescent="0.3">
      <c r="C645" s="40"/>
      <c r="E645" s="40"/>
      <c r="G645" s="40"/>
    </row>
    <row r="646" spans="3:7" x14ac:dyDescent="0.3">
      <c r="C646" s="40"/>
      <c r="E646" s="40"/>
      <c r="G646" s="40"/>
    </row>
    <row r="647" spans="3:7" x14ac:dyDescent="0.3">
      <c r="C647" s="40"/>
      <c r="E647" s="40"/>
      <c r="G647" s="40"/>
    </row>
    <row r="648" spans="3:7" x14ac:dyDescent="0.3">
      <c r="C648" s="40"/>
      <c r="E648" s="40"/>
      <c r="G648" s="40"/>
    </row>
    <row r="649" spans="3:7" x14ac:dyDescent="0.3">
      <c r="C649" s="40"/>
      <c r="E649" s="40"/>
      <c r="G649" s="40"/>
    </row>
    <row r="650" spans="3:7" x14ac:dyDescent="0.3">
      <c r="C650" s="40"/>
      <c r="E650" s="40"/>
      <c r="G650" s="40"/>
    </row>
    <row r="651" spans="3:7" x14ac:dyDescent="0.3">
      <c r="C651" s="40"/>
      <c r="E651" s="40"/>
      <c r="G651" s="40"/>
    </row>
    <row r="652" spans="3:7" x14ac:dyDescent="0.3">
      <c r="C652" s="40"/>
      <c r="E652" s="40"/>
      <c r="G652" s="40"/>
    </row>
    <row r="653" spans="3:7" x14ac:dyDescent="0.3">
      <c r="C653" s="40"/>
      <c r="E653" s="40"/>
      <c r="G653" s="40"/>
    </row>
    <row r="654" spans="3:7" x14ac:dyDescent="0.3">
      <c r="C654" s="40"/>
      <c r="E654" s="40"/>
      <c r="G654" s="40"/>
    </row>
    <row r="655" spans="3:7" x14ac:dyDescent="0.3">
      <c r="C655" s="40"/>
      <c r="E655" s="40"/>
      <c r="G655" s="40"/>
    </row>
    <row r="656" spans="3:7" x14ac:dyDescent="0.3">
      <c r="C656" s="40"/>
      <c r="E656" s="40"/>
      <c r="G656" s="40"/>
    </row>
    <row r="657" spans="3:7" x14ac:dyDescent="0.3">
      <c r="C657" s="40"/>
      <c r="E657" s="40"/>
      <c r="G657" s="40"/>
    </row>
    <row r="658" spans="3:7" x14ac:dyDescent="0.3">
      <c r="C658" s="40"/>
      <c r="E658" s="40"/>
      <c r="G658" s="40"/>
    </row>
    <row r="659" spans="3:7" x14ac:dyDescent="0.3">
      <c r="C659" s="40"/>
      <c r="E659" s="40"/>
      <c r="G659" s="40"/>
    </row>
    <row r="660" spans="3:7" x14ac:dyDescent="0.3">
      <c r="C660" s="40"/>
      <c r="E660" s="40"/>
      <c r="G660" s="40"/>
    </row>
    <row r="661" spans="3:7" x14ac:dyDescent="0.3">
      <c r="C661" s="40"/>
      <c r="E661" s="40"/>
      <c r="G661" s="40"/>
    </row>
    <row r="662" spans="3:7" x14ac:dyDescent="0.3">
      <c r="C662" s="40"/>
      <c r="E662" s="40"/>
      <c r="G662" s="40"/>
    </row>
    <row r="663" spans="3:7" x14ac:dyDescent="0.3">
      <c r="C663" s="40"/>
      <c r="E663" s="40"/>
      <c r="G663" s="40"/>
    </row>
    <row r="664" spans="3:7" x14ac:dyDescent="0.3">
      <c r="C664" s="40"/>
      <c r="E664" s="40"/>
      <c r="G664" s="40"/>
    </row>
    <row r="665" spans="3:7" x14ac:dyDescent="0.3">
      <c r="C665" s="40"/>
      <c r="E665" s="40"/>
      <c r="G665" s="40"/>
    </row>
    <row r="666" spans="3:7" x14ac:dyDescent="0.3">
      <c r="C666" s="40"/>
      <c r="E666" s="40"/>
      <c r="G666" s="40"/>
    </row>
    <row r="667" spans="3:7" x14ac:dyDescent="0.3">
      <c r="C667" s="40"/>
      <c r="E667" s="40"/>
      <c r="G667" s="40"/>
    </row>
    <row r="668" spans="3:7" x14ac:dyDescent="0.3">
      <c r="C668" s="40"/>
      <c r="E668" s="40"/>
      <c r="G668" s="40"/>
    </row>
    <row r="669" spans="3:7" x14ac:dyDescent="0.3">
      <c r="C669" s="40"/>
      <c r="E669" s="40"/>
      <c r="G669" s="40"/>
    </row>
    <row r="670" spans="3:7" x14ac:dyDescent="0.3">
      <c r="C670" s="40"/>
      <c r="E670" s="40"/>
      <c r="G670" s="40"/>
    </row>
    <row r="671" spans="3:7" x14ac:dyDescent="0.3">
      <c r="C671" s="40"/>
      <c r="E671" s="40"/>
      <c r="G671" s="40"/>
    </row>
    <row r="672" spans="3:7" x14ac:dyDescent="0.3">
      <c r="C672" s="40"/>
      <c r="E672" s="40"/>
      <c r="G672" s="40"/>
    </row>
    <row r="673" spans="3:7" x14ac:dyDescent="0.3">
      <c r="C673" s="40"/>
      <c r="E673" s="40"/>
      <c r="G673" s="40"/>
    </row>
    <row r="674" spans="3:7" x14ac:dyDescent="0.3">
      <c r="C674" s="40"/>
      <c r="E674" s="40"/>
      <c r="G674" s="40"/>
    </row>
    <row r="675" spans="3:7" x14ac:dyDescent="0.3">
      <c r="C675" s="40"/>
      <c r="E675" s="40"/>
      <c r="G675" s="40"/>
    </row>
    <row r="676" spans="3:7" x14ac:dyDescent="0.3">
      <c r="C676" s="40"/>
      <c r="E676" s="40"/>
      <c r="G676" s="40"/>
    </row>
    <row r="677" spans="3:7" x14ac:dyDescent="0.3">
      <c r="C677" s="40"/>
      <c r="E677" s="40"/>
      <c r="G677" s="40"/>
    </row>
    <row r="678" spans="3:7" x14ac:dyDescent="0.3">
      <c r="C678" s="40"/>
      <c r="E678" s="40"/>
      <c r="G678" s="40"/>
    </row>
    <row r="679" spans="3:7" x14ac:dyDescent="0.3">
      <c r="C679" s="40"/>
      <c r="E679" s="40"/>
      <c r="G679" s="40"/>
    </row>
    <row r="680" spans="3:7" x14ac:dyDescent="0.3">
      <c r="C680" s="40"/>
      <c r="E680" s="40"/>
      <c r="G680" s="40"/>
    </row>
    <row r="681" spans="3:7" x14ac:dyDescent="0.3">
      <c r="C681" s="40"/>
      <c r="E681" s="40"/>
      <c r="G681" s="40"/>
    </row>
    <row r="682" spans="3:7" x14ac:dyDescent="0.3">
      <c r="C682" s="40"/>
      <c r="E682" s="40"/>
      <c r="G682" s="40"/>
    </row>
    <row r="683" spans="3:7" x14ac:dyDescent="0.3">
      <c r="C683" s="40"/>
      <c r="E683" s="40"/>
      <c r="G683" s="40"/>
    </row>
    <row r="684" spans="3:7" x14ac:dyDescent="0.3">
      <c r="C684" s="40"/>
      <c r="E684" s="40"/>
      <c r="G684" s="40"/>
    </row>
    <row r="685" spans="3:7" x14ac:dyDescent="0.3">
      <c r="C685" s="40"/>
      <c r="E685" s="40"/>
      <c r="G685" s="40"/>
    </row>
    <row r="686" spans="3:7" x14ac:dyDescent="0.3">
      <c r="C686" s="40"/>
      <c r="E686" s="40"/>
      <c r="G686" s="40"/>
    </row>
    <row r="687" spans="3:7" x14ac:dyDescent="0.3">
      <c r="C687" s="40"/>
      <c r="E687" s="40"/>
      <c r="G687" s="40"/>
    </row>
    <row r="688" spans="3:7" x14ac:dyDescent="0.3">
      <c r="C688" s="40"/>
      <c r="E688" s="40"/>
      <c r="G688" s="40"/>
    </row>
    <row r="689" spans="3:7" x14ac:dyDescent="0.3">
      <c r="C689" s="40"/>
      <c r="E689" s="40"/>
      <c r="G689" s="40"/>
    </row>
    <row r="690" spans="3:7" x14ac:dyDescent="0.3">
      <c r="C690" s="40"/>
      <c r="E690" s="40"/>
      <c r="G690" s="40"/>
    </row>
    <row r="691" spans="3:7" x14ac:dyDescent="0.3">
      <c r="C691" s="40"/>
      <c r="E691" s="40"/>
      <c r="G691" s="40"/>
    </row>
    <row r="692" spans="3:7" x14ac:dyDescent="0.3">
      <c r="C692" s="40"/>
      <c r="E692" s="40"/>
      <c r="G692" s="40"/>
    </row>
    <row r="693" spans="3:7" x14ac:dyDescent="0.3">
      <c r="C693" s="40"/>
      <c r="E693" s="40"/>
      <c r="G693" s="40"/>
    </row>
    <row r="694" spans="3:7" x14ac:dyDescent="0.3">
      <c r="C694" s="40"/>
      <c r="E694" s="40"/>
      <c r="G694" s="40"/>
    </row>
    <row r="695" spans="3:7" x14ac:dyDescent="0.3">
      <c r="C695" s="40"/>
      <c r="E695" s="40"/>
      <c r="G695" s="40"/>
    </row>
    <row r="696" spans="3:7" x14ac:dyDescent="0.3">
      <c r="C696" s="40"/>
      <c r="E696" s="40"/>
      <c r="G696" s="40"/>
    </row>
    <row r="697" spans="3:7" x14ac:dyDescent="0.3">
      <c r="C697" s="40"/>
      <c r="E697" s="40"/>
      <c r="G697" s="40"/>
    </row>
    <row r="698" spans="3:7" x14ac:dyDescent="0.3">
      <c r="C698" s="40"/>
      <c r="E698" s="40"/>
      <c r="G698" s="40"/>
    </row>
    <row r="699" spans="3:7" x14ac:dyDescent="0.3">
      <c r="C699" s="40"/>
      <c r="E699" s="40"/>
      <c r="G699" s="40"/>
    </row>
    <row r="700" spans="3:7" x14ac:dyDescent="0.3">
      <c r="C700" s="40"/>
      <c r="E700" s="40"/>
      <c r="G700" s="40"/>
    </row>
    <row r="701" spans="3:7" x14ac:dyDescent="0.3">
      <c r="C701" s="40"/>
      <c r="E701" s="40"/>
      <c r="G701" s="40"/>
    </row>
    <row r="702" spans="3:7" x14ac:dyDescent="0.3">
      <c r="C702" s="40"/>
      <c r="E702" s="40"/>
      <c r="G702" s="40"/>
    </row>
    <row r="703" spans="3:7" x14ac:dyDescent="0.3">
      <c r="C703" s="40"/>
      <c r="E703" s="40"/>
      <c r="G703" s="40"/>
    </row>
    <row r="704" spans="3:7" x14ac:dyDescent="0.3">
      <c r="C704" s="40"/>
      <c r="E704" s="40"/>
      <c r="G704" s="40"/>
    </row>
    <row r="705" spans="3:7" x14ac:dyDescent="0.3">
      <c r="C705" s="40"/>
      <c r="E705" s="40"/>
      <c r="G705" s="40"/>
    </row>
    <row r="706" spans="3:7" x14ac:dyDescent="0.3">
      <c r="C706" s="40"/>
      <c r="E706" s="40"/>
      <c r="G706" s="40"/>
    </row>
    <row r="707" spans="3:7" x14ac:dyDescent="0.3">
      <c r="C707" s="40"/>
      <c r="E707" s="40"/>
      <c r="G707" s="40"/>
    </row>
    <row r="708" spans="3:7" x14ac:dyDescent="0.3">
      <c r="C708" s="40"/>
      <c r="E708" s="40"/>
      <c r="G708" s="40"/>
    </row>
    <row r="709" spans="3:7" x14ac:dyDescent="0.3">
      <c r="C709" s="40"/>
      <c r="E709" s="40"/>
      <c r="G709" s="40"/>
    </row>
    <row r="710" spans="3:7" x14ac:dyDescent="0.3">
      <c r="C710" s="40"/>
      <c r="E710" s="40"/>
      <c r="G710" s="40"/>
    </row>
    <row r="711" spans="3:7" x14ac:dyDescent="0.3">
      <c r="C711" s="40"/>
      <c r="E711" s="40"/>
      <c r="G711" s="40"/>
    </row>
    <row r="712" spans="3:7" x14ac:dyDescent="0.3">
      <c r="C712" s="40"/>
      <c r="E712" s="40"/>
      <c r="G712" s="40"/>
    </row>
    <row r="713" spans="3:7" x14ac:dyDescent="0.3">
      <c r="C713" s="40"/>
      <c r="E713" s="40"/>
      <c r="G713" s="40"/>
    </row>
    <row r="714" spans="3:7" x14ac:dyDescent="0.3">
      <c r="C714" s="40"/>
      <c r="E714" s="40"/>
      <c r="G714" s="40"/>
    </row>
    <row r="715" spans="3:7" x14ac:dyDescent="0.3">
      <c r="C715" s="40"/>
      <c r="E715" s="40"/>
      <c r="G715" s="40"/>
    </row>
    <row r="716" spans="3:7" x14ac:dyDescent="0.3">
      <c r="C716" s="40"/>
      <c r="E716" s="40"/>
      <c r="G716" s="40"/>
    </row>
    <row r="717" spans="3:7" x14ac:dyDescent="0.3">
      <c r="C717" s="40"/>
      <c r="E717" s="40"/>
      <c r="G717" s="40"/>
    </row>
    <row r="718" spans="3:7" x14ac:dyDescent="0.3">
      <c r="C718" s="40"/>
      <c r="E718" s="40"/>
      <c r="G718" s="40"/>
    </row>
    <row r="719" spans="3:7" x14ac:dyDescent="0.3">
      <c r="C719" s="40"/>
      <c r="E719" s="40"/>
      <c r="G719" s="40"/>
    </row>
    <row r="720" spans="3:7" x14ac:dyDescent="0.3">
      <c r="C720" s="40"/>
      <c r="E720" s="40"/>
      <c r="G720" s="40"/>
    </row>
    <row r="721" spans="3:7" x14ac:dyDescent="0.3">
      <c r="C721" s="40"/>
      <c r="E721" s="40"/>
      <c r="G721" s="40"/>
    </row>
    <row r="722" spans="3:7" x14ac:dyDescent="0.3">
      <c r="C722" s="40"/>
      <c r="E722" s="40"/>
      <c r="G722" s="40"/>
    </row>
    <row r="723" spans="3:7" x14ac:dyDescent="0.3">
      <c r="C723" s="40"/>
      <c r="E723" s="40"/>
      <c r="G723" s="40"/>
    </row>
    <row r="724" spans="3:7" x14ac:dyDescent="0.3">
      <c r="C724" s="40"/>
      <c r="E724" s="40"/>
      <c r="G724" s="40"/>
    </row>
    <row r="725" spans="3:7" x14ac:dyDescent="0.3">
      <c r="C725" s="40"/>
      <c r="E725" s="40"/>
      <c r="G725" s="40"/>
    </row>
    <row r="726" spans="3:7" x14ac:dyDescent="0.3">
      <c r="C726" s="40"/>
      <c r="E726" s="40"/>
      <c r="G726" s="40"/>
    </row>
    <row r="727" spans="3:7" x14ac:dyDescent="0.3">
      <c r="C727" s="40"/>
      <c r="E727" s="40"/>
      <c r="G727" s="40"/>
    </row>
    <row r="728" spans="3:7" x14ac:dyDescent="0.3">
      <c r="C728" s="40"/>
      <c r="E728" s="40"/>
      <c r="G728" s="40"/>
    </row>
    <row r="729" spans="3:7" x14ac:dyDescent="0.3">
      <c r="C729" s="40"/>
      <c r="E729" s="40"/>
      <c r="G729" s="40"/>
    </row>
    <row r="730" spans="3:7" x14ac:dyDescent="0.3">
      <c r="C730" s="40"/>
      <c r="E730" s="40"/>
      <c r="G730" s="40"/>
    </row>
    <row r="731" spans="3:7" x14ac:dyDescent="0.3">
      <c r="C731" s="40"/>
      <c r="E731" s="40"/>
      <c r="G731" s="40"/>
    </row>
    <row r="732" spans="3:7" x14ac:dyDescent="0.3">
      <c r="C732" s="40"/>
      <c r="E732" s="40"/>
      <c r="G732" s="40"/>
    </row>
    <row r="733" spans="3:7" x14ac:dyDescent="0.3">
      <c r="C733" s="40"/>
      <c r="E733" s="40"/>
      <c r="G733" s="40"/>
    </row>
    <row r="734" spans="3:7" x14ac:dyDescent="0.3">
      <c r="C734" s="40"/>
      <c r="E734" s="40"/>
      <c r="G734" s="40"/>
    </row>
    <row r="735" spans="3:7" x14ac:dyDescent="0.3">
      <c r="C735" s="40"/>
      <c r="E735" s="40"/>
      <c r="G735" s="40"/>
    </row>
    <row r="736" spans="3:7" x14ac:dyDescent="0.3">
      <c r="C736" s="40"/>
      <c r="E736" s="40"/>
      <c r="G736" s="40"/>
    </row>
    <row r="737" spans="3:7" x14ac:dyDescent="0.3">
      <c r="C737" s="40"/>
      <c r="E737" s="40"/>
      <c r="G737" s="40"/>
    </row>
    <row r="738" spans="3:7" x14ac:dyDescent="0.3">
      <c r="C738" s="40"/>
      <c r="E738" s="40"/>
      <c r="G738" s="40"/>
    </row>
    <row r="739" spans="3:7" x14ac:dyDescent="0.3">
      <c r="C739" s="40"/>
      <c r="E739" s="40"/>
      <c r="G739" s="40"/>
    </row>
    <row r="740" spans="3:7" x14ac:dyDescent="0.3">
      <c r="C740" s="40"/>
      <c r="E740" s="40"/>
      <c r="G740" s="40"/>
    </row>
    <row r="741" spans="3:7" x14ac:dyDescent="0.3">
      <c r="C741" s="40"/>
      <c r="E741" s="40"/>
      <c r="G741" s="40"/>
    </row>
    <row r="742" spans="3:7" x14ac:dyDescent="0.3">
      <c r="C742" s="40"/>
      <c r="E742" s="40"/>
      <c r="G742" s="40"/>
    </row>
    <row r="743" spans="3:7" x14ac:dyDescent="0.3">
      <c r="C743" s="40"/>
      <c r="E743" s="40"/>
      <c r="G743" s="40"/>
    </row>
    <row r="744" spans="3:7" x14ac:dyDescent="0.3">
      <c r="C744" s="40"/>
      <c r="E744" s="40"/>
      <c r="G744" s="40"/>
    </row>
    <row r="745" spans="3:7" x14ac:dyDescent="0.3">
      <c r="C745" s="40"/>
      <c r="E745" s="40"/>
      <c r="G745" s="40"/>
    </row>
    <row r="746" spans="3:7" x14ac:dyDescent="0.3">
      <c r="C746" s="40"/>
      <c r="E746" s="40"/>
      <c r="G746" s="40"/>
    </row>
    <row r="747" spans="3:7" x14ac:dyDescent="0.3">
      <c r="C747" s="40"/>
      <c r="E747" s="40"/>
      <c r="G747" s="40"/>
    </row>
    <row r="748" spans="3:7" x14ac:dyDescent="0.3">
      <c r="C748" s="40"/>
      <c r="E748" s="40"/>
      <c r="G748" s="40"/>
    </row>
    <row r="749" spans="3:7" x14ac:dyDescent="0.3">
      <c r="C749" s="40"/>
      <c r="E749" s="40"/>
      <c r="G749" s="40"/>
    </row>
    <row r="750" spans="3:7" x14ac:dyDescent="0.3">
      <c r="C750" s="40"/>
      <c r="E750" s="40"/>
      <c r="G750" s="40"/>
    </row>
    <row r="751" spans="3:7" x14ac:dyDescent="0.3">
      <c r="C751" s="40"/>
      <c r="E751" s="40"/>
      <c r="G751" s="40"/>
    </row>
    <row r="752" spans="3:7" x14ac:dyDescent="0.3">
      <c r="C752" s="40"/>
      <c r="E752" s="40"/>
      <c r="G752" s="40"/>
    </row>
    <row r="753" spans="3:7" x14ac:dyDescent="0.3">
      <c r="C753" s="40"/>
      <c r="E753" s="40"/>
      <c r="G753" s="40"/>
    </row>
    <row r="754" spans="3:7" x14ac:dyDescent="0.3">
      <c r="C754" s="40"/>
      <c r="E754" s="40"/>
      <c r="G754" s="40"/>
    </row>
    <row r="755" spans="3:7" x14ac:dyDescent="0.3">
      <c r="C755" s="40"/>
      <c r="E755" s="40"/>
      <c r="G755" s="40"/>
    </row>
    <row r="756" spans="3:7" x14ac:dyDescent="0.3">
      <c r="C756" s="40"/>
      <c r="E756" s="40"/>
      <c r="G756" s="40"/>
    </row>
    <row r="757" spans="3:7" x14ac:dyDescent="0.3">
      <c r="C757" s="40"/>
      <c r="E757" s="40"/>
      <c r="G757" s="40"/>
    </row>
    <row r="758" spans="3:7" x14ac:dyDescent="0.3">
      <c r="C758" s="40"/>
      <c r="E758" s="40"/>
      <c r="G758" s="40"/>
    </row>
    <row r="759" spans="3:7" x14ac:dyDescent="0.3">
      <c r="C759" s="40"/>
      <c r="E759" s="40"/>
      <c r="G759" s="40"/>
    </row>
    <row r="760" spans="3:7" x14ac:dyDescent="0.3">
      <c r="C760" s="40"/>
      <c r="E760" s="40"/>
      <c r="G760" s="40"/>
    </row>
    <row r="761" spans="3:7" x14ac:dyDescent="0.3">
      <c r="C761" s="40"/>
      <c r="E761" s="40"/>
      <c r="G761" s="40"/>
    </row>
    <row r="762" spans="3:7" x14ac:dyDescent="0.3">
      <c r="C762" s="40"/>
      <c r="E762" s="40"/>
      <c r="G762" s="40"/>
    </row>
    <row r="763" spans="3:7" x14ac:dyDescent="0.3">
      <c r="C763" s="40"/>
      <c r="E763" s="40"/>
      <c r="G763" s="40"/>
    </row>
    <row r="764" spans="3:7" x14ac:dyDescent="0.3">
      <c r="C764" s="40"/>
      <c r="E764" s="40"/>
      <c r="G764" s="40"/>
    </row>
    <row r="765" spans="3:7" x14ac:dyDescent="0.3">
      <c r="C765" s="40"/>
      <c r="E765" s="40"/>
      <c r="G765" s="40"/>
    </row>
    <row r="766" spans="3:7" x14ac:dyDescent="0.3">
      <c r="C766" s="40"/>
      <c r="E766" s="40"/>
      <c r="G766" s="40"/>
    </row>
    <row r="767" spans="3:7" x14ac:dyDescent="0.3">
      <c r="C767" s="40"/>
      <c r="E767" s="40"/>
      <c r="G767" s="40"/>
    </row>
    <row r="768" spans="3:7" x14ac:dyDescent="0.3">
      <c r="C768" s="40"/>
      <c r="E768" s="40"/>
      <c r="G768" s="40"/>
    </row>
    <row r="769" spans="3:7" x14ac:dyDescent="0.3">
      <c r="C769" s="40"/>
      <c r="E769" s="40"/>
      <c r="G769" s="40"/>
    </row>
    <row r="770" spans="3:7" x14ac:dyDescent="0.3">
      <c r="C770" s="40"/>
      <c r="E770" s="40"/>
      <c r="G770" s="40"/>
    </row>
    <row r="771" spans="3:7" x14ac:dyDescent="0.3">
      <c r="C771" s="40"/>
      <c r="E771" s="40"/>
      <c r="G771" s="40"/>
    </row>
    <row r="772" spans="3:7" x14ac:dyDescent="0.3">
      <c r="C772" s="40"/>
      <c r="E772" s="40"/>
      <c r="G772" s="40"/>
    </row>
    <row r="773" spans="3:7" x14ac:dyDescent="0.3">
      <c r="C773" s="40"/>
      <c r="E773" s="40"/>
      <c r="G773" s="40"/>
    </row>
    <row r="774" spans="3:7" x14ac:dyDescent="0.3">
      <c r="C774" s="40"/>
      <c r="E774" s="40"/>
      <c r="G774" s="40"/>
    </row>
    <row r="775" spans="3:7" x14ac:dyDescent="0.3">
      <c r="C775" s="40"/>
      <c r="E775" s="40"/>
      <c r="G775" s="40"/>
    </row>
    <row r="776" spans="3:7" x14ac:dyDescent="0.3">
      <c r="C776" s="40"/>
      <c r="E776" s="40"/>
      <c r="G776" s="40"/>
    </row>
    <row r="777" spans="3:7" x14ac:dyDescent="0.3">
      <c r="C777" s="40"/>
      <c r="E777" s="40"/>
      <c r="G777" s="40"/>
    </row>
    <row r="778" spans="3:7" x14ac:dyDescent="0.3">
      <c r="C778" s="40"/>
      <c r="E778" s="40"/>
      <c r="G778" s="40"/>
    </row>
    <row r="779" spans="3:7" x14ac:dyDescent="0.3">
      <c r="C779" s="40"/>
      <c r="E779" s="40"/>
      <c r="G779" s="40"/>
    </row>
    <row r="780" spans="3:7" x14ac:dyDescent="0.3">
      <c r="C780" s="40"/>
      <c r="E780" s="40"/>
      <c r="G780" s="40"/>
    </row>
    <row r="781" spans="3:7" x14ac:dyDescent="0.3">
      <c r="C781" s="40"/>
      <c r="E781" s="40"/>
      <c r="G781" s="40"/>
    </row>
    <row r="782" spans="3:7" x14ac:dyDescent="0.3">
      <c r="C782" s="40"/>
      <c r="E782" s="40"/>
      <c r="G782" s="40"/>
    </row>
    <row r="783" spans="3:7" x14ac:dyDescent="0.3">
      <c r="C783" s="40"/>
      <c r="E783" s="40"/>
      <c r="G783" s="40"/>
    </row>
    <row r="784" spans="3:7" x14ac:dyDescent="0.3">
      <c r="C784" s="40"/>
      <c r="E784" s="40"/>
      <c r="G784" s="40"/>
    </row>
    <row r="785" spans="3:7" x14ac:dyDescent="0.3">
      <c r="C785" s="40"/>
      <c r="E785" s="40"/>
      <c r="G785" s="40"/>
    </row>
    <row r="786" spans="3:7" x14ac:dyDescent="0.3">
      <c r="C786" s="40"/>
      <c r="E786" s="40"/>
      <c r="G786" s="40"/>
    </row>
    <row r="787" spans="3:7" x14ac:dyDescent="0.3">
      <c r="C787" s="40"/>
      <c r="E787" s="40"/>
      <c r="G787" s="40"/>
    </row>
    <row r="788" spans="3:7" x14ac:dyDescent="0.3">
      <c r="C788" s="40"/>
      <c r="E788" s="40"/>
      <c r="G788" s="40"/>
    </row>
    <row r="789" spans="3:7" x14ac:dyDescent="0.3">
      <c r="C789" s="40"/>
      <c r="E789" s="40"/>
      <c r="G789" s="40"/>
    </row>
    <row r="790" spans="3:7" x14ac:dyDescent="0.3">
      <c r="C790" s="40"/>
      <c r="E790" s="40"/>
      <c r="G790" s="40"/>
    </row>
    <row r="791" spans="3:7" x14ac:dyDescent="0.3">
      <c r="C791" s="40"/>
      <c r="E791" s="40"/>
      <c r="G791" s="40"/>
    </row>
    <row r="792" spans="3:7" x14ac:dyDescent="0.3">
      <c r="C792" s="40"/>
      <c r="E792" s="40"/>
      <c r="G792" s="40"/>
    </row>
    <row r="793" spans="3:7" x14ac:dyDescent="0.3">
      <c r="C793" s="40"/>
      <c r="E793" s="40"/>
      <c r="G793" s="40"/>
    </row>
    <row r="794" spans="3:7" x14ac:dyDescent="0.3">
      <c r="C794" s="40"/>
      <c r="E794" s="40"/>
      <c r="G794" s="40"/>
    </row>
    <row r="795" spans="3:7" x14ac:dyDescent="0.3">
      <c r="C795" s="40"/>
      <c r="E795" s="40"/>
      <c r="G795" s="40"/>
    </row>
    <row r="796" spans="3:7" x14ac:dyDescent="0.3">
      <c r="C796" s="40"/>
      <c r="E796" s="40"/>
      <c r="G796" s="40"/>
    </row>
    <row r="797" spans="3:7" x14ac:dyDescent="0.3">
      <c r="C797" s="40"/>
      <c r="E797" s="40"/>
      <c r="G797" s="40"/>
    </row>
    <row r="798" spans="3:7" x14ac:dyDescent="0.3">
      <c r="C798" s="40"/>
      <c r="E798" s="40"/>
      <c r="G798" s="40"/>
    </row>
    <row r="799" spans="3:7" x14ac:dyDescent="0.3">
      <c r="C799" s="40"/>
      <c r="E799" s="40"/>
      <c r="G799" s="40"/>
    </row>
    <row r="800" spans="3:7" x14ac:dyDescent="0.3">
      <c r="C800" s="40"/>
      <c r="E800" s="40"/>
      <c r="G800" s="40"/>
    </row>
    <row r="801" spans="3:7" x14ac:dyDescent="0.3">
      <c r="C801" s="40"/>
      <c r="E801" s="40"/>
      <c r="G801" s="40"/>
    </row>
    <row r="802" spans="3:7" x14ac:dyDescent="0.3">
      <c r="C802" s="40"/>
      <c r="E802" s="40"/>
      <c r="G802" s="40"/>
    </row>
    <row r="803" spans="3:7" x14ac:dyDescent="0.3">
      <c r="C803" s="40"/>
      <c r="E803" s="40"/>
      <c r="G803" s="40"/>
    </row>
    <row r="804" spans="3:7" x14ac:dyDescent="0.3">
      <c r="C804" s="40"/>
      <c r="E804" s="40"/>
      <c r="G804" s="40"/>
    </row>
    <row r="805" spans="3:7" x14ac:dyDescent="0.3">
      <c r="C805" s="40"/>
      <c r="E805" s="40"/>
      <c r="G805" s="40"/>
    </row>
    <row r="806" spans="3:7" x14ac:dyDescent="0.3">
      <c r="C806" s="40"/>
      <c r="E806" s="40"/>
      <c r="G806" s="40"/>
    </row>
    <row r="807" spans="3:7" x14ac:dyDescent="0.3">
      <c r="C807" s="40"/>
      <c r="E807" s="40"/>
      <c r="G807" s="40"/>
    </row>
    <row r="808" spans="3:7" x14ac:dyDescent="0.3">
      <c r="C808" s="40"/>
      <c r="E808" s="40"/>
      <c r="G808" s="40"/>
    </row>
    <row r="809" spans="3:7" x14ac:dyDescent="0.3">
      <c r="C809" s="40"/>
      <c r="E809" s="40"/>
      <c r="G809" s="40"/>
    </row>
    <row r="810" spans="3:7" x14ac:dyDescent="0.3">
      <c r="C810" s="40"/>
      <c r="E810" s="40"/>
      <c r="G810" s="40"/>
    </row>
    <row r="811" spans="3:7" x14ac:dyDescent="0.3">
      <c r="C811" s="40"/>
      <c r="E811" s="40"/>
      <c r="G811" s="40"/>
    </row>
    <row r="812" spans="3:7" x14ac:dyDescent="0.3">
      <c r="C812" s="40"/>
      <c r="E812" s="40"/>
      <c r="G812" s="40"/>
    </row>
    <row r="813" spans="3:7" x14ac:dyDescent="0.3">
      <c r="C813" s="40"/>
      <c r="E813" s="40"/>
      <c r="G813" s="40"/>
    </row>
    <row r="814" spans="3:7" x14ac:dyDescent="0.3">
      <c r="C814" s="40"/>
      <c r="E814" s="40"/>
      <c r="G814" s="40"/>
    </row>
    <row r="815" spans="3:7" x14ac:dyDescent="0.3">
      <c r="C815" s="40"/>
      <c r="E815" s="40"/>
      <c r="G815" s="40"/>
    </row>
    <row r="816" spans="3:7" x14ac:dyDescent="0.3">
      <c r="C816" s="40"/>
      <c r="E816" s="40"/>
      <c r="G816" s="40"/>
    </row>
    <row r="817" spans="3:7" x14ac:dyDescent="0.3">
      <c r="C817" s="40"/>
      <c r="E817" s="40"/>
      <c r="G817" s="40"/>
    </row>
    <row r="818" spans="3:7" x14ac:dyDescent="0.3">
      <c r="C818" s="40"/>
      <c r="E818" s="40"/>
      <c r="G818" s="40"/>
    </row>
    <row r="819" spans="3:7" x14ac:dyDescent="0.3">
      <c r="C819" s="40"/>
      <c r="E819" s="40"/>
      <c r="G819" s="40"/>
    </row>
    <row r="820" spans="3:7" x14ac:dyDescent="0.3">
      <c r="C820" s="40"/>
      <c r="E820" s="40"/>
      <c r="G820" s="40"/>
    </row>
    <row r="821" spans="3:7" x14ac:dyDescent="0.3">
      <c r="C821" s="40"/>
      <c r="E821" s="40"/>
      <c r="G821" s="40"/>
    </row>
    <row r="822" spans="3:7" x14ac:dyDescent="0.3">
      <c r="C822" s="40"/>
      <c r="E822" s="40"/>
      <c r="G822" s="40"/>
    </row>
    <row r="823" spans="3:7" x14ac:dyDescent="0.3">
      <c r="C823" s="40"/>
      <c r="E823" s="40"/>
      <c r="G823" s="40"/>
    </row>
    <row r="824" spans="3:7" x14ac:dyDescent="0.3">
      <c r="C824" s="40"/>
      <c r="E824" s="40"/>
      <c r="G824" s="40"/>
    </row>
    <row r="825" spans="3:7" x14ac:dyDescent="0.3">
      <c r="C825" s="40"/>
      <c r="E825" s="40"/>
      <c r="G825" s="40"/>
    </row>
    <row r="826" spans="3:7" x14ac:dyDescent="0.3">
      <c r="C826" s="40"/>
      <c r="E826" s="40"/>
      <c r="G826" s="40"/>
    </row>
    <row r="827" spans="3:7" x14ac:dyDescent="0.3">
      <c r="C827" s="40"/>
      <c r="E827" s="40"/>
      <c r="G827" s="40"/>
    </row>
    <row r="828" spans="3:7" x14ac:dyDescent="0.3">
      <c r="C828" s="40"/>
      <c r="E828" s="40"/>
      <c r="G828" s="40"/>
    </row>
    <row r="829" spans="3:7" x14ac:dyDescent="0.3">
      <c r="C829" s="40"/>
      <c r="E829" s="40"/>
      <c r="G829" s="40"/>
    </row>
    <row r="830" spans="3:7" x14ac:dyDescent="0.3">
      <c r="C830" s="40"/>
      <c r="E830" s="40"/>
      <c r="G830" s="40"/>
    </row>
    <row r="831" spans="3:7" x14ac:dyDescent="0.3">
      <c r="C831" s="40"/>
      <c r="E831" s="40"/>
      <c r="G831" s="40"/>
    </row>
    <row r="832" spans="3:7" x14ac:dyDescent="0.3">
      <c r="C832" s="40"/>
      <c r="E832" s="40"/>
      <c r="G832" s="40"/>
    </row>
    <row r="833" spans="3:7" x14ac:dyDescent="0.3">
      <c r="C833" s="40"/>
      <c r="E833" s="40"/>
      <c r="G833" s="40"/>
    </row>
    <row r="834" spans="3:7" x14ac:dyDescent="0.3">
      <c r="C834" s="40"/>
      <c r="E834" s="40"/>
      <c r="G834" s="40"/>
    </row>
    <row r="835" spans="3:7" x14ac:dyDescent="0.3">
      <c r="C835" s="40"/>
      <c r="E835" s="40"/>
      <c r="G835" s="40"/>
    </row>
    <row r="836" spans="3:7" x14ac:dyDescent="0.3">
      <c r="C836" s="40"/>
      <c r="E836" s="40"/>
      <c r="G836" s="40"/>
    </row>
    <row r="837" spans="3:7" x14ac:dyDescent="0.3">
      <c r="C837" s="40"/>
      <c r="E837" s="40"/>
      <c r="G837" s="40"/>
    </row>
    <row r="838" spans="3:7" x14ac:dyDescent="0.3">
      <c r="C838" s="40"/>
      <c r="E838" s="40"/>
      <c r="G838" s="40"/>
    </row>
    <row r="839" spans="3:7" x14ac:dyDescent="0.3">
      <c r="C839" s="40"/>
      <c r="E839" s="40"/>
      <c r="G839" s="40"/>
    </row>
    <row r="840" spans="3:7" x14ac:dyDescent="0.3">
      <c r="C840" s="40"/>
      <c r="E840" s="40"/>
      <c r="G840" s="40"/>
    </row>
    <row r="841" spans="3:7" x14ac:dyDescent="0.3">
      <c r="C841" s="40"/>
      <c r="E841" s="40"/>
      <c r="G841" s="40"/>
    </row>
    <row r="842" spans="3:7" x14ac:dyDescent="0.3">
      <c r="C842" s="40"/>
      <c r="E842" s="40"/>
      <c r="G842" s="40"/>
    </row>
    <row r="843" spans="3:7" x14ac:dyDescent="0.3">
      <c r="C843" s="40"/>
      <c r="E843" s="40"/>
      <c r="G843" s="40"/>
    </row>
    <row r="844" spans="3:7" x14ac:dyDescent="0.3">
      <c r="C844" s="40"/>
      <c r="E844" s="40"/>
      <c r="G844" s="40"/>
    </row>
    <row r="845" spans="3:7" x14ac:dyDescent="0.3">
      <c r="C845" s="40"/>
      <c r="E845" s="40"/>
      <c r="G845" s="40"/>
    </row>
    <row r="846" spans="3:7" x14ac:dyDescent="0.3">
      <c r="C846" s="40"/>
      <c r="E846" s="40"/>
      <c r="G846" s="40"/>
    </row>
    <row r="847" spans="3:7" x14ac:dyDescent="0.3">
      <c r="C847" s="40"/>
      <c r="E847" s="40"/>
      <c r="G847" s="40"/>
    </row>
    <row r="848" spans="3:7" x14ac:dyDescent="0.3">
      <c r="C848" s="40"/>
      <c r="E848" s="40"/>
      <c r="G848" s="40"/>
    </row>
    <row r="849" spans="3:7" x14ac:dyDescent="0.3">
      <c r="C849" s="40"/>
      <c r="E849" s="40"/>
      <c r="G849" s="40"/>
    </row>
    <row r="850" spans="3:7" x14ac:dyDescent="0.3">
      <c r="C850" s="40"/>
      <c r="E850" s="40"/>
      <c r="G850" s="40"/>
    </row>
    <row r="851" spans="3:7" x14ac:dyDescent="0.3">
      <c r="C851" s="40"/>
      <c r="E851" s="40"/>
      <c r="G851" s="40"/>
    </row>
    <row r="852" spans="3:7" x14ac:dyDescent="0.3">
      <c r="C852" s="40"/>
      <c r="E852" s="40"/>
      <c r="G852" s="40"/>
    </row>
    <row r="853" spans="3:7" x14ac:dyDescent="0.3">
      <c r="C853" s="40"/>
      <c r="E853" s="40"/>
      <c r="G853" s="40"/>
    </row>
    <row r="854" spans="3:7" x14ac:dyDescent="0.3">
      <c r="C854" s="40"/>
      <c r="E854" s="40"/>
      <c r="G854" s="40"/>
    </row>
    <row r="855" spans="3:7" x14ac:dyDescent="0.3">
      <c r="C855" s="40"/>
      <c r="E855" s="40"/>
      <c r="G855" s="40"/>
    </row>
    <row r="856" spans="3:7" x14ac:dyDescent="0.3">
      <c r="C856" s="40"/>
      <c r="E856" s="40"/>
      <c r="G856" s="40"/>
    </row>
    <row r="857" spans="3:7" x14ac:dyDescent="0.3">
      <c r="C857" s="40"/>
      <c r="E857" s="40"/>
      <c r="G857" s="40"/>
    </row>
    <row r="858" spans="3:7" x14ac:dyDescent="0.3">
      <c r="C858" s="40"/>
      <c r="E858" s="40"/>
      <c r="G858" s="40"/>
    </row>
    <row r="859" spans="3:7" x14ac:dyDescent="0.3">
      <c r="C859" s="40"/>
      <c r="E859" s="40"/>
      <c r="G859" s="40"/>
    </row>
    <row r="860" spans="3:7" x14ac:dyDescent="0.3">
      <c r="C860" s="40"/>
      <c r="E860" s="40"/>
      <c r="G860" s="40"/>
    </row>
    <row r="861" spans="3:7" x14ac:dyDescent="0.3">
      <c r="C861" s="40"/>
      <c r="E861" s="40"/>
      <c r="G861" s="40"/>
    </row>
    <row r="862" spans="3:7" x14ac:dyDescent="0.3">
      <c r="C862" s="40"/>
      <c r="E862" s="40"/>
      <c r="G862" s="40"/>
    </row>
    <row r="863" spans="3:7" x14ac:dyDescent="0.3">
      <c r="C863" s="40"/>
      <c r="E863" s="40"/>
      <c r="G863" s="40"/>
    </row>
    <row r="864" spans="3:7" x14ac:dyDescent="0.3">
      <c r="C864" s="40"/>
      <c r="E864" s="40"/>
      <c r="G864" s="40"/>
    </row>
    <row r="865" spans="3:7" x14ac:dyDescent="0.3">
      <c r="C865" s="40"/>
      <c r="E865" s="40"/>
      <c r="G865" s="40"/>
    </row>
    <row r="866" spans="3:7" x14ac:dyDescent="0.3">
      <c r="C866" s="40"/>
      <c r="E866" s="40"/>
      <c r="G866" s="40"/>
    </row>
    <row r="867" spans="3:7" x14ac:dyDescent="0.3">
      <c r="C867" s="40"/>
      <c r="E867" s="40"/>
      <c r="G867" s="40"/>
    </row>
    <row r="868" spans="3:7" x14ac:dyDescent="0.3">
      <c r="C868" s="40"/>
      <c r="E868" s="40"/>
      <c r="G868" s="40"/>
    </row>
    <row r="869" spans="3:7" x14ac:dyDescent="0.3">
      <c r="C869" s="40"/>
      <c r="E869" s="40"/>
      <c r="G869" s="40"/>
    </row>
    <row r="870" spans="3:7" x14ac:dyDescent="0.3">
      <c r="C870" s="40"/>
      <c r="E870" s="40"/>
      <c r="G870" s="40"/>
    </row>
    <row r="871" spans="3:7" x14ac:dyDescent="0.3">
      <c r="C871" s="40"/>
      <c r="E871" s="40"/>
      <c r="G871" s="40"/>
    </row>
    <row r="872" spans="3:7" x14ac:dyDescent="0.3">
      <c r="C872" s="40"/>
      <c r="E872" s="40"/>
      <c r="G872" s="40"/>
    </row>
    <row r="873" spans="3:7" x14ac:dyDescent="0.3">
      <c r="C873" s="40"/>
      <c r="E873" s="40"/>
      <c r="G873" s="40"/>
    </row>
    <row r="874" spans="3:7" x14ac:dyDescent="0.3">
      <c r="C874" s="40"/>
      <c r="E874" s="40"/>
      <c r="G874" s="40"/>
    </row>
    <row r="875" spans="3:7" x14ac:dyDescent="0.3">
      <c r="C875" s="40"/>
      <c r="E875" s="40"/>
      <c r="G875" s="40"/>
    </row>
    <row r="876" spans="3:7" x14ac:dyDescent="0.3">
      <c r="C876" s="40"/>
      <c r="E876" s="40"/>
      <c r="G876" s="40"/>
    </row>
    <row r="877" spans="3:7" x14ac:dyDescent="0.3">
      <c r="C877" s="40"/>
      <c r="E877" s="40"/>
      <c r="G877" s="40"/>
    </row>
    <row r="878" spans="3:7" x14ac:dyDescent="0.3">
      <c r="C878" s="40"/>
      <c r="E878" s="40"/>
      <c r="G878" s="40"/>
    </row>
    <row r="879" spans="3:7" x14ac:dyDescent="0.3">
      <c r="C879" s="40"/>
      <c r="E879" s="40"/>
      <c r="G879" s="40"/>
    </row>
    <row r="880" spans="3:7" x14ac:dyDescent="0.3">
      <c r="C880" s="40"/>
      <c r="E880" s="40"/>
      <c r="G880" s="40"/>
    </row>
    <row r="881" spans="3:7" x14ac:dyDescent="0.3">
      <c r="C881" s="40"/>
      <c r="E881" s="40"/>
      <c r="G881" s="40"/>
    </row>
    <row r="882" spans="3:7" x14ac:dyDescent="0.3">
      <c r="C882" s="40"/>
      <c r="E882" s="40"/>
      <c r="G882" s="40"/>
    </row>
    <row r="883" spans="3:7" x14ac:dyDescent="0.3">
      <c r="C883" s="40"/>
      <c r="E883" s="40"/>
      <c r="G883" s="40"/>
    </row>
    <row r="884" spans="3:7" x14ac:dyDescent="0.3">
      <c r="C884" s="40"/>
      <c r="E884" s="40"/>
      <c r="G884" s="40"/>
    </row>
    <row r="885" spans="3:7" x14ac:dyDescent="0.3">
      <c r="C885" s="40"/>
      <c r="E885" s="40"/>
      <c r="G885" s="40"/>
    </row>
    <row r="886" spans="3:7" x14ac:dyDescent="0.3">
      <c r="C886" s="40"/>
      <c r="E886" s="40"/>
      <c r="G886" s="40"/>
    </row>
    <row r="887" spans="3:7" x14ac:dyDescent="0.3">
      <c r="C887" s="40"/>
      <c r="E887" s="40"/>
      <c r="G887" s="40"/>
    </row>
    <row r="888" spans="3:7" x14ac:dyDescent="0.3">
      <c r="C888" s="40"/>
      <c r="E888" s="40"/>
      <c r="G888" s="40"/>
    </row>
    <row r="889" spans="3:7" x14ac:dyDescent="0.3">
      <c r="C889" s="40"/>
      <c r="E889" s="40"/>
      <c r="G889" s="40"/>
    </row>
    <row r="890" spans="3:7" x14ac:dyDescent="0.3">
      <c r="C890" s="40"/>
      <c r="E890" s="40"/>
      <c r="G890" s="40"/>
    </row>
    <row r="891" spans="3:7" x14ac:dyDescent="0.3">
      <c r="C891" s="40"/>
      <c r="E891" s="40"/>
      <c r="G891" s="40"/>
    </row>
    <row r="892" spans="3:7" x14ac:dyDescent="0.3">
      <c r="C892" s="40"/>
      <c r="E892" s="40"/>
      <c r="G892" s="40"/>
    </row>
    <row r="893" spans="3:7" x14ac:dyDescent="0.3">
      <c r="C893" s="40"/>
      <c r="E893" s="40"/>
      <c r="G893" s="40"/>
    </row>
    <row r="894" spans="3:7" x14ac:dyDescent="0.3">
      <c r="C894" s="40"/>
      <c r="E894" s="40"/>
      <c r="G894" s="40"/>
    </row>
    <row r="895" spans="3:7" x14ac:dyDescent="0.3">
      <c r="C895" s="40"/>
      <c r="E895" s="40"/>
      <c r="G895" s="40"/>
    </row>
    <row r="896" spans="3:7" x14ac:dyDescent="0.3">
      <c r="C896" s="40"/>
      <c r="E896" s="40"/>
      <c r="G896" s="40"/>
    </row>
    <row r="897" spans="3:7" x14ac:dyDescent="0.3">
      <c r="C897" s="40"/>
      <c r="E897" s="40"/>
      <c r="G897" s="40"/>
    </row>
    <row r="898" spans="3:7" x14ac:dyDescent="0.3">
      <c r="C898" s="40"/>
      <c r="E898" s="40"/>
      <c r="G898" s="40"/>
    </row>
    <row r="899" spans="3:7" x14ac:dyDescent="0.3">
      <c r="C899" s="40"/>
      <c r="E899" s="40"/>
      <c r="G899" s="40"/>
    </row>
    <row r="900" spans="3:7" x14ac:dyDescent="0.3">
      <c r="C900" s="40"/>
      <c r="E900" s="40"/>
      <c r="G900" s="40"/>
    </row>
    <row r="901" spans="3:7" x14ac:dyDescent="0.3">
      <c r="C901" s="40"/>
      <c r="E901" s="40"/>
      <c r="G901" s="40"/>
    </row>
    <row r="902" spans="3:7" x14ac:dyDescent="0.3">
      <c r="C902" s="40"/>
      <c r="E902" s="40"/>
      <c r="G902" s="40"/>
    </row>
    <row r="903" spans="3:7" x14ac:dyDescent="0.3">
      <c r="C903" s="40"/>
      <c r="E903" s="40"/>
      <c r="G903" s="40"/>
    </row>
    <row r="904" spans="3:7" x14ac:dyDescent="0.3">
      <c r="C904" s="40"/>
      <c r="E904" s="40"/>
      <c r="G904" s="40"/>
    </row>
    <row r="905" spans="3:7" x14ac:dyDescent="0.3">
      <c r="C905" s="40"/>
      <c r="E905" s="40"/>
      <c r="G905" s="40"/>
    </row>
    <row r="906" spans="3:7" x14ac:dyDescent="0.3">
      <c r="C906" s="40"/>
      <c r="E906" s="40"/>
      <c r="G906" s="40"/>
    </row>
    <row r="907" spans="3:7" x14ac:dyDescent="0.3">
      <c r="C907" s="40"/>
      <c r="E907" s="40"/>
      <c r="G907" s="40"/>
    </row>
    <row r="908" spans="3:7" x14ac:dyDescent="0.3">
      <c r="C908" s="40"/>
      <c r="E908" s="40"/>
      <c r="G908" s="40"/>
    </row>
    <row r="909" spans="3:7" x14ac:dyDescent="0.3">
      <c r="C909" s="40"/>
      <c r="E909" s="40"/>
      <c r="G909" s="40"/>
    </row>
    <row r="910" spans="3:7" x14ac:dyDescent="0.3">
      <c r="C910" s="40"/>
      <c r="E910" s="40"/>
      <c r="G910" s="40"/>
    </row>
    <row r="911" spans="3:7" x14ac:dyDescent="0.3">
      <c r="C911" s="40"/>
      <c r="E911" s="40"/>
      <c r="G911" s="40"/>
    </row>
    <row r="912" spans="3:7" x14ac:dyDescent="0.3">
      <c r="C912" s="40"/>
      <c r="E912" s="40"/>
      <c r="G912" s="40"/>
    </row>
    <row r="913" spans="3:7" x14ac:dyDescent="0.3">
      <c r="C913" s="40"/>
      <c r="E913" s="40"/>
      <c r="G913" s="40"/>
    </row>
    <row r="914" spans="3:7" x14ac:dyDescent="0.3">
      <c r="C914" s="40"/>
      <c r="E914" s="40"/>
      <c r="G914" s="40"/>
    </row>
    <row r="915" spans="3:7" x14ac:dyDescent="0.3">
      <c r="C915" s="40"/>
      <c r="E915" s="40"/>
      <c r="G915" s="40"/>
    </row>
    <row r="916" spans="3:7" x14ac:dyDescent="0.3">
      <c r="C916" s="40"/>
      <c r="E916" s="40"/>
      <c r="G916" s="40"/>
    </row>
    <row r="917" spans="3:7" x14ac:dyDescent="0.3">
      <c r="C917" s="40"/>
      <c r="E917" s="40"/>
      <c r="G917" s="40"/>
    </row>
    <row r="918" spans="3:7" x14ac:dyDescent="0.3">
      <c r="C918" s="40"/>
      <c r="E918" s="40"/>
      <c r="G918" s="40"/>
    </row>
    <row r="919" spans="3:7" x14ac:dyDescent="0.3">
      <c r="C919" s="40"/>
      <c r="E919" s="40"/>
      <c r="G919" s="40"/>
    </row>
    <row r="920" spans="3:7" x14ac:dyDescent="0.3">
      <c r="C920" s="40"/>
      <c r="E920" s="40"/>
      <c r="G920" s="40"/>
    </row>
    <row r="921" spans="3:7" x14ac:dyDescent="0.3">
      <c r="C921" s="40"/>
      <c r="E921" s="40"/>
      <c r="G921" s="40"/>
    </row>
    <row r="922" spans="3:7" x14ac:dyDescent="0.3">
      <c r="C922" s="40"/>
      <c r="E922" s="40"/>
      <c r="G922" s="40"/>
    </row>
    <row r="923" spans="3:7" x14ac:dyDescent="0.3">
      <c r="C923" s="40"/>
      <c r="E923" s="40"/>
      <c r="G923" s="40"/>
    </row>
    <row r="924" spans="3:7" x14ac:dyDescent="0.3">
      <c r="C924" s="40"/>
      <c r="E924" s="40"/>
      <c r="G924" s="40"/>
    </row>
    <row r="925" spans="3:7" x14ac:dyDescent="0.3">
      <c r="C925" s="40"/>
      <c r="E925" s="40"/>
      <c r="G925" s="40"/>
    </row>
    <row r="926" spans="3:7" x14ac:dyDescent="0.3">
      <c r="C926" s="40"/>
      <c r="E926" s="40"/>
      <c r="G926" s="40"/>
    </row>
    <row r="927" spans="3:7" x14ac:dyDescent="0.3">
      <c r="C927" s="40"/>
      <c r="E927" s="40"/>
      <c r="G927" s="40"/>
    </row>
    <row r="928" spans="3:7" x14ac:dyDescent="0.3">
      <c r="C928" s="40"/>
      <c r="E928" s="40"/>
      <c r="G928" s="40"/>
    </row>
    <row r="929" spans="3:7" x14ac:dyDescent="0.3">
      <c r="C929" s="40"/>
      <c r="E929" s="40"/>
      <c r="G929" s="40"/>
    </row>
    <row r="930" spans="3:7" x14ac:dyDescent="0.3">
      <c r="C930" s="40"/>
      <c r="E930" s="40"/>
      <c r="G930" s="40"/>
    </row>
    <row r="931" spans="3:7" x14ac:dyDescent="0.3">
      <c r="C931" s="40"/>
      <c r="E931" s="40"/>
      <c r="G931" s="40"/>
    </row>
    <row r="932" spans="3:7" x14ac:dyDescent="0.3">
      <c r="C932" s="40"/>
      <c r="E932" s="40"/>
      <c r="G932" s="40"/>
    </row>
    <row r="933" spans="3:7" x14ac:dyDescent="0.3">
      <c r="C933" s="40"/>
      <c r="E933" s="40"/>
      <c r="G933" s="40"/>
    </row>
    <row r="934" spans="3:7" x14ac:dyDescent="0.3">
      <c r="C934" s="40"/>
      <c r="E934" s="40"/>
      <c r="G934" s="40"/>
    </row>
    <row r="935" spans="3:7" x14ac:dyDescent="0.3">
      <c r="C935" s="40"/>
      <c r="E935" s="40"/>
      <c r="G935" s="40"/>
    </row>
    <row r="936" spans="3:7" x14ac:dyDescent="0.3">
      <c r="C936" s="40"/>
      <c r="E936" s="40"/>
      <c r="G936" s="40"/>
    </row>
    <row r="937" spans="3:7" x14ac:dyDescent="0.3">
      <c r="C937" s="40"/>
      <c r="E937" s="40"/>
      <c r="G937" s="40"/>
    </row>
    <row r="938" spans="3:7" x14ac:dyDescent="0.3">
      <c r="C938" s="40"/>
      <c r="E938" s="40"/>
      <c r="G938" s="40"/>
    </row>
    <row r="939" spans="3:7" x14ac:dyDescent="0.3">
      <c r="C939" s="40"/>
      <c r="E939" s="40"/>
      <c r="G939" s="40"/>
    </row>
    <row r="940" spans="3:7" x14ac:dyDescent="0.3">
      <c r="C940" s="40"/>
      <c r="E940" s="40"/>
      <c r="G940" s="40"/>
    </row>
    <row r="941" spans="3:7" x14ac:dyDescent="0.3">
      <c r="C941" s="40"/>
      <c r="E941" s="40"/>
      <c r="G941" s="40"/>
    </row>
    <row r="942" spans="3:7" x14ac:dyDescent="0.3">
      <c r="C942" s="40"/>
      <c r="E942" s="40"/>
      <c r="G942" s="40"/>
    </row>
    <row r="943" spans="3:7" x14ac:dyDescent="0.3">
      <c r="C943" s="40"/>
      <c r="E943" s="40"/>
      <c r="G943" s="40"/>
    </row>
    <row r="944" spans="3:7" x14ac:dyDescent="0.3">
      <c r="C944" s="40"/>
      <c r="E944" s="40"/>
      <c r="G944" s="40"/>
    </row>
    <row r="945" spans="3:7" x14ac:dyDescent="0.3">
      <c r="C945" s="40"/>
      <c r="E945" s="40"/>
      <c r="G945" s="40"/>
    </row>
    <row r="946" spans="3:7" x14ac:dyDescent="0.3">
      <c r="C946" s="40"/>
      <c r="E946" s="40"/>
      <c r="G946" s="40"/>
    </row>
    <row r="947" spans="3:7" x14ac:dyDescent="0.3">
      <c r="C947" s="40"/>
      <c r="E947" s="40"/>
      <c r="G947" s="40"/>
    </row>
    <row r="948" spans="3:7" x14ac:dyDescent="0.3">
      <c r="C948" s="40"/>
      <c r="E948" s="40"/>
      <c r="G948" s="40"/>
    </row>
    <row r="949" spans="3:7" x14ac:dyDescent="0.3">
      <c r="C949" s="40"/>
      <c r="E949" s="40"/>
      <c r="G949" s="40"/>
    </row>
    <row r="950" spans="3:7" x14ac:dyDescent="0.3">
      <c r="C950" s="40"/>
      <c r="E950" s="40"/>
      <c r="G950" s="40"/>
    </row>
    <row r="951" spans="3:7" x14ac:dyDescent="0.3">
      <c r="C951" s="40"/>
      <c r="E951" s="40"/>
      <c r="G951" s="40"/>
    </row>
    <row r="952" spans="3:7" x14ac:dyDescent="0.3">
      <c r="C952" s="40"/>
      <c r="E952" s="40"/>
      <c r="G952" s="40"/>
    </row>
    <row r="953" spans="3:7" x14ac:dyDescent="0.3">
      <c r="C953" s="40"/>
      <c r="E953" s="40"/>
      <c r="G953" s="40"/>
    </row>
    <row r="954" spans="3:7" x14ac:dyDescent="0.3">
      <c r="C954" s="40"/>
      <c r="E954" s="40"/>
      <c r="G954" s="40"/>
    </row>
    <row r="955" spans="3:7" x14ac:dyDescent="0.3">
      <c r="C955" s="40"/>
      <c r="E955" s="40"/>
      <c r="G955" s="40"/>
    </row>
    <row r="956" spans="3:7" x14ac:dyDescent="0.3">
      <c r="C956" s="40"/>
      <c r="E956" s="40"/>
      <c r="G956" s="40"/>
    </row>
    <row r="957" spans="3:7" x14ac:dyDescent="0.3">
      <c r="C957" s="40"/>
      <c r="E957" s="40"/>
      <c r="G957" s="40"/>
    </row>
    <row r="958" spans="3:7" x14ac:dyDescent="0.3">
      <c r="C958" s="40"/>
      <c r="E958" s="40"/>
      <c r="G958" s="40"/>
    </row>
    <row r="959" spans="3:7" x14ac:dyDescent="0.3">
      <c r="C959" s="40"/>
      <c r="E959" s="40"/>
      <c r="G959" s="40"/>
    </row>
    <row r="960" spans="3:7" x14ac:dyDescent="0.3">
      <c r="C960" s="40"/>
      <c r="E960" s="40"/>
      <c r="G960" s="40"/>
    </row>
    <row r="961" spans="3:7" x14ac:dyDescent="0.3">
      <c r="C961" s="40"/>
      <c r="E961" s="40"/>
      <c r="G961" s="40"/>
    </row>
    <row r="962" spans="3:7" x14ac:dyDescent="0.3">
      <c r="C962" s="40"/>
      <c r="E962" s="40"/>
      <c r="G962" s="40"/>
    </row>
    <row r="963" spans="3:7" x14ac:dyDescent="0.3">
      <c r="C963" s="40"/>
      <c r="E963" s="40"/>
      <c r="G963" s="40"/>
    </row>
    <row r="964" spans="3:7" x14ac:dyDescent="0.3">
      <c r="C964" s="40"/>
      <c r="E964" s="40"/>
      <c r="G964" s="40"/>
    </row>
    <row r="965" spans="3:7" x14ac:dyDescent="0.3">
      <c r="C965" s="40"/>
      <c r="E965" s="40"/>
      <c r="G965" s="40"/>
    </row>
    <row r="966" spans="3:7" x14ac:dyDescent="0.3">
      <c r="C966" s="40"/>
      <c r="E966" s="40"/>
      <c r="G966" s="40"/>
    </row>
    <row r="967" spans="3:7" x14ac:dyDescent="0.3">
      <c r="C967" s="40"/>
      <c r="E967" s="40"/>
      <c r="G967" s="40"/>
    </row>
    <row r="968" spans="3:7" x14ac:dyDescent="0.3">
      <c r="C968" s="40"/>
      <c r="E968" s="40"/>
      <c r="G968" s="40"/>
    </row>
    <row r="969" spans="3:7" x14ac:dyDescent="0.3">
      <c r="C969" s="40"/>
      <c r="E969" s="40"/>
      <c r="G969" s="40"/>
    </row>
    <row r="970" spans="3:7" x14ac:dyDescent="0.3">
      <c r="C970" s="40"/>
      <c r="E970" s="40"/>
      <c r="G970" s="40"/>
    </row>
    <row r="971" spans="3:7" x14ac:dyDescent="0.3">
      <c r="C971" s="40"/>
      <c r="E971" s="40"/>
      <c r="G971" s="40"/>
    </row>
    <row r="972" spans="3:7" x14ac:dyDescent="0.3">
      <c r="C972" s="40"/>
      <c r="E972" s="40"/>
      <c r="G972" s="40"/>
    </row>
    <row r="973" spans="3:7" x14ac:dyDescent="0.3">
      <c r="C973" s="40"/>
      <c r="E973" s="40"/>
      <c r="G973" s="40"/>
    </row>
    <row r="974" spans="3:7" x14ac:dyDescent="0.3">
      <c r="C974" s="40"/>
      <c r="E974" s="40"/>
      <c r="G974" s="40"/>
    </row>
    <row r="975" spans="3:7" x14ac:dyDescent="0.3">
      <c r="C975" s="40"/>
      <c r="E975" s="40"/>
      <c r="G975" s="40"/>
    </row>
    <row r="976" spans="3:7" x14ac:dyDescent="0.3">
      <c r="C976" s="40"/>
      <c r="E976" s="40"/>
      <c r="G976" s="40"/>
    </row>
    <row r="977" spans="3:7" x14ac:dyDescent="0.3">
      <c r="C977" s="40"/>
      <c r="E977" s="40"/>
      <c r="G977" s="40"/>
    </row>
    <row r="978" spans="3:7" x14ac:dyDescent="0.3">
      <c r="C978" s="40"/>
      <c r="E978" s="40"/>
      <c r="G978" s="40"/>
    </row>
    <row r="979" spans="3:7" x14ac:dyDescent="0.3">
      <c r="C979" s="40"/>
      <c r="E979" s="40"/>
      <c r="G979" s="40"/>
    </row>
    <row r="980" spans="3:7" x14ac:dyDescent="0.3">
      <c r="C980" s="40"/>
      <c r="E980" s="40"/>
      <c r="G980" s="40"/>
    </row>
    <row r="981" spans="3:7" x14ac:dyDescent="0.3">
      <c r="C981" s="40"/>
      <c r="E981" s="40"/>
      <c r="G981" s="40"/>
    </row>
    <row r="982" spans="3:7" x14ac:dyDescent="0.3">
      <c r="C982" s="40"/>
      <c r="E982" s="40"/>
      <c r="G982" s="40"/>
    </row>
    <row r="983" spans="3:7" x14ac:dyDescent="0.3">
      <c r="C983" s="40"/>
      <c r="E983" s="40"/>
      <c r="G983" s="40"/>
    </row>
    <row r="984" spans="3:7" x14ac:dyDescent="0.3">
      <c r="C984" s="40"/>
      <c r="E984" s="40"/>
      <c r="G984" s="40"/>
    </row>
    <row r="985" spans="3:7" x14ac:dyDescent="0.3">
      <c r="C985" s="40"/>
      <c r="E985" s="40"/>
      <c r="G985" s="40"/>
    </row>
    <row r="986" spans="3:7" x14ac:dyDescent="0.3">
      <c r="C986" s="40"/>
      <c r="E986" s="40"/>
      <c r="G986" s="40"/>
    </row>
    <row r="987" spans="3:7" x14ac:dyDescent="0.3">
      <c r="C987" s="40"/>
      <c r="E987" s="40"/>
      <c r="G987" s="40"/>
    </row>
    <row r="988" spans="3:7" x14ac:dyDescent="0.3">
      <c r="C988" s="40"/>
      <c r="E988" s="40"/>
      <c r="G988" s="40"/>
    </row>
    <row r="989" spans="3:7" x14ac:dyDescent="0.3">
      <c r="C989" s="40"/>
      <c r="E989" s="40"/>
      <c r="G989" s="40"/>
    </row>
    <row r="990" spans="3:7" x14ac:dyDescent="0.3">
      <c r="C990" s="40"/>
      <c r="E990" s="40"/>
      <c r="G990" s="40"/>
    </row>
    <row r="991" spans="3:7" x14ac:dyDescent="0.3">
      <c r="C991" s="40"/>
      <c r="E991" s="40"/>
      <c r="G991" s="40"/>
    </row>
    <row r="992" spans="3:7" x14ac:dyDescent="0.3">
      <c r="C992" s="40"/>
      <c r="E992" s="40"/>
      <c r="G992" s="40"/>
    </row>
    <row r="993" spans="3:7" x14ac:dyDescent="0.3">
      <c r="C993" s="40"/>
      <c r="E993" s="40"/>
      <c r="G993" s="40"/>
    </row>
    <row r="994" spans="3:7" x14ac:dyDescent="0.3">
      <c r="C994" s="40"/>
      <c r="E994" s="40"/>
      <c r="G994" s="40"/>
    </row>
    <row r="995" spans="3:7" x14ac:dyDescent="0.3">
      <c r="C995" s="40"/>
      <c r="E995" s="40"/>
      <c r="G995" s="40"/>
    </row>
    <row r="996" spans="3:7" x14ac:dyDescent="0.3">
      <c r="C996" s="40"/>
      <c r="E996" s="40"/>
      <c r="G996" s="40"/>
    </row>
    <row r="997" spans="3:7" x14ac:dyDescent="0.3">
      <c r="C997" s="40"/>
      <c r="E997" s="40"/>
      <c r="G997" s="40"/>
    </row>
    <row r="998" spans="3:7" x14ac:dyDescent="0.3">
      <c r="C998" s="40"/>
      <c r="E998" s="40"/>
      <c r="G998" s="40"/>
    </row>
    <row r="999" spans="3:7" x14ac:dyDescent="0.3">
      <c r="C999" s="40"/>
      <c r="E999" s="40"/>
      <c r="G999" s="40"/>
    </row>
    <row r="1000" spans="3:7" x14ac:dyDescent="0.3">
      <c r="C1000" s="40"/>
      <c r="E1000" s="40"/>
      <c r="G1000" s="40"/>
    </row>
    <row r="1001" spans="3:7" x14ac:dyDescent="0.3">
      <c r="C1001" s="40"/>
      <c r="E1001" s="40"/>
      <c r="G1001" s="40"/>
    </row>
    <row r="1002" spans="3:7" x14ac:dyDescent="0.3">
      <c r="C1002" s="40"/>
      <c r="E1002" s="40"/>
      <c r="G1002" s="40"/>
    </row>
    <row r="1003" spans="3:7" x14ac:dyDescent="0.3">
      <c r="C1003" s="40"/>
      <c r="E1003" s="40"/>
      <c r="G1003" s="40"/>
    </row>
    <row r="1004" spans="3:7" x14ac:dyDescent="0.3">
      <c r="C1004" s="40"/>
      <c r="E1004" s="40"/>
      <c r="G1004" s="40"/>
    </row>
    <row r="1005" spans="3:7" x14ac:dyDescent="0.3">
      <c r="C1005" s="40"/>
      <c r="E1005" s="40"/>
      <c r="G1005" s="40"/>
    </row>
    <row r="1006" spans="3:7" x14ac:dyDescent="0.3">
      <c r="C1006" s="40"/>
      <c r="E1006" s="40"/>
      <c r="G1006" s="40"/>
    </row>
    <row r="1007" spans="3:7" x14ac:dyDescent="0.3">
      <c r="C1007" s="40"/>
      <c r="E1007" s="40"/>
      <c r="G1007" s="40"/>
    </row>
    <row r="1008" spans="3:7" x14ac:dyDescent="0.3">
      <c r="C1008" s="40"/>
      <c r="E1008" s="40"/>
      <c r="G1008" s="40"/>
    </row>
    <row r="1009" spans="3:7" x14ac:dyDescent="0.3">
      <c r="C1009" s="40"/>
      <c r="E1009" s="40"/>
      <c r="G1009" s="40"/>
    </row>
    <row r="1010" spans="3:7" x14ac:dyDescent="0.3">
      <c r="C1010" s="40"/>
      <c r="E1010" s="40"/>
      <c r="G1010" s="40"/>
    </row>
    <row r="1011" spans="3:7" x14ac:dyDescent="0.3">
      <c r="C1011" s="40"/>
      <c r="E1011" s="40"/>
      <c r="G1011" s="40"/>
    </row>
    <row r="1012" spans="3:7" x14ac:dyDescent="0.3">
      <c r="C1012" s="40"/>
      <c r="E1012" s="40"/>
      <c r="G1012" s="40"/>
    </row>
    <row r="1013" spans="3:7" x14ac:dyDescent="0.3">
      <c r="C1013" s="40"/>
      <c r="E1013" s="40"/>
      <c r="G1013" s="40"/>
    </row>
    <row r="1014" spans="3:7" x14ac:dyDescent="0.3">
      <c r="C1014" s="40"/>
      <c r="E1014" s="40"/>
      <c r="G1014" s="40"/>
    </row>
    <row r="1015" spans="3:7" x14ac:dyDescent="0.3">
      <c r="C1015" s="40"/>
      <c r="E1015" s="40"/>
      <c r="G1015" s="40"/>
    </row>
    <row r="1016" spans="3:7" x14ac:dyDescent="0.3">
      <c r="C1016" s="40"/>
      <c r="E1016" s="40"/>
      <c r="G1016" s="40"/>
    </row>
    <row r="1017" spans="3:7" x14ac:dyDescent="0.3">
      <c r="C1017" s="40"/>
      <c r="E1017" s="40"/>
      <c r="G1017" s="40"/>
    </row>
    <row r="1018" spans="3:7" x14ac:dyDescent="0.3">
      <c r="C1018" s="40"/>
      <c r="E1018" s="40"/>
      <c r="G1018" s="40"/>
    </row>
    <row r="1019" spans="3:7" x14ac:dyDescent="0.3">
      <c r="C1019" s="40"/>
      <c r="E1019" s="40"/>
      <c r="G1019" s="40"/>
    </row>
    <row r="1020" spans="3:7" x14ac:dyDescent="0.3">
      <c r="C1020" s="40"/>
      <c r="E1020" s="40"/>
      <c r="G1020" s="40"/>
    </row>
    <row r="1021" spans="3:7" x14ac:dyDescent="0.3">
      <c r="C1021" s="40"/>
      <c r="E1021" s="40"/>
      <c r="G1021" s="40"/>
    </row>
    <row r="1022" spans="3:7" x14ac:dyDescent="0.3">
      <c r="C1022" s="40"/>
      <c r="E1022" s="40"/>
      <c r="G1022" s="40"/>
    </row>
    <row r="1023" spans="3:7" x14ac:dyDescent="0.3">
      <c r="C1023" s="40"/>
      <c r="E1023" s="40"/>
      <c r="G1023" s="40"/>
    </row>
    <row r="1024" spans="3:7" x14ac:dyDescent="0.3">
      <c r="C1024" s="40"/>
      <c r="E1024" s="40"/>
      <c r="G1024" s="40"/>
    </row>
    <row r="1025" spans="3:7" x14ac:dyDescent="0.3">
      <c r="C1025" s="40"/>
      <c r="E1025" s="40"/>
      <c r="G1025" s="40"/>
    </row>
    <row r="1026" spans="3:7" x14ac:dyDescent="0.3">
      <c r="C1026" s="40"/>
      <c r="E1026" s="40"/>
      <c r="G1026" s="40"/>
    </row>
    <row r="1027" spans="3:7" x14ac:dyDescent="0.3">
      <c r="C1027" s="40"/>
      <c r="E1027" s="40"/>
      <c r="G1027" s="40"/>
    </row>
    <row r="1028" spans="3:7" x14ac:dyDescent="0.3">
      <c r="C1028" s="40"/>
      <c r="E1028" s="40"/>
      <c r="G1028" s="40"/>
    </row>
    <row r="1029" spans="3:7" x14ac:dyDescent="0.3">
      <c r="C1029" s="40"/>
      <c r="E1029" s="40"/>
      <c r="G1029" s="40"/>
    </row>
    <row r="1030" spans="3:7" x14ac:dyDescent="0.3">
      <c r="C1030" s="40"/>
      <c r="E1030" s="40"/>
      <c r="G1030" s="40"/>
    </row>
    <row r="1031" spans="3:7" x14ac:dyDescent="0.3">
      <c r="C1031" s="40"/>
      <c r="E1031" s="40"/>
      <c r="G1031" s="40"/>
    </row>
    <row r="1032" spans="3:7" x14ac:dyDescent="0.3">
      <c r="C1032" s="40"/>
      <c r="E1032" s="40"/>
      <c r="G1032" s="40"/>
    </row>
    <row r="1033" spans="3:7" x14ac:dyDescent="0.3">
      <c r="C1033" s="40"/>
      <c r="E1033" s="40"/>
      <c r="G1033" s="40"/>
    </row>
    <row r="1034" spans="3:7" x14ac:dyDescent="0.3">
      <c r="C1034" s="40"/>
      <c r="E1034" s="40"/>
      <c r="G1034" s="40"/>
    </row>
    <row r="1035" spans="3:7" x14ac:dyDescent="0.3">
      <c r="C1035" s="40"/>
      <c r="E1035" s="40"/>
      <c r="G1035" s="40"/>
    </row>
    <row r="1036" spans="3:7" x14ac:dyDescent="0.3">
      <c r="C1036" s="40"/>
      <c r="E1036" s="40"/>
      <c r="G1036" s="40"/>
    </row>
    <row r="1037" spans="3:7" x14ac:dyDescent="0.3">
      <c r="C1037" s="40"/>
      <c r="E1037" s="40"/>
      <c r="G1037" s="40"/>
    </row>
    <row r="1038" spans="3:7" x14ac:dyDescent="0.3">
      <c r="C1038" s="40"/>
      <c r="E1038" s="40"/>
      <c r="G1038" s="40"/>
    </row>
    <row r="1039" spans="3:7" x14ac:dyDescent="0.3">
      <c r="C1039" s="40"/>
      <c r="E1039" s="40"/>
      <c r="G1039" s="40"/>
    </row>
    <row r="1040" spans="3:7" x14ac:dyDescent="0.3">
      <c r="C1040" s="40"/>
      <c r="E1040" s="40"/>
      <c r="G1040" s="40"/>
    </row>
    <row r="1041" spans="3:7" x14ac:dyDescent="0.3">
      <c r="C1041" s="40"/>
      <c r="E1041" s="40"/>
      <c r="G1041" s="40"/>
    </row>
    <row r="1042" spans="3:7" x14ac:dyDescent="0.3">
      <c r="C1042" s="40"/>
      <c r="E1042" s="40"/>
      <c r="G1042" s="40"/>
    </row>
    <row r="1043" spans="3:7" x14ac:dyDescent="0.3">
      <c r="C1043" s="40"/>
      <c r="E1043" s="40"/>
      <c r="G1043" s="40"/>
    </row>
    <row r="1044" spans="3:7" x14ac:dyDescent="0.3">
      <c r="C1044" s="40"/>
      <c r="E1044" s="40"/>
      <c r="G1044" s="40"/>
    </row>
    <row r="1045" spans="3:7" x14ac:dyDescent="0.3">
      <c r="C1045" s="40"/>
      <c r="E1045" s="40"/>
      <c r="G1045" s="40"/>
    </row>
    <row r="1046" spans="3:7" x14ac:dyDescent="0.3">
      <c r="C1046" s="40"/>
      <c r="E1046" s="40"/>
      <c r="G1046" s="40"/>
    </row>
    <row r="1047" spans="3:7" x14ac:dyDescent="0.3">
      <c r="C1047" s="40"/>
      <c r="E1047" s="40"/>
      <c r="G1047" s="40"/>
    </row>
    <row r="1048" spans="3:7" x14ac:dyDescent="0.3">
      <c r="C1048" s="40"/>
      <c r="E1048" s="40"/>
      <c r="G1048" s="40"/>
    </row>
    <row r="1049" spans="3:7" x14ac:dyDescent="0.3">
      <c r="C1049" s="40"/>
      <c r="E1049" s="40"/>
      <c r="G1049" s="40"/>
    </row>
    <row r="1050" spans="3:7" x14ac:dyDescent="0.3">
      <c r="C1050" s="40"/>
      <c r="E1050" s="40"/>
      <c r="G1050" s="40"/>
    </row>
    <row r="1051" spans="3:7" x14ac:dyDescent="0.3">
      <c r="C1051" s="40"/>
      <c r="E1051" s="40"/>
      <c r="G1051" s="40"/>
    </row>
    <row r="1052" spans="3:7" x14ac:dyDescent="0.3">
      <c r="C1052" s="40"/>
      <c r="E1052" s="40"/>
      <c r="G1052" s="40"/>
    </row>
    <row r="1053" spans="3:7" x14ac:dyDescent="0.3">
      <c r="C1053" s="40"/>
      <c r="E1053" s="40"/>
      <c r="G1053" s="40"/>
    </row>
    <row r="1054" spans="3:7" x14ac:dyDescent="0.3">
      <c r="C1054" s="40"/>
      <c r="E1054" s="40"/>
      <c r="G1054" s="40"/>
    </row>
    <row r="1055" spans="3:7" x14ac:dyDescent="0.3">
      <c r="C1055" s="40"/>
      <c r="E1055" s="40"/>
      <c r="G1055" s="40"/>
    </row>
    <row r="1056" spans="3:7" x14ac:dyDescent="0.3">
      <c r="C1056" s="40"/>
      <c r="E1056" s="40"/>
      <c r="G1056" s="40"/>
    </row>
    <row r="1057" spans="3:7" x14ac:dyDescent="0.3">
      <c r="C1057" s="40"/>
      <c r="E1057" s="40"/>
      <c r="G1057" s="40"/>
    </row>
    <row r="1058" spans="3:7" x14ac:dyDescent="0.3">
      <c r="C1058" s="40"/>
      <c r="E1058" s="40"/>
      <c r="G1058" s="40"/>
    </row>
    <row r="1059" spans="3:7" x14ac:dyDescent="0.3">
      <c r="C1059" s="40"/>
      <c r="E1059" s="40"/>
      <c r="G1059" s="40"/>
    </row>
    <row r="1060" spans="3:7" x14ac:dyDescent="0.3">
      <c r="C1060" s="40"/>
      <c r="E1060" s="40"/>
      <c r="G1060" s="40"/>
    </row>
    <row r="1061" spans="3:7" x14ac:dyDescent="0.3">
      <c r="C1061" s="40"/>
      <c r="E1061" s="40"/>
      <c r="G1061" s="40"/>
    </row>
    <row r="1062" spans="3:7" x14ac:dyDescent="0.3">
      <c r="C1062" s="40"/>
      <c r="E1062" s="40"/>
      <c r="G1062" s="40"/>
    </row>
    <row r="1063" spans="3:7" x14ac:dyDescent="0.3">
      <c r="C1063" s="40"/>
      <c r="E1063" s="40"/>
      <c r="G1063" s="40"/>
    </row>
    <row r="1064" spans="3:7" x14ac:dyDescent="0.3">
      <c r="C1064" s="40"/>
      <c r="E1064" s="40"/>
      <c r="G1064" s="40"/>
    </row>
    <row r="1065" spans="3:7" x14ac:dyDescent="0.3">
      <c r="C1065" s="40"/>
      <c r="E1065" s="40"/>
      <c r="G1065" s="40"/>
    </row>
    <row r="1066" spans="3:7" x14ac:dyDescent="0.3">
      <c r="C1066" s="40"/>
      <c r="E1066" s="40"/>
      <c r="G1066" s="40"/>
    </row>
    <row r="1067" spans="3:7" x14ac:dyDescent="0.3">
      <c r="C1067" s="40"/>
      <c r="E1067" s="40"/>
      <c r="G1067" s="40"/>
    </row>
    <row r="1068" spans="3:7" x14ac:dyDescent="0.3">
      <c r="C1068" s="40"/>
      <c r="E1068" s="40"/>
      <c r="G1068" s="40"/>
    </row>
    <row r="1069" spans="3:7" x14ac:dyDescent="0.3">
      <c r="C1069" s="40"/>
      <c r="E1069" s="40"/>
      <c r="G1069" s="40"/>
    </row>
    <row r="1070" spans="3:7" x14ac:dyDescent="0.3">
      <c r="C1070" s="40"/>
      <c r="E1070" s="40"/>
      <c r="G1070" s="40"/>
    </row>
    <row r="1071" spans="3:7" x14ac:dyDescent="0.3">
      <c r="C1071" s="40"/>
      <c r="E1071" s="40"/>
      <c r="G1071" s="40"/>
    </row>
    <row r="1072" spans="3:7" x14ac:dyDescent="0.3">
      <c r="C1072" s="40"/>
      <c r="E1072" s="40"/>
      <c r="G1072" s="40"/>
    </row>
    <row r="1073" spans="3:7" x14ac:dyDescent="0.3">
      <c r="C1073" s="40"/>
      <c r="E1073" s="40"/>
      <c r="G1073" s="40"/>
    </row>
    <row r="1074" spans="3:7" x14ac:dyDescent="0.3">
      <c r="C1074" s="40"/>
      <c r="E1074" s="40"/>
      <c r="G1074" s="40"/>
    </row>
    <row r="1075" spans="3:7" x14ac:dyDescent="0.3">
      <c r="C1075" s="40"/>
      <c r="E1075" s="40"/>
      <c r="G1075" s="40"/>
    </row>
    <row r="1076" spans="3:7" x14ac:dyDescent="0.3">
      <c r="C1076" s="40"/>
      <c r="E1076" s="40"/>
      <c r="G1076" s="40"/>
    </row>
    <row r="1077" spans="3:7" x14ac:dyDescent="0.3">
      <c r="C1077" s="40"/>
      <c r="E1077" s="40"/>
      <c r="G1077" s="40"/>
    </row>
    <row r="1078" spans="3:7" x14ac:dyDescent="0.3">
      <c r="C1078" s="40"/>
      <c r="E1078" s="40"/>
      <c r="G1078" s="40"/>
    </row>
    <row r="1079" spans="3:7" x14ac:dyDescent="0.3">
      <c r="C1079" s="40"/>
      <c r="E1079" s="40"/>
      <c r="G1079" s="40"/>
    </row>
    <row r="1080" spans="3:7" x14ac:dyDescent="0.3">
      <c r="C1080" s="40"/>
      <c r="E1080" s="40"/>
      <c r="G1080" s="40"/>
    </row>
    <row r="1081" spans="3:7" x14ac:dyDescent="0.3">
      <c r="C1081" s="40"/>
      <c r="E1081" s="40"/>
      <c r="G1081" s="40"/>
    </row>
    <row r="1082" spans="3:7" x14ac:dyDescent="0.3">
      <c r="C1082" s="40"/>
      <c r="E1082" s="40"/>
      <c r="G1082" s="40"/>
    </row>
    <row r="1083" spans="3:7" x14ac:dyDescent="0.3">
      <c r="C1083" s="40"/>
      <c r="E1083" s="40"/>
      <c r="G1083" s="40"/>
    </row>
    <row r="1084" spans="3:7" x14ac:dyDescent="0.3">
      <c r="C1084" s="40"/>
      <c r="E1084" s="40"/>
      <c r="G1084" s="40"/>
    </row>
    <row r="1085" spans="3:7" x14ac:dyDescent="0.3">
      <c r="C1085" s="40"/>
      <c r="E1085" s="40"/>
      <c r="G1085" s="40"/>
    </row>
    <row r="1086" spans="3:7" x14ac:dyDescent="0.3">
      <c r="C1086" s="40"/>
      <c r="E1086" s="40"/>
      <c r="G1086" s="40"/>
    </row>
    <row r="1087" spans="3:7" x14ac:dyDescent="0.3">
      <c r="C1087" s="40"/>
      <c r="E1087" s="40"/>
      <c r="G1087" s="40"/>
    </row>
    <row r="1088" spans="3:7" x14ac:dyDescent="0.3">
      <c r="C1088" s="40"/>
      <c r="E1088" s="40"/>
      <c r="G1088" s="40"/>
    </row>
    <row r="1089" spans="3:7" x14ac:dyDescent="0.3">
      <c r="C1089" s="40"/>
      <c r="E1089" s="40"/>
      <c r="G1089" s="40"/>
    </row>
    <row r="1090" spans="3:7" x14ac:dyDescent="0.3">
      <c r="C1090" s="40"/>
      <c r="E1090" s="40"/>
      <c r="G1090" s="40"/>
    </row>
    <row r="1091" spans="3:7" x14ac:dyDescent="0.3">
      <c r="C1091" s="40"/>
      <c r="E1091" s="40"/>
      <c r="G1091" s="40"/>
    </row>
    <row r="1092" spans="3:7" x14ac:dyDescent="0.3">
      <c r="C1092" s="40"/>
      <c r="E1092" s="40"/>
      <c r="G1092" s="40"/>
    </row>
    <row r="1093" spans="3:7" x14ac:dyDescent="0.3">
      <c r="C1093" s="40"/>
      <c r="E1093" s="40"/>
      <c r="G1093" s="40"/>
    </row>
    <row r="1094" spans="3:7" x14ac:dyDescent="0.3">
      <c r="C1094" s="40"/>
      <c r="E1094" s="40"/>
      <c r="G1094" s="40"/>
    </row>
    <row r="1095" spans="3:7" x14ac:dyDescent="0.3">
      <c r="C1095" s="40"/>
      <c r="E1095" s="40"/>
      <c r="G1095" s="40"/>
    </row>
    <row r="1096" spans="3:7" x14ac:dyDescent="0.3">
      <c r="C1096" s="40"/>
      <c r="E1096" s="40"/>
      <c r="G1096" s="40"/>
    </row>
    <row r="1097" spans="3:7" x14ac:dyDescent="0.3">
      <c r="C1097" s="40"/>
      <c r="E1097" s="40"/>
      <c r="G1097" s="40"/>
    </row>
    <row r="1098" spans="3:7" x14ac:dyDescent="0.3">
      <c r="C1098" s="40"/>
      <c r="E1098" s="40"/>
      <c r="G1098" s="40"/>
    </row>
    <row r="1099" spans="3:7" x14ac:dyDescent="0.3">
      <c r="C1099" s="40"/>
      <c r="E1099" s="40"/>
      <c r="G1099" s="40"/>
    </row>
    <row r="1100" spans="3:7" x14ac:dyDescent="0.3">
      <c r="C1100" s="40"/>
      <c r="E1100" s="40"/>
      <c r="G1100" s="40"/>
    </row>
    <row r="1101" spans="3:7" x14ac:dyDescent="0.3">
      <c r="C1101" s="40"/>
      <c r="E1101" s="40"/>
      <c r="G1101" s="40"/>
    </row>
    <row r="1102" spans="3:7" x14ac:dyDescent="0.3">
      <c r="C1102" s="40"/>
      <c r="E1102" s="40"/>
      <c r="G1102" s="40"/>
    </row>
    <row r="1103" spans="3:7" x14ac:dyDescent="0.3">
      <c r="C1103" s="40"/>
      <c r="E1103" s="40"/>
      <c r="G1103" s="40"/>
    </row>
    <row r="1104" spans="3:7" x14ac:dyDescent="0.3">
      <c r="C1104" s="40"/>
      <c r="E1104" s="40"/>
      <c r="G1104" s="40"/>
    </row>
    <row r="1105" spans="3:7" x14ac:dyDescent="0.3">
      <c r="C1105" s="40"/>
      <c r="E1105" s="40"/>
      <c r="G1105" s="40"/>
    </row>
    <row r="1106" spans="3:7" x14ac:dyDescent="0.3">
      <c r="C1106" s="40"/>
      <c r="E1106" s="40"/>
      <c r="G1106" s="40"/>
    </row>
    <row r="1107" spans="3:7" x14ac:dyDescent="0.3">
      <c r="C1107" s="40"/>
      <c r="E1107" s="40"/>
      <c r="G1107" s="40"/>
    </row>
    <row r="1108" spans="3:7" x14ac:dyDescent="0.3">
      <c r="C1108" s="40"/>
      <c r="E1108" s="40"/>
      <c r="G1108" s="40"/>
    </row>
    <row r="1109" spans="3:7" x14ac:dyDescent="0.3">
      <c r="C1109" s="40"/>
      <c r="E1109" s="40"/>
      <c r="G1109" s="40"/>
    </row>
    <row r="1110" spans="3:7" x14ac:dyDescent="0.3">
      <c r="C1110" s="40"/>
      <c r="E1110" s="40"/>
      <c r="G1110" s="40"/>
    </row>
    <row r="1111" spans="3:7" x14ac:dyDescent="0.3">
      <c r="C1111" s="40"/>
      <c r="E1111" s="40"/>
      <c r="G1111" s="40"/>
    </row>
    <row r="1112" spans="3:7" x14ac:dyDescent="0.3">
      <c r="C1112" s="40"/>
      <c r="E1112" s="40"/>
      <c r="G1112" s="40"/>
    </row>
    <row r="1113" spans="3:7" x14ac:dyDescent="0.3">
      <c r="C1113" s="40"/>
      <c r="E1113" s="40"/>
      <c r="G1113" s="40"/>
    </row>
    <row r="1114" spans="3:7" x14ac:dyDescent="0.3">
      <c r="C1114" s="40"/>
      <c r="E1114" s="40"/>
      <c r="G1114" s="40"/>
    </row>
    <row r="1115" spans="3:7" x14ac:dyDescent="0.3">
      <c r="C1115" s="40"/>
      <c r="E1115" s="40"/>
      <c r="G1115" s="40"/>
    </row>
    <row r="1116" spans="3:7" x14ac:dyDescent="0.3">
      <c r="C1116" s="40"/>
      <c r="E1116" s="40"/>
      <c r="G1116" s="40"/>
    </row>
    <row r="1117" spans="3:7" x14ac:dyDescent="0.3">
      <c r="C1117" s="40"/>
      <c r="E1117" s="40"/>
      <c r="G1117" s="40"/>
    </row>
    <row r="1118" spans="3:7" x14ac:dyDescent="0.3">
      <c r="C1118" s="40"/>
      <c r="E1118" s="40"/>
      <c r="G1118" s="40"/>
    </row>
    <row r="1119" spans="3:7" x14ac:dyDescent="0.3">
      <c r="C1119" s="40"/>
      <c r="E1119" s="40"/>
      <c r="G1119" s="40"/>
    </row>
    <row r="1120" spans="3:7" x14ac:dyDescent="0.3">
      <c r="C1120" s="40"/>
      <c r="E1120" s="40"/>
      <c r="G1120" s="40"/>
    </row>
    <row r="1121" spans="3:7" x14ac:dyDescent="0.3">
      <c r="C1121" s="40"/>
      <c r="E1121" s="40"/>
      <c r="G1121" s="40"/>
    </row>
    <row r="1122" spans="3:7" x14ac:dyDescent="0.3">
      <c r="C1122" s="40"/>
      <c r="E1122" s="40"/>
      <c r="G1122" s="40"/>
    </row>
    <row r="1123" spans="3:7" x14ac:dyDescent="0.3">
      <c r="C1123" s="40"/>
      <c r="E1123" s="40"/>
      <c r="G1123" s="40"/>
    </row>
    <row r="1124" spans="3:7" x14ac:dyDescent="0.3">
      <c r="C1124" s="40"/>
      <c r="E1124" s="40"/>
      <c r="G1124" s="40"/>
    </row>
    <row r="1125" spans="3:7" x14ac:dyDescent="0.3">
      <c r="C1125" s="40"/>
      <c r="E1125" s="40"/>
      <c r="G1125" s="40"/>
    </row>
    <row r="1126" spans="3:7" x14ac:dyDescent="0.3">
      <c r="C1126" s="40"/>
      <c r="E1126" s="40"/>
      <c r="G1126" s="40"/>
    </row>
    <row r="1127" spans="3:7" x14ac:dyDescent="0.3">
      <c r="C1127" s="40"/>
      <c r="E1127" s="40"/>
      <c r="G1127" s="40"/>
    </row>
    <row r="1128" spans="3:7" x14ac:dyDescent="0.3">
      <c r="C1128" s="40"/>
      <c r="E1128" s="40"/>
      <c r="G1128" s="40"/>
    </row>
    <row r="1129" spans="3:7" x14ac:dyDescent="0.3">
      <c r="C1129" s="40"/>
      <c r="E1129" s="40"/>
      <c r="G1129" s="40"/>
    </row>
    <row r="1130" spans="3:7" x14ac:dyDescent="0.3">
      <c r="C1130" s="40"/>
      <c r="E1130" s="40"/>
      <c r="G1130" s="40"/>
    </row>
    <row r="1131" spans="3:7" x14ac:dyDescent="0.3">
      <c r="C1131" s="40"/>
      <c r="E1131" s="40"/>
      <c r="G1131" s="40"/>
    </row>
    <row r="1132" spans="3:7" x14ac:dyDescent="0.3">
      <c r="C1132" s="40"/>
      <c r="E1132" s="40"/>
      <c r="G1132" s="40"/>
    </row>
    <row r="1133" spans="3:7" x14ac:dyDescent="0.3">
      <c r="C1133" s="40"/>
      <c r="E1133" s="40"/>
      <c r="G1133" s="40"/>
    </row>
    <row r="1134" spans="3:7" x14ac:dyDescent="0.3">
      <c r="C1134" s="40"/>
      <c r="E1134" s="40"/>
      <c r="G1134" s="40"/>
    </row>
    <row r="1135" spans="3:7" x14ac:dyDescent="0.3">
      <c r="C1135" s="40"/>
      <c r="E1135" s="40"/>
      <c r="G1135" s="40"/>
    </row>
    <row r="1136" spans="3:7" x14ac:dyDescent="0.3">
      <c r="C1136" s="40"/>
      <c r="E1136" s="40"/>
      <c r="G1136" s="40"/>
    </row>
    <row r="1137" spans="3:7" x14ac:dyDescent="0.3">
      <c r="C1137" s="40"/>
      <c r="E1137" s="40"/>
      <c r="G1137" s="40"/>
    </row>
    <row r="1138" spans="3:7" x14ac:dyDescent="0.3">
      <c r="C1138" s="40"/>
      <c r="E1138" s="40"/>
      <c r="G1138" s="40"/>
    </row>
    <row r="1139" spans="3:7" x14ac:dyDescent="0.3">
      <c r="C1139" s="40"/>
      <c r="E1139" s="40"/>
      <c r="G1139" s="40"/>
    </row>
    <row r="1140" spans="3:7" x14ac:dyDescent="0.3">
      <c r="C1140" s="40"/>
      <c r="E1140" s="40"/>
      <c r="G1140" s="40"/>
    </row>
    <row r="1141" spans="3:7" x14ac:dyDescent="0.3">
      <c r="C1141" s="40"/>
      <c r="E1141" s="40"/>
      <c r="G1141" s="40"/>
    </row>
    <row r="1142" spans="3:7" x14ac:dyDescent="0.3">
      <c r="C1142" s="40"/>
      <c r="E1142" s="40"/>
      <c r="G1142" s="40"/>
    </row>
    <row r="1143" spans="3:7" x14ac:dyDescent="0.3">
      <c r="C1143" s="40"/>
      <c r="E1143" s="40"/>
      <c r="G1143" s="40"/>
    </row>
    <row r="1144" spans="3:7" x14ac:dyDescent="0.3">
      <c r="C1144" s="40"/>
      <c r="E1144" s="40"/>
      <c r="G1144" s="40"/>
    </row>
    <row r="1145" spans="3:7" x14ac:dyDescent="0.3">
      <c r="C1145" s="40"/>
      <c r="E1145" s="40"/>
      <c r="G1145" s="40"/>
    </row>
    <row r="1146" spans="3:7" x14ac:dyDescent="0.3">
      <c r="C1146" s="40"/>
      <c r="E1146" s="40"/>
      <c r="G1146" s="40"/>
    </row>
    <row r="1147" spans="3:7" x14ac:dyDescent="0.3">
      <c r="C1147" s="40"/>
      <c r="E1147" s="40"/>
      <c r="G1147" s="40"/>
    </row>
    <row r="1148" spans="3:7" x14ac:dyDescent="0.3">
      <c r="C1148" s="40"/>
      <c r="E1148" s="40"/>
      <c r="G1148" s="40"/>
    </row>
    <row r="1149" spans="3:7" x14ac:dyDescent="0.3">
      <c r="C1149" s="40"/>
      <c r="E1149" s="40"/>
      <c r="G1149" s="40"/>
    </row>
    <row r="1150" spans="3:7" x14ac:dyDescent="0.3">
      <c r="C1150" s="40"/>
      <c r="E1150" s="40"/>
      <c r="G1150" s="40"/>
    </row>
    <row r="1151" spans="3:7" x14ac:dyDescent="0.3">
      <c r="C1151" s="40"/>
      <c r="E1151" s="40"/>
      <c r="G1151" s="40"/>
    </row>
    <row r="1152" spans="3:7" x14ac:dyDescent="0.3">
      <c r="C1152" s="40"/>
      <c r="E1152" s="40"/>
      <c r="G1152" s="40"/>
    </row>
    <row r="1153" spans="3:7" x14ac:dyDescent="0.3">
      <c r="C1153" s="40"/>
      <c r="E1153" s="40"/>
      <c r="G1153" s="40"/>
    </row>
    <row r="1154" spans="3:7" x14ac:dyDescent="0.3">
      <c r="C1154" s="40"/>
      <c r="E1154" s="40"/>
      <c r="G1154" s="40"/>
    </row>
    <row r="1155" spans="3:7" x14ac:dyDescent="0.3">
      <c r="C1155" s="40"/>
      <c r="E1155" s="40"/>
      <c r="G1155" s="40"/>
    </row>
    <row r="1156" spans="3:7" x14ac:dyDescent="0.3">
      <c r="C1156" s="40"/>
      <c r="E1156" s="40"/>
      <c r="G1156" s="40"/>
    </row>
    <row r="1157" spans="3:7" x14ac:dyDescent="0.3">
      <c r="C1157" s="40"/>
      <c r="E1157" s="40"/>
      <c r="G1157" s="40"/>
    </row>
    <row r="1158" spans="3:7" x14ac:dyDescent="0.3">
      <c r="C1158" s="40"/>
      <c r="E1158" s="40"/>
      <c r="G1158" s="40"/>
    </row>
    <row r="1159" spans="3:7" x14ac:dyDescent="0.3">
      <c r="C1159" s="40"/>
      <c r="E1159" s="40"/>
      <c r="G1159" s="40"/>
    </row>
    <row r="1160" spans="3:7" x14ac:dyDescent="0.3">
      <c r="C1160" s="40"/>
      <c r="E1160" s="40"/>
      <c r="G1160" s="40"/>
    </row>
    <row r="1161" spans="3:7" x14ac:dyDescent="0.3">
      <c r="C1161" s="40"/>
      <c r="E1161" s="40"/>
      <c r="G1161" s="40"/>
    </row>
    <row r="1162" spans="3:7" x14ac:dyDescent="0.3">
      <c r="C1162" s="40"/>
      <c r="E1162" s="40"/>
      <c r="G1162" s="40"/>
    </row>
    <row r="1163" spans="3:7" x14ac:dyDescent="0.3">
      <c r="C1163" s="40"/>
      <c r="E1163" s="40"/>
      <c r="G1163" s="40"/>
    </row>
    <row r="1164" spans="3:7" x14ac:dyDescent="0.3">
      <c r="C1164" s="40"/>
      <c r="E1164" s="40"/>
      <c r="G1164" s="40"/>
    </row>
    <row r="1165" spans="3:7" x14ac:dyDescent="0.3">
      <c r="C1165" s="40"/>
      <c r="E1165" s="40"/>
      <c r="G1165" s="40"/>
    </row>
    <row r="1166" spans="3:7" x14ac:dyDescent="0.3">
      <c r="C1166" s="40"/>
      <c r="E1166" s="40"/>
      <c r="G1166" s="40"/>
    </row>
    <row r="1167" spans="3:7" x14ac:dyDescent="0.3">
      <c r="C1167" s="40"/>
      <c r="E1167" s="40"/>
      <c r="G1167" s="40"/>
    </row>
    <row r="1168" spans="3:7" x14ac:dyDescent="0.3">
      <c r="C1168" s="40"/>
      <c r="E1168" s="40"/>
      <c r="G1168" s="40"/>
    </row>
    <row r="1169" spans="3:7" x14ac:dyDescent="0.3">
      <c r="C1169" s="40"/>
      <c r="E1169" s="40"/>
      <c r="G1169" s="40"/>
    </row>
    <row r="1170" spans="3:7" x14ac:dyDescent="0.3">
      <c r="C1170" s="40"/>
      <c r="E1170" s="40"/>
      <c r="G1170" s="40"/>
    </row>
    <row r="1171" spans="3:7" x14ac:dyDescent="0.3">
      <c r="C1171" s="40"/>
      <c r="E1171" s="40"/>
      <c r="G1171" s="40"/>
    </row>
    <row r="1172" spans="3:7" x14ac:dyDescent="0.3">
      <c r="C1172" s="40"/>
      <c r="E1172" s="40"/>
      <c r="G1172" s="40"/>
    </row>
    <row r="1173" spans="3:7" x14ac:dyDescent="0.3">
      <c r="C1173" s="40"/>
      <c r="E1173" s="40"/>
      <c r="G1173" s="40"/>
    </row>
    <row r="1174" spans="3:7" x14ac:dyDescent="0.3">
      <c r="C1174" s="40"/>
      <c r="E1174" s="40"/>
      <c r="G1174" s="40"/>
    </row>
    <row r="1175" spans="3:7" x14ac:dyDescent="0.3">
      <c r="C1175" s="40"/>
      <c r="E1175" s="40"/>
      <c r="G1175" s="40"/>
    </row>
    <row r="1176" spans="3:7" x14ac:dyDescent="0.3">
      <c r="C1176" s="40"/>
      <c r="E1176" s="40"/>
      <c r="G1176" s="40"/>
    </row>
    <row r="1177" spans="3:7" x14ac:dyDescent="0.3">
      <c r="C1177" s="40"/>
      <c r="E1177" s="40"/>
      <c r="G1177" s="40"/>
    </row>
    <row r="1178" spans="3:7" x14ac:dyDescent="0.3">
      <c r="C1178" s="40"/>
      <c r="E1178" s="40"/>
      <c r="G1178" s="40"/>
    </row>
    <row r="1179" spans="3:7" x14ac:dyDescent="0.3">
      <c r="C1179" s="40"/>
      <c r="E1179" s="40"/>
      <c r="G1179" s="40"/>
    </row>
    <row r="1180" spans="3:7" x14ac:dyDescent="0.3">
      <c r="C1180" s="40"/>
      <c r="E1180" s="40"/>
      <c r="G1180" s="40"/>
    </row>
    <row r="1181" spans="3:7" x14ac:dyDescent="0.3">
      <c r="C1181" s="40"/>
      <c r="E1181" s="40"/>
      <c r="G1181" s="40"/>
    </row>
    <row r="1182" spans="3:7" x14ac:dyDescent="0.3">
      <c r="C1182" s="40"/>
      <c r="E1182" s="40"/>
      <c r="G1182" s="40"/>
    </row>
    <row r="1183" spans="3:7" x14ac:dyDescent="0.3">
      <c r="C1183" s="40"/>
      <c r="E1183" s="40"/>
      <c r="G1183" s="40"/>
    </row>
    <row r="1184" spans="3:7" x14ac:dyDescent="0.3">
      <c r="C1184" s="40"/>
      <c r="E1184" s="40"/>
      <c r="G1184" s="40"/>
    </row>
    <row r="1185" spans="3:7" x14ac:dyDescent="0.3">
      <c r="C1185" s="40"/>
      <c r="E1185" s="40"/>
      <c r="G1185" s="40"/>
    </row>
    <row r="1186" spans="3:7" x14ac:dyDescent="0.3">
      <c r="C1186" s="40"/>
      <c r="E1186" s="40"/>
      <c r="G1186" s="40"/>
    </row>
    <row r="1187" spans="3:7" x14ac:dyDescent="0.3">
      <c r="C1187" s="40"/>
      <c r="E1187" s="40"/>
      <c r="G1187" s="40"/>
    </row>
    <row r="1188" spans="3:7" x14ac:dyDescent="0.3">
      <c r="C1188" s="40"/>
      <c r="E1188" s="40"/>
      <c r="G1188" s="40"/>
    </row>
    <row r="1189" spans="3:7" x14ac:dyDescent="0.3">
      <c r="C1189" s="40"/>
      <c r="E1189" s="40"/>
      <c r="G1189" s="40"/>
    </row>
    <row r="1190" spans="3:7" x14ac:dyDescent="0.3">
      <c r="C1190" s="40"/>
      <c r="E1190" s="40"/>
      <c r="G1190" s="40"/>
    </row>
    <row r="1191" spans="3:7" x14ac:dyDescent="0.3">
      <c r="C1191" s="40"/>
      <c r="E1191" s="40"/>
      <c r="G1191" s="40"/>
    </row>
    <row r="1192" spans="3:7" x14ac:dyDescent="0.3">
      <c r="C1192" s="40"/>
      <c r="E1192" s="40"/>
      <c r="G1192" s="40"/>
    </row>
    <row r="1193" spans="3:7" x14ac:dyDescent="0.3">
      <c r="C1193" s="40"/>
      <c r="E1193" s="40"/>
      <c r="G1193" s="40"/>
    </row>
    <row r="1194" spans="3:7" x14ac:dyDescent="0.3">
      <c r="C1194" s="40"/>
      <c r="E1194" s="40"/>
      <c r="G1194" s="40"/>
    </row>
    <row r="1195" spans="3:7" x14ac:dyDescent="0.3">
      <c r="C1195" s="40"/>
      <c r="E1195" s="40"/>
      <c r="G1195" s="40"/>
    </row>
    <row r="1196" spans="3:7" x14ac:dyDescent="0.3">
      <c r="C1196" s="40"/>
      <c r="E1196" s="40"/>
      <c r="G1196" s="40"/>
    </row>
    <row r="1197" spans="3:7" x14ac:dyDescent="0.3">
      <c r="C1197" s="40"/>
      <c r="E1197" s="40"/>
      <c r="G1197" s="40"/>
    </row>
    <row r="1198" spans="3:7" x14ac:dyDescent="0.3">
      <c r="C1198" s="40"/>
      <c r="E1198" s="40"/>
      <c r="G1198" s="40"/>
    </row>
    <row r="1199" spans="3:7" x14ac:dyDescent="0.3">
      <c r="C1199" s="40"/>
      <c r="E1199" s="40"/>
      <c r="G1199" s="40"/>
    </row>
    <row r="1200" spans="3:7" x14ac:dyDescent="0.3">
      <c r="C1200" s="40"/>
      <c r="E1200" s="40"/>
      <c r="G1200" s="40"/>
    </row>
    <row r="1201" spans="3:7" x14ac:dyDescent="0.3">
      <c r="C1201" s="40"/>
      <c r="E1201" s="40"/>
      <c r="G1201" s="40"/>
    </row>
    <row r="1202" spans="3:7" x14ac:dyDescent="0.3">
      <c r="C1202" s="40"/>
      <c r="E1202" s="40"/>
      <c r="G1202" s="40"/>
    </row>
    <row r="1203" spans="3:7" x14ac:dyDescent="0.3">
      <c r="C1203" s="40"/>
      <c r="E1203" s="40"/>
      <c r="G1203" s="40"/>
    </row>
    <row r="1204" spans="3:7" x14ac:dyDescent="0.3">
      <c r="C1204" s="40"/>
      <c r="E1204" s="40"/>
      <c r="G1204" s="40"/>
    </row>
    <row r="1205" spans="3:7" x14ac:dyDescent="0.3">
      <c r="C1205" s="40"/>
      <c r="E1205" s="40"/>
      <c r="G1205" s="40"/>
    </row>
    <row r="1206" spans="3:7" x14ac:dyDescent="0.3">
      <c r="C1206" s="40"/>
      <c r="E1206" s="40"/>
      <c r="G1206" s="40"/>
    </row>
    <row r="1207" spans="3:7" x14ac:dyDescent="0.3">
      <c r="C1207" s="40"/>
      <c r="E1207" s="40"/>
      <c r="G1207" s="40"/>
    </row>
    <row r="1208" spans="3:7" x14ac:dyDescent="0.3">
      <c r="C1208" s="40"/>
      <c r="E1208" s="40"/>
      <c r="G1208" s="40"/>
    </row>
    <row r="1209" spans="3:7" x14ac:dyDescent="0.3">
      <c r="C1209" s="40"/>
      <c r="E1209" s="40"/>
      <c r="G1209" s="40"/>
    </row>
    <row r="1210" spans="3:7" x14ac:dyDescent="0.3">
      <c r="C1210" s="40"/>
      <c r="E1210" s="40"/>
      <c r="G1210" s="40"/>
    </row>
    <row r="1211" spans="3:7" x14ac:dyDescent="0.3">
      <c r="C1211" s="40"/>
      <c r="E1211" s="40"/>
      <c r="G1211" s="40"/>
    </row>
    <row r="1212" spans="3:7" x14ac:dyDescent="0.3">
      <c r="C1212" s="40"/>
      <c r="E1212" s="40"/>
      <c r="G1212" s="40"/>
    </row>
    <row r="1213" spans="3:7" x14ac:dyDescent="0.3">
      <c r="C1213" s="40"/>
      <c r="E1213" s="40"/>
      <c r="G1213" s="40"/>
    </row>
    <row r="1214" spans="3:7" x14ac:dyDescent="0.3">
      <c r="C1214" s="40"/>
      <c r="E1214" s="40"/>
      <c r="G1214" s="40"/>
    </row>
    <row r="1215" spans="3:7" x14ac:dyDescent="0.3">
      <c r="C1215" s="40"/>
      <c r="E1215" s="40"/>
      <c r="G1215" s="40"/>
    </row>
    <row r="1216" spans="3:7" x14ac:dyDescent="0.3">
      <c r="C1216" s="40"/>
      <c r="E1216" s="40"/>
      <c r="G1216" s="40"/>
    </row>
    <row r="1217" spans="3:7" x14ac:dyDescent="0.3">
      <c r="C1217" s="40"/>
      <c r="E1217" s="40"/>
      <c r="G1217" s="40"/>
    </row>
    <row r="1218" spans="3:7" x14ac:dyDescent="0.3">
      <c r="C1218" s="40"/>
      <c r="E1218" s="40"/>
      <c r="G1218" s="40"/>
    </row>
    <row r="1219" spans="3:7" x14ac:dyDescent="0.3">
      <c r="C1219" s="40"/>
      <c r="E1219" s="40"/>
      <c r="G1219" s="40"/>
    </row>
    <row r="1220" spans="3:7" x14ac:dyDescent="0.3">
      <c r="C1220" s="40"/>
      <c r="E1220" s="40"/>
      <c r="G1220" s="40"/>
    </row>
    <row r="1221" spans="3:7" x14ac:dyDescent="0.3">
      <c r="C1221" s="40"/>
      <c r="E1221" s="40"/>
      <c r="G1221" s="40"/>
    </row>
    <row r="1222" spans="3:7" x14ac:dyDescent="0.3">
      <c r="C1222" s="40"/>
      <c r="E1222" s="40"/>
      <c r="G1222" s="40"/>
    </row>
    <row r="1223" spans="3:7" x14ac:dyDescent="0.3">
      <c r="C1223" s="40"/>
      <c r="E1223" s="40"/>
      <c r="G1223" s="40"/>
    </row>
    <row r="1224" spans="3:7" x14ac:dyDescent="0.3">
      <c r="C1224" s="40"/>
      <c r="E1224" s="40"/>
      <c r="G1224" s="40"/>
    </row>
    <row r="1225" spans="3:7" x14ac:dyDescent="0.3">
      <c r="C1225" s="40"/>
      <c r="E1225" s="40"/>
      <c r="G1225" s="40"/>
    </row>
    <row r="1226" spans="3:7" x14ac:dyDescent="0.3">
      <c r="C1226" s="40"/>
      <c r="E1226" s="40"/>
      <c r="G1226" s="40"/>
    </row>
    <row r="1227" spans="3:7" x14ac:dyDescent="0.3">
      <c r="C1227" s="40"/>
      <c r="E1227" s="40"/>
      <c r="G1227" s="40"/>
    </row>
    <row r="1228" spans="3:7" x14ac:dyDescent="0.3">
      <c r="C1228" s="40"/>
      <c r="E1228" s="40"/>
      <c r="G1228" s="40"/>
    </row>
    <row r="1229" spans="3:7" x14ac:dyDescent="0.3">
      <c r="C1229" s="40"/>
      <c r="E1229" s="40"/>
      <c r="G1229" s="40"/>
    </row>
    <row r="1230" spans="3:7" x14ac:dyDescent="0.3">
      <c r="C1230" s="40"/>
      <c r="E1230" s="40"/>
      <c r="G1230" s="40"/>
    </row>
    <row r="1231" spans="3:7" x14ac:dyDescent="0.3">
      <c r="C1231" s="40"/>
      <c r="E1231" s="40"/>
      <c r="G1231" s="40"/>
    </row>
    <row r="1232" spans="3:7" x14ac:dyDescent="0.3">
      <c r="C1232" s="40"/>
      <c r="E1232" s="40"/>
      <c r="G1232" s="40"/>
    </row>
    <row r="1233" spans="3:7" x14ac:dyDescent="0.3">
      <c r="C1233" s="40"/>
      <c r="E1233" s="40"/>
      <c r="G1233" s="40"/>
    </row>
    <row r="1234" spans="3:7" x14ac:dyDescent="0.3">
      <c r="C1234" s="40"/>
      <c r="E1234" s="40"/>
      <c r="G1234" s="40"/>
    </row>
    <row r="1235" spans="3:7" x14ac:dyDescent="0.3">
      <c r="C1235" s="40"/>
      <c r="E1235" s="40"/>
      <c r="G1235" s="40"/>
    </row>
    <row r="1236" spans="3:7" x14ac:dyDescent="0.3">
      <c r="C1236" s="40"/>
      <c r="E1236" s="40"/>
      <c r="G1236" s="40"/>
    </row>
    <row r="1237" spans="3:7" x14ac:dyDescent="0.3">
      <c r="C1237" s="40"/>
      <c r="E1237" s="40"/>
      <c r="G1237" s="40"/>
    </row>
    <row r="1238" spans="3:7" x14ac:dyDescent="0.3">
      <c r="C1238" s="40"/>
      <c r="E1238" s="40"/>
      <c r="G1238" s="40"/>
    </row>
    <row r="1239" spans="3:7" x14ac:dyDescent="0.3">
      <c r="C1239" s="40"/>
      <c r="E1239" s="40"/>
      <c r="G1239" s="40"/>
    </row>
    <row r="1240" spans="3:7" x14ac:dyDescent="0.3">
      <c r="C1240" s="40"/>
      <c r="E1240" s="40"/>
      <c r="G1240" s="40"/>
    </row>
    <row r="1241" spans="3:7" x14ac:dyDescent="0.3">
      <c r="C1241" s="40"/>
      <c r="E1241" s="40"/>
      <c r="G1241" s="40"/>
    </row>
    <row r="1242" spans="3:7" x14ac:dyDescent="0.3">
      <c r="C1242" s="40"/>
      <c r="E1242" s="40"/>
      <c r="G1242" s="40"/>
    </row>
    <row r="1243" spans="3:7" x14ac:dyDescent="0.3">
      <c r="C1243" s="40"/>
      <c r="E1243" s="40"/>
      <c r="G1243" s="40"/>
    </row>
    <row r="1244" spans="3:7" x14ac:dyDescent="0.3">
      <c r="C1244" s="40"/>
      <c r="E1244" s="40"/>
      <c r="G1244" s="40"/>
    </row>
    <row r="1245" spans="3:7" x14ac:dyDescent="0.3">
      <c r="C1245" s="40"/>
      <c r="E1245" s="40"/>
      <c r="G1245" s="40"/>
    </row>
    <row r="1246" spans="3:7" x14ac:dyDescent="0.3">
      <c r="C1246" s="40"/>
      <c r="E1246" s="40"/>
      <c r="G1246" s="40"/>
    </row>
    <row r="1247" spans="3:7" x14ac:dyDescent="0.3">
      <c r="C1247" s="40"/>
      <c r="E1247" s="40"/>
      <c r="G1247" s="40"/>
    </row>
    <row r="1248" spans="3:7" x14ac:dyDescent="0.3">
      <c r="C1248" s="40"/>
      <c r="E1248" s="40"/>
      <c r="G1248" s="40"/>
    </row>
    <row r="1249" spans="3:7" x14ac:dyDescent="0.3">
      <c r="C1249" s="40"/>
      <c r="E1249" s="40"/>
      <c r="G1249" s="40"/>
    </row>
    <row r="1250" spans="3:7" x14ac:dyDescent="0.3">
      <c r="C1250" s="40"/>
      <c r="E1250" s="40"/>
      <c r="G1250" s="40"/>
    </row>
    <row r="1251" spans="3:7" x14ac:dyDescent="0.3">
      <c r="C1251" s="40"/>
      <c r="E1251" s="40"/>
      <c r="G1251" s="40"/>
    </row>
    <row r="1252" spans="3:7" x14ac:dyDescent="0.3">
      <c r="C1252" s="40"/>
      <c r="E1252" s="40"/>
      <c r="G1252" s="40"/>
    </row>
    <row r="1253" spans="3:7" x14ac:dyDescent="0.3">
      <c r="C1253" s="40"/>
      <c r="E1253" s="40"/>
      <c r="G1253" s="40"/>
    </row>
    <row r="1254" spans="3:7" x14ac:dyDescent="0.3">
      <c r="C1254" s="40"/>
      <c r="E1254" s="40"/>
      <c r="G1254" s="40"/>
    </row>
    <row r="1255" spans="3:7" x14ac:dyDescent="0.3">
      <c r="C1255" s="40"/>
      <c r="E1255" s="40"/>
      <c r="G1255" s="40"/>
    </row>
    <row r="1256" spans="3:7" x14ac:dyDescent="0.3">
      <c r="C1256" s="40"/>
      <c r="E1256" s="40"/>
      <c r="G1256" s="40"/>
    </row>
    <row r="1257" spans="3:7" x14ac:dyDescent="0.3">
      <c r="C1257" s="40"/>
      <c r="E1257" s="40"/>
      <c r="G1257" s="40"/>
    </row>
    <row r="1258" spans="3:7" x14ac:dyDescent="0.3">
      <c r="C1258" s="40"/>
      <c r="E1258" s="40"/>
      <c r="G1258" s="40"/>
    </row>
    <row r="1259" spans="3:7" x14ac:dyDescent="0.3">
      <c r="C1259" s="40"/>
      <c r="E1259" s="40"/>
      <c r="G1259" s="40"/>
    </row>
    <row r="1260" spans="3:7" x14ac:dyDescent="0.3">
      <c r="C1260" s="40"/>
      <c r="E1260" s="40"/>
      <c r="G1260" s="40"/>
    </row>
    <row r="1261" spans="3:7" x14ac:dyDescent="0.3">
      <c r="C1261" s="40"/>
      <c r="E1261" s="40"/>
      <c r="G1261" s="40"/>
    </row>
    <row r="1262" spans="3:7" x14ac:dyDescent="0.3">
      <c r="C1262" s="40"/>
      <c r="E1262" s="40"/>
      <c r="G1262" s="40"/>
    </row>
    <row r="1263" spans="3:7" x14ac:dyDescent="0.3">
      <c r="C1263" s="40"/>
      <c r="E1263" s="40"/>
      <c r="G1263" s="40"/>
    </row>
    <row r="1264" spans="3:7" x14ac:dyDescent="0.3">
      <c r="C1264" s="40"/>
      <c r="E1264" s="40"/>
      <c r="G1264" s="40"/>
    </row>
    <row r="1265" spans="3:7" x14ac:dyDescent="0.3">
      <c r="C1265" s="40"/>
      <c r="E1265" s="40"/>
      <c r="G1265" s="40"/>
    </row>
    <row r="1266" spans="3:7" x14ac:dyDescent="0.3">
      <c r="C1266" s="40"/>
      <c r="E1266" s="40"/>
      <c r="G1266" s="40"/>
    </row>
    <row r="1267" spans="3:7" x14ac:dyDescent="0.3">
      <c r="C1267" s="40"/>
      <c r="E1267" s="40"/>
      <c r="G1267" s="40"/>
    </row>
    <row r="1268" spans="3:7" x14ac:dyDescent="0.3">
      <c r="C1268" s="40"/>
      <c r="E1268" s="40"/>
      <c r="G1268" s="40"/>
    </row>
    <row r="1269" spans="3:7" x14ac:dyDescent="0.3">
      <c r="C1269" s="40"/>
      <c r="E1269" s="40"/>
      <c r="G1269" s="40"/>
    </row>
    <row r="1270" spans="3:7" x14ac:dyDescent="0.3">
      <c r="C1270" s="40"/>
      <c r="E1270" s="40"/>
      <c r="G1270" s="40"/>
    </row>
    <row r="1271" spans="3:7" x14ac:dyDescent="0.3">
      <c r="C1271" s="40"/>
      <c r="E1271" s="40"/>
      <c r="G1271" s="40"/>
    </row>
    <row r="1272" spans="3:7" x14ac:dyDescent="0.3">
      <c r="C1272" s="40"/>
      <c r="E1272" s="40"/>
      <c r="G1272" s="40"/>
    </row>
    <row r="1273" spans="3:7" x14ac:dyDescent="0.3">
      <c r="C1273" s="40"/>
      <c r="E1273" s="40"/>
      <c r="G1273" s="40"/>
    </row>
    <row r="1274" spans="3:7" x14ac:dyDescent="0.3">
      <c r="C1274" s="40"/>
      <c r="E1274" s="40"/>
      <c r="G1274" s="40"/>
    </row>
    <row r="1275" spans="3:7" x14ac:dyDescent="0.3">
      <c r="C1275" s="40"/>
      <c r="E1275" s="40"/>
      <c r="G1275" s="40"/>
    </row>
    <row r="1276" spans="3:7" x14ac:dyDescent="0.3">
      <c r="C1276" s="40"/>
      <c r="E1276" s="40"/>
      <c r="G1276" s="40"/>
    </row>
    <row r="1277" spans="3:7" x14ac:dyDescent="0.3">
      <c r="C1277" s="40"/>
      <c r="E1277" s="40"/>
      <c r="G1277" s="40"/>
    </row>
    <row r="1278" spans="3:7" x14ac:dyDescent="0.3">
      <c r="C1278" s="40"/>
      <c r="E1278" s="40"/>
      <c r="G1278" s="40"/>
    </row>
    <row r="1279" spans="3:7" x14ac:dyDescent="0.3">
      <c r="C1279" s="40"/>
      <c r="E1279" s="40"/>
      <c r="G1279" s="40"/>
    </row>
    <row r="1280" spans="3:7" x14ac:dyDescent="0.3">
      <c r="C1280" s="40"/>
      <c r="E1280" s="40"/>
      <c r="G1280" s="40"/>
    </row>
    <row r="1281" spans="3:7" x14ac:dyDescent="0.3">
      <c r="C1281" s="40"/>
      <c r="E1281" s="40"/>
      <c r="G1281" s="40"/>
    </row>
    <row r="1282" spans="3:7" x14ac:dyDescent="0.3">
      <c r="C1282" s="40"/>
      <c r="E1282" s="40"/>
      <c r="G1282" s="40"/>
    </row>
    <row r="1283" spans="3:7" x14ac:dyDescent="0.3">
      <c r="C1283" s="40"/>
      <c r="E1283" s="40"/>
      <c r="G1283" s="40"/>
    </row>
    <row r="1284" spans="3:7" x14ac:dyDescent="0.3">
      <c r="C1284" s="40"/>
      <c r="E1284" s="40"/>
      <c r="G1284" s="40"/>
    </row>
    <row r="1285" spans="3:7" x14ac:dyDescent="0.3">
      <c r="C1285" s="40"/>
      <c r="E1285" s="40"/>
      <c r="G1285" s="40"/>
    </row>
    <row r="1286" spans="3:7" x14ac:dyDescent="0.3">
      <c r="C1286" s="40"/>
      <c r="E1286" s="40"/>
      <c r="G1286" s="40"/>
    </row>
    <row r="1287" spans="3:7" x14ac:dyDescent="0.3">
      <c r="C1287" s="40"/>
      <c r="E1287" s="40"/>
      <c r="G1287" s="40"/>
    </row>
    <row r="1288" spans="3:7" x14ac:dyDescent="0.3">
      <c r="C1288" s="40"/>
      <c r="E1288" s="40"/>
      <c r="G1288" s="40"/>
    </row>
    <row r="1289" spans="3:7" x14ac:dyDescent="0.3">
      <c r="C1289" s="40"/>
      <c r="E1289" s="40"/>
      <c r="G1289" s="40"/>
    </row>
    <row r="1290" spans="3:7" x14ac:dyDescent="0.3">
      <c r="C1290" s="40"/>
      <c r="E1290" s="40"/>
      <c r="G1290" s="40"/>
    </row>
    <row r="1291" spans="3:7" x14ac:dyDescent="0.3">
      <c r="C1291" s="40"/>
      <c r="E1291" s="40"/>
      <c r="G1291" s="40"/>
    </row>
    <row r="1292" spans="3:7" x14ac:dyDescent="0.3">
      <c r="C1292" s="40"/>
      <c r="E1292" s="40"/>
      <c r="G1292" s="40"/>
    </row>
    <row r="1293" spans="3:7" x14ac:dyDescent="0.3">
      <c r="C1293" s="40"/>
      <c r="E1293" s="40"/>
      <c r="G1293" s="40"/>
    </row>
    <row r="1294" spans="3:7" x14ac:dyDescent="0.3">
      <c r="C1294" s="40"/>
      <c r="E1294" s="40"/>
      <c r="G1294" s="40"/>
    </row>
    <row r="1295" spans="3:7" x14ac:dyDescent="0.3">
      <c r="C1295" s="40"/>
      <c r="E1295" s="40"/>
      <c r="G1295" s="40"/>
    </row>
    <row r="1296" spans="3:7" x14ac:dyDescent="0.3">
      <c r="C1296" s="40"/>
      <c r="E1296" s="40"/>
      <c r="G1296" s="40"/>
    </row>
    <row r="1297" spans="3:7" x14ac:dyDescent="0.3">
      <c r="C1297" s="40"/>
      <c r="E1297" s="40"/>
      <c r="G1297" s="40"/>
    </row>
    <row r="1298" spans="3:7" x14ac:dyDescent="0.3">
      <c r="C1298" s="40"/>
      <c r="E1298" s="40"/>
      <c r="G1298" s="40"/>
    </row>
    <row r="1299" spans="3:7" x14ac:dyDescent="0.3">
      <c r="C1299" s="40"/>
      <c r="E1299" s="40"/>
      <c r="G1299" s="40"/>
    </row>
    <row r="1300" spans="3:7" x14ac:dyDescent="0.3">
      <c r="C1300" s="40"/>
      <c r="E1300" s="40"/>
      <c r="G1300" s="40"/>
    </row>
    <row r="1301" spans="3:7" x14ac:dyDescent="0.3">
      <c r="C1301" s="40"/>
      <c r="E1301" s="40"/>
      <c r="G1301" s="40"/>
    </row>
    <row r="1302" spans="3:7" x14ac:dyDescent="0.3">
      <c r="C1302" s="40"/>
      <c r="E1302" s="40"/>
      <c r="G1302" s="40"/>
    </row>
    <row r="1303" spans="3:7" x14ac:dyDescent="0.3">
      <c r="C1303" s="40"/>
      <c r="E1303" s="40"/>
      <c r="G1303" s="40"/>
    </row>
    <row r="1304" spans="3:7" x14ac:dyDescent="0.3">
      <c r="C1304" s="40"/>
      <c r="E1304" s="40"/>
      <c r="G1304" s="40"/>
    </row>
    <row r="1305" spans="3:7" x14ac:dyDescent="0.3">
      <c r="C1305" s="40"/>
      <c r="E1305" s="40"/>
      <c r="G1305" s="40"/>
    </row>
    <row r="1306" spans="3:7" x14ac:dyDescent="0.3">
      <c r="C1306" s="40"/>
      <c r="E1306" s="40"/>
      <c r="G1306" s="40"/>
    </row>
    <row r="1307" spans="3:7" x14ac:dyDescent="0.3">
      <c r="C1307" s="40"/>
      <c r="E1307" s="40"/>
      <c r="G1307" s="40"/>
    </row>
    <row r="1308" spans="3:7" x14ac:dyDescent="0.3">
      <c r="C1308" s="40"/>
      <c r="E1308" s="40"/>
      <c r="G1308" s="40"/>
    </row>
    <row r="1309" spans="3:7" x14ac:dyDescent="0.3">
      <c r="C1309" s="40"/>
      <c r="E1309" s="40"/>
      <c r="G1309" s="40"/>
    </row>
    <row r="1310" spans="3:7" x14ac:dyDescent="0.3">
      <c r="C1310" s="40"/>
      <c r="E1310" s="40"/>
      <c r="G1310" s="40"/>
    </row>
    <row r="1311" spans="3:7" x14ac:dyDescent="0.3">
      <c r="C1311" s="40"/>
      <c r="E1311" s="40"/>
      <c r="G1311" s="40"/>
    </row>
    <row r="1312" spans="3:7" x14ac:dyDescent="0.3">
      <c r="C1312" s="40"/>
      <c r="E1312" s="40"/>
      <c r="G1312" s="40"/>
    </row>
    <row r="1313" spans="3:7" x14ac:dyDescent="0.3">
      <c r="C1313" s="40"/>
      <c r="E1313" s="40"/>
      <c r="G1313" s="40"/>
    </row>
    <row r="1314" spans="3:7" x14ac:dyDescent="0.3">
      <c r="C1314" s="40"/>
      <c r="E1314" s="40"/>
      <c r="G1314" s="40"/>
    </row>
    <row r="1315" spans="3:7" x14ac:dyDescent="0.3">
      <c r="C1315" s="40"/>
      <c r="E1315" s="40"/>
      <c r="G1315" s="40"/>
    </row>
    <row r="1316" spans="3:7" x14ac:dyDescent="0.3">
      <c r="C1316" s="40"/>
      <c r="E1316" s="40"/>
      <c r="G1316" s="40"/>
    </row>
    <row r="1317" spans="3:7" x14ac:dyDescent="0.3">
      <c r="C1317" s="40"/>
      <c r="E1317" s="40"/>
      <c r="G1317" s="40"/>
    </row>
    <row r="1318" spans="3:7" x14ac:dyDescent="0.3">
      <c r="C1318" s="40"/>
      <c r="E1318" s="40"/>
      <c r="G1318" s="40"/>
    </row>
    <row r="1319" spans="3:7" x14ac:dyDescent="0.3">
      <c r="C1319" s="40"/>
      <c r="E1319" s="40"/>
      <c r="G1319" s="40"/>
    </row>
    <row r="1320" spans="3:7" x14ac:dyDescent="0.3">
      <c r="C1320" s="40"/>
      <c r="E1320" s="40"/>
      <c r="G1320" s="40"/>
    </row>
    <row r="1321" spans="3:7" x14ac:dyDescent="0.3">
      <c r="C1321" s="40"/>
      <c r="E1321" s="40"/>
      <c r="G1321" s="40"/>
    </row>
    <row r="1322" spans="3:7" x14ac:dyDescent="0.3">
      <c r="C1322" s="40"/>
      <c r="E1322" s="40"/>
      <c r="G1322" s="40"/>
    </row>
    <row r="1323" spans="3:7" x14ac:dyDescent="0.3">
      <c r="C1323" s="40"/>
      <c r="E1323" s="40"/>
      <c r="G1323" s="40"/>
    </row>
    <row r="1324" spans="3:7" x14ac:dyDescent="0.3">
      <c r="C1324" s="40"/>
      <c r="E1324" s="40"/>
      <c r="G1324" s="40"/>
    </row>
    <row r="1325" spans="3:7" x14ac:dyDescent="0.3">
      <c r="C1325" s="40"/>
      <c r="E1325" s="40"/>
      <c r="G1325" s="40"/>
    </row>
    <row r="1326" spans="3:7" x14ac:dyDescent="0.3">
      <c r="C1326" s="40"/>
      <c r="E1326" s="40"/>
      <c r="G1326" s="40"/>
    </row>
    <row r="1327" spans="3:7" x14ac:dyDescent="0.3">
      <c r="C1327" s="40"/>
      <c r="E1327" s="40"/>
      <c r="G1327" s="40"/>
    </row>
    <row r="1328" spans="3:7" x14ac:dyDescent="0.3">
      <c r="C1328" s="40"/>
      <c r="E1328" s="40"/>
      <c r="G1328" s="40"/>
    </row>
    <row r="1329" spans="3:7" x14ac:dyDescent="0.3">
      <c r="C1329" s="40"/>
      <c r="E1329" s="40"/>
      <c r="G1329" s="40"/>
    </row>
    <row r="1330" spans="3:7" x14ac:dyDescent="0.3">
      <c r="C1330" s="40"/>
      <c r="E1330" s="40"/>
      <c r="G1330" s="40"/>
    </row>
    <row r="1331" spans="3:7" x14ac:dyDescent="0.3">
      <c r="C1331" s="40"/>
      <c r="E1331" s="40"/>
      <c r="G1331" s="40"/>
    </row>
    <row r="1332" spans="3:7" x14ac:dyDescent="0.3">
      <c r="C1332" s="40"/>
      <c r="E1332" s="40"/>
      <c r="G1332" s="40"/>
    </row>
    <row r="1333" spans="3:7" x14ac:dyDescent="0.3">
      <c r="C1333" s="40"/>
      <c r="E1333" s="40"/>
      <c r="G1333" s="40"/>
    </row>
    <row r="1334" spans="3:7" x14ac:dyDescent="0.3">
      <c r="C1334" s="40"/>
      <c r="E1334" s="40"/>
      <c r="G1334" s="40"/>
    </row>
    <row r="1335" spans="3:7" x14ac:dyDescent="0.3">
      <c r="C1335" s="40"/>
      <c r="E1335" s="40"/>
      <c r="G1335" s="40"/>
    </row>
    <row r="1336" spans="3:7" x14ac:dyDescent="0.3">
      <c r="C1336" s="40"/>
      <c r="E1336" s="40"/>
      <c r="G1336" s="40"/>
    </row>
    <row r="1337" spans="3:7" x14ac:dyDescent="0.3">
      <c r="C1337" s="40"/>
      <c r="E1337" s="40"/>
      <c r="G1337" s="40"/>
    </row>
    <row r="1338" spans="3:7" x14ac:dyDescent="0.3">
      <c r="C1338" s="40"/>
      <c r="E1338" s="40"/>
      <c r="G1338" s="40"/>
    </row>
    <row r="1339" spans="3:7" x14ac:dyDescent="0.3">
      <c r="C1339" s="40"/>
      <c r="E1339" s="40"/>
      <c r="G1339" s="40"/>
    </row>
    <row r="1340" spans="3:7" x14ac:dyDescent="0.3">
      <c r="C1340" s="40"/>
      <c r="E1340" s="40"/>
      <c r="G1340" s="40"/>
    </row>
    <row r="1341" spans="3:7" x14ac:dyDescent="0.3">
      <c r="C1341" s="40"/>
      <c r="E1341" s="40"/>
      <c r="G1341" s="40"/>
    </row>
    <row r="1342" spans="3:7" x14ac:dyDescent="0.3">
      <c r="C1342" s="40"/>
      <c r="E1342" s="40"/>
      <c r="G1342" s="40"/>
    </row>
    <row r="1343" spans="3:7" x14ac:dyDescent="0.3">
      <c r="C1343" s="40"/>
      <c r="E1343" s="40"/>
      <c r="G1343" s="40"/>
    </row>
    <row r="1344" spans="3:7" x14ac:dyDescent="0.3">
      <c r="C1344" s="40"/>
      <c r="E1344" s="40"/>
      <c r="G1344" s="40"/>
    </row>
    <row r="1345" spans="3:7" x14ac:dyDescent="0.3">
      <c r="C1345" s="40"/>
      <c r="E1345" s="40"/>
      <c r="G1345" s="40"/>
    </row>
    <row r="1346" spans="3:7" x14ac:dyDescent="0.3">
      <c r="C1346" s="40"/>
      <c r="E1346" s="40"/>
      <c r="G1346" s="40"/>
    </row>
    <row r="1347" spans="3:7" x14ac:dyDescent="0.3">
      <c r="C1347" s="40"/>
      <c r="E1347" s="40"/>
      <c r="G1347" s="40"/>
    </row>
    <row r="1348" spans="3:7" x14ac:dyDescent="0.3">
      <c r="C1348" s="40"/>
      <c r="E1348" s="40"/>
      <c r="G1348" s="40"/>
    </row>
    <row r="1349" spans="3:7" x14ac:dyDescent="0.3">
      <c r="C1349" s="40"/>
      <c r="E1349" s="40"/>
      <c r="G1349" s="40"/>
    </row>
    <row r="1350" spans="3:7" x14ac:dyDescent="0.3">
      <c r="C1350" s="40"/>
      <c r="E1350" s="40"/>
      <c r="G1350" s="40"/>
    </row>
    <row r="1351" spans="3:7" x14ac:dyDescent="0.3">
      <c r="C1351" s="40"/>
      <c r="E1351" s="40"/>
      <c r="G1351" s="40"/>
    </row>
    <row r="1352" spans="3:7" x14ac:dyDescent="0.3">
      <c r="C1352" s="40"/>
      <c r="E1352" s="40"/>
      <c r="G1352" s="40"/>
    </row>
    <row r="1353" spans="3:7" x14ac:dyDescent="0.3">
      <c r="C1353" s="40"/>
      <c r="E1353" s="40"/>
      <c r="G1353" s="40"/>
    </row>
    <row r="1354" spans="3:7" x14ac:dyDescent="0.3">
      <c r="C1354" s="40"/>
      <c r="E1354" s="40"/>
      <c r="G1354" s="40"/>
    </row>
    <row r="1355" spans="3:7" x14ac:dyDescent="0.3">
      <c r="C1355" s="40"/>
      <c r="E1355" s="40"/>
      <c r="G1355" s="40"/>
    </row>
    <row r="1356" spans="3:7" x14ac:dyDescent="0.3">
      <c r="C1356" s="40"/>
      <c r="E1356" s="40"/>
      <c r="G1356" s="40"/>
    </row>
    <row r="1357" spans="3:7" x14ac:dyDescent="0.3">
      <c r="C1357" s="40"/>
      <c r="E1357" s="40"/>
      <c r="G1357" s="40"/>
    </row>
    <row r="1358" spans="3:7" x14ac:dyDescent="0.3">
      <c r="C1358" s="40"/>
      <c r="E1358" s="40"/>
      <c r="G1358" s="40"/>
    </row>
    <row r="1359" spans="3:7" x14ac:dyDescent="0.3">
      <c r="C1359" s="40"/>
      <c r="E1359" s="40"/>
      <c r="G1359" s="40"/>
    </row>
    <row r="1360" spans="3:7" x14ac:dyDescent="0.3">
      <c r="C1360" s="40"/>
      <c r="E1360" s="40"/>
      <c r="G1360" s="40"/>
    </row>
    <row r="1361" spans="3:7" x14ac:dyDescent="0.3">
      <c r="C1361" s="40"/>
      <c r="E1361" s="40"/>
      <c r="G1361" s="40"/>
    </row>
    <row r="1362" spans="3:7" x14ac:dyDescent="0.3">
      <c r="C1362" s="40"/>
      <c r="E1362" s="40"/>
      <c r="G1362" s="40"/>
    </row>
    <row r="1363" spans="3:7" x14ac:dyDescent="0.3">
      <c r="C1363" s="40"/>
      <c r="E1363" s="40"/>
      <c r="G1363" s="40"/>
    </row>
    <row r="1364" spans="3:7" x14ac:dyDescent="0.3">
      <c r="C1364" s="40"/>
      <c r="E1364" s="40"/>
      <c r="G1364" s="40"/>
    </row>
    <row r="1365" spans="3:7" x14ac:dyDescent="0.3">
      <c r="C1365" s="40"/>
      <c r="E1365" s="40"/>
      <c r="G1365" s="40"/>
    </row>
    <row r="1366" spans="3:7" x14ac:dyDescent="0.3">
      <c r="C1366" s="40"/>
      <c r="E1366" s="40"/>
      <c r="G1366" s="40"/>
    </row>
    <row r="1367" spans="3:7" x14ac:dyDescent="0.3">
      <c r="C1367" s="40"/>
      <c r="E1367" s="40"/>
      <c r="G1367" s="40"/>
    </row>
    <row r="1368" spans="3:7" x14ac:dyDescent="0.3">
      <c r="C1368" s="40"/>
      <c r="E1368" s="40"/>
      <c r="G1368" s="40"/>
    </row>
    <row r="1369" spans="3:7" x14ac:dyDescent="0.3">
      <c r="C1369" s="40"/>
      <c r="E1369" s="40"/>
      <c r="G1369" s="40"/>
    </row>
    <row r="1370" spans="3:7" x14ac:dyDescent="0.3">
      <c r="C1370" s="40"/>
      <c r="E1370" s="40"/>
      <c r="G1370" s="40"/>
    </row>
    <row r="1371" spans="3:7" x14ac:dyDescent="0.3">
      <c r="C1371" s="40"/>
      <c r="E1371" s="40"/>
      <c r="G1371" s="40"/>
    </row>
    <row r="1372" spans="3:7" x14ac:dyDescent="0.3">
      <c r="C1372" s="40"/>
      <c r="E1372" s="40"/>
      <c r="G1372" s="40"/>
    </row>
    <row r="1373" spans="3:7" x14ac:dyDescent="0.3">
      <c r="C1373" s="40"/>
      <c r="E1373" s="40"/>
      <c r="G1373" s="40"/>
    </row>
    <row r="1374" spans="3:7" x14ac:dyDescent="0.3">
      <c r="C1374" s="40"/>
      <c r="E1374" s="40"/>
      <c r="G1374" s="40"/>
    </row>
    <row r="1375" spans="3:7" x14ac:dyDescent="0.3">
      <c r="C1375" s="40"/>
      <c r="E1375" s="40"/>
      <c r="G1375" s="40"/>
    </row>
    <row r="1376" spans="3:7" x14ac:dyDescent="0.3">
      <c r="C1376" s="40"/>
      <c r="E1376" s="40"/>
      <c r="G1376" s="40"/>
    </row>
    <row r="1377" spans="3:7" x14ac:dyDescent="0.3">
      <c r="C1377" s="40"/>
      <c r="E1377" s="40"/>
      <c r="G1377" s="40"/>
    </row>
    <row r="1378" spans="3:7" x14ac:dyDescent="0.3">
      <c r="C1378" s="40"/>
      <c r="E1378" s="40"/>
      <c r="G1378" s="40"/>
    </row>
    <row r="1379" spans="3:7" x14ac:dyDescent="0.3">
      <c r="C1379" s="40"/>
      <c r="E1379" s="40"/>
      <c r="G1379" s="40"/>
    </row>
    <row r="1380" spans="3:7" x14ac:dyDescent="0.3">
      <c r="C1380" s="40"/>
      <c r="E1380" s="40"/>
      <c r="G1380" s="40"/>
    </row>
    <row r="1381" spans="3:7" x14ac:dyDescent="0.3">
      <c r="C1381" s="40"/>
      <c r="E1381" s="40"/>
      <c r="G1381" s="40"/>
    </row>
    <row r="1382" spans="3:7" x14ac:dyDescent="0.3">
      <c r="C1382" s="40"/>
      <c r="E1382" s="40"/>
      <c r="G1382" s="40"/>
    </row>
    <row r="1383" spans="3:7" x14ac:dyDescent="0.3">
      <c r="C1383" s="40"/>
      <c r="E1383" s="40"/>
      <c r="G1383" s="40"/>
    </row>
    <row r="1384" spans="3:7" x14ac:dyDescent="0.3">
      <c r="C1384" s="40"/>
      <c r="E1384" s="40"/>
      <c r="G1384" s="40"/>
    </row>
    <row r="1385" spans="3:7" x14ac:dyDescent="0.3">
      <c r="C1385" s="40"/>
      <c r="E1385" s="40"/>
      <c r="G1385" s="40"/>
    </row>
    <row r="1386" spans="3:7" x14ac:dyDescent="0.3">
      <c r="C1386" s="40"/>
      <c r="E1386" s="40"/>
      <c r="G1386" s="40"/>
    </row>
    <row r="1387" spans="3:7" x14ac:dyDescent="0.3">
      <c r="C1387" s="40"/>
      <c r="E1387" s="40"/>
      <c r="G1387" s="40"/>
    </row>
    <row r="1388" spans="3:7" x14ac:dyDescent="0.3">
      <c r="C1388" s="40"/>
      <c r="E1388" s="40"/>
      <c r="G1388" s="40"/>
    </row>
    <row r="1389" spans="3:7" x14ac:dyDescent="0.3">
      <c r="C1389" s="40"/>
      <c r="E1389" s="40"/>
      <c r="G1389" s="40"/>
    </row>
    <row r="1390" spans="3:7" x14ac:dyDescent="0.3">
      <c r="C1390" s="40"/>
      <c r="E1390" s="40"/>
      <c r="G1390" s="40"/>
    </row>
    <row r="1391" spans="3:7" x14ac:dyDescent="0.3">
      <c r="C1391" s="40"/>
      <c r="E1391" s="40"/>
      <c r="G1391" s="40"/>
    </row>
    <row r="1392" spans="3:7" x14ac:dyDescent="0.3">
      <c r="C1392" s="40"/>
      <c r="E1392" s="40"/>
      <c r="G1392" s="40"/>
    </row>
    <row r="1393" spans="3:7" x14ac:dyDescent="0.3">
      <c r="C1393" s="40"/>
      <c r="E1393" s="40"/>
      <c r="G1393" s="40"/>
    </row>
    <row r="1394" spans="3:7" x14ac:dyDescent="0.3">
      <c r="C1394" s="40"/>
      <c r="E1394" s="40"/>
      <c r="G1394" s="40"/>
    </row>
    <row r="1395" spans="3:7" x14ac:dyDescent="0.3">
      <c r="C1395" s="40"/>
      <c r="E1395" s="40"/>
      <c r="G1395" s="40"/>
    </row>
    <row r="1396" spans="3:7" x14ac:dyDescent="0.3">
      <c r="C1396" s="40"/>
      <c r="E1396" s="40"/>
      <c r="G1396" s="40"/>
    </row>
    <row r="1397" spans="3:7" x14ac:dyDescent="0.3">
      <c r="C1397" s="40"/>
      <c r="E1397" s="40"/>
      <c r="G1397" s="40"/>
    </row>
    <row r="1398" spans="3:7" x14ac:dyDescent="0.3">
      <c r="C1398" s="40"/>
      <c r="E1398" s="40"/>
      <c r="G1398" s="40"/>
    </row>
    <row r="1399" spans="3:7" x14ac:dyDescent="0.3">
      <c r="C1399" s="40"/>
      <c r="E1399" s="40"/>
      <c r="G1399" s="40"/>
    </row>
    <row r="1400" spans="3:7" x14ac:dyDescent="0.3">
      <c r="C1400" s="40"/>
      <c r="E1400" s="40"/>
      <c r="G1400" s="40"/>
    </row>
    <row r="1401" spans="3:7" x14ac:dyDescent="0.3">
      <c r="C1401" s="40"/>
      <c r="E1401" s="40"/>
      <c r="G1401" s="40"/>
    </row>
    <row r="1402" spans="3:7" x14ac:dyDescent="0.3">
      <c r="C1402" s="40"/>
      <c r="E1402" s="40"/>
      <c r="G1402" s="40"/>
    </row>
    <row r="1403" spans="3:7" x14ac:dyDescent="0.3">
      <c r="C1403" s="40"/>
      <c r="E1403" s="40"/>
      <c r="G1403" s="40"/>
    </row>
    <row r="1404" spans="3:7" x14ac:dyDescent="0.3">
      <c r="C1404" s="40"/>
      <c r="E1404" s="40"/>
      <c r="G1404" s="40"/>
    </row>
    <row r="1405" spans="3:7" x14ac:dyDescent="0.3">
      <c r="C1405" s="40"/>
      <c r="E1405" s="40"/>
      <c r="G1405" s="40"/>
    </row>
    <row r="1406" spans="3:7" x14ac:dyDescent="0.3">
      <c r="C1406" s="40"/>
      <c r="E1406" s="40"/>
      <c r="G1406" s="40"/>
    </row>
    <row r="1407" spans="3:7" x14ac:dyDescent="0.3">
      <c r="C1407" s="40"/>
      <c r="E1407" s="40"/>
      <c r="G1407" s="40"/>
    </row>
    <row r="1408" spans="3:7" x14ac:dyDescent="0.3">
      <c r="C1408" s="40"/>
      <c r="E1408" s="40"/>
      <c r="G1408" s="40"/>
    </row>
    <row r="1409" spans="3:7" x14ac:dyDescent="0.3">
      <c r="C1409" s="40"/>
      <c r="E1409" s="40"/>
      <c r="G1409" s="40"/>
    </row>
    <row r="1410" spans="3:7" x14ac:dyDescent="0.3">
      <c r="C1410" s="40"/>
      <c r="E1410" s="40"/>
      <c r="G1410" s="40"/>
    </row>
    <row r="1411" spans="3:7" x14ac:dyDescent="0.3">
      <c r="C1411" s="40"/>
      <c r="E1411" s="40"/>
      <c r="G1411" s="40"/>
    </row>
    <row r="1412" spans="3:7" x14ac:dyDescent="0.3">
      <c r="C1412" s="40"/>
      <c r="E1412" s="40"/>
      <c r="G1412" s="40"/>
    </row>
    <row r="1413" spans="3:7" x14ac:dyDescent="0.3">
      <c r="C1413" s="40"/>
      <c r="E1413" s="40"/>
      <c r="G1413" s="40"/>
    </row>
    <row r="1414" spans="3:7" x14ac:dyDescent="0.3">
      <c r="C1414" s="40"/>
      <c r="E1414" s="40"/>
      <c r="G1414" s="40"/>
    </row>
    <row r="1415" spans="3:7" x14ac:dyDescent="0.3">
      <c r="C1415" s="40"/>
      <c r="E1415" s="40"/>
      <c r="G1415" s="40"/>
    </row>
    <row r="1416" spans="3:7" x14ac:dyDescent="0.3">
      <c r="C1416" s="40"/>
      <c r="E1416" s="40"/>
      <c r="G1416" s="40"/>
    </row>
    <row r="1417" spans="3:7" x14ac:dyDescent="0.3">
      <c r="C1417" s="40"/>
      <c r="E1417" s="40"/>
      <c r="G1417" s="40"/>
    </row>
    <row r="1418" spans="3:7" x14ac:dyDescent="0.3">
      <c r="C1418" s="40"/>
      <c r="E1418" s="40"/>
      <c r="G1418" s="40"/>
    </row>
    <row r="1419" spans="3:7" x14ac:dyDescent="0.3">
      <c r="C1419" s="40"/>
      <c r="E1419" s="40"/>
      <c r="G1419" s="40"/>
    </row>
    <row r="1420" spans="3:7" x14ac:dyDescent="0.3">
      <c r="C1420" s="40"/>
      <c r="E1420" s="40"/>
      <c r="G1420" s="40"/>
    </row>
    <row r="1421" spans="3:7" x14ac:dyDescent="0.3">
      <c r="C1421" s="40"/>
      <c r="E1421" s="40"/>
      <c r="G1421" s="40"/>
    </row>
    <row r="1422" spans="3:7" x14ac:dyDescent="0.3">
      <c r="C1422" s="40"/>
      <c r="E1422" s="40"/>
      <c r="G1422" s="40"/>
    </row>
    <row r="1423" spans="3:7" x14ac:dyDescent="0.3">
      <c r="C1423" s="40"/>
      <c r="E1423" s="40"/>
      <c r="G1423" s="40"/>
    </row>
    <row r="1424" spans="3:7" x14ac:dyDescent="0.3">
      <c r="C1424" s="40"/>
      <c r="E1424" s="40"/>
      <c r="G1424" s="40"/>
    </row>
    <row r="1425" spans="3:7" x14ac:dyDescent="0.3">
      <c r="C1425" s="40"/>
      <c r="E1425" s="40"/>
      <c r="G1425" s="40"/>
    </row>
    <row r="1426" spans="3:7" x14ac:dyDescent="0.3">
      <c r="C1426" s="40"/>
      <c r="E1426" s="40"/>
      <c r="G1426" s="40"/>
    </row>
    <row r="1427" spans="3:7" x14ac:dyDescent="0.3">
      <c r="C1427" s="40"/>
      <c r="E1427" s="40"/>
      <c r="G1427" s="40"/>
    </row>
    <row r="1428" spans="3:7" x14ac:dyDescent="0.3">
      <c r="C1428" s="40"/>
      <c r="E1428" s="40"/>
      <c r="G1428" s="40"/>
    </row>
    <row r="1429" spans="3:7" x14ac:dyDescent="0.3">
      <c r="C1429" s="40"/>
      <c r="E1429" s="40"/>
      <c r="G1429" s="40"/>
    </row>
    <row r="1430" spans="3:7" x14ac:dyDescent="0.3">
      <c r="C1430" s="40"/>
      <c r="E1430" s="40"/>
      <c r="G1430" s="40"/>
    </row>
    <row r="1431" spans="3:7" x14ac:dyDescent="0.3">
      <c r="C1431" s="40"/>
      <c r="E1431" s="40"/>
      <c r="G1431" s="40"/>
    </row>
    <row r="1432" spans="3:7" x14ac:dyDescent="0.3">
      <c r="C1432" s="40"/>
      <c r="E1432" s="40"/>
      <c r="G1432" s="40"/>
    </row>
    <row r="1433" spans="3:7" x14ac:dyDescent="0.3">
      <c r="C1433" s="40"/>
      <c r="E1433" s="40"/>
      <c r="G1433" s="40"/>
    </row>
    <row r="1434" spans="3:7" x14ac:dyDescent="0.3">
      <c r="C1434" s="40"/>
      <c r="E1434" s="40"/>
      <c r="G1434" s="40"/>
    </row>
    <row r="1435" spans="3:7" x14ac:dyDescent="0.3">
      <c r="C1435" s="40"/>
      <c r="E1435" s="40"/>
      <c r="G1435" s="40"/>
    </row>
    <row r="1436" spans="3:7" x14ac:dyDescent="0.3">
      <c r="C1436" s="40"/>
      <c r="E1436" s="40"/>
      <c r="G1436" s="40"/>
    </row>
    <row r="1437" spans="3:7" x14ac:dyDescent="0.3">
      <c r="C1437" s="40"/>
      <c r="E1437" s="40"/>
      <c r="G1437" s="40"/>
    </row>
    <row r="1438" spans="3:7" x14ac:dyDescent="0.3">
      <c r="C1438" s="40"/>
      <c r="E1438" s="40"/>
      <c r="G1438" s="40"/>
    </row>
    <row r="1439" spans="3:7" x14ac:dyDescent="0.3">
      <c r="C1439" s="40"/>
      <c r="E1439" s="40"/>
      <c r="G1439" s="40"/>
    </row>
    <row r="1440" spans="3:7" x14ac:dyDescent="0.3">
      <c r="C1440" s="40"/>
      <c r="E1440" s="40"/>
      <c r="G1440" s="40"/>
    </row>
    <row r="1441" spans="3:7" x14ac:dyDescent="0.3">
      <c r="C1441" s="40"/>
      <c r="E1441" s="40"/>
      <c r="G1441" s="40"/>
    </row>
    <row r="1442" spans="3:7" x14ac:dyDescent="0.3">
      <c r="C1442" s="40"/>
      <c r="E1442" s="40"/>
      <c r="G1442" s="40"/>
    </row>
    <row r="1443" spans="3:7" x14ac:dyDescent="0.3">
      <c r="C1443" s="40"/>
      <c r="E1443" s="40"/>
      <c r="G1443" s="40"/>
    </row>
    <row r="1444" spans="3:7" x14ac:dyDescent="0.3">
      <c r="C1444" s="40"/>
      <c r="E1444" s="40"/>
      <c r="G1444" s="40"/>
    </row>
    <row r="1445" spans="3:7" x14ac:dyDescent="0.3">
      <c r="C1445" s="40"/>
      <c r="E1445" s="40"/>
      <c r="G1445" s="40"/>
    </row>
    <row r="1446" spans="3:7" x14ac:dyDescent="0.3">
      <c r="C1446" s="40"/>
      <c r="E1446" s="40"/>
      <c r="G1446" s="40"/>
    </row>
    <row r="1447" spans="3:7" x14ac:dyDescent="0.3">
      <c r="C1447" s="40"/>
      <c r="E1447" s="40"/>
      <c r="G1447" s="40"/>
    </row>
    <row r="1448" spans="3:7" x14ac:dyDescent="0.3">
      <c r="C1448" s="40"/>
      <c r="E1448" s="40"/>
      <c r="G1448" s="40"/>
    </row>
    <row r="1449" spans="3:7" x14ac:dyDescent="0.3">
      <c r="C1449" s="40"/>
      <c r="E1449" s="40"/>
      <c r="G1449" s="40"/>
    </row>
    <row r="1450" spans="3:7" x14ac:dyDescent="0.3">
      <c r="C1450" s="40"/>
      <c r="E1450" s="40"/>
      <c r="G1450" s="40"/>
    </row>
    <row r="1451" spans="3:7" x14ac:dyDescent="0.3">
      <c r="C1451" s="40"/>
      <c r="E1451" s="40"/>
      <c r="G1451" s="40"/>
    </row>
    <row r="1452" spans="3:7" x14ac:dyDescent="0.3">
      <c r="C1452" s="40"/>
      <c r="E1452" s="40"/>
      <c r="G1452" s="40"/>
    </row>
    <row r="1453" spans="3:7" x14ac:dyDescent="0.3">
      <c r="C1453" s="40"/>
      <c r="E1453" s="40"/>
      <c r="G1453" s="40"/>
    </row>
    <row r="1454" spans="3:7" x14ac:dyDescent="0.3">
      <c r="C1454" s="40"/>
      <c r="E1454" s="40"/>
      <c r="G1454" s="40"/>
    </row>
    <row r="1455" spans="3:7" x14ac:dyDescent="0.3">
      <c r="C1455" s="40"/>
      <c r="E1455" s="40"/>
      <c r="G1455" s="40"/>
    </row>
    <row r="1456" spans="3:7" x14ac:dyDescent="0.3">
      <c r="C1456" s="40"/>
      <c r="E1456" s="40"/>
      <c r="G1456" s="40"/>
    </row>
    <row r="1457" spans="3:7" x14ac:dyDescent="0.3">
      <c r="C1457" s="40"/>
      <c r="E1457" s="40"/>
      <c r="G1457" s="40"/>
    </row>
    <row r="1458" spans="3:7" x14ac:dyDescent="0.3">
      <c r="C1458" s="40"/>
      <c r="E1458" s="40"/>
      <c r="G1458" s="40"/>
    </row>
    <row r="1459" spans="3:7" x14ac:dyDescent="0.3">
      <c r="C1459" s="40"/>
      <c r="E1459" s="40"/>
      <c r="G1459" s="40"/>
    </row>
    <row r="1460" spans="3:7" x14ac:dyDescent="0.3">
      <c r="C1460" s="40"/>
      <c r="E1460" s="40"/>
      <c r="G1460" s="40"/>
    </row>
    <row r="1461" spans="3:7" x14ac:dyDescent="0.3">
      <c r="C1461" s="40"/>
      <c r="E1461" s="40"/>
      <c r="G1461" s="40"/>
    </row>
    <row r="1462" spans="3:7" x14ac:dyDescent="0.3">
      <c r="C1462" s="40"/>
      <c r="E1462" s="40"/>
      <c r="G1462" s="40"/>
    </row>
    <row r="1463" spans="3:7" x14ac:dyDescent="0.3">
      <c r="C1463" s="40"/>
      <c r="E1463" s="40"/>
      <c r="G1463" s="40"/>
    </row>
    <row r="1464" spans="3:7" x14ac:dyDescent="0.3">
      <c r="C1464" s="40"/>
      <c r="E1464" s="40"/>
      <c r="G1464" s="40"/>
    </row>
    <row r="1465" spans="3:7" x14ac:dyDescent="0.3">
      <c r="C1465" s="40"/>
      <c r="E1465" s="40"/>
      <c r="G1465" s="40"/>
    </row>
    <row r="1466" spans="3:7" x14ac:dyDescent="0.3">
      <c r="C1466" s="40"/>
      <c r="E1466" s="40"/>
      <c r="G1466" s="40"/>
    </row>
    <row r="1467" spans="3:7" x14ac:dyDescent="0.3">
      <c r="C1467" s="40"/>
      <c r="E1467" s="40"/>
      <c r="G1467" s="40"/>
    </row>
    <row r="1468" spans="3:7" x14ac:dyDescent="0.3">
      <c r="C1468" s="40"/>
      <c r="E1468" s="40"/>
      <c r="G1468" s="40"/>
    </row>
    <row r="1469" spans="3:7" x14ac:dyDescent="0.3">
      <c r="C1469" s="40"/>
      <c r="E1469" s="40"/>
      <c r="G1469" s="40"/>
    </row>
    <row r="1470" spans="3:7" x14ac:dyDescent="0.3">
      <c r="C1470" s="40"/>
      <c r="E1470" s="40"/>
      <c r="G1470" s="40"/>
    </row>
    <row r="1471" spans="3:7" x14ac:dyDescent="0.3">
      <c r="C1471" s="40"/>
      <c r="E1471" s="40"/>
      <c r="G1471" s="40"/>
    </row>
    <row r="1472" spans="3:7" x14ac:dyDescent="0.3">
      <c r="C1472" s="40"/>
      <c r="E1472" s="40"/>
      <c r="G1472" s="40"/>
    </row>
    <row r="1473" spans="3:7" x14ac:dyDescent="0.3">
      <c r="C1473" s="40"/>
      <c r="E1473" s="40"/>
      <c r="G1473" s="40"/>
    </row>
    <row r="1474" spans="3:7" x14ac:dyDescent="0.3">
      <c r="C1474" s="40"/>
      <c r="E1474" s="40"/>
      <c r="G1474" s="40"/>
    </row>
    <row r="1475" spans="3:7" x14ac:dyDescent="0.3">
      <c r="C1475" s="40"/>
      <c r="E1475" s="40"/>
      <c r="G1475" s="40"/>
    </row>
    <row r="1476" spans="3:7" x14ac:dyDescent="0.3">
      <c r="C1476" s="40"/>
      <c r="E1476" s="40"/>
      <c r="G1476" s="40"/>
    </row>
    <row r="1477" spans="3:7" x14ac:dyDescent="0.3">
      <c r="C1477" s="40"/>
      <c r="E1477" s="40"/>
      <c r="G1477" s="40"/>
    </row>
    <row r="1478" spans="3:7" x14ac:dyDescent="0.3">
      <c r="C1478" s="40"/>
      <c r="E1478" s="40"/>
      <c r="G1478" s="40"/>
    </row>
    <row r="1479" spans="3:7" x14ac:dyDescent="0.3">
      <c r="C1479" s="40"/>
      <c r="E1479" s="40"/>
      <c r="G1479" s="40"/>
    </row>
    <row r="1480" spans="3:7" x14ac:dyDescent="0.3">
      <c r="C1480" s="40"/>
      <c r="E1480" s="40"/>
      <c r="G1480" s="40"/>
    </row>
    <row r="1481" spans="3:7" x14ac:dyDescent="0.3">
      <c r="C1481" s="40"/>
      <c r="E1481" s="40"/>
      <c r="G1481" s="40"/>
    </row>
    <row r="1482" spans="3:7" x14ac:dyDescent="0.3">
      <c r="C1482" s="40"/>
      <c r="E1482" s="40"/>
      <c r="G1482" s="40"/>
    </row>
    <row r="1483" spans="3:7" x14ac:dyDescent="0.3">
      <c r="C1483" s="40"/>
      <c r="E1483" s="40"/>
      <c r="G1483" s="40"/>
    </row>
    <row r="1484" spans="3:7" x14ac:dyDescent="0.3">
      <c r="C1484" s="40"/>
      <c r="E1484" s="40"/>
      <c r="G1484" s="40"/>
    </row>
    <row r="1485" spans="3:7" x14ac:dyDescent="0.3">
      <c r="C1485" s="40"/>
      <c r="E1485" s="40"/>
      <c r="G1485" s="40"/>
    </row>
    <row r="1486" spans="3:7" x14ac:dyDescent="0.3">
      <c r="C1486" s="40"/>
      <c r="E1486" s="40"/>
      <c r="G1486" s="40"/>
    </row>
    <row r="1487" spans="3:7" x14ac:dyDescent="0.3">
      <c r="C1487" s="40"/>
      <c r="E1487" s="40"/>
      <c r="G1487" s="40"/>
    </row>
    <row r="1488" spans="3:7" x14ac:dyDescent="0.3">
      <c r="C1488" s="40"/>
      <c r="E1488" s="40"/>
      <c r="G1488" s="40"/>
    </row>
    <row r="1489" spans="3:7" x14ac:dyDescent="0.3">
      <c r="C1489" s="40"/>
      <c r="E1489" s="40"/>
      <c r="G1489" s="40"/>
    </row>
    <row r="1490" spans="3:7" x14ac:dyDescent="0.3">
      <c r="C1490" s="40"/>
      <c r="E1490" s="40"/>
      <c r="G1490" s="40"/>
    </row>
    <row r="1491" spans="3:7" x14ac:dyDescent="0.3">
      <c r="C1491" s="40"/>
      <c r="E1491" s="40"/>
      <c r="G1491" s="40"/>
    </row>
    <row r="1492" spans="3:7" x14ac:dyDescent="0.3">
      <c r="C1492" s="40"/>
      <c r="E1492" s="40"/>
      <c r="G1492" s="40"/>
    </row>
    <row r="1493" spans="3:7" x14ac:dyDescent="0.3">
      <c r="C1493" s="40"/>
      <c r="E1493" s="40"/>
      <c r="G1493" s="40"/>
    </row>
    <row r="1494" spans="3:7" x14ac:dyDescent="0.3">
      <c r="C1494" s="40"/>
      <c r="E1494" s="40"/>
      <c r="G1494" s="40"/>
    </row>
    <row r="1495" spans="3:7" x14ac:dyDescent="0.3">
      <c r="C1495" s="40"/>
      <c r="E1495" s="40"/>
      <c r="G1495" s="40"/>
    </row>
    <row r="1496" spans="3:7" x14ac:dyDescent="0.3">
      <c r="C1496" s="40"/>
      <c r="E1496" s="40"/>
      <c r="G1496" s="40"/>
    </row>
    <row r="1497" spans="3:7" x14ac:dyDescent="0.3">
      <c r="C1497" s="40"/>
      <c r="E1497" s="40"/>
      <c r="G1497" s="40"/>
    </row>
    <row r="1498" spans="3:7" x14ac:dyDescent="0.3">
      <c r="C1498" s="40"/>
      <c r="E1498" s="40"/>
      <c r="G1498" s="40"/>
    </row>
    <row r="1499" spans="3:7" x14ac:dyDescent="0.3">
      <c r="C1499" s="40"/>
      <c r="E1499" s="40"/>
      <c r="G1499" s="40"/>
    </row>
    <row r="1500" spans="3:7" x14ac:dyDescent="0.3">
      <c r="C1500" s="40"/>
      <c r="E1500" s="40"/>
      <c r="G1500" s="40"/>
    </row>
    <row r="1501" spans="3:7" x14ac:dyDescent="0.3">
      <c r="C1501" s="40"/>
      <c r="E1501" s="40"/>
      <c r="G1501" s="40"/>
    </row>
    <row r="1502" spans="3:7" x14ac:dyDescent="0.3">
      <c r="C1502" s="40"/>
      <c r="E1502" s="40"/>
      <c r="G1502" s="40"/>
    </row>
    <row r="1503" spans="3:7" x14ac:dyDescent="0.3">
      <c r="C1503" s="40"/>
      <c r="E1503" s="40"/>
      <c r="G1503" s="40"/>
    </row>
    <row r="1504" spans="3:7" x14ac:dyDescent="0.3">
      <c r="C1504" s="40"/>
      <c r="E1504" s="40"/>
      <c r="G1504" s="40"/>
    </row>
    <row r="1505" spans="3:7" x14ac:dyDescent="0.3">
      <c r="C1505" s="40"/>
      <c r="E1505" s="40"/>
      <c r="G1505" s="40"/>
    </row>
    <row r="1506" spans="3:7" x14ac:dyDescent="0.3">
      <c r="C1506" s="40"/>
      <c r="E1506" s="40"/>
      <c r="G1506" s="40"/>
    </row>
    <row r="1507" spans="3:7" x14ac:dyDescent="0.3">
      <c r="C1507" s="40"/>
      <c r="E1507" s="40"/>
      <c r="G1507" s="40"/>
    </row>
    <row r="1508" spans="3:7" x14ac:dyDescent="0.3">
      <c r="C1508" s="40"/>
      <c r="E1508" s="40"/>
      <c r="G1508" s="40"/>
    </row>
    <row r="1509" spans="3:7" x14ac:dyDescent="0.3">
      <c r="C1509" s="40"/>
      <c r="E1509" s="40"/>
      <c r="G1509" s="40"/>
    </row>
    <row r="1510" spans="3:7" x14ac:dyDescent="0.3">
      <c r="C1510" s="40"/>
      <c r="E1510" s="40"/>
      <c r="G1510" s="40"/>
    </row>
    <row r="1511" spans="3:7" x14ac:dyDescent="0.3">
      <c r="C1511" s="40"/>
      <c r="E1511" s="40"/>
      <c r="G1511" s="40"/>
    </row>
    <row r="1512" spans="3:7" x14ac:dyDescent="0.3">
      <c r="C1512" s="40"/>
      <c r="E1512" s="40"/>
      <c r="G1512" s="40"/>
    </row>
    <row r="1513" spans="3:7" x14ac:dyDescent="0.3">
      <c r="C1513" s="40"/>
      <c r="E1513" s="40"/>
      <c r="G1513" s="40"/>
    </row>
    <row r="1514" spans="3:7" x14ac:dyDescent="0.3">
      <c r="C1514" s="40"/>
      <c r="E1514" s="40"/>
      <c r="G1514" s="40"/>
    </row>
    <row r="1515" spans="3:7" x14ac:dyDescent="0.3">
      <c r="C1515" s="40"/>
      <c r="E1515" s="40"/>
      <c r="G1515" s="40"/>
    </row>
    <row r="1516" spans="3:7" x14ac:dyDescent="0.3">
      <c r="C1516" s="40"/>
      <c r="E1516" s="40"/>
      <c r="G1516" s="40"/>
    </row>
    <row r="1517" spans="3:7" x14ac:dyDescent="0.3">
      <c r="C1517" s="40"/>
      <c r="E1517" s="40"/>
      <c r="G1517" s="40"/>
    </row>
    <row r="1518" spans="3:7" x14ac:dyDescent="0.3">
      <c r="C1518" s="40"/>
      <c r="E1518" s="40"/>
      <c r="G1518" s="40"/>
    </row>
    <row r="1519" spans="3:7" x14ac:dyDescent="0.3">
      <c r="C1519" s="40"/>
      <c r="E1519" s="40"/>
      <c r="G1519" s="40"/>
    </row>
    <row r="1520" spans="3:7" x14ac:dyDescent="0.3">
      <c r="C1520" s="40"/>
      <c r="E1520" s="40"/>
      <c r="G1520" s="40"/>
    </row>
    <row r="1521" spans="3:7" x14ac:dyDescent="0.3">
      <c r="C1521" s="40"/>
      <c r="E1521" s="40"/>
      <c r="G1521" s="40"/>
    </row>
    <row r="1522" spans="3:7" x14ac:dyDescent="0.3">
      <c r="C1522" s="40"/>
      <c r="E1522" s="40"/>
      <c r="G1522" s="40"/>
    </row>
    <row r="1523" spans="3:7" x14ac:dyDescent="0.3">
      <c r="C1523" s="40"/>
      <c r="E1523" s="40"/>
      <c r="G1523" s="40"/>
    </row>
    <row r="1524" spans="3:7" x14ac:dyDescent="0.3">
      <c r="C1524" s="40"/>
      <c r="E1524" s="40"/>
      <c r="G1524" s="40"/>
    </row>
    <row r="1525" spans="3:7" x14ac:dyDescent="0.3">
      <c r="C1525" s="40"/>
      <c r="E1525" s="40"/>
      <c r="G1525" s="40"/>
    </row>
    <row r="1526" spans="3:7" x14ac:dyDescent="0.3">
      <c r="C1526" s="40"/>
      <c r="E1526" s="40"/>
      <c r="G1526" s="40"/>
    </row>
    <row r="1527" spans="3:7" x14ac:dyDescent="0.3">
      <c r="C1527" s="40"/>
      <c r="E1527" s="40"/>
      <c r="G1527" s="40"/>
    </row>
    <row r="1528" spans="3:7" x14ac:dyDescent="0.3">
      <c r="C1528" s="40"/>
      <c r="E1528" s="40"/>
      <c r="G1528" s="40"/>
    </row>
    <row r="1529" spans="3:7" x14ac:dyDescent="0.3">
      <c r="C1529" s="40"/>
      <c r="E1529" s="40"/>
      <c r="G1529" s="40"/>
    </row>
    <row r="1530" spans="3:7" x14ac:dyDescent="0.3">
      <c r="C1530" s="40"/>
      <c r="E1530" s="40"/>
      <c r="G1530" s="40"/>
    </row>
    <row r="1531" spans="3:7" x14ac:dyDescent="0.3">
      <c r="C1531" s="40"/>
      <c r="E1531" s="40"/>
      <c r="G1531" s="40"/>
    </row>
    <row r="1532" spans="3:7" x14ac:dyDescent="0.3">
      <c r="C1532" s="40"/>
      <c r="E1532" s="40"/>
      <c r="G1532" s="40"/>
    </row>
    <row r="1533" spans="3:7" x14ac:dyDescent="0.3">
      <c r="C1533" s="40"/>
      <c r="E1533" s="40"/>
      <c r="G1533" s="40"/>
    </row>
    <row r="1534" spans="3:7" x14ac:dyDescent="0.3">
      <c r="C1534" s="40"/>
      <c r="E1534" s="40"/>
      <c r="G1534" s="40"/>
    </row>
    <row r="1535" spans="3:7" x14ac:dyDescent="0.3">
      <c r="C1535" s="40"/>
      <c r="E1535" s="40"/>
      <c r="G1535" s="40"/>
    </row>
    <row r="1536" spans="3:7" x14ac:dyDescent="0.3">
      <c r="C1536" s="40"/>
      <c r="E1536" s="40"/>
      <c r="G1536" s="40"/>
    </row>
    <row r="1537" spans="3:7" x14ac:dyDescent="0.3">
      <c r="C1537" s="40"/>
      <c r="E1537" s="40"/>
      <c r="G1537" s="40"/>
    </row>
    <row r="1538" spans="3:7" x14ac:dyDescent="0.3">
      <c r="C1538" s="40"/>
      <c r="E1538" s="40"/>
      <c r="G1538" s="40"/>
    </row>
    <row r="1539" spans="3:7" x14ac:dyDescent="0.3">
      <c r="C1539" s="40"/>
      <c r="E1539" s="40"/>
      <c r="G1539" s="40"/>
    </row>
    <row r="1540" spans="3:7" x14ac:dyDescent="0.3">
      <c r="C1540" s="40"/>
      <c r="E1540" s="40"/>
      <c r="G1540" s="40"/>
    </row>
    <row r="1541" spans="3:7" x14ac:dyDescent="0.3">
      <c r="C1541" s="40"/>
      <c r="E1541" s="40"/>
      <c r="G1541" s="40"/>
    </row>
    <row r="1542" spans="3:7" x14ac:dyDescent="0.3">
      <c r="C1542" s="40"/>
      <c r="E1542" s="40"/>
      <c r="G1542" s="40"/>
    </row>
    <row r="1543" spans="3:7" x14ac:dyDescent="0.3">
      <c r="C1543" s="40"/>
      <c r="E1543" s="40"/>
      <c r="G1543" s="40"/>
    </row>
    <row r="1544" spans="3:7" x14ac:dyDescent="0.3">
      <c r="C1544" s="40"/>
      <c r="E1544" s="40"/>
      <c r="G1544" s="40"/>
    </row>
    <row r="1545" spans="3:7" x14ac:dyDescent="0.3">
      <c r="C1545" s="40"/>
      <c r="E1545" s="40"/>
      <c r="G1545" s="40"/>
    </row>
    <row r="1546" spans="3:7" x14ac:dyDescent="0.3">
      <c r="C1546" s="40"/>
      <c r="E1546" s="40"/>
      <c r="G1546" s="40"/>
    </row>
    <row r="1547" spans="3:7" x14ac:dyDescent="0.3">
      <c r="C1547" s="40"/>
      <c r="E1547" s="40"/>
      <c r="G1547" s="40"/>
    </row>
    <row r="1548" spans="3:7" x14ac:dyDescent="0.3">
      <c r="C1548" s="40"/>
      <c r="E1548" s="40"/>
      <c r="G1548" s="40"/>
    </row>
    <row r="1549" spans="3:7" x14ac:dyDescent="0.3">
      <c r="C1549" s="40"/>
      <c r="E1549" s="40"/>
      <c r="G1549" s="40"/>
    </row>
    <row r="1550" spans="3:7" x14ac:dyDescent="0.3">
      <c r="C1550" s="40"/>
      <c r="E1550" s="40"/>
      <c r="G1550" s="40"/>
    </row>
    <row r="1551" spans="3:7" x14ac:dyDescent="0.3">
      <c r="C1551" s="40"/>
      <c r="E1551" s="40"/>
      <c r="G1551" s="40"/>
    </row>
    <row r="1552" spans="3:7" x14ac:dyDescent="0.3">
      <c r="C1552" s="40"/>
      <c r="E1552" s="40"/>
      <c r="G1552" s="40"/>
    </row>
    <row r="1553" spans="3:7" x14ac:dyDescent="0.3">
      <c r="C1553" s="40"/>
      <c r="E1553" s="40"/>
      <c r="G1553" s="40"/>
    </row>
    <row r="1554" spans="3:7" x14ac:dyDescent="0.3">
      <c r="C1554" s="40"/>
      <c r="E1554" s="40"/>
      <c r="G1554" s="40"/>
    </row>
    <row r="1555" spans="3:7" x14ac:dyDescent="0.3">
      <c r="C1555" s="40"/>
      <c r="E1555" s="40"/>
      <c r="G1555" s="40"/>
    </row>
    <row r="1556" spans="3:7" x14ac:dyDescent="0.3">
      <c r="C1556" s="40"/>
      <c r="E1556" s="40"/>
      <c r="G1556" s="40"/>
    </row>
    <row r="1557" spans="3:7" x14ac:dyDescent="0.3">
      <c r="C1557" s="40"/>
      <c r="E1557" s="40"/>
      <c r="G1557" s="40"/>
    </row>
    <row r="1558" spans="3:7" x14ac:dyDescent="0.3">
      <c r="C1558" s="40"/>
      <c r="E1558" s="40"/>
      <c r="G1558" s="40"/>
    </row>
    <row r="1559" spans="3:7" x14ac:dyDescent="0.3">
      <c r="C1559" s="40"/>
      <c r="E1559" s="40"/>
      <c r="G1559" s="40"/>
    </row>
    <row r="1560" spans="3:7" x14ac:dyDescent="0.3">
      <c r="C1560" s="40"/>
      <c r="E1560" s="40"/>
      <c r="G1560" s="40"/>
    </row>
    <row r="1561" spans="3:7" x14ac:dyDescent="0.3">
      <c r="C1561" s="40"/>
      <c r="E1561" s="40"/>
      <c r="G1561" s="40"/>
    </row>
    <row r="1562" spans="3:7" x14ac:dyDescent="0.3">
      <c r="C1562" s="40"/>
      <c r="E1562" s="40"/>
      <c r="G1562" s="40"/>
    </row>
    <row r="1563" spans="3:7" x14ac:dyDescent="0.3">
      <c r="C1563" s="40"/>
      <c r="E1563" s="40"/>
      <c r="G1563" s="40"/>
    </row>
    <row r="1564" spans="3:7" x14ac:dyDescent="0.3">
      <c r="C1564" s="40"/>
      <c r="E1564" s="40"/>
      <c r="G1564" s="40"/>
    </row>
    <row r="1565" spans="3:7" x14ac:dyDescent="0.3">
      <c r="C1565" s="40"/>
      <c r="E1565" s="40"/>
      <c r="G1565" s="40"/>
    </row>
    <row r="1566" spans="3:7" x14ac:dyDescent="0.3">
      <c r="C1566" s="40"/>
      <c r="E1566" s="40"/>
      <c r="G1566" s="40"/>
    </row>
    <row r="1567" spans="3:7" x14ac:dyDescent="0.3">
      <c r="C1567" s="40"/>
      <c r="E1567" s="40"/>
      <c r="G1567" s="40"/>
    </row>
    <row r="1568" spans="3:7" x14ac:dyDescent="0.3">
      <c r="C1568" s="40"/>
      <c r="E1568" s="40"/>
      <c r="G1568" s="40"/>
    </row>
    <row r="1569" spans="3:7" x14ac:dyDescent="0.3">
      <c r="C1569" s="40"/>
      <c r="E1569" s="40"/>
      <c r="G1569" s="40"/>
    </row>
    <row r="1570" spans="3:7" x14ac:dyDescent="0.3">
      <c r="C1570" s="40"/>
      <c r="E1570" s="40"/>
      <c r="G1570" s="40"/>
    </row>
    <row r="1571" spans="3:7" x14ac:dyDescent="0.3">
      <c r="C1571" s="40"/>
      <c r="E1571" s="40"/>
      <c r="G1571" s="40"/>
    </row>
    <row r="1572" spans="3:7" x14ac:dyDescent="0.3">
      <c r="C1572" s="40"/>
      <c r="E1572" s="40"/>
      <c r="G1572" s="40"/>
    </row>
    <row r="1573" spans="3:7" x14ac:dyDescent="0.3">
      <c r="C1573" s="40"/>
      <c r="E1573" s="40"/>
      <c r="G1573" s="40"/>
    </row>
    <row r="1574" spans="3:7" x14ac:dyDescent="0.3">
      <c r="C1574" s="40"/>
      <c r="E1574" s="40"/>
      <c r="G1574" s="40"/>
    </row>
    <row r="1575" spans="3:7" x14ac:dyDescent="0.3">
      <c r="C1575" s="40"/>
      <c r="E1575" s="40"/>
      <c r="G1575" s="40"/>
    </row>
    <row r="1576" spans="3:7" x14ac:dyDescent="0.3">
      <c r="C1576" s="40"/>
      <c r="E1576" s="40"/>
      <c r="G1576" s="40"/>
    </row>
    <row r="1577" spans="3:7" x14ac:dyDescent="0.3">
      <c r="C1577" s="40"/>
      <c r="E1577" s="40"/>
      <c r="G1577" s="40"/>
    </row>
    <row r="1578" spans="3:7" x14ac:dyDescent="0.3">
      <c r="C1578" s="40"/>
      <c r="E1578" s="40"/>
      <c r="G1578" s="40"/>
    </row>
    <row r="1579" spans="3:7" x14ac:dyDescent="0.3">
      <c r="C1579" s="40"/>
      <c r="E1579" s="40"/>
      <c r="G1579" s="40"/>
    </row>
    <row r="1580" spans="3:7" x14ac:dyDescent="0.3">
      <c r="C1580" s="40"/>
      <c r="E1580" s="40"/>
      <c r="G1580" s="40"/>
    </row>
    <row r="1581" spans="3:7" x14ac:dyDescent="0.3">
      <c r="C1581" s="40"/>
      <c r="E1581" s="40"/>
      <c r="G1581" s="40"/>
    </row>
    <row r="1582" spans="3:7" x14ac:dyDescent="0.3">
      <c r="C1582" s="40"/>
      <c r="E1582" s="40"/>
      <c r="G1582" s="40"/>
    </row>
    <row r="1583" spans="3:7" x14ac:dyDescent="0.3">
      <c r="C1583" s="40"/>
      <c r="E1583" s="40"/>
      <c r="G1583" s="40"/>
    </row>
    <row r="1584" spans="3:7" x14ac:dyDescent="0.3">
      <c r="C1584" s="40"/>
      <c r="E1584" s="40"/>
      <c r="G1584" s="40"/>
    </row>
    <row r="1585" spans="3:7" x14ac:dyDescent="0.3">
      <c r="C1585" s="40"/>
      <c r="E1585" s="40"/>
      <c r="G1585" s="40"/>
    </row>
    <row r="1586" spans="3:7" x14ac:dyDescent="0.3">
      <c r="C1586" s="40"/>
      <c r="E1586" s="40"/>
      <c r="G1586" s="40"/>
    </row>
    <row r="1587" spans="3:7" x14ac:dyDescent="0.3">
      <c r="C1587" s="40"/>
      <c r="E1587" s="40"/>
      <c r="G1587" s="40"/>
    </row>
    <row r="1588" spans="3:7" x14ac:dyDescent="0.3">
      <c r="C1588" s="40"/>
      <c r="E1588" s="40"/>
      <c r="G1588" s="40"/>
    </row>
    <row r="1589" spans="3:7" x14ac:dyDescent="0.3">
      <c r="C1589" s="40"/>
      <c r="E1589" s="40"/>
      <c r="G1589" s="40"/>
    </row>
    <row r="1590" spans="3:7" x14ac:dyDescent="0.3">
      <c r="C1590" s="40"/>
      <c r="E1590" s="40"/>
      <c r="G1590" s="40"/>
    </row>
    <row r="1591" spans="3:7" x14ac:dyDescent="0.3">
      <c r="C1591" s="40"/>
      <c r="E1591" s="40"/>
      <c r="G1591" s="40"/>
    </row>
    <row r="1592" spans="3:7" x14ac:dyDescent="0.3">
      <c r="C1592" s="40"/>
      <c r="E1592" s="40"/>
      <c r="G1592" s="40"/>
    </row>
    <row r="1593" spans="3:7" x14ac:dyDescent="0.3">
      <c r="C1593" s="40"/>
      <c r="E1593" s="40"/>
      <c r="G1593" s="40"/>
    </row>
    <row r="1594" spans="3:7" x14ac:dyDescent="0.3">
      <c r="C1594" s="40"/>
      <c r="E1594" s="40"/>
      <c r="G1594" s="40"/>
    </row>
    <row r="1595" spans="3:7" x14ac:dyDescent="0.3">
      <c r="C1595" s="40"/>
      <c r="E1595" s="40"/>
      <c r="G1595" s="40"/>
    </row>
    <row r="1596" spans="3:7" x14ac:dyDescent="0.3">
      <c r="C1596" s="40"/>
      <c r="E1596" s="40"/>
      <c r="G1596" s="40"/>
    </row>
    <row r="1597" spans="3:7" x14ac:dyDescent="0.3">
      <c r="C1597" s="40"/>
      <c r="E1597" s="40"/>
      <c r="G1597" s="40"/>
    </row>
    <row r="1598" spans="3:7" x14ac:dyDescent="0.3">
      <c r="C1598" s="40"/>
      <c r="E1598" s="40"/>
      <c r="G1598" s="40"/>
    </row>
    <row r="1599" spans="3:7" x14ac:dyDescent="0.3">
      <c r="C1599" s="40"/>
      <c r="E1599" s="40"/>
      <c r="G1599" s="40"/>
    </row>
    <row r="1600" spans="3:7" x14ac:dyDescent="0.3">
      <c r="C1600" s="40"/>
      <c r="E1600" s="40"/>
      <c r="G1600" s="40"/>
    </row>
    <row r="1601" spans="3:7" x14ac:dyDescent="0.3">
      <c r="C1601" s="40"/>
      <c r="E1601" s="40"/>
      <c r="G1601" s="40"/>
    </row>
    <row r="1602" spans="3:7" x14ac:dyDescent="0.3">
      <c r="C1602" s="40"/>
      <c r="E1602" s="40"/>
      <c r="G1602" s="40"/>
    </row>
    <row r="1603" spans="3:7" x14ac:dyDescent="0.3">
      <c r="C1603" s="40"/>
      <c r="E1603" s="40"/>
      <c r="G1603" s="40"/>
    </row>
    <row r="1604" spans="3:7" x14ac:dyDescent="0.3">
      <c r="C1604" s="40"/>
      <c r="E1604" s="40"/>
      <c r="G1604" s="40"/>
    </row>
    <row r="1605" spans="3:7" x14ac:dyDescent="0.3">
      <c r="C1605" s="40"/>
      <c r="E1605" s="40"/>
      <c r="G1605" s="40"/>
    </row>
    <row r="1606" spans="3:7" x14ac:dyDescent="0.3">
      <c r="C1606" s="40"/>
      <c r="E1606" s="40"/>
      <c r="G1606" s="40"/>
    </row>
    <row r="1607" spans="3:7" x14ac:dyDescent="0.3">
      <c r="C1607" s="40"/>
      <c r="E1607" s="40"/>
      <c r="G1607" s="40"/>
    </row>
    <row r="1608" spans="3:7" x14ac:dyDescent="0.3">
      <c r="C1608" s="40"/>
      <c r="E1608" s="40"/>
      <c r="G1608" s="40"/>
    </row>
    <row r="1609" spans="3:7" x14ac:dyDescent="0.3">
      <c r="C1609" s="40"/>
      <c r="E1609" s="40"/>
      <c r="G1609" s="40"/>
    </row>
    <row r="1610" spans="3:7" x14ac:dyDescent="0.3">
      <c r="C1610" s="40"/>
      <c r="E1610" s="40"/>
      <c r="G1610" s="40"/>
    </row>
    <row r="1611" spans="3:7" x14ac:dyDescent="0.3">
      <c r="C1611" s="40"/>
      <c r="E1611" s="40"/>
      <c r="G1611" s="40"/>
    </row>
    <row r="1612" spans="3:7" x14ac:dyDescent="0.3">
      <c r="C1612" s="40"/>
      <c r="E1612" s="40"/>
      <c r="G1612" s="40"/>
    </row>
    <row r="1613" spans="3:7" x14ac:dyDescent="0.3">
      <c r="C1613" s="40"/>
      <c r="E1613" s="40"/>
      <c r="G1613" s="40"/>
    </row>
    <row r="1614" spans="3:7" x14ac:dyDescent="0.3">
      <c r="C1614" s="40"/>
      <c r="E1614" s="40"/>
      <c r="G1614" s="40"/>
    </row>
    <row r="1615" spans="3:7" x14ac:dyDescent="0.3">
      <c r="C1615" s="40"/>
      <c r="E1615" s="40"/>
      <c r="G1615" s="40"/>
    </row>
    <row r="1616" spans="3:7" x14ac:dyDescent="0.3">
      <c r="C1616" s="40"/>
      <c r="E1616" s="40"/>
      <c r="G1616" s="40"/>
    </row>
    <row r="1617" spans="3:7" x14ac:dyDescent="0.3">
      <c r="C1617" s="40"/>
      <c r="E1617" s="40"/>
      <c r="G1617" s="40"/>
    </row>
    <row r="1618" spans="3:7" x14ac:dyDescent="0.3">
      <c r="C1618" s="40"/>
      <c r="E1618" s="40"/>
      <c r="G1618" s="40"/>
    </row>
    <row r="1619" spans="3:7" x14ac:dyDescent="0.3">
      <c r="C1619" s="40"/>
      <c r="E1619" s="40"/>
      <c r="G1619" s="40"/>
    </row>
    <row r="1620" spans="3:7" x14ac:dyDescent="0.3">
      <c r="C1620" s="40"/>
      <c r="E1620" s="40"/>
      <c r="G1620" s="40"/>
    </row>
    <row r="1621" spans="3:7" x14ac:dyDescent="0.3">
      <c r="C1621" s="40"/>
      <c r="E1621" s="40"/>
      <c r="G1621" s="40"/>
    </row>
    <row r="1622" spans="3:7" x14ac:dyDescent="0.3">
      <c r="C1622" s="40"/>
      <c r="E1622" s="40"/>
      <c r="G1622" s="40"/>
    </row>
    <row r="1623" spans="3:7" x14ac:dyDescent="0.3">
      <c r="C1623" s="40"/>
      <c r="E1623" s="40"/>
      <c r="G1623" s="40"/>
    </row>
    <row r="1624" spans="3:7" x14ac:dyDescent="0.3">
      <c r="C1624" s="40"/>
      <c r="E1624" s="40"/>
      <c r="G1624" s="40"/>
    </row>
    <row r="1625" spans="3:7" x14ac:dyDescent="0.3">
      <c r="C1625" s="40"/>
      <c r="E1625" s="40"/>
      <c r="G1625" s="40"/>
    </row>
    <row r="1626" spans="3:7" x14ac:dyDescent="0.3">
      <c r="C1626" s="40"/>
      <c r="E1626" s="40"/>
      <c r="G1626" s="40"/>
    </row>
    <row r="1627" spans="3:7" x14ac:dyDescent="0.3">
      <c r="C1627" s="40"/>
      <c r="E1627" s="40"/>
      <c r="G1627" s="40"/>
    </row>
    <row r="1628" spans="3:7" x14ac:dyDescent="0.3">
      <c r="C1628" s="40"/>
      <c r="E1628" s="40"/>
      <c r="G1628" s="40"/>
    </row>
    <row r="1629" spans="3:7" x14ac:dyDescent="0.3">
      <c r="C1629" s="40"/>
      <c r="E1629" s="40"/>
      <c r="G1629" s="40"/>
    </row>
    <row r="1630" spans="3:7" x14ac:dyDescent="0.3">
      <c r="C1630" s="40"/>
      <c r="E1630" s="40"/>
      <c r="G1630" s="40"/>
    </row>
    <row r="1631" spans="3:7" x14ac:dyDescent="0.3">
      <c r="C1631" s="40"/>
      <c r="E1631" s="40"/>
      <c r="G1631" s="40"/>
    </row>
    <row r="1632" spans="3:7" x14ac:dyDescent="0.3">
      <c r="C1632" s="40"/>
      <c r="E1632" s="40"/>
      <c r="G1632" s="40"/>
    </row>
    <row r="1633" spans="3:7" x14ac:dyDescent="0.3">
      <c r="C1633" s="40"/>
      <c r="E1633" s="40"/>
      <c r="G1633" s="40"/>
    </row>
    <row r="1634" spans="3:7" x14ac:dyDescent="0.3">
      <c r="C1634" s="40"/>
      <c r="E1634" s="40"/>
      <c r="G1634" s="40"/>
    </row>
    <row r="1635" spans="3:7" x14ac:dyDescent="0.3">
      <c r="C1635" s="40"/>
      <c r="E1635" s="40"/>
      <c r="G1635" s="40"/>
    </row>
    <row r="1636" spans="3:7" x14ac:dyDescent="0.3">
      <c r="C1636" s="40"/>
      <c r="E1636" s="40"/>
      <c r="G1636" s="40"/>
    </row>
    <row r="1637" spans="3:7" x14ac:dyDescent="0.3">
      <c r="C1637" s="40"/>
      <c r="E1637" s="40"/>
      <c r="G1637" s="40"/>
    </row>
    <row r="1638" spans="3:7" x14ac:dyDescent="0.3">
      <c r="C1638" s="40"/>
      <c r="E1638" s="40"/>
      <c r="G1638" s="40"/>
    </row>
    <row r="1639" spans="3:7" x14ac:dyDescent="0.3">
      <c r="C1639" s="40"/>
      <c r="E1639" s="40"/>
      <c r="G1639" s="40"/>
    </row>
    <row r="1640" spans="3:7" x14ac:dyDescent="0.3">
      <c r="C1640" s="40"/>
      <c r="E1640" s="40"/>
      <c r="G1640" s="40"/>
    </row>
    <row r="1641" spans="3:7" x14ac:dyDescent="0.3">
      <c r="C1641" s="40"/>
      <c r="E1641" s="40"/>
      <c r="G1641" s="40"/>
    </row>
    <row r="1642" spans="3:7" x14ac:dyDescent="0.3">
      <c r="C1642" s="40"/>
      <c r="E1642" s="40"/>
      <c r="G1642" s="40"/>
    </row>
    <row r="1643" spans="3:7" x14ac:dyDescent="0.3">
      <c r="C1643" s="40"/>
      <c r="E1643" s="40"/>
      <c r="G1643" s="40"/>
    </row>
    <row r="1644" spans="3:7" x14ac:dyDescent="0.3">
      <c r="C1644" s="40"/>
      <c r="E1644" s="40"/>
      <c r="G1644" s="40"/>
    </row>
    <row r="1645" spans="3:7" x14ac:dyDescent="0.3">
      <c r="C1645" s="40"/>
      <c r="E1645" s="40"/>
      <c r="G1645" s="40"/>
    </row>
    <row r="1646" spans="3:7" x14ac:dyDescent="0.3">
      <c r="C1646" s="40"/>
      <c r="E1646" s="40"/>
      <c r="G1646" s="40"/>
    </row>
    <row r="1647" spans="3:7" x14ac:dyDescent="0.3">
      <c r="C1647" s="40"/>
      <c r="E1647" s="40"/>
      <c r="G1647" s="40"/>
    </row>
    <row r="1648" spans="3:7" x14ac:dyDescent="0.3">
      <c r="C1648" s="40"/>
      <c r="E1648" s="40"/>
      <c r="G1648" s="40"/>
    </row>
    <row r="1649" spans="3:7" x14ac:dyDescent="0.3">
      <c r="C1649" s="40"/>
      <c r="E1649" s="40"/>
      <c r="G1649" s="40"/>
    </row>
    <row r="1650" spans="3:7" x14ac:dyDescent="0.3">
      <c r="C1650" s="40"/>
      <c r="E1650" s="40"/>
      <c r="G1650" s="40"/>
    </row>
    <row r="1651" spans="3:7" x14ac:dyDescent="0.3">
      <c r="C1651" s="40"/>
      <c r="E1651" s="40"/>
      <c r="G1651" s="40"/>
    </row>
    <row r="1652" spans="3:7" x14ac:dyDescent="0.3">
      <c r="C1652" s="40"/>
      <c r="E1652" s="40"/>
      <c r="G1652" s="40"/>
    </row>
    <row r="1653" spans="3:7" x14ac:dyDescent="0.3">
      <c r="C1653" s="40"/>
      <c r="E1653" s="40"/>
      <c r="G1653" s="40"/>
    </row>
    <row r="1654" spans="3:7" x14ac:dyDescent="0.3">
      <c r="C1654" s="40"/>
      <c r="E1654" s="40"/>
      <c r="G1654" s="40"/>
    </row>
    <row r="1655" spans="3:7" x14ac:dyDescent="0.3">
      <c r="C1655" s="40"/>
      <c r="E1655" s="40"/>
      <c r="G1655" s="40"/>
    </row>
    <row r="1656" spans="3:7" x14ac:dyDescent="0.3">
      <c r="C1656" s="40"/>
      <c r="E1656" s="40"/>
      <c r="G1656" s="40"/>
    </row>
    <row r="1657" spans="3:7" x14ac:dyDescent="0.3">
      <c r="C1657" s="40"/>
      <c r="E1657" s="40"/>
      <c r="G1657" s="40"/>
    </row>
    <row r="1658" spans="3:7" x14ac:dyDescent="0.3">
      <c r="C1658" s="40"/>
      <c r="E1658" s="40"/>
      <c r="G1658" s="40"/>
    </row>
    <row r="1659" spans="3:7" x14ac:dyDescent="0.3">
      <c r="C1659" s="40"/>
      <c r="E1659" s="40"/>
      <c r="G1659" s="40"/>
    </row>
    <row r="1660" spans="3:7" x14ac:dyDescent="0.3">
      <c r="C1660" s="40"/>
      <c r="E1660" s="40"/>
      <c r="G1660" s="40"/>
    </row>
    <row r="1661" spans="3:7" x14ac:dyDescent="0.3">
      <c r="C1661" s="40"/>
      <c r="E1661" s="40"/>
      <c r="G1661" s="40"/>
    </row>
    <row r="1662" spans="3:7" x14ac:dyDescent="0.3">
      <c r="C1662" s="40"/>
      <c r="E1662" s="40"/>
      <c r="G1662" s="40"/>
    </row>
    <row r="1663" spans="3:7" x14ac:dyDescent="0.3">
      <c r="C1663" s="40"/>
      <c r="E1663" s="40"/>
      <c r="G1663" s="40"/>
    </row>
    <row r="1664" spans="3:7" x14ac:dyDescent="0.3">
      <c r="C1664" s="40"/>
      <c r="E1664" s="40"/>
      <c r="G1664" s="40"/>
    </row>
    <row r="1665" spans="3:7" x14ac:dyDescent="0.3">
      <c r="C1665" s="40"/>
      <c r="E1665" s="40"/>
      <c r="G1665" s="40"/>
    </row>
    <row r="1666" spans="3:7" x14ac:dyDescent="0.3">
      <c r="C1666" s="40"/>
      <c r="E1666" s="40"/>
      <c r="G1666" s="40"/>
    </row>
    <row r="1667" spans="3:7" x14ac:dyDescent="0.3">
      <c r="C1667" s="40"/>
      <c r="E1667" s="40"/>
      <c r="G1667" s="40"/>
    </row>
    <row r="1668" spans="3:7" x14ac:dyDescent="0.3">
      <c r="C1668" s="40"/>
      <c r="E1668" s="40"/>
      <c r="G1668" s="40"/>
    </row>
    <row r="1669" spans="3:7" x14ac:dyDescent="0.3">
      <c r="C1669" s="40"/>
      <c r="E1669" s="40"/>
      <c r="G1669" s="40"/>
    </row>
    <row r="1670" spans="3:7" x14ac:dyDescent="0.3">
      <c r="C1670" s="40"/>
      <c r="E1670" s="40"/>
      <c r="G1670" s="40"/>
    </row>
    <row r="1671" spans="3:7" x14ac:dyDescent="0.3">
      <c r="C1671" s="40"/>
      <c r="E1671" s="40"/>
      <c r="G1671" s="40"/>
    </row>
    <row r="1672" spans="3:7" x14ac:dyDescent="0.3">
      <c r="C1672" s="40"/>
      <c r="E1672" s="40"/>
      <c r="G1672" s="40"/>
    </row>
    <row r="1673" spans="3:7" x14ac:dyDescent="0.3">
      <c r="C1673" s="40"/>
      <c r="E1673" s="40"/>
      <c r="G1673" s="40"/>
    </row>
    <row r="1674" spans="3:7" x14ac:dyDescent="0.3">
      <c r="C1674" s="40"/>
      <c r="E1674" s="40"/>
      <c r="G1674" s="40"/>
    </row>
    <row r="1675" spans="3:7" x14ac:dyDescent="0.3">
      <c r="C1675" s="40"/>
      <c r="E1675" s="40"/>
      <c r="G1675" s="40"/>
    </row>
    <row r="1676" spans="3:7" x14ac:dyDescent="0.3">
      <c r="C1676" s="40"/>
      <c r="E1676" s="40"/>
      <c r="G1676" s="40"/>
    </row>
    <row r="1677" spans="3:7" x14ac:dyDescent="0.3">
      <c r="C1677" s="40"/>
      <c r="E1677" s="40"/>
      <c r="G1677" s="40"/>
    </row>
    <row r="1678" spans="3:7" x14ac:dyDescent="0.3">
      <c r="C1678" s="40"/>
      <c r="E1678" s="40"/>
      <c r="G1678" s="40"/>
    </row>
    <row r="1679" spans="3:7" x14ac:dyDescent="0.3">
      <c r="C1679" s="40"/>
      <c r="E1679" s="40"/>
      <c r="G1679" s="40"/>
    </row>
    <row r="1680" spans="3:7" x14ac:dyDescent="0.3">
      <c r="C1680" s="40"/>
      <c r="E1680" s="40"/>
      <c r="G1680" s="40"/>
    </row>
    <row r="1681" spans="3:7" x14ac:dyDescent="0.3">
      <c r="C1681" s="40"/>
      <c r="E1681" s="40"/>
      <c r="G1681" s="40"/>
    </row>
    <row r="1682" spans="3:7" x14ac:dyDescent="0.3">
      <c r="C1682" s="40"/>
      <c r="E1682" s="40"/>
      <c r="G1682" s="40"/>
    </row>
    <row r="1683" spans="3:7" x14ac:dyDescent="0.3">
      <c r="C1683" s="40"/>
      <c r="E1683" s="40"/>
      <c r="G1683" s="40"/>
    </row>
    <row r="1684" spans="3:7" x14ac:dyDescent="0.3">
      <c r="C1684" s="40"/>
      <c r="E1684" s="40"/>
      <c r="G1684" s="40"/>
    </row>
    <row r="1685" spans="3:7" x14ac:dyDescent="0.3">
      <c r="C1685" s="40"/>
      <c r="E1685" s="40"/>
      <c r="G1685" s="40"/>
    </row>
    <row r="1686" spans="3:7" x14ac:dyDescent="0.3">
      <c r="C1686" s="40"/>
      <c r="E1686" s="40"/>
      <c r="G1686" s="40"/>
    </row>
    <row r="1687" spans="3:7" x14ac:dyDescent="0.3">
      <c r="C1687" s="40"/>
      <c r="E1687" s="40"/>
      <c r="G1687" s="40"/>
    </row>
    <row r="1688" spans="3:7" x14ac:dyDescent="0.3">
      <c r="C1688" s="40"/>
      <c r="E1688" s="40"/>
      <c r="G1688" s="40"/>
    </row>
    <row r="1689" spans="3:7" x14ac:dyDescent="0.3">
      <c r="C1689" s="40"/>
      <c r="E1689" s="40"/>
      <c r="G1689" s="40"/>
    </row>
    <row r="1690" spans="3:7" x14ac:dyDescent="0.3">
      <c r="C1690" s="40"/>
      <c r="E1690" s="40"/>
      <c r="G1690" s="40"/>
    </row>
    <row r="1691" spans="3:7" x14ac:dyDescent="0.3">
      <c r="C1691" s="40"/>
      <c r="E1691" s="40"/>
      <c r="G1691" s="40"/>
    </row>
    <row r="1692" spans="3:7" x14ac:dyDescent="0.3">
      <c r="C1692" s="40"/>
      <c r="E1692" s="40"/>
      <c r="G1692" s="40"/>
    </row>
    <row r="1693" spans="3:7" x14ac:dyDescent="0.3">
      <c r="C1693" s="40"/>
      <c r="E1693" s="40"/>
      <c r="G1693" s="40"/>
    </row>
    <row r="1694" spans="3:7" x14ac:dyDescent="0.3">
      <c r="C1694" s="40"/>
      <c r="E1694" s="40"/>
      <c r="G1694" s="40"/>
    </row>
    <row r="1695" spans="3:7" x14ac:dyDescent="0.3">
      <c r="C1695" s="40"/>
      <c r="E1695" s="40"/>
      <c r="G1695" s="40"/>
    </row>
    <row r="1696" spans="3:7" x14ac:dyDescent="0.3">
      <c r="C1696" s="40"/>
      <c r="E1696" s="40"/>
      <c r="G1696" s="40"/>
    </row>
    <row r="1697" spans="3:7" x14ac:dyDescent="0.3">
      <c r="C1697" s="40"/>
      <c r="E1697" s="40"/>
      <c r="G1697" s="40"/>
    </row>
    <row r="1698" spans="3:7" x14ac:dyDescent="0.3">
      <c r="C1698" s="40"/>
      <c r="E1698" s="40"/>
      <c r="G1698" s="40"/>
    </row>
    <row r="1699" spans="3:7" x14ac:dyDescent="0.3">
      <c r="C1699" s="40"/>
      <c r="E1699" s="40"/>
      <c r="G1699" s="40"/>
    </row>
    <row r="1700" spans="3:7" x14ac:dyDescent="0.3">
      <c r="C1700" s="40"/>
      <c r="E1700" s="40"/>
      <c r="G1700" s="40"/>
    </row>
    <row r="1701" spans="3:7" x14ac:dyDescent="0.3">
      <c r="C1701" s="40"/>
      <c r="E1701" s="40"/>
      <c r="G1701" s="40"/>
    </row>
    <row r="1702" spans="3:7" x14ac:dyDescent="0.3">
      <c r="C1702" s="40"/>
      <c r="E1702" s="40"/>
      <c r="G1702" s="40"/>
    </row>
    <row r="1703" spans="3:7" x14ac:dyDescent="0.3">
      <c r="C1703" s="40"/>
      <c r="E1703" s="40"/>
      <c r="G1703" s="40"/>
    </row>
    <row r="1704" spans="3:7" x14ac:dyDescent="0.3">
      <c r="C1704" s="40"/>
      <c r="E1704" s="40"/>
      <c r="G1704" s="40"/>
    </row>
    <row r="1705" spans="3:7" x14ac:dyDescent="0.3">
      <c r="C1705" s="40"/>
      <c r="E1705" s="40"/>
      <c r="G1705" s="40"/>
    </row>
    <row r="1706" spans="3:7" x14ac:dyDescent="0.3">
      <c r="C1706" s="40"/>
      <c r="E1706" s="40"/>
      <c r="G1706" s="40"/>
    </row>
    <row r="1707" spans="3:7" x14ac:dyDescent="0.3">
      <c r="C1707" s="40"/>
      <c r="E1707" s="40"/>
      <c r="G1707" s="40"/>
    </row>
    <row r="1708" spans="3:7" x14ac:dyDescent="0.3">
      <c r="C1708" s="40"/>
      <c r="E1708" s="40"/>
      <c r="G1708" s="40"/>
    </row>
    <row r="1709" spans="3:7" x14ac:dyDescent="0.3">
      <c r="C1709" s="40"/>
      <c r="E1709" s="40"/>
      <c r="G1709" s="40"/>
    </row>
    <row r="1710" spans="3:7" x14ac:dyDescent="0.3">
      <c r="C1710" s="40"/>
      <c r="E1710" s="40"/>
      <c r="G1710" s="40"/>
    </row>
    <row r="1711" spans="3:7" x14ac:dyDescent="0.3">
      <c r="C1711" s="40"/>
      <c r="E1711" s="40"/>
      <c r="G1711" s="40"/>
    </row>
    <row r="1712" spans="3:7" x14ac:dyDescent="0.3">
      <c r="C1712" s="40"/>
      <c r="E1712" s="40"/>
      <c r="G1712" s="40"/>
    </row>
    <row r="1713" spans="3:7" x14ac:dyDescent="0.3">
      <c r="C1713" s="40"/>
      <c r="E1713" s="40"/>
      <c r="G1713" s="40"/>
    </row>
    <row r="1714" spans="3:7" x14ac:dyDescent="0.3">
      <c r="C1714" s="40"/>
      <c r="E1714" s="40"/>
      <c r="G1714" s="40"/>
    </row>
    <row r="1715" spans="3:7" x14ac:dyDescent="0.3">
      <c r="C1715" s="40"/>
      <c r="E1715" s="40"/>
      <c r="G1715" s="40"/>
    </row>
    <row r="1716" spans="3:7" x14ac:dyDescent="0.3">
      <c r="C1716" s="40"/>
      <c r="E1716" s="40"/>
      <c r="G1716" s="40"/>
    </row>
    <row r="1717" spans="3:7" x14ac:dyDescent="0.3">
      <c r="C1717" s="40"/>
      <c r="E1717" s="40"/>
      <c r="G1717" s="40"/>
    </row>
    <row r="1718" spans="3:7" x14ac:dyDescent="0.3">
      <c r="C1718" s="40"/>
      <c r="E1718" s="40"/>
      <c r="G1718" s="40"/>
    </row>
    <row r="1719" spans="3:7" x14ac:dyDescent="0.3">
      <c r="C1719" s="40"/>
      <c r="E1719" s="40"/>
      <c r="G1719" s="40"/>
    </row>
    <row r="1720" spans="3:7" x14ac:dyDescent="0.3">
      <c r="C1720" s="40"/>
      <c r="E1720" s="40"/>
      <c r="G1720" s="40"/>
    </row>
    <row r="1721" spans="3:7" x14ac:dyDescent="0.3">
      <c r="C1721" s="40"/>
      <c r="E1721" s="40"/>
      <c r="G1721" s="40"/>
    </row>
    <row r="1722" spans="3:7" x14ac:dyDescent="0.3">
      <c r="C1722" s="40"/>
      <c r="E1722" s="40"/>
      <c r="G1722" s="40"/>
    </row>
    <row r="1723" spans="3:7" x14ac:dyDescent="0.3">
      <c r="C1723" s="40"/>
      <c r="E1723" s="40"/>
      <c r="G1723" s="40"/>
    </row>
    <row r="1724" spans="3:7" x14ac:dyDescent="0.3">
      <c r="C1724" s="40"/>
      <c r="E1724" s="40"/>
      <c r="G1724" s="40"/>
    </row>
    <row r="1725" spans="3:7" x14ac:dyDescent="0.3">
      <c r="C1725" s="40"/>
      <c r="E1725" s="40"/>
      <c r="G1725" s="40"/>
    </row>
    <row r="1726" spans="3:7" x14ac:dyDescent="0.3">
      <c r="C1726" s="40"/>
      <c r="E1726" s="40"/>
      <c r="G1726" s="40"/>
    </row>
    <row r="1727" spans="3:7" x14ac:dyDescent="0.3">
      <c r="C1727" s="40"/>
      <c r="E1727" s="40"/>
      <c r="G1727" s="40"/>
    </row>
    <row r="1728" spans="3:7" x14ac:dyDescent="0.3">
      <c r="C1728" s="40"/>
      <c r="E1728" s="40"/>
      <c r="G1728" s="40"/>
    </row>
    <row r="1729" spans="3:7" x14ac:dyDescent="0.3">
      <c r="C1729" s="40"/>
      <c r="E1729" s="40"/>
      <c r="G1729" s="40"/>
    </row>
    <row r="1730" spans="3:7" x14ac:dyDescent="0.3">
      <c r="C1730" s="40"/>
      <c r="E1730" s="40"/>
      <c r="G1730" s="40"/>
    </row>
    <row r="1731" spans="3:7" x14ac:dyDescent="0.3">
      <c r="C1731" s="40"/>
      <c r="E1731" s="40"/>
      <c r="G1731" s="40"/>
    </row>
    <row r="1732" spans="3:7" x14ac:dyDescent="0.3">
      <c r="C1732" s="40"/>
      <c r="E1732" s="40"/>
      <c r="G1732" s="40"/>
    </row>
    <row r="1733" spans="3:7" x14ac:dyDescent="0.3">
      <c r="C1733" s="40"/>
      <c r="E1733" s="40"/>
      <c r="G1733" s="40"/>
    </row>
    <row r="1734" spans="3:7" x14ac:dyDescent="0.3">
      <c r="C1734" s="40"/>
      <c r="E1734" s="40"/>
      <c r="G1734" s="40"/>
    </row>
    <row r="1735" spans="3:7" x14ac:dyDescent="0.3">
      <c r="C1735" s="40"/>
      <c r="E1735" s="40"/>
      <c r="G1735" s="40"/>
    </row>
    <row r="1736" spans="3:7" x14ac:dyDescent="0.3">
      <c r="C1736" s="40"/>
      <c r="E1736" s="40"/>
      <c r="G1736" s="40"/>
    </row>
    <row r="1737" spans="3:7" x14ac:dyDescent="0.3">
      <c r="C1737" s="40"/>
      <c r="E1737" s="40"/>
      <c r="G1737" s="40"/>
    </row>
    <row r="1738" spans="3:7" x14ac:dyDescent="0.3">
      <c r="C1738" s="40"/>
      <c r="E1738" s="40"/>
      <c r="G1738" s="40"/>
    </row>
    <row r="1739" spans="3:7" x14ac:dyDescent="0.3">
      <c r="C1739" s="40"/>
      <c r="E1739" s="40"/>
      <c r="G1739" s="40"/>
    </row>
    <row r="1740" spans="3:7" x14ac:dyDescent="0.3">
      <c r="C1740" s="40"/>
      <c r="E1740" s="40"/>
      <c r="G1740" s="40"/>
    </row>
    <row r="1741" spans="3:7" x14ac:dyDescent="0.3">
      <c r="C1741" s="40"/>
      <c r="E1741" s="40"/>
      <c r="G1741" s="40"/>
    </row>
    <row r="1742" spans="3:7" x14ac:dyDescent="0.3">
      <c r="C1742" s="40"/>
      <c r="E1742" s="40"/>
      <c r="G1742" s="40"/>
    </row>
    <row r="1743" spans="3:7" x14ac:dyDescent="0.3">
      <c r="C1743" s="40"/>
      <c r="E1743" s="40"/>
      <c r="G1743" s="40"/>
    </row>
    <row r="1744" spans="3:7" x14ac:dyDescent="0.3">
      <c r="C1744" s="40"/>
      <c r="E1744" s="40"/>
      <c r="G1744" s="40"/>
    </row>
    <row r="1745" spans="3:7" x14ac:dyDescent="0.3">
      <c r="C1745" s="40"/>
      <c r="E1745" s="40"/>
      <c r="G1745" s="40"/>
    </row>
    <row r="1746" spans="3:7" x14ac:dyDescent="0.3">
      <c r="C1746" s="40"/>
      <c r="E1746" s="40"/>
      <c r="G1746" s="40"/>
    </row>
    <row r="1747" spans="3:7" x14ac:dyDescent="0.3">
      <c r="C1747" s="40"/>
      <c r="E1747" s="40"/>
      <c r="G1747" s="40"/>
    </row>
    <row r="1748" spans="3:7" x14ac:dyDescent="0.3">
      <c r="C1748" s="40"/>
      <c r="E1748" s="40"/>
      <c r="G1748" s="40"/>
    </row>
    <row r="1749" spans="3:7" x14ac:dyDescent="0.3">
      <c r="C1749" s="40"/>
      <c r="E1749" s="40"/>
      <c r="G1749" s="40"/>
    </row>
    <row r="1750" spans="3:7" x14ac:dyDescent="0.3">
      <c r="C1750" s="40"/>
      <c r="E1750" s="40"/>
      <c r="G1750" s="40"/>
    </row>
    <row r="1751" spans="3:7" x14ac:dyDescent="0.3">
      <c r="C1751" s="40"/>
      <c r="E1751" s="40"/>
      <c r="G1751" s="40"/>
    </row>
    <row r="1752" spans="3:7" x14ac:dyDescent="0.3">
      <c r="C1752" s="40"/>
      <c r="E1752" s="40"/>
      <c r="G1752" s="40"/>
    </row>
    <row r="1753" spans="3:7" x14ac:dyDescent="0.3">
      <c r="C1753" s="40"/>
      <c r="E1753" s="40"/>
      <c r="G1753" s="40"/>
    </row>
    <row r="1754" spans="3:7" x14ac:dyDescent="0.3">
      <c r="C1754" s="40"/>
      <c r="E1754" s="40"/>
      <c r="G1754" s="40"/>
    </row>
    <row r="1755" spans="3:7" x14ac:dyDescent="0.3">
      <c r="C1755" s="40"/>
      <c r="E1755" s="40"/>
      <c r="G1755" s="40"/>
    </row>
    <row r="1756" spans="3:7" x14ac:dyDescent="0.3">
      <c r="C1756" s="40"/>
      <c r="E1756" s="40"/>
      <c r="G1756" s="40"/>
    </row>
    <row r="1757" spans="3:7" x14ac:dyDescent="0.3">
      <c r="C1757" s="40"/>
      <c r="E1757" s="40"/>
      <c r="G1757" s="40"/>
    </row>
    <row r="1758" spans="3:7" x14ac:dyDescent="0.3">
      <c r="C1758" s="40"/>
      <c r="E1758" s="40"/>
      <c r="G1758" s="40"/>
    </row>
    <row r="1759" spans="3:7" x14ac:dyDescent="0.3">
      <c r="C1759" s="40"/>
      <c r="E1759" s="40"/>
      <c r="G1759" s="40"/>
    </row>
    <row r="1760" spans="3:7" x14ac:dyDescent="0.3">
      <c r="C1760" s="40"/>
      <c r="E1760" s="40"/>
      <c r="G1760" s="40"/>
    </row>
    <row r="1761" spans="3:7" x14ac:dyDescent="0.3">
      <c r="C1761" s="40"/>
      <c r="E1761" s="40"/>
      <c r="G1761" s="40"/>
    </row>
    <row r="1762" spans="3:7" x14ac:dyDescent="0.3">
      <c r="C1762" s="40"/>
      <c r="E1762" s="40"/>
      <c r="G1762" s="40"/>
    </row>
    <row r="1763" spans="3:7" x14ac:dyDescent="0.3">
      <c r="C1763" s="40"/>
      <c r="E1763" s="40"/>
      <c r="G1763" s="40"/>
    </row>
    <row r="1764" spans="3:7" x14ac:dyDescent="0.3">
      <c r="C1764" s="40"/>
      <c r="E1764" s="40"/>
      <c r="G1764" s="40"/>
    </row>
    <row r="1765" spans="3:7" x14ac:dyDescent="0.3">
      <c r="C1765" s="40"/>
      <c r="E1765" s="40"/>
      <c r="G1765" s="40"/>
    </row>
    <row r="1766" spans="3:7" x14ac:dyDescent="0.3">
      <c r="C1766" s="40"/>
      <c r="E1766" s="40"/>
      <c r="G1766" s="40"/>
    </row>
    <row r="1767" spans="3:7" x14ac:dyDescent="0.3">
      <c r="C1767" s="40"/>
      <c r="E1767" s="40"/>
      <c r="G1767" s="40"/>
    </row>
    <row r="1768" spans="3:7" x14ac:dyDescent="0.3">
      <c r="C1768" s="40"/>
      <c r="E1768" s="40"/>
      <c r="G1768" s="40"/>
    </row>
    <row r="1769" spans="3:7" x14ac:dyDescent="0.3">
      <c r="C1769" s="40"/>
      <c r="E1769" s="40"/>
      <c r="G1769" s="40"/>
    </row>
  </sheetData>
  <mergeCells count="134">
    <mergeCell ref="C30:D30"/>
    <mergeCell ref="E22:F22"/>
    <mergeCell ref="C22:D22"/>
    <mergeCell ref="C1:G1"/>
    <mergeCell ref="C44:D44"/>
    <mergeCell ref="C45:D45"/>
    <mergeCell ref="C46:D46"/>
    <mergeCell ref="E38:F38"/>
    <mergeCell ref="E40:F40"/>
    <mergeCell ref="E41:F41"/>
    <mergeCell ref="E42:F42"/>
    <mergeCell ref="E43:F43"/>
    <mergeCell ref="E44:F44"/>
    <mergeCell ref="E45:F45"/>
    <mergeCell ref="E46:F46"/>
    <mergeCell ref="C39:D39"/>
    <mergeCell ref="E39:F39"/>
    <mergeCell ref="E21:F21"/>
    <mergeCell ref="C21:D21"/>
    <mergeCell ref="C24:G24"/>
    <mergeCell ref="E25:F25"/>
    <mergeCell ref="E26:F26"/>
    <mergeCell ref="E27:F27"/>
    <mergeCell ref="E30:F30"/>
    <mergeCell ref="E10:F10"/>
    <mergeCell ref="E11:F11"/>
    <mergeCell ref="E12:F12"/>
    <mergeCell ref="E14:F14"/>
    <mergeCell ref="C18:D18"/>
    <mergeCell ref="C19:D19"/>
    <mergeCell ref="C20:D20"/>
    <mergeCell ref="E18:F18"/>
    <mergeCell ref="E19:F19"/>
    <mergeCell ref="E20:F20"/>
    <mergeCell ref="C10:D10"/>
    <mergeCell ref="C11:D11"/>
    <mergeCell ref="C12:D12"/>
    <mergeCell ref="E8:F8"/>
    <mergeCell ref="E9:F9"/>
    <mergeCell ref="E3:F3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C8:D8"/>
    <mergeCell ref="C9:D9"/>
    <mergeCell ref="M38:N38"/>
    <mergeCell ref="O38:P38"/>
    <mergeCell ref="C31:D31"/>
    <mergeCell ref="E31:F31"/>
    <mergeCell ref="C35:D35"/>
    <mergeCell ref="E35:F35"/>
    <mergeCell ref="A36:G36"/>
    <mergeCell ref="A37:G37"/>
    <mergeCell ref="B48:G48"/>
    <mergeCell ref="C33:D33"/>
    <mergeCell ref="C34:D34"/>
    <mergeCell ref="E33:F33"/>
    <mergeCell ref="E34:F34"/>
    <mergeCell ref="C38:D38"/>
    <mergeCell ref="C40:D40"/>
    <mergeCell ref="C41:D41"/>
    <mergeCell ref="C42:D42"/>
    <mergeCell ref="C43:D43"/>
    <mergeCell ref="C47:D47"/>
    <mergeCell ref="E47:F47"/>
    <mergeCell ref="E32:F32"/>
    <mergeCell ref="C32:D32"/>
    <mergeCell ref="C49:D49"/>
    <mergeCell ref="E49:F49"/>
    <mergeCell ref="E51:F51"/>
    <mergeCell ref="C51:D51"/>
    <mergeCell ref="C52:D52"/>
    <mergeCell ref="E52:F52"/>
    <mergeCell ref="C13:D13"/>
    <mergeCell ref="E13:F13"/>
    <mergeCell ref="C15:D15"/>
    <mergeCell ref="E15:F15"/>
    <mergeCell ref="C14:D14"/>
    <mergeCell ref="C16:D16"/>
    <mergeCell ref="C17:D17"/>
    <mergeCell ref="E16:F16"/>
    <mergeCell ref="E17:F17"/>
    <mergeCell ref="C50:D50"/>
    <mergeCell ref="E50:F50"/>
    <mergeCell ref="C25:D25"/>
    <mergeCell ref="C26:D26"/>
    <mergeCell ref="C29:D29"/>
    <mergeCell ref="E29:F29"/>
    <mergeCell ref="E23:F23"/>
    <mergeCell ref="C23:D23"/>
    <mergeCell ref="E28:F28"/>
    <mergeCell ref="E60:F60"/>
    <mergeCell ref="E53:F53"/>
    <mergeCell ref="E54:F54"/>
    <mergeCell ref="E55:F55"/>
    <mergeCell ref="E56:F56"/>
    <mergeCell ref="E57:F57"/>
    <mergeCell ref="C53:D53"/>
    <mergeCell ref="C54:D54"/>
    <mergeCell ref="C55:D55"/>
    <mergeCell ref="C56:D56"/>
    <mergeCell ref="C57:D57"/>
    <mergeCell ref="B28:D28"/>
    <mergeCell ref="C69:D69"/>
    <mergeCell ref="C68:D68"/>
    <mergeCell ref="E69:F69"/>
    <mergeCell ref="E68:F68"/>
    <mergeCell ref="C64:D64"/>
    <mergeCell ref="E64:F64"/>
    <mergeCell ref="C65:D65"/>
    <mergeCell ref="C66:D66"/>
    <mergeCell ref="C67:D67"/>
    <mergeCell ref="E67:F67"/>
    <mergeCell ref="E66:F66"/>
    <mergeCell ref="E65:F65"/>
    <mergeCell ref="C61:D61"/>
    <mergeCell ref="E61:F61"/>
    <mergeCell ref="C62:D62"/>
    <mergeCell ref="E62:F62"/>
    <mergeCell ref="C63:D63"/>
    <mergeCell ref="E63:F63"/>
    <mergeCell ref="C58:D58"/>
    <mergeCell ref="E58:F58"/>
    <mergeCell ref="E59:F59"/>
    <mergeCell ref="C59:D59"/>
    <mergeCell ref="C60:D60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685"/>
  <sheetViews>
    <sheetView topLeftCell="A59" zoomScaleNormal="100" workbookViewId="0">
      <selection activeCell="E84" sqref="E84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68" customFormat="1" x14ac:dyDescent="0.3">
      <c r="B1" s="101" t="s">
        <v>122</v>
      </c>
      <c r="C1" s="101"/>
      <c r="D1" s="101"/>
      <c r="E1" s="101"/>
    </row>
    <row r="2" spans="1:12" x14ac:dyDescent="0.3">
      <c r="A2" s="2" t="s">
        <v>132</v>
      </c>
      <c r="B2" s="104" t="s">
        <v>4</v>
      </c>
      <c r="C2" s="104"/>
      <c r="D2" s="104" t="s">
        <v>5</v>
      </c>
      <c r="E2" s="104"/>
    </row>
    <row r="3" spans="1:12" x14ac:dyDescent="0.3">
      <c r="A3" t="s">
        <v>28</v>
      </c>
      <c r="B3" s="102">
        <f>[1]All!$L$12*L17</f>
        <v>0.51465014185725644</v>
      </c>
      <c r="C3" s="102"/>
      <c r="D3" s="102">
        <f>[1]All!$L$13*L17</f>
        <v>0.37172721627329236</v>
      </c>
      <c r="E3" s="102"/>
    </row>
    <row r="4" spans="1:12" x14ac:dyDescent="0.3">
      <c r="A4" t="s">
        <v>29</v>
      </c>
      <c r="B4" s="102">
        <f>[2]prod_herd_data!J16</f>
        <v>413.82147257338761</v>
      </c>
      <c r="C4" s="102"/>
      <c r="D4" s="102">
        <f>[2]prod_herd_data!J17</f>
        <v>1421.9297913811431</v>
      </c>
      <c r="E4" s="102"/>
      <c r="K4" s="68"/>
    </row>
    <row r="5" spans="1:12" ht="15.6" x14ac:dyDescent="0.3">
      <c r="A5" t="s">
        <v>12</v>
      </c>
      <c r="B5" s="102">
        <f>B4*B3</f>
        <v>212.97327956347269</v>
      </c>
      <c r="C5" s="102"/>
      <c r="D5" s="102">
        <f>D4*D3</f>
        <v>528.57000308617569</v>
      </c>
      <c r="E5" s="102"/>
      <c r="K5" s="67"/>
    </row>
    <row r="6" spans="1:12" s="68" customFormat="1" ht="15.6" x14ac:dyDescent="0.3">
      <c r="B6" s="98"/>
      <c r="C6" s="98"/>
      <c r="D6" s="102"/>
      <c r="E6" s="102"/>
      <c r="K6" s="67"/>
    </row>
    <row r="7" spans="1:12" x14ac:dyDescent="0.3">
      <c r="A7" s="2" t="s">
        <v>126</v>
      </c>
      <c r="B7" s="98"/>
      <c r="C7" s="98"/>
      <c r="D7" s="102"/>
      <c r="E7" s="102"/>
    </row>
    <row r="8" spans="1:12" x14ac:dyDescent="0.3">
      <c r="A8" s="68" t="s">
        <v>51</v>
      </c>
      <c r="B8" s="102">
        <f>[1]All!$O$12*L17</f>
        <v>34.83614754660686</v>
      </c>
      <c r="C8" s="102"/>
      <c r="D8" s="102">
        <f>[1]All!$O$13*L17</f>
        <v>266.13869519178883</v>
      </c>
      <c r="E8" s="102"/>
    </row>
    <row r="9" spans="1:12" x14ac:dyDescent="0.3">
      <c r="A9" s="68" t="s">
        <v>7</v>
      </c>
      <c r="B9" s="102">
        <f>[1]All!$P$12*L17</f>
        <v>3.8125058757578052</v>
      </c>
      <c r="C9" s="102"/>
      <c r="D9" s="102">
        <f>[1]All!$P$13*NPV_Roadmap!L17</f>
        <v>2.4640522792596169</v>
      </c>
      <c r="E9" s="102"/>
    </row>
    <row r="10" spans="1:12" x14ac:dyDescent="0.3">
      <c r="A10" s="68" t="s">
        <v>127</v>
      </c>
      <c r="B10" s="102">
        <f>[1]All!$Q$12*L17</f>
        <v>14.319919412568568</v>
      </c>
      <c r="C10" s="102"/>
      <c r="D10" s="102">
        <f>[1]All!$Q$13*NPV_Roadmap!L17</f>
        <v>10.524515875107813</v>
      </c>
      <c r="E10" s="102"/>
      <c r="K10" s="2" t="str">
        <f>NPV_Roadmap!K10</f>
        <v>Basic NPV parameters</v>
      </c>
      <c r="L10" s="2"/>
    </row>
    <row r="11" spans="1:12" x14ac:dyDescent="0.3">
      <c r="A11" s="68" t="s">
        <v>128</v>
      </c>
      <c r="B11" s="102">
        <f>[1]All!$R$12*L17</f>
        <v>1.7120179889182412E-4</v>
      </c>
      <c r="C11" s="102"/>
      <c r="D11" s="102">
        <f>[1]All!$R$13*NPV_Roadmap!L17</f>
        <v>1.7120179889182412E-4</v>
      </c>
      <c r="E11" s="102"/>
      <c r="K11" s="66" t="str">
        <f>NPV_Roadmap!K11</f>
        <v>NPV horizon (years)</v>
      </c>
      <c r="L11" s="66">
        <f>NPV_Roadmap!L11</f>
        <v>5</v>
      </c>
    </row>
    <row r="12" spans="1:12" x14ac:dyDescent="0.3">
      <c r="A12" s="68" t="s">
        <v>129</v>
      </c>
      <c r="B12" s="102">
        <f>0*L17</f>
        <v>0</v>
      </c>
      <c r="C12" s="102"/>
      <c r="D12" s="102">
        <f>0*L17</f>
        <v>0</v>
      </c>
      <c r="E12" s="102"/>
      <c r="K12" s="66" t="str">
        <f>NPV_Roadmap!K12</f>
        <v>Interest rate (fraction)</v>
      </c>
      <c r="L12" s="66">
        <f>NPV_Roadmap!L12</f>
        <v>0.17</v>
      </c>
    </row>
    <row r="13" spans="1:12" s="68" customFormat="1" x14ac:dyDescent="0.3">
      <c r="B13" s="98"/>
      <c r="C13" s="98"/>
      <c r="D13" s="102"/>
      <c r="E13" s="102"/>
      <c r="K13" s="66"/>
      <c r="L13" s="66"/>
    </row>
    <row r="14" spans="1:12" x14ac:dyDescent="0.3">
      <c r="A14" t="s">
        <v>10</v>
      </c>
      <c r="B14" s="102">
        <f>SUM(B8:B12)</f>
        <v>52.968744036732126</v>
      </c>
      <c r="C14" s="102"/>
      <c r="D14" s="102">
        <f>SUM(D8:D12)</f>
        <v>279.12743454795509</v>
      </c>
      <c r="E14" s="102"/>
      <c r="K14" s="66" t="str">
        <f>NPV_Roadmap!K14</f>
        <v>Price acquring new animal (USD/head)</v>
      </c>
      <c r="L14" s="66">
        <f>NPV_Roadmap!L14</f>
        <v>529</v>
      </c>
    </row>
    <row r="15" spans="1:12" x14ac:dyDescent="0.3">
      <c r="B15" s="98"/>
      <c r="C15" s="98"/>
      <c r="D15" s="102"/>
      <c r="E15" s="102"/>
      <c r="K15" s="66" t="str">
        <f>NPV_Roadmap!K15</f>
        <v>Standard error animal price (fraction)</v>
      </c>
      <c r="L15" s="66">
        <f>NPV_Roadmap!L15</f>
        <v>0</v>
      </c>
    </row>
    <row r="16" spans="1:12" x14ac:dyDescent="0.3">
      <c r="B16" s="98"/>
      <c r="C16" s="98"/>
      <c r="D16" s="102"/>
      <c r="E16" s="102"/>
      <c r="K16" s="66"/>
      <c r="L16" s="66"/>
    </row>
    <row r="17" spans="1:12" x14ac:dyDescent="0.3">
      <c r="A17" s="68" t="s">
        <v>130</v>
      </c>
      <c r="B17" s="102">
        <f>B5-B14</f>
        <v>160.00453552674057</v>
      </c>
      <c r="C17" s="102"/>
      <c r="D17" s="102">
        <f>D5-D14</f>
        <v>249.4425685382206</v>
      </c>
      <c r="E17" s="102"/>
      <c r="K17" s="66" t="str">
        <f>NPV_Roadmap!K17</f>
        <v>GDP deflator</v>
      </c>
      <c r="L17" s="76">
        <f>NPV_Roadmap!L17</f>
        <v>1.3155644843884766</v>
      </c>
    </row>
    <row r="18" spans="1:12" x14ac:dyDescent="0.3">
      <c r="B18" s="102">
        <f>B5-B14</f>
        <v>160.00453552674057</v>
      </c>
      <c r="C18" s="102"/>
      <c r="D18" s="102">
        <f>D5-D14</f>
        <v>249.4425685382206</v>
      </c>
      <c r="E18" s="102"/>
      <c r="K18" s="66"/>
      <c r="L18" s="66"/>
    </row>
    <row r="19" spans="1:12" x14ac:dyDescent="0.3">
      <c r="B19" s="102">
        <f>B5-B14</f>
        <v>160.00453552674057</v>
      </c>
      <c r="C19" s="102"/>
      <c r="D19" s="102">
        <f>D5-D14</f>
        <v>249.4425685382206</v>
      </c>
      <c r="E19" s="102"/>
      <c r="K19" s="66"/>
      <c r="L19" s="66"/>
    </row>
    <row r="20" spans="1:12" x14ac:dyDescent="0.3">
      <c r="B20" s="102">
        <f>B5-B14</f>
        <v>160.00453552674057</v>
      </c>
      <c r="C20" s="102"/>
      <c r="D20" s="102">
        <f>D5-D14</f>
        <v>249.4425685382206</v>
      </c>
      <c r="E20" s="102"/>
      <c r="K20" s="66"/>
      <c r="L20" s="66"/>
    </row>
    <row r="21" spans="1:12" x14ac:dyDescent="0.3">
      <c r="B21" s="102">
        <f>B5-B14</f>
        <v>160.00453552674057</v>
      </c>
      <c r="C21" s="102"/>
      <c r="D21" s="102">
        <f>D5-D14</f>
        <v>249.4425685382206</v>
      </c>
      <c r="E21" s="102"/>
      <c r="K21" s="66"/>
      <c r="L21" s="66"/>
    </row>
    <row r="22" spans="1:12" x14ac:dyDescent="0.3">
      <c r="A22" t="s">
        <v>11</v>
      </c>
      <c r="B22" s="102">
        <f>NPV(L12,B17:B21)/L11</f>
        <v>102.38197935134957</v>
      </c>
      <c r="C22" s="102"/>
      <c r="D22" s="102">
        <f>NPV(L12,D17:D21)/L11</f>
        <v>159.61062489481509</v>
      </c>
      <c r="E22" s="102"/>
      <c r="K22" s="66"/>
      <c r="L22" s="66"/>
    </row>
    <row r="23" spans="1:12" x14ac:dyDescent="0.3">
      <c r="B23" s="98"/>
      <c r="C23" s="98"/>
      <c r="D23" s="102"/>
      <c r="E23" s="102"/>
      <c r="K23" s="66"/>
      <c r="L23" s="66"/>
    </row>
    <row r="24" spans="1:12" x14ac:dyDescent="0.3">
      <c r="B24" s="94" t="s">
        <v>150</v>
      </c>
      <c r="C24" s="94"/>
      <c r="D24" s="109"/>
      <c r="E24" s="109"/>
      <c r="K24" s="66"/>
      <c r="L24" s="66"/>
    </row>
    <row r="25" spans="1:12" x14ac:dyDescent="0.3">
      <c r="A25" t="s">
        <v>15</v>
      </c>
      <c r="B25" s="102">
        <f>L17*L42</f>
        <v>274.95297723719159</v>
      </c>
      <c r="C25" s="102"/>
      <c r="D25" s="102">
        <f>L44*L17</f>
        <v>305.21096037812657</v>
      </c>
      <c r="E25" s="102"/>
      <c r="K25" s="2" t="str">
        <f>NPV_Roadmap!K24</f>
        <v>Cropping parameters</v>
      </c>
      <c r="L25" s="66"/>
    </row>
    <row r="26" spans="1:12" x14ac:dyDescent="0.3">
      <c r="A26" t="s">
        <v>153</v>
      </c>
      <c r="B26" s="102">
        <f>( [5]Sheet1!$QH$65*[2]feeding_change_data!$J$4+      [5]Sheet1!$QH$56*[2]feeding_change_data!$K$4)/([2]feeding_change_data!$J$4+[2]feeding_change_data!$K$4)</f>
        <v>271.47494136791715</v>
      </c>
      <c r="C26" s="102"/>
      <c r="D26" s="102">
        <f>( [5]Sheet1!$QG$65*[2]feeding_change_data!$J$4+      [5]Sheet1!$QG$56*[2]feeding_change_data!$K$4)/([2]feeding_change_data!$J$4+[2]feeding_change_data!$K$4)</f>
        <v>740.39589741278587</v>
      </c>
      <c r="E26" s="102"/>
      <c r="K26" s="66" t="str">
        <f>NPV_Roadmap!K25</f>
        <v>Forage seeding cost (USD/ha/yr)</v>
      </c>
      <c r="L26" s="66">
        <f>NPV_Roadmap!L25</f>
        <v>28</v>
      </c>
    </row>
    <row r="27" spans="1:12" x14ac:dyDescent="0.3">
      <c r="A27" t="s">
        <v>154</v>
      </c>
      <c r="B27" s="102">
        <f>(((1/1000)*(1/L29)/L39))*B26</f>
        <v>2.7843583730042785E-2</v>
      </c>
      <c r="C27" s="102"/>
      <c r="D27" s="102">
        <f>(((1/1000)*(1/L29)/L39))*D26</f>
        <v>7.5938040760285722E-2</v>
      </c>
      <c r="E27" s="102"/>
      <c r="K27" s="66"/>
      <c r="L27" s="66"/>
    </row>
    <row r="28" spans="1:12" x14ac:dyDescent="0.3">
      <c r="A28" t="s">
        <v>155</v>
      </c>
      <c r="B28" s="102">
        <f>( [5]Sheet1!$QP$65*[2]feeding_change_data_pasture!$J$4+      [5]Sheet1!$QP$56*[2]feeding_change_data_pasture!$K$4)/([2]feeding_change_data_pasture!$J$4+[2]feeding_change_data_pasture!$K$4)</f>
        <v>211.53940697380094</v>
      </c>
      <c r="C28" s="102"/>
      <c r="D28" s="102">
        <f>( [5]Sheet1!$QO$65*[2]feeding_change_data_pasture!$J$4+      [5]Sheet1!$QO$56*[2]feeding_change_data_pasture!$K$4)/([2]feeding_change_data_pasture!$J$4+[2]feeding_change_data_pasture!$K$4)</f>
        <v>568.29515859967364</v>
      </c>
      <c r="E28" s="102"/>
      <c r="K28" s="66"/>
      <c r="L28" s="66"/>
    </row>
    <row r="29" spans="1:12" x14ac:dyDescent="0.3">
      <c r="A29" t="s">
        <v>156</v>
      </c>
      <c r="B29" s="102">
        <f>(((1/1000)*(1/L31)/L40))*B28</f>
        <v>8.4615762789520377E-2</v>
      </c>
      <c r="C29" s="102"/>
      <c r="D29" s="102">
        <f>(((1/1000)*(1/L31)/L40))*D28</f>
        <v>0.22731806343986946</v>
      </c>
      <c r="E29" s="102"/>
      <c r="K29" s="66" t="str">
        <f>NPV_Roadmap!K29</f>
        <v>Use efficiency napier</v>
      </c>
      <c r="L29" s="66">
        <f>NPV_Roadmap!L29</f>
        <v>0.75</v>
      </c>
    </row>
    <row r="30" spans="1:12" s="85" customFormat="1" x14ac:dyDescent="0.3">
      <c r="A30" s="85" t="s">
        <v>161</v>
      </c>
      <c r="B30" s="102">
        <f>B27+B29</f>
        <v>0.11245934651956316</v>
      </c>
      <c r="C30" s="102"/>
      <c r="D30" s="102">
        <f>D27+D29</f>
        <v>0.3032561042001552</v>
      </c>
      <c r="E30" s="102"/>
      <c r="K30" s="66"/>
      <c r="L30" s="66"/>
    </row>
    <row r="31" spans="1:12" x14ac:dyDescent="0.3">
      <c r="A31" t="s">
        <v>144</v>
      </c>
      <c r="B31" s="102">
        <f>(B27+B29)*L17*L26</f>
        <v>4.1425306221228757</v>
      </c>
      <c r="C31" s="102"/>
      <c r="D31" s="102">
        <f>(D27+D29)*L17*L26</f>
        <v>11.170682890072589</v>
      </c>
      <c r="E31" s="102"/>
      <c r="K31" s="66" t="str">
        <f>NPV_Roadmap!K30</f>
        <v>Use efficiency pasture</v>
      </c>
      <c r="L31" s="66">
        <f>NPV_Roadmap!L30</f>
        <v>0.5</v>
      </c>
    </row>
    <row r="32" spans="1:12" x14ac:dyDescent="0.3">
      <c r="A32" t="s">
        <v>16</v>
      </c>
      <c r="B32" s="102">
        <f>(B27+B29)*B25+B31</f>
        <v>35.063562765825765</v>
      </c>
      <c r="C32" s="102"/>
      <c r="D32" s="102">
        <f>(D27+D29)*D25+D31</f>
        <v>103.72776969353117</v>
      </c>
      <c r="E32" s="102"/>
      <c r="K32" s="66"/>
      <c r="L32" s="66"/>
    </row>
    <row r="33" spans="1:12" x14ac:dyDescent="0.3">
      <c r="B33" s="98"/>
      <c r="C33" s="98"/>
      <c r="D33" s="102"/>
      <c r="E33" s="102"/>
      <c r="K33" s="66" t="str">
        <f>NPV_Roadmap!K32</f>
        <v>Standard error (%) improved forage yield</v>
      </c>
      <c r="L33" s="66">
        <f>NPV_Roadmap!L32</f>
        <v>7.5</v>
      </c>
    </row>
    <row r="34" spans="1:12" x14ac:dyDescent="0.3">
      <c r="A34" t="s">
        <v>101</v>
      </c>
      <c r="B34" s="102">
        <f>B22</f>
        <v>102.38197935134957</v>
      </c>
      <c r="C34" s="102"/>
      <c r="D34" s="102">
        <f>D22</f>
        <v>159.61062489481509</v>
      </c>
      <c r="E34" s="102"/>
      <c r="K34" s="66" t="str">
        <f>NPV_Roadmap!K33</f>
        <v>Standard error (%) improved forage yield</v>
      </c>
      <c r="L34" s="66">
        <f>NPV_Roadmap!L33</f>
        <v>20</v>
      </c>
    </row>
    <row r="35" spans="1:12" x14ac:dyDescent="0.3">
      <c r="B35" s="108"/>
      <c r="C35" s="108"/>
      <c r="D35" s="69"/>
      <c r="E35" s="69"/>
      <c r="K35" s="66"/>
      <c r="L35" s="66"/>
    </row>
    <row r="36" spans="1:12" x14ac:dyDescent="0.3">
      <c r="B36" s="98"/>
      <c r="C36" s="98"/>
      <c r="D36" s="24"/>
      <c r="E36" s="24"/>
      <c r="K36" s="66" t="str">
        <f>NPV_Roadmap!K35</f>
        <v>Market price Sunflower cake (USD/kg)</v>
      </c>
      <c r="L36" s="76">
        <f>NPV_Roadmap!L35</f>
        <v>0.32889112109711915</v>
      </c>
    </row>
    <row r="37" spans="1:12" x14ac:dyDescent="0.3">
      <c r="B37" s="98"/>
      <c r="C37" s="98"/>
      <c r="D37" s="24"/>
      <c r="E37" s="24"/>
      <c r="K37" s="66" t="str">
        <f>NPV_Roadmap!K36</f>
        <v>Market price Maize bran (USD/kg)</v>
      </c>
      <c r="L37" s="76">
        <f>NPV_Roadmap!L36</f>
        <v>0.27626854172158005</v>
      </c>
    </row>
    <row r="38" spans="1:12" x14ac:dyDescent="0.3">
      <c r="B38" s="98"/>
      <c r="C38" s="98"/>
      <c r="D38" s="24"/>
      <c r="E38" s="24"/>
      <c r="K38" s="66"/>
      <c r="L38" s="66"/>
    </row>
    <row r="39" spans="1:12" x14ac:dyDescent="0.3">
      <c r="B39" s="98"/>
      <c r="C39" s="98"/>
      <c r="D39" s="24"/>
      <c r="E39" s="24"/>
      <c r="K39" s="66" t="str">
        <f>NPV_Roadmap!K38</f>
        <v>Napier yield (Mg/ha)</v>
      </c>
      <c r="L39" s="66">
        <f>NPV_Roadmap!L38</f>
        <v>13</v>
      </c>
    </row>
    <row r="40" spans="1:12" x14ac:dyDescent="0.3">
      <c r="A40" s="101" t="s">
        <v>121</v>
      </c>
      <c r="B40" s="98"/>
      <c r="C40" s="98"/>
      <c r="D40" s="98"/>
      <c r="E40" s="98"/>
      <c r="F40" s="70"/>
      <c r="G40" s="70"/>
      <c r="K40" s="66" t="str">
        <f>NPV_Roadmap!K39</f>
        <v>Pasture yield (Mg/ha)</v>
      </c>
      <c r="L40" s="66">
        <f>NPV_Roadmap!L39</f>
        <v>5</v>
      </c>
    </row>
    <row r="41" spans="1:12" x14ac:dyDescent="0.3">
      <c r="A41" s="98" t="s">
        <v>119</v>
      </c>
      <c r="B41" s="98"/>
      <c r="C41" s="98"/>
      <c r="D41" s="98"/>
      <c r="E41" s="98"/>
      <c r="F41" s="70"/>
      <c r="G41" s="70"/>
      <c r="K41" s="66"/>
      <c r="L41" s="66"/>
    </row>
    <row r="42" spans="1:12" x14ac:dyDescent="0.3">
      <c r="A42" t="s">
        <v>30</v>
      </c>
      <c r="B42" s="102">
        <f>[1]All!$S$12*L17</f>
        <v>3.4240359778364822E-2</v>
      </c>
      <c r="C42" s="102"/>
      <c r="D42" s="24"/>
      <c r="E42" s="69">
        <f>[1]All!$S$13*L17</f>
        <v>0.11984125922427689</v>
      </c>
      <c r="K42" s="66" t="str">
        <f>NPV_Roadmap!K41</f>
        <v xml:space="preserve">Opportunity cost land strata 1 </v>
      </c>
      <c r="L42" s="66">
        <f>NPV_Roadmap!L41</f>
        <v>209</v>
      </c>
    </row>
    <row r="43" spans="1:12" x14ac:dyDescent="0.3">
      <c r="B43" s="98"/>
      <c r="C43" s="98"/>
      <c r="D43" s="24"/>
      <c r="E43" s="69"/>
      <c r="K43" s="66" t="str">
        <f>NPV_Roadmap!K42</f>
        <v>SE (fraction)</v>
      </c>
      <c r="L43" s="76">
        <f>NPV_Roadmap!L42</f>
        <v>0.73732057416267938</v>
      </c>
    </row>
    <row r="44" spans="1:12" x14ac:dyDescent="0.3">
      <c r="A44" t="s">
        <v>6</v>
      </c>
      <c r="B44" s="102">
        <f>[1]All!$V$12*L17</f>
        <v>1.7120179889182413E-5</v>
      </c>
      <c r="C44" s="102"/>
      <c r="D44" s="24"/>
      <c r="E44" s="69">
        <f>[1]All!$V$13*L17</f>
        <v>7.3616773523484369</v>
      </c>
      <c r="K44" s="66" t="str">
        <f>NPV_Roadmap!K43</f>
        <v>Opportunity cost land strata 2</v>
      </c>
      <c r="L44" s="66">
        <f>NPV_Roadmap!L43</f>
        <v>232</v>
      </c>
    </row>
    <row r="45" spans="1:12" x14ac:dyDescent="0.3">
      <c r="A45" t="s">
        <v>7</v>
      </c>
      <c r="B45" s="102">
        <f>[1]All!$W$12*L17</f>
        <v>0.87090368866517154</v>
      </c>
      <c r="C45" s="102"/>
      <c r="D45" s="24"/>
      <c r="E45" s="69">
        <f>[1]All!$W$13*L17</f>
        <v>0.13813427086079003</v>
      </c>
      <c r="K45" s="66" t="str">
        <f>NPV_Roadmap!K44</f>
        <v>SE (fraction)</v>
      </c>
      <c r="L45" s="76">
        <f>NPV_Roadmap!L44</f>
        <v>0.75129310344827593</v>
      </c>
    </row>
    <row r="46" spans="1:12" x14ac:dyDescent="0.3">
      <c r="A46" t="s">
        <v>8</v>
      </c>
      <c r="B46" s="102">
        <f>[1]All!$X$12*L17</f>
        <v>1.7873467804306418</v>
      </c>
      <c r="C46" s="102"/>
      <c r="D46" s="24"/>
      <c r="E46" s="69">
        <f>[1]All!$X$13*L17</f>
        <v>3.4783524967231325</v>
      </c>
      <c r="K46" s="66"/>
      <c r="L46" s="66"/>
    </row>
    <row r="47" spans="1:12" x14ac:dyDescent="0.3">
      <c r="A47" t="s">
        <v>13</v>
      </c>
      <c r="B47" s="102">
        <f>[1]All!$Y$12*L17</f>
        <v>1.7120179889182413E-5</v>
      </c>
      <c r="C47" s="102"/>
      <c r="D47" s="24"/>
      <c r="E47" s="69">
        <f>[1]All!$Y$13*L17</f>
        <v>1.3155644843884767E-4</v>
      </c>
      <c r="K47" s="66"/>
      <c r="L47" s="66"/>
    </row>
    <row r="48" spans="1:12" x14ac:dyDescent="0.3">
      <c r="A48" t="s">
        <v>9</v>
      </c>
      <c r="B48" s="102">
        <f>B12*L17</f>
        <v>0</v>
      </c>
      <c r="C48" s="102"/>
      <c r="D48" s="69"/>
      <c r="E48" s="69">
        <f>D12*L17</f>
        <v>0</v>
      </c>
      <c r="K48" s="66"/>
      <c r="L48" s="66"/>
    </row>
    <row r="49" spans="1:12" x14ac:dyDescent="0.3">
      <c r="A49" t="s">
        <v>31</v>
      </c>
      <c r="B49" s="102">
        <f>(1/100)*(B27*L33+B29*L34)/SUM(B27,B29)</f>
        <v>0.16905150106265382</v>
      </c>
      <c r="C49" s="102"/>
      <c r="D49" s="24"/>
      <c r="E49" s="69">
        <f>(1/100)*(D27*L33+D29*L34)/SUM(D27,D29)</f>
        <v>0.16869888202227037</v>
      </c>
      <c r="K49" s="66"/>
      <c r="L49" s="66"/>
    </row>
    <row r="50" spans="1:12" x14ac:dyDescent="0.3">
      <c r="A50" t="s">
        <v>32</v>
      </c>
      <c r="B50" s="97">
        <f>B25*L43</f>
        <v>202.72848704426423</v>
      </c>
      <c r="C50" s="97"/>
      <c r="D50" s="71"/>
      <c r="E50" s="71">
        <f>D25*L45</f>
        <v>229.30288962891149</v>
      </c>
      <c r="K50" s="66"/>
      <c r="L50" s="66"/>
    </row>
    <row r="51" spans="1:12" x14ac:dyDescent="0.3">
      <c r="B51" s="98"/>
      <c r="C51" s="98"/>
      <c r="D51" s="24"/>
      <c r="E51" s="24"/>
      <c r="K51" s="66"/>
      <c r="L51" s="66"/>
    </row>
    <row r="52" spans="1:12" s="70" customFormat="1" x14ac:dyDescent="0.3">
      <c r="B52" s="98"/>
      <c r="C52" s="98"/>
      <c r="D52" s="24"/>
      <c r="E52" s="24"/>
      <c r="K52" s="66"/>
      <c r="L52" s="66"/>
    </row>
    <row r="53" spans="1:12" x14ac:dyDescent="0.3">
      <c r="B53" s="109" t="s">
        <v>120</v>
      </c>
      <c r="C53" s="109"/>
      <c r="D53" s="109"/>
      <c r="E53" s="109"/>
      <c r="K53" s="66"/>
      <c r="L53" s="66"/>
    </row>
    <row r="54" spans="1:12" x14ac:dyDescent="0.3">
      <c r="A54" t="s">
        <v>18</v>
      </c>
      <c r="B54" s="102">
        <f ca="1">_xlfn.NORM.INV(RAND(),B3,B42)</f>
        <v>0.52914105196507133</v>
      </c>
      <c r="C54" s="102"/>
      <c r="D54" s="69"/>
      <c r="E54" s="69">
        <f ca="1">_xlfn.NORM.INV(RAND(),D3,E42)</f>
        <v>0.44592590563702827</v>
      </c>
      <c r="K54" s="66"/>
      <c r="L54" s="66"/>
    </row>
    <row r="55" spans="1:12" x14ac:dyDescent="0.3">
      <c r="B55" s="98"/>
      <c r="C55" s="98"/>
      <c r="D55" s="69"/>
      <c r="E55" s="69"/>
      <c r="K55" s="66"/>
      <c r="L55" s="66"/>
    </row>
    <row r="56" spans="1:12" x14ac:dyDescent="0.3">
      <c r="A56" t="s">
        <v>19</v>
      </c>
      <c r="B56" s="102">
        <f ca="1">_xlfn.NORM.INV(RAND(),B8,B44)</f>
        <v>34.836167151122012</v>
      </c>
      <c r="C56" s="102"/>
      <c r="D56" s="69"/>
      <c r="E56" s="69">
        <f ca="1">_xlfn.NORM.INV(RAND(),D8,E44)</f>
        <v>261.75182261550628</v>
      </c>
      <c r="K56" s="66"/>
      <c r="L56" s="66"/>
    </row>
    <row r="57" spans="1:12" x14ac:dyDescent="0.3">
      <c r="A57" t="s">
        <v>7</v>
      </c>
      <c r="B57" s="102">
        <f ca="1">_xlfn.NORM.INV(RAND(),B9,B45)</f>
        <v>4.5657860085939665</v>
      </c>
      <c r="C57" s="102"/>
      <c r="D57" s="69"/>
      <c r="E57" s="69">
        <f ca="1">_xlfn.NORM.INV(RAND(),D9,E45)</f>
        <v>2.4850596113836207</v>
      </c>
      <c r="K57" s="66"/>
      <c r="L57" s="66"/>
    </row>
    <row r="58" spans="1:12" x14ac:dyDescent="0.3">
      <c r="A58" t="s">
        <v>8</v>
      </c>
      <c r="B58" s="102">
        <f ca="1">_xlfn.NORM.INV(RAND(),B10,B46)</f>
        <v>11.92552759465806</v>
      </c>
      <c r="C58" s="102"/>
      <c r="D58" s="69"/>
      <c r="E58" s="69">
        <f ca="1">_xlfn.NORM.INV(RAND(),D10,E46)</f>
        <v>9.2076273719730271</v>
      </c>
      <c r="K58" s="66"/>
      <c r="L58" s="66"/>
    </row>
    <row r="59" spans="1:12" x14ac:dyDescent="0.3">
      <c r="A59" t="s">
        <v>21</v>
      </c>
      <c r="B59" s="102">
        <f ca="1">_xlfn.NORM.INV(RAND(),B11,B47)</f>
        <v>1.4291151056088281E-4</v>
      </c>
      <c r="C59" s="102"/>
      <c r="D59" s="69"/>
      <c r="E59" s="69">
        <f ca="1">_xlfn.NORM.INV(RAND(),D11,E47)</f>
        <v>-9.4436773609761959E-5</v>
      </c>
      <c r="K59" s="66"/>
      <c r="L59" s="66"/>
    </row>
    <row r="60" spans="1:12" x14ac:dyDescent="0.3">
      <c r="A60" t="s">
        <v>9</v>
      </c>
      <c r="B60" s="102">
        <v>1E-4</v>
      </c>
      <c r="C60" s="102"/>
      <c r="D60" s="69"/>
      <c r="E60" s="69">
        <v>1E-4</v>
      </c>
      <c r="K60" s="66"/>
      <c r="L60" s="66"/>
    </row>
    <row r="61" spans="1:12" x14ac:dyDescent="0.3">
      <c r="A61" t="s">
        <v>151</v>
      </c>
      <c r="B61" s="102">
        <f ca="1">_xlfn.NORM.INV(RAND(),(B27+B29),B49)</f>
        <v>0.23256259945876287</v>
      </c>
      <c r="C61" s="102"/>
      <c r="D61" s="69"/>
      <c r="E61" s="69">
        <f ca="1">_xlfn.NORM.INV(RAND(),ABS(D27+D29),ABS(E49))</f>
        <v>0.64707055574559214</v>
      </c>
      <c r="K61" s="66"/>
      <c r="L61" s="66"/>
    </row>
    <row r="62" spans="1:12" x14ac:dyDescent="0.3">
      <c r="A62" t="s">
        <v>32</v>
      </c>
      <c r="B62" s="102">
        <f ca="1">_xlfn.NORM.INV(RAND(),B25,B50)</f>
        <v>6.31746236348107</v>
      </c>
      <c r="C62" s="102"/>
      <c r="D62" s="69"/>
      <c r="E62" s="69">
        <f ca="1">_xlfn.NORM.INV(RAND(),D25,E50)</f>
        <v>518.12987513970666</v>
      </c>
      <c r="K62" s="66"/>
      <c r="L62" s="66"/>
    </row>
    <row r="63" spans="1:12" x14ac:dyDescent="0.3">
      <c r="B63" s="98"/>
      <c r="C63" s="98"/>
      <c r="D63" s="69"/>
      <c r="E63" s="69"/>
      <c r="K63" s="66"/>
      <c r="L63" s="66"/>
    </row>
    <row r="64" spans="1:12" x14ac:dyDescent="0.3">
      <c r="A64" s="2" t="s">
        <v>148</v>
      </c>
      <c r="B64" s="102">
        <f ca="1">SUM(B56:B60)</f>
        <v>51.327723665884598</v>
      </c>
      <c r="C64" s="102"/>
      <c r="D64" s="69"/>
      <c r="E64" s="69">
        <f ca="1">SUM(E56:E60)</f>
        <v>273.44451516208932</v>
      </c>
      <c r="K64" s="66"/>
      <c r="L64" s="66"/>
    </row>
    <row r="65" spans="1:12" s="72" customFormat="1" x14ac:dyDescent="0.3">
      <c r="A65" s="2" t="s">
        <v>102</v>
      </c>
      <c r="B65" s="102">
        <f ca="1">B61*B62</f>
        <v>1.4692054692340575</v>
      </c>
      <c r="C65" s="102"/>
      <c r="D65" s="73"/>
      <c r="E65" s="73">
        <f t="shared" ref="E65" ca="1" si="0">E61*E62</f>
        <v>335.26658625504427</v>
      </c>
      <c r="K65" s="66"/>
      <c r="L65" s="66"/>
    </row>
    <row r="66" spans="1:12" x14ac:dyDescent="0.3">
      <c r="A66" s="2"/>
      <c r="B66" s="98"/>
      <c r="C66" s="98"/>
      <c r="D66" s="69"/>
      <c r="E66" s="69"/>
      <c r="K66" s="66"/>
      <c r="L66" s="66"/>
    </row>
    <row r="67" spans="1:12" x14ac:dyDescent="0.3">
      <c r="A67" s="2" t="s">
        <v>101</v>
      </c>
      <c r="B67" s="102">
        <f ca="1">B54*B4-B64-B65</f>
        <v>166.17300018809857</v>
      </c>
      <c r="C67" s="102"/>
      <c r="D67" s="69"/>
      <c r="E67" s="69">
        <f ca="1">E54*D4-E64-E65</f>
        <v>25.364228556773355</v>
      </c>
      <c r="K67" s="66"/>
      <c r="L67" s="66"/>
    </row>
    <row r="68" spans="1:12" x14ac:dyDescent="0.3">
      <c r="A68" s="2"/>
      <c r="B68" s="98"/>
      <c r="C68" s="98"/>
      <c r="D68" s="69"/>
      <c r="E68" s="69"/>
      <c r="K68" s="66"/>
      <c r="L68" s="66"/>
    </row>
    <row r="69" spans="1:12" x14ac:dyDescent="0.3">
      <c r="A69" s="2" t="s">
        <v>11</v>
      </c>
      <c r="B69" s="102">
        <f ca="1">NPV(L12,B67*5)/L11</f>
        <v>142.02820528897314</v>
      </c>
      <c r="C69" s="102"/>
      <c r="D69" s="69"/>
      <c r="E69" s="69">
        <f ca="1">NPV(L12,E67*5)/L11</f>
        <v>21.678827826302015</v>
      </c>
      <c r="K69" s="66"/>
      <c r="L69" s="66"/>
    </row>
    <row r="70" spans="1:12" x14ac:dyDescent="0.3">
      <c r="A70" s="2"/>
      <c r="B70" s="98"/>
      <c r="C70" s="98"/>
      <c r="D70" s="69"/>
      <c r="E70" s="69"/>
      <c r="K70" s="66"/>
      <c r="L70" s="66"/>
    </row>
    <row r="71" spans="1:12" x14ac:dyDescent="0.3">
      <c r="A71" s="2" t="s">
        <v>22</v>
      </c>
      <c r="B71" s="102">
        <f ca="1">AVERAGE(C75:C574)</f>
        <v>108.29426196746641</v>
      </c>
      <c r="C71" s="102"/>
      <c r="D71" s="69"/>
      <c r="E71" s="69">
        <f t="shared" ref="E71" ca="1" si="1">AVERAGE(E75:E574)</f>
        <v>128.39606875276866</v>
      </c>
      <c r="K71" s="66"/>
      <c r="L71" s="66"/>
    </row>
    <row r="72" spans="1:12" x14ac:dyDescent="0.3">
      <c r="A72" s="2" t="s">
        <v>20</v>
      </c>
      <c r="B72" s="102">
        <f ca="1">STDEVA(C75:C574)</f>
        <v>50.937716825464456</v>
      </c>
      <c r="C72" s="102"/>
      <c r="D72" s="69"/>
      <c r="E72" s="69">
        <f t="shared" ref="E72" ca="1" si="2">STDEVA(E75:E574)</f>
        <v>170.23719473836587</v>
      </c>
      <c r="K72" s="66"/>
      <c r="L72" s="66"/>
    </row>
    <row r="73" spans="1:12" x14ac:dyDescent="0.3">
      <c r="B73" s="98"/>
      <c r="C73" s="98"/>
      <c r="K73" s="66"/>
      <c r="L73" s="66"/>
    </row>
    <row r="74" spans="1:12" x14ac:dyDescent="0.3">
      <c r="A74" s="2" t="s">
        <v>143</v>
      </c>
      <c r="B74" s="98"/>
      <c r="C74" s="98"/>
      <c r="K74" s="66"/>
      <c r="L74" s="66"/>
    </row>
    <row r="75" spans="1:12" x14ac:dyDescent="0.3">
      <c r="B75">
        <v>1</v>
      </c>
      <c r="C75" s="40">
        <f ca="1">B69</f>
        <v>142.02820528897314</v>
      </c>
      <c r="D75">
        <f>B75</f>
        <v>1</v>
      </c>
      <c r="E75" s="40">
        <f ca="1">E69</f>
        <v>21.678827826302015</v>
      </c>
      <c r="K75" s="66"/>
      <c r="L75" s="66"/>
    </row>
    <row r="76" spans="1:12" x14ac:dyDescent="0.3">
      <c r="B76">
        <v>2</v>
      </c>
      <c r="C76" s="40">
        <f t="dataTable" ref="C76:C574" dt2D="0" dtr="0" r1="C74" ca="1"/>
        <v>100.86259379649474</v>
      </c>
      <c r="D76" s="68">
        <f>B76</f>
        <v>2</v>
      </c>
      <c r="E76" s="40">
        <f t="dataTable" ref="E76:E574" dt2D="0" dtr="0" r1="E74" ca="1"/>
        <v>-27.956862532871668</v>
      </c>
      <c r="K76" s="66"/>
      <c r="L76" s="66"/>
    </row>
    <row r="77" spans="1:12" x14ac:dyDescent="0.3">
      <c r="B77" s="68">
        <v>3</v>
      </c>
      <c r="C77" s="40">
        <v>202.06700348981155</v>
      </c>
      <c r="D77" s="68">
        <f t="shared" ref="D77:D140" si="3">B77</f>
        <v>3</v>
      </c>
      <c r="E77" s="40">
        <v>118.35743225549201</v>
      </c>
      <c r="K77" s="66"/>
      <c r="L77" s="66"/>
    </row>
    <row r="78" spans="1:12" x14ac:dyDescent="0.3">
      <c r="B78" s="68">
        <v>4</v>
      </c>
      <c r="C78" s="40">
        <v>74.473603700452202</v>
      </c>
      <c r="D78" s="68">
        <f t="shared" si="3"/>
        <v>4</v>
      </c>
      <c r="E78" s="40">
        <v>199.07859651634053</v>
      </c>
      <c r="K78" s="66"/>
      <c r="L78" s="66"/>
    </row>
    <row r="79" spans="1:12" x14ac:dyDescent="0.3">
      <c r="B79" s="68">
        <v>5</v>
      </c>
      <c r="C79" s="40">
        <v>158.56965742752419</v>
      </c>
      <c r="D79" s="68">
        <f t="shared" si="3"/>
        <v>5</v>
      </c>
      <c r="E79" s="40">
        <v>39.309883033712126</v>
      </c>
      <c r="K79" s="66"/>
      <c r="L79" s="66"/>
    </row>
    <row r="80" spans="1:12" x14ac:dyDescent="0.3">
      <c r="B80" s="68">
        <v>6</v>
      </c>
      <c r="C80" s="40">
        <v>108.06284837973499</v>
      </c>
      <c r="D80" s="68">
        <f t="shared" si="3"/>
        <v>6</v>
      </c>
      <c r="E80" s="40">
        <v>46.583663496118774</v>
      </c>
      <c r="K80" s="66"/>
      <c r="L80" s="66"/>
    </row>
    <row r="81" spans="2:12" x14ac:dyDescent="0.3">
      <c r="B81" s="68">
        <v>7</v>
      </c>
      <c r="C81" s="40">
        <v>158.68303122013248</v>
      </c>
      <c r="D81" s="68">
        <f t="shared" si="3"/>
        <v>7</v>
      </c>
      <c r="E81" s="40">
        <v>246.03825926938356</v>
      </c>
      <c r="K81" s="66"/>
      <c r="L81" s="66"/>
    </row>
    <row r="82" spans="2:12" x14ac:dyDescent="0.3">
      <c r="B82" s="68">
        <v>8</v>
      </c>
      <c r="C82" s="40">
        <v>60.480936932464047</v>
      </c>
      <c r="D82" s="68">
        <f t="shared" si="3"/>
        <v>8</v>
      </c>
      <c r="E82" s="40">
        <v>319.24181793790069</v>
      </c>
      <c r="K82" s="66"/>
      <c r="L82" s="66"/>
    </row>
    <row r="83" spans="2:12" x14ac:dyDescent="0.3">
      <c r="B83" s="68">
        <v>9</v>
      </c>
      <c r="C83" s="40">
        <v>159.4866682852979</v>
      </c>
      <c r="D83" s="68">
        <f t="shared" si="3"/>
        <v>9</v>
      </c>
      <c r="E83" s="40">
        <v>225.90417734440751</v>
      </c>
      <c r="K83" s="66"/>
      <c r="L83" s="66"/>
    </row>
    <row r="84" spans="2:12" x14ac:dyDescent="0.3">
      <c r="B84" s="68">
        <v>10</v>
      </c>
      <c r="C84" s="40">
        <v>140.09903399283706</v>
      </c>
      <c r="D84" s="68">
        <f t="shared" si="3"/>
        <v>10</v>
      </c>
      <c r="E84" s="40">
        <v>179.91333446487005</v>
      </c>
      <c r="K84" s="66"/>
      <c r="L84" s="66"/>
    </row>
    <row r="85" spans="2:12" x14ac:dyDescent="0.3">
      <c r="B85" s="68">
        <v>11</v>
      </c>
      <c r="C85" s="40">
        <v>69.949957549001567</v>
      </c>
      <c r="D85" s="68">
        <f t="shared" si="3"/>
        <v>11</v>
      </c>
      <c r="E85" s="40">
        <v>-27.290846923099583</v>
      </c>
      <c r="K85" s="66"/>
      <c r="L85" s="66"/>
    </row>
    <row r="86" spans="2:12" x14ac:dyDescent="0.3">
      <c r="B86" s="68">
        <v>12</v>
      </c>
      <c r="C86" s="40">
        <v>29.947993327967833</v>
      </c>
      <c r="D86" s="68">
        <f t="shared" si="3"/>
        <v>12</v>
      </c>
      <c r="E86" s="40">
        <v>199.26058748774216</v>
      </c>
      <c r="K86" s="66"/>
      <c r="L86" s="66"/>
    </row>
    <row r="87" spans="2:12" x14ac:dyDescent="0.3">
      <c r="B87" s="68">
        <v>13</v>
      </c>
      <c r="C87" s="40">
        <v>65.56626635413393</v>
      </c>
      <c r="D87" s="68">
        <f t="shared" si="3"/>
        <v>13</v>
      </c>
      <c r="E87" s="40">
        <v>-248.71046613402967</v>
      </c>
      <c r="K87" s="66"/>
      <c r="L87" s="66"/>
    </row>
    <row r="88" spans="2:12" x14ac:dyDescent="0.3">
      <c r="B88" s="68">
        <v>14</v>
      </c>
      <c r="C88" s="40">
        <v>72.836737315482125</v>
      </c>
      <c r="D88" s="68">
        <f t="shared" si="3"/>
        <v>14</v>
      </c>
      <c r="E88" s="40">
        <v>83.227822715129406</v>
      </c>
      <c r="K88" s="66"/>
      <c r="L88" s="66"/>
    </row>
    <row r="89" spans="2:12" x14ac:dyDescent="0.3">
      <c r="B89" s="68">
        <v>15</v>
      </c>
      <c r="C89" s="40">
        <v>145.46812602049408</v>
      </c>
      <c r="D89" s="68">
        <f t="shared" si="3"/>
        <v>15</v>
      </c>
      <c r="E89" s="40">
        <v>281.43020105999426</v>
      </c>
      <c r="K89" s="66"/>
      <c r="L89" s="66"/>
    </row>
    <row r="90" spans="2:12" x14ac:dyDescent="0.3">
      <c r="B90" s="68">
        <v>16</v>
      </c>
      <c r="C90" s="40">
        <v>189.75477404772889</v>
      </c>
      <c r="D90" s="68">
        <f t="shared" si="3"/>
        <v>16</v>
      </c>
      <c r="E90" s="40">
        <v>4.0768087619773246</v>
      </c>
      <c r="K90" s="66"/>
      <c r="L90" s="66"/>
    </row>
    <row r="91" spans="2:12" x14ac:dyDescent="0.3">
      <c r="B91" s="68">
        <v>17</v>
      </c>
      <c r="C91" s="40">
        <v>-35.224628876914039</v>
      </c>
      <c r="D91" s="68">
        <f t="shared" si="3"/>
        <v>17</v>
      </c>
      <c r="E91" s="40">
        <v>109.69862994072405</v>
      </c>
      <c r="K91" s="66"/>
      <c r="L91" s="66"/>
    </row>
    <row r="92" spans="2:12" x14ac:dyDescent="0.3">
      <c r="B92" s="68">
        <v>18</v>
      </c>
      <c r="C92" s="40">
        <v>98.147126372371105</v>
      </c>
      <c r="D92" s="68">
        <f t="shared" si="3"/>
        <v>18</v>
      </c>
      <c r="E92" s="40">
        <v>100.06136130063383</v>
      </c>
      <c r="K92" s="66"/>
      <c r="L92" s="66"/>
    </row>
    <row r="93" spans="2:12" x14ac:dyDescent="0.3">
      <c r="B93" s="68">
        <v>19</v>
      </c>
      <c r="C93" s="40">
        <v>225.27625476869639</v>
      </c>
      <c r="D93" s="68">
        <f t="shared" si="3"/>
        <v>19</v>
      </c>
      <c r="E93" s="40">
        <v>234.69437258248976</v>
      </c>
      <c r="K93" s="66"/>
      <c r="L93" s="66"/>
    </row>
    <row r="94" spans="2:12" x14ac:dyDescent="0.3">
      <c r="B94" s="68">
        <v>20</v>
      </c>
      <c r="C94" s="40">
        <v>81.320725336078112</v>
      </c>
      <c r="D94" s="68">
        <f t="shared" si="3"/>
        <v>20</v>
      </c>
      <c r="E94" s="40">
        <v>-50.613921446573954</v>
      </c>
      <c r="K94" s="66"/>
      <c r="L94" s="66"/>
    </row>
    <row r="95" spans="2:12" x14ac:dyDescent="0.3">
      <c r="B95" s="68">
        <v>21</v>
      </c>
      <c r="C95" s="40">
        <v>128.78702876371548</v>
      </c>
      <c r="D95" s="68">
        <f t="shared" si="3"/>
        <v>21</v>
      </c>
      <c r="E95" s="40">
        <v>-178.08673202540626</v>
      </c>
      <c r="K95" s="66"/>
      <c r="L95" s="66"/>
    </row>
    <row r="96" spans="2:12" x14ac:dyDescent="0.3">
      <c r="B96" s="68">
        <v>22</v>
      </c>
      <c r="C96" s="40">
        <v>70.170028254039579</v>
      </c>
      <c r="D96" s="68">
        <f t="shared" si="3"/>
        <v>22</v>
      </c>
      <c r="E96" s="40">
        <v>-22.1363117121271</v>
      </c>
      <c r="K96" s="66"/>
      <c r="L96" s="66"/>
    </row>
    <row r="97" spans="2:12" x14ac:dyDescent="0.3">
      <c r="B97" s="68">
        <v>23</v>
      </c>
      <c r="C97" s="40">
        <v>129.45112464405182</v>
      </c>
      <c r="D97" s="68">
        <f t="shared" si="3"/>
        <v>23</v>
      </c>
      <c r="E97" s="40">
        <v>316.9214928582204</v>
      </c>
      <c r="K97" s="66"/>
      <c r="L97" s="66"/>
    </row>
    <row r="98" spans="2:12" x14ac:dyDescent="0.3">
      <c r="B98" s="68">
        <v>24</v>
      </c>
      <c r="C98" s="40">
        <v>193.51887284229153</v>
      </c>
      <c r="D98" s="68">
        <f t="shared" si="3"/>
        <v>24</v>
      </c>
      <c r="E98" s="40">
        <v>287.69536890483425</v>
      </c>
      <c r="K98" s="66"/>
      <c r="L98" s="66"/>
    </row>
    <row r="99" spans="2:12" x14ac:dyDescent="0.3">
      <c r="B99" s="68">
        <v>25</v>
      </c>
      <c r="C99" s="40">
        <v>168.46129132612853</v>
      </c>
      <c r="D99" s="68">
        <f t="shared" si="3"/>
        <v>25</v>
      </c>
      <c r="E99" s="40">
        <v>-43.406131606656643</v>
      </c>
      <c r="K99" s="66"/>
      <c r="L99" s="66"/>
    </row>
    <row r="100" spans="2:12" x14ac:dyDescent="0.3">
      <c r="B100" s="68">
        <v>26</v>
      </c>
      <c r="C100" s="40">
        <v>118.9321762802914</v>
      </c>
      <c r="D100" s="68">
        <f t="shared" si="3"/>
        <v>26</v>
      </c>
      <c r="E100" s="40">
        <v>225.80959790192719</v>
      </c>
      <c r="K100" s="66"/>
      <c r="L100" s="66"/>
    </row>
    <row r="101" spans="2:12" x14ac:dyDescent="0.3">
      <c r="B101" s="68">
        <v>27</v>
      </c>
      <c r="C101" s="40">
        <v>71.379288546641106</v>
      </c>
      <c r="D101" s="68">
        <f t="shared" si="3"/>
        <v>27</v>
      </c>
      <c r="E101" s="40">
        <v>258.37163030844846</v>
      </c>
      <c r="K101" s="66"/>
      <c r="L101" s="66"/>
    </row>
    <row r="102" spans="2:12" x14ac:dyDescent="0.3">
      <c r="B102" s="68">
        <v>28</v>
      </c>
      <c r="C102" s="40">
        <v>132.71791282877126</v>
      </c>
      <c r="D102" s="68">
        <f t="shared" si="3"/>
        <v>28</v>
      </c>
      <c r="E102" s="40">
        <v>-46.067902642336534</v>
      </c>
      <c r="K102" s="66"/>
      <c r="L102" s="66"/>
    </row>
    <row r="103" spans="2:12" x14ac:dyDescent="0.3">
      <c r="B103" s="68">
        <v>29</v>
      </c>
      <c r="C103" s="40">
        <v>163.81547940457128</v>
      </c>
      <c r="D103" s="68">
        <f t="shared" si="3"/>
        <v>29</v>
      </c>
      <c r="E103" s="40">
        <v>320.19126074966323</v>
      </c>
      <c r="K103" s="66"/>
      <c r="L103" s="66"/>
    </row>
    <row r="104" spans="2:12" x14ac:dyDescent="0.3">
      <c r="B104" s="68">
        <v>30</v>
      </c>
      <c r="C104" s="40">
        <v>78.024852468575574</v>
      </c>
      <c r="D104" s="68">
        <f t="shared" si="3"/>
        <v>30</v>
      </c>
      <c r="E104" s="40">
        <v>40.763475629571175</v>
      </c>
      <c r="K104" s="66"/>
      <c r="L104" s="66"/>
    </row>
    <row r="105" spans="2:12" x14ac:dyDescent="0.3">
      <c r="B105" s="68">
        <v>31</v>
      </c>
      <c r="C105" s="40">
        <v>117.66180838903435</v>
      </c>
      <c r="D105" s="68">
        <f t="shared" si="3"/>
        <v>31</v>
      </c>
      <c r="E105" s="40">
        <v>31.92184652610991</v>
      </c>
      <c r="K105" s="66"/>
      <c r="L105" s="66"/>
    </row>
    <row r="106" spans="2:12" x14ac:dyDescent="0.3">
      <c r="B106" s="68">
        <v>32</v>
      </c>
      <c r="C106" s="40">
        <v>74.331965989979381</v>
      </c>
      <c r="D106" s="68">
        <f t="shared" si="3"/>
        <v>32</v>
      </c>
      <c r="E106" s="40">
        <v>305.47809943192277</v>
      </c>
      <c r="K106" s="66"/>
      <c r="L106" s="66"/>
    </row>
    <row r="107" spans="2:12" x14ac:dyDescent="0.3">
      <c r="B107" s="68">
        <v>33</v>
      </c>
      <c r="C107" s="40">
        <v>86.370868110313921</v>
      </c>
      <c r="D107" s="68">
        <f t="shared" si="3"/>
        <v>33</v>
      </c>
      <c r="E107" s="40">
        <v>90.587654996882065</v>
      </c>
      <c r="K107" s="66"/>
      <c r="L107" s="66"/>
    </row>
    <row r="108" spans="2:12" x14ac:dyDescent="0.3">
      <c r="B108" s="68">
        <v>34</v>
      </c>
      <c r="C108" s="40">
        <v>119.80808124043047</v>
      </c>
      <c r="D108" s="68">
        <f t="shared" si="3"/>
        <v>34</v>
      </c>
      <c r="E108" s="40">
        <v>325.38012529207629</v>
      </c>
      <c r="K108" s="66"/>
      <c r="L108" s="66"/>
    </row>
    <row r="109" spans="2:12" x14ac:dyDescent="0.3">
      <c r="B109" s="68">
        <v>35</v>
      </c>
      <c r="C109" s="40">
        <v>129.58200643279912</v>
      </c>
      <c r="D109" s="68">
        <f t="shared" si="3"/>
        <v>35</v>
      </c>
      <c r="E109" s="40">
        <v>281.94181486860191</v>
      </c>
      <c r="K109" s="66"/>
      <c r="L109" s="66"/>
    </row>
    <row r="110" spans="2:12" x14ac:dyDescent="0.3">
      <c r="B110" s="68">
        <v>36</v>
      </c>
      <c r="C110" s="40">
        <v>127.89464897925953</v>
      </c>
      <c r="D110" s="68">
        <f t="shared" si="3"/>
        <v>36</v>
      </c>
      <c r="E110" s="40">
        <v>217.31413914428126</v>
      </c>
      <c r="K110" s="66"/>
      <c r="L110" s="66"/>
    </row>
    <row r="111" spans="2:12" x14ac:dyDescent="0.3">
      <c r="B111" s="68">
        <v>37</v>
      </c>
      <c r="C111" s="40">
        <v>142.8332793369587</v>
      </c>
      <c r="D111" s="68">
        <f t="shared" si="3"/>
        <v>37</v>
      </c>
      <c r="E111" s="40">
        <v>328.55823818848904</v>
      </c>
      <c r="K111" s="66"/>
      <c r="L111" s="66"/>
    </row>
    <row r="112" spans="2:12" x14ac:dyDescent="0.3">
      <c r="B112" s="68">
        <v>38</v>
      </c>
      <c r="C112" s="40">
        <v>74.477209575131468</v>
      </c>
      <c r="D112" s="68">
        <f t="shared" si="3"/>
        <v>38</v>
      </c>
      <c r="E112" s="40">
        <v>-44.518778801927581</v>
      </c>
      <c r="K112" s="66"/>
      <c r="L112" s="66"/>
    </row>
    <row r="113" spans="2:12" x14ac:dyDescent="0.3">
      <c r="B113" s="68">
        <v>39</v>
      </c>
      <c r="C113" s="40">
        <v>93.052730199459248</v>
      </c>
      <c r="D113" s="68">
        <f t="shared" si="3"/>
        <v>39</v>
      </c>
      <c r="E113" s="40">
        <v>229.68697941944711</v>
      </c>
      <c r="K113" s="66"/>
      <c r="L113" s="66"/>
    </row>
    <row r="114" spans="2:12" x14ac:dyDescent="0.3">
      <c r="B114" s="68">
        <v>40</v>
      </c>
      <c r="C114" s="40">
        <v>9.1818964350684258</v>
      </c>
      <c r="D114" s="68">
        <f t="shared" si="3"/>
        <v>40</v>
      </c>
      <c r="E114" s="40">
        <v>266.75413322834817</v>
      </c>
      <c r="K114" s="66"/>
      <c r="L114" s="66"/>
    </row>
    <row r="115" spans="2:12" x14ac:dyDescent="0.3">
      <c r="B115" s="68">
        <v>41</v>
      </c>
      <c r="C115" s="40">
        <v>271.87998539291482</v>
      </c>
      <c r="D115" s="68">
        <f t="shared" si="3"/>
        <v>41</v>
      </c>
      <c r="E115" s="40">
        <v>59.664748561892381</v>
      </c>
      <c r="K115" s="66"/>
      <c r="L115" s="66"/>
    </row>
    <row r="116" spans="2:12" x14ac:dyDescent="0.3">
      <c r="B116" s="68">
        <v>42</v>
      </c>
      <c r="C116" s="40">
        <v>92.076446725584987</v>
      </c>
      <c r="D116" s="68">
        <f t="shared" si="3"/>
        <v>42</v>
      </c>
      <c r="E116" s="40">
        <v>191.8477556583338</v>
      </c>
      <c r="K116" s="66"/>
      <c r="L116" s="66"/>
    </row>
    <row r="117" spans="2:12" x14ac:dyDescent="0.3">
      <c r="B117" s="68">
        <v>43</v>
      </c>
      <c r="C117" s="40">
        <v>129.59685299770231</v>
      </c>
      <c r="D117" s="68">
        <f t="shared" si="3"/>
        <v>43</v>
      </c>
      <c r="E117" s="40">
        <v>180.94327851071355</v>
      </c>
      <c r="K117" s="66"/>
      <c r="L117" s="66"/>
    </row>
    <row r="118" spans="2:12" x14ac:dyDescent="0.3">
      <c r="B118" s="68">
        <v>44</v>
      </c>
      <c r="C118" s="40">
        <v>-8.3397936938421466</v>
      </c>
      <c r="D118" s="68">
        <f t="shared" si="3"/>
        <v>44</v>
      </c>
      <c r="E118" s="40">
        <v>334.97735433451874</v>
      </c>
      <c r="K118" s="66"/>
      <c r="L118" s="66"/>
    </row>
    <row r="119" spans="2:12" x14ac:dyDescent="0.3">
      <c r="B119" s="68">
        <v>45</v>
      </c>
      <c r="C119" s="40">
        <v>93.285280505369087</v>
      </c>
      <c r="D119" s="68">
        <f t="shared" si="3"/>
        <v>45</v>
      </c>
      <c r="E119" s="40">
        <v>303.40971637363936</v>
      </c>
      <c r="K119" s="66"/>
      <c r="L119" s="66"/>
    </row>
    <row r="120" spans="2:12" x14ac:dyDescent="0.3">
      <c r="B120" s="68">
        <v>46</v>
      </c>
      <c r="C120" s="40">
        <v>125.59363091856669</v>
      </c>
      <c r="D120" s="68">
        <f t="shared" si="3"/>
        <v>46</v>
      </c>
      <c r="E120" s="40">
        <v>-167.12243599810921</v>
      </c>
      <c r="K120" s="66"/>
      <c r="L120" s="66"/>
    </row>
    <row r="121" spans="2:12" x14ac:dyDescent="0.3">
      <c r="B121" s="68">
        <v>47</v>
      </c>
      <c r="C121" s="40">
        <v>159.15027977391276</v>
      </c>
      <c r="D121" s="68">
        <f t="shared" si="3"/>
        <v>47</v>
      </c>
      <c r="E121" s="40">
        <v>-87.057196533799157</v>
      </c>
      <c r="K121" s="66"/>
      <c r="L121" s="66"/>
    </row>
    <row r="122" spans="2:12" x14ac:dyDescent="0.3">
      <c r="B122" s="68">
        <v>48</v>
      </c>
      <c r="C122" s="40">
        <v>134.12565901948784</v>
      </c>
      <c r="D122" s="68">
        <f t="shared" si="3"/>
        <v>48</v>
      </c>
      <c r="E122" s="40">
        <v>367.07670379424428</v>
      </c>
      <c r="K122" s="66"/>
      <c r="L122" s="66"/>
    </row>
    <row r="123" spans="2:12" x14ac:dyDescent="0.3">
      <c r="B123" s="68">
        <v>49</v>
      </c>
      <c r="C123" s="40">
        <v>75.046877971032984</v>
      </c>
      <c r="D123" s="68">
        <f t="shared" si="3"/>
        <v>49</v>
      </c>
      <c r="E123" s="40">
        <v>38.390101709215458</v>
      </c>
      <c r="K123" s="66"/>
      <c r="L123" s="66"/>
    </row>
    <row r="124" spans="2:12" x14ac:dyDescent="0.3">
      <c r="B124" s="68">
        <v>50</v>
      </c>
      <c r="C124" s="40">
        <v>36.616771541825251</v>
      </c>
      <c r="D124" s="68">
        <f t="shared" si="3"/>
        <v>50</v>
      </c>
      <c r="E124" s="40">
        <v>386.95158503669217</v>
      </c>
      <c r="K124" s="66"/>
      <c r="L124" s="66"/>
    </row>
    <row r="125" spans="2:12" x14ac:dyDescent="0.3">
      <c r="B125" s="68">
        <v>51</v>
      </c>
      <c r="C125" s="40">
        <v>93.521631127742026</v>
      </c>
      <c r="D125" s="68">
        <f t="shared" si="3"/>
        <v>51</v>
      </c>
      <c r="E125" s="40">
        <v>205.43342060314745</v>
      </c>
      <c r="K125" s="66"/>
      <c r="L125" s="66"/>
    </row>
    <row r="126" spans="2:12" x14ac:dyDescent="0.3">
      <c r="B126" s="68">
        <v>52</v>
      </c>
      <c r="C126" s="40">
        <v>152.82693919882368</v>
      </c>
      <c r="D126" s="68">
        <f t="shared" si="3"/>
        <v>52</v>
      </c>
      <c r="E126" s="40">
        <v>154.30224149239805</v>
      </c>
      <c r="K126" s="66"/>
      <c r="L126" s="66"/>
    </row>
    <row r="127" spans="2:12" x14ac:dyDescent="0.3">
      <c r="B127" s="68">
        <v>53</v>
      </c>
      <c r="C127" s="40">
        <v>102.80589799950796</v>
      </c>
      <c r="D127" s="68">
        <f t="shared" si="3"/>
        <v>53</v>
      </c>
      <c r="E127" s="40">
        <v>221.110050629309</v>
      </c>
      <c r="K127" s="66"/>
      <c r="L127" s="66"/>
    </row>
    <row r="128" spans="2:12" x14ac:dyDescent="0.3">
      <c r="B128" s="68">
        <v>54</v>
      </c>
      <c r="C128" s="40">
        <v>148.46824428125848</v>
      </c>
      <c r="D128" s="68">
        <f t="shared" si="3"/>
        <v>54</v>
      </c>
      <c r="E128" s="40">
        <v>200.95289270760031</v>
      </c>
      <c r="K128" s="66"/>
      <c r="L128" s="66"/>
    </row>
    <row r="129" spans="2:12" x14ac:dyDescent="0.3">
      <c r="B129" s="68">
        <v>55</v>
      </c>
      <c r="C129" s="40">
        <v>101.78824669062656</v>
      </c>
      <c r="D129" s="68">
        <f t="shared" si="3"/>
        <v>55</v>
      </c>
      <c r="E129" s="40">
        <v>-34.957118835369968</v>
      </c>
      <c r="K129" s="66"/>
      <c r="L129" s="66"/>
    </row>
    <row r="130" spans="2:12" x14ac:dyDescent="0.3">
      <c r="B130" s="68">
        <v>56</v>
      </c>
      <c r="C130" s="40">
        <v>114.4415017744451</v>
      </c>
      <c r="D130" s="68">
        <f t="shared" si="3"/>
        <v>56</v>
      </c>
      <c r="E130" s="40">
        <v>382.94150498161861</v>
      </c>
      <c r="K130" s="66"/>
      <c r="L130" s="66"/>
    </row>
    <row r="131" spans="2:12" x14ac:dyDescent="0.3">
      <c r="B131" s="68">
        <v>57</v>
      </c>
      <c r="C131" s="40">
        <v>147.5619078602447</v>
      </c>
      <c r="D131" s="68">
        <f t="shared" si="3"/>
        <v>57</v>
      </c>
      <c r="E131" s="40">
        <v>240.47305838967901</v>
      </c>
      <c r="K131" s="66"/>
      <c r="L131" s="66"/>
    </row>
    <row r="132" spans="2:12" x14ac:dyDescent="0.3">
      <c r="B132" s="68">
        <v>58</v>
      </c>
      <c r="C132" s="40">
        <v>130.74149984499903</v>
      </c>
      <c r="D132" s="68">
        <f t="shared" si="3"/>
        <v>58</v>
      </c>
      <c r="E132" s="40">
        <v>-61.224308697829201</v>
      </c>
      <c r="K132" s="66"/>
      <c r="L132" s="66"/>
    </row>
    <row r="133" spans="2:12" x14ac:dyDescent="0.3">
      <c r="B133" s="68">
        <v>59</v>
      </c>
      <c r="C133" s="40">
        <v>-6.384980124757309</v>
      </c>
      <c r="D133" s="68">
        <f t="shared" si="3"/>
        <v>59</v>
      </c>
      <c r="E133" s="40">
        <v>134.41318367688635</v>
      </c>
      <c r="K133" s="66"/>
      <c r="L133" s="66"/>
    </row>
    <row r="134" spans="2:12" x14ac:dyDescent="0.3">
      <c r="B134" s="68">
        <v>60</v>
      </c>
      <c r="C134" s="40">
        <v>128.99030533693471</v>
      </c>
      <c r="D134" s="68">
        <f t="shared" si="3"/>
        <v>60</v>
      </c>
      <c r="E134" s="40">
        <v>21.273125782295502</v>
      </c>
      <c r="K134" s="66"/>
      <c r="L134" s="66"/>
    </row>
    <row r="135" spans="2:12" x14ac:dyDescent="0.3">
      <c r="B135" s="68">
        <v>61</v>
      </c>
      <c r="C135" s="40">
        <v>30.603497788283061</v>
      </c>
      <c r="D135" s="68">
        <f t="shared" si="3"/>
        <v>61</v>
      </c>
      <c r="E135" s="40">
        <v>422.22594601361334</v>
      </c>
      <c r="K135" s="66"/>
      <c r="L135" s="66"/>
    </row>
    <row r="136" spans="2:12" x14ac:dyDescent="0.3">
      <c r="B136" s="68">
        <v>62</v>
      </c>
      <c r="C136" s="40">
        <v>245.00181748561766</v>
      </c>
      <c r="D136" s="68">
        <f t="shared" si="3"/>
        <v>62</v>
      </c>
      <c r="E136" s="40">
        <v>242.81045807938972</v>
      </c>
      <c r="K136" s="66"/>
      <c r="L136" s="66"/>
    </row>
    <row r="137" spans="2:12" x14ac:dyDescent="0.3">
      <c r="B137" s="68">
        <v>63</v>
      </c>
      <c r="C137" s="40">
        <v>148.07051508871754</v>
      </c>
      <c r="D137" s="68">
        <f t="shared" si="3"/>
        <v>63</v>
      </c>
      <c r="E137" s="40">
        <v>-54.505417646156182</v>
      </c>
      <c r="K137" s="66"/>
      <c r="L137" s="66"/>
    </row>
    <row r="138" spans="2:12" x14ac:dyDescent="0.3">
      <c r="B138" s="68">
        <v>64</v>
      </c>
      <c r="C138" s="40">
        <v>143.85356554994462</v>
      </c>
      <c r="D138" s="68">
        <f t="shared" si="3"/>
        <v>64</v>
      </c>
      <c r="E138" s="40">
        <v>34.468379674753876</v>
      </c>
      <c r="K138" s="66"/>
      <c r="L138" s="66"/>
    </row>
    <row r="139" spans="2:12" x14ac:dyDescent="0.3">
      <c r="B139" s="68">
        <v>65</v>
      </c>
      <c r="C139" s="40">
        <v>144.0415180163325</v>
      </c>
      <c r="D139" s="68">
        <f t="shared" si="3"/>
        <v>65</v>
      </c>
      <c r="E139" s="40">
        <v>29.435643781376815</v>
      </c>
      <c r="K139" s="66"/>
      <c r="L139" s="66"/>
    </row>
    <row r="140" spans="2:12" x14ac:dyDescent="0.3">
      <c r="B140" s="68">
        <v>66</v>
      </c>
      <c r="C140" s="40">
        <v>148.92892422304584</v>
      </c>
      <c r="D140" s="68">
        <f t="shared" si="3"/>
        <v>66</v>
      </c>
      <c r="E140" s="40">
        <v>233.58986084463783</v>
      </c>
      <c r="K140" s="66"/>
      <c r="L140" s="66"/>
    </row>
    <row r="141" spans="2:12" x14ac:dyDescent="0.3">
      <c r="B141" s="68">
        <v>67</v>
      </c>
      <c r="C141" s="40">
        <v>58.996505626924581</v>
      </c>
      <c r="D141" s="68">
        <f t="shared" ref="D141:D204" si="4">B141</f>
        <v>67</v>
      </c>
      <c r="E141" s="40">
        <v>217.96905330652635</v>
      </c>
      <c r="K141" s="66"/>
      <c r="L141" s="66"/>
    </row>
    <row r="142" spans="2:12" x14ac:dyDescent="0.3">
      <c r="B142" s="68">
        <v>68</v>
      </c>
      <c r="C142" s="40">
        <v>152.44857602826227</v>
      </c>
      <c r="D142" s="68">
        <f t="shared" si="4"/>
        <v>68</v>
      </c>
      <c r="E142" s="40">
        <v>326.87026312011989</v>
      </c>
      <c r="K142" s="66"/>
      <c r="L142" s="66"/>
    </row>
    <row r="143" spans="2:12" x14ac:dyDescent="0.3">
      <c r="B143" s="68">
        <v>69</v>
      </c>
      <c r="C143" s="40">
        <v>126.32261740172677</v>
      </c>
      <c r="D143" s="68">
        <f t="shared" si="4"/>
        <v>69</v>
      </c>
      <c r="E143" s="40">
        <v>-228.33954345273673</v>
      </c>
      <c r="K143" s="66"/>
      <c r="L143" s="66"/>
    </row>
    <row r="144" spans="2:12" x14ac:dyDescent="0.3">
      <c r="B144" s="68">
        <v>70</v>
      </c>
      <c r="C144" s="40">
        <v>133.14610120364878</v>
      </c>
      <c r="D144" s="68">
        <f t="shared" si="4"/>
        <v>70</v>
      </c>
      <c r="E144" s="40">
        <v>101.09511723600265</v>
      </c>
      <c r="K144" s="66"/>
      <c r="L144" s="66"/>
    </row>
    <row r="145" spans="2:12" x14ac:dyDescent="0.3">
      <c r="B145" s="68">
        <v>71</v>
      </c>
      <c r="C145" s="40">
        <v>114.86728675762463</v>
      </c>
      <c r="D145" s="68">
        <f t="shared" si="4"/>
        <v>71</v>
      </c>
      <c r="E145" s="40">
        <v>45.831357160659437</v>
      </c>
      <c r="K145" s="66"/>
      <c r="L145" s="66"/>
    </row>
    <row r="146" spans="2:12" x14ac:dyDescent="0.3">
      <c r="B146" s="68">
        <v>72</v>
      </c>
      <c r="C146" s="40">
        <v>104.53634144357002</v>
      </c>
      <c r="D146" s="68">
        <f t="shared" si="4"/>
        <v>72</v>
      </c>
      <c r="E146" s="40">
        <v>96.746462509562178</v>
      </c>
      <c r="K146" s="66"/>
      <c r="L146" s="66"/>
    </row>
    <row r="147" spans="2:12" x14ac:dyDescent="0.3">
      <c r="B147" s="68">
        <v>73</v>
      </c>
      <c r="C147" s="40">
        <v>44.717086764040104</v>
      </c>
      <c r="D147" s="68">
        <f t="shared" si="4"/>
        <v>73</v>
      </c>
      <c r="E147" s="40">
        <v>179.97027988381905</v>
      </c>
      <c r="K147" s="66"/>
      <c r="L147" s="66"/>
    </row>
    <row r="148" spans="2:12" x14ac:dyDescent="0.3">
      <c r="B148" s="68">
        <v>74</v>
      </c>
      <c r="C148" s="40">
        <v>31.733505942784337</v>
      </c>
      <c r="D148" s="68">
        <f t="shared" si="4"/>
        <v>74</v>
      </c>
      <c r="E148" s="40">
        <v>-10.405910322360635</v>
      </c>
      <c r="K148" s="66"/>
      <c r="L148" s="66"/>
    </row>
    <row r="149" spans="2:12" x14ac:dyDescent="0.3">
      <c r="B149" s="68">
        <v>75</v>
      </c>
      <c r="C149" s="40">
        <v>94.564042515462546</v>
      </c>
      <c r="D149" s="68">
        <f t="shared" si="4"/>
        <v>75</v>
      </c>
      <c r="E149" s="40">
        <v>347.63455157392514</v>
      </c>
      <c r="K149" s="66"/>
      <c r="L149" s="66"/>
    </row>
    <row r="150" spans="2:12" x14ac:dyDescent="0.3">
      <c r="B150" s="68">
        <v>76</v>
      </c>
      <c r="C150" s="40">
        <v>67.555827311771253</v>
      </c>
      <c r="D150" s="68">
        <f t="shared" si="4"/>
        <v>76</v>
      </c>
      <c r="E150" s="40">
        <v>172.10803148079938</v>
      </c>
      <c r="K150" s="66"/>
      <c r="L150" s="66"/>
    </row>
    <row r="151" spans="2:12" x14ac:dyDescent="0.3">
      <c r="B151" s="68">
        <v>77</v>
      </c>
      <c r="C151" s="40">
        <v>79.85919802706502</v>
      </c>
      <c r="D151" s="68">
        <f t="shared" si="4"/>
        <v>77</v>
      </c>
      <c r="E151" s="40">
        <v>365.12457391534025</v>
      </c>
      <c r="K151" s="66"/>
      <c r="L151" s="66"/>
    </row>
    <row r="152" spans="2:12" x14ac:dyDescent="0.3">
      <c r="B152" s="68">
        <v>78</v>
      </c>
      <c r="C152" s="40">
        <v>37.78256715417497</v>
      </c>
      <c r="D152" s="68">
        <f t="shared" si="4"/>
        <v>78</v>
      </c>
      <c r="E152" s="40">
        <v>203.20622708586924</v>
      </c>
      <c r="K152" s="66"/>
      <c r="L152" s="66"/>
    </row>
    <row r="153" spans="2:12" x14ac:dyDescent="0.3">
      <c r="B153" s="68">
        <v>79</v>
      </c>
      <c r="C153" s="40">
        <v>128.78785374489456</v>
      </c>
      <c r="D153" s="68">
        <f t="shared" si="4"/>
        <v>79</v>
      </c>
      <c r="E153" s="40">
        <v>87.967859000793482</v>
      </c>
      <c r="K153" s="66"/>
      <c r="L153" s="66"/>
    </row>
    <row r="154" spans="2:12" x14ac:dyDescent="0.3">
      <c r="B154" s="68">
        <v>80</v>
      </c>
      <c r="C154" s="40">
        <v>28.903697707841292</v>
      </c>
      <c r="D154" s="68">
        <f t="shared" si="4"/>
        <v>80</v>
      </c>
      <c r="E154" s="40">
        <v>237.4152785564159</v>
      </c>
      <c r="K154" s="66"/>
      <c r="L154" s="66"/>
    </row>
    <row r="155" spans="2:12" x14ac:dyDescent="0.3">
      <c r="B155" s="68">
        <v>81</v>
      </c>
      <c r="C155" s="40">
        <v>127.62722357376533</v>
      </c>
      <c r="D155" s="68">
        <f t="shared" si="4"/>
        <v>81</v>
      </c>
      <c r="E155" s="40">
        <v>-321.92801449156343</v>
      </c>
      <c r="K155" s="66"/>
      <c r="L155" s="66"/>
    </row>
    <row r="156" spans="2:12" x14ac:dyDescent="0.3">
      <c r="B156" s="68">
        <v>82</v>
      </c>
      <c r="C156" s="40">
        <v>88.402681075172467</v>
      </c>
      <c r="D156" s="68">
        <f t="shared" si="4"/>
        <v>82</v>
      </c>
      <c r="E156" s="40">
        <v>43.425000555472053</v>
      </c>
      <c r="K156" s="66"/>
      <c r="L156" s="66"/>
    </row>
    <row r="157" spans="2:12" x14ac:dyDescent="0.3">
      <c r="B157" s="68">
        <v>83</v>
      </c>
      <c r="C157" s="40">
        <v>180.09089218473861</v>
      </c>
      <c r="D157" s="68">
        <f t="shared" si="4"/>
        <v>83</v>
      </c>
      <c r="E157" s="40">
        <v>273.53356569761047</v>
      </c>
      <c r="K157" s="66"/>
      <c r="L157" s="66"/>
    </row>
    <row r="158" spans="2:12" x14ac:dyDescent="0.3">
      <c r="B158" s="68">
        <v>84</v>
      </c>
      <c r="C158" s="40">
        <v>116.85833810775596</v>
      </c>
      <c r="D158" s="68">
        <f t="shared" si="4"/>
        <v>84</v>
      </c>
      <c r="E158" s="40">
        <v>91.894430930509714</v>
      </c>
      <c r="K158" s="66"/>
      <c r="L158" s="66"/>
    </row>
    <row r="159" spans="2:12" x14ac:dyDescent="0.3">
      <c r="B159" s="68">
        <v>85</v>
      </c>
      <c r="C159" s="40">
        <v>39.001742170049283</v>
      </c>
      <c r="D159" s="68">
        <f t="shared" si="4"/>
        <v>85</v>
      </c>
      <c r="E159" s="40">
        <v>249.0570377484195</v>
      </c>
      <c r="K159" s="66"/>
      <c r="L159" s="66"/>
    </row>
    <row r="160" spans="2:12" x14ac:dyDescent="0.3">
      <c r="B160" s="68">
        <v>86</v>
      </c>
      <c r="C160" s="40">
        <v>110.13881793136018</v>
      </c>
      <c r="D160" s="68">
        <f t="shared" si="4"/>
        <v>86</v>
      </c>
      <c r="E160" s="40">
        <v>387.19789730409815</v>
      </c>
      <c r="K160" s="66"/>
      <c r="L160" s="66"/>
    </row>
    <row r="161" spans="2:12" x14ac:dyDescent="0.3">
      <c r="B161" s="68">
        <v>87</v>
      </c>
      <c r="C161" s="40">
        <v>120.19347963343243</v>
      </c>
      <c r="D161" s="68">
        <f t="shared" si="4"/>
        <v>87</v>
      </c>
      <c r="E161" s="40">
        <v>111.95271969769188</v>
      </c>
      <c r="K161" s="66"/>
      <c r="L161" s="66"/>
    </row>
    <row r="162" spans="2:12" x14ac:dyDescent="0.3">
      <c r="B162" s="68">
        <v>88</v>
      </c>
      <c r="C162" s="40">
        <v>23.823977572728662</v>
      </c>
      <c r="D162" s="68">
        <f t="shared" si="4"/>
        <v>88</v>
      </c>
      <c r="E162" s="40">
        <v>103.76812549969888</v>
      </c>
      <c r="K162" s="66"/>
      <c r="L162" s="66"/>
    </row>
    <row r="163" spans="2:12" x14ac:dyDescent="0.3">
      <c r="B163" s="68">
        <v>89</v>
      </c>
      <c r="C163" s="40">
        <v>106.96621602582272</v>
      </c>
      <c r="D163" s="68">
        <f t="shared" si="4"/>
        <v>89</v>
      </c>
      <c r="E163" s="40">
        <v>13.233192591511761</v>
      </c>
      <c r="K163" s="66"/>
      <c r="L163" s="66"/>
    </row>
    <row r="164" spans="2:12" x14ac:dyDescent="0.3">
      <c r="B164" s="68">
        <v>90</v>
      </c>
      <c r="C164" s="40">
        <v>134.87266245012572</v>
      </c>
      <c r="D164" s="68">
        <f t="shared" si="4"/>
        <v>90</v>
      </c>
      <c r="E164" s="40">
        <v>252.06475889883154</v>
      </c>
      <c r="K164" s="66"/>
      <c r="L164" s="66"/>
    </row>
    <row r="165" spans="2:12" x14ac:dyDescent="0.3">
      <c r="B165" s="68">
        <v>91</v>
      </c>
      <c r="C165" s="40">
        <v>143.82120494453346</v>
      </c>
      <c r="D165" s="68">
        <f t="shared" si="4"/>
        <v>91</v>
      </c>
      <c r="E165" s="40">
        <v>170.51468900770567</v>
      </c>
      <c r="K165" s="66"/>
      <c r="L165" s="66"/>
    </row>
    <row r="166" spans="2:12" x14ac:dyDescent="0.3">
      <c r="B166" s="68">
        <v>92</v>
      </c>
      <c r="C166" s="40">
        <v>82.513077923471144</v>
      </c>
      <c r="D166" s="68">
        <f t="shared" si="4"/>
        <v>92</v>
      </c>
      <c r="E166" s="40">
        <v>227.0335076136117</v>
      </c>
      <c r="K166" s="66"/>
      <c r="L166" s="66"/>
    </row>
    <row r="167" spans="2:12" x14ac:dyDescent="0.3">
      <c r="B167" s="68">
        <v>93</v>
      </c>
      <c r="C167" s="40">
        <v>98.319594637025048</v>
      </c>
      <c r="D167" s="68">
        <f t="shared" si="4"/>
        <v>93</v>
      </c>
      <c r="E167" s="40">
        <v>187.20238308456848</v>
      </c>
      <c r="K167" s="66"/>
      <c r="L167" s="66"/>
    </row>
    <row r="168" spans="2:12" x14ac:dyDescent="0.3">
      <c r="B168" s="68">
        <v>94</v>
      </c>
      <c r="C168" s="40">
        <v>120.46631657916627</v>
      </c>
      <c r="D168" s="68">
        <f t="shared" si="4"/>
        <v>94</v>
      </c>
      <c r="E168" s="40">
        <v>116.49720041247141</v>
      </c>
      <c r="K168" s="66"/>
      <c r="L168" s="66"/>
    </row>
    <row r="169" spans="2:12" x14ac:dyDescent="0.3">
      <c r="B169" s="68">
        <v>95</v>
      </c>
      <c r="C169" s="40">
        <v>109.14196189140291</v>
      </c>
      <c r="D169" s="68">
        <f t="shared" si="4"/>
        <v>95</v>
      </c>
      <c r="E169" s="40">
        <v>176.28445069412015</v>
      </c>
      <c r="K169" s="66"/>
      <c r="L169" s="66"/>
    </row>
    <row r="170" spans="2:12" x14ac:dyDescent="0.3">
      <c r="B170" s="68">
        <v>96</v>
      </c>
      <c r="C170" s="40">
        <v>127.73295763950034</v>
      </c>
      <c r="D170" s="68">
        <f t="shared" si="4"/>
        <v>96</v>
      </c>
      <c r="E170" s="40">
        <v>-110.70715055732519</v>
      </c>
      <c r="K170" s="66"/>
      <c r="L170" s="66"/>
    </row>
    <row r="171" spans="2:12" x14ac:dyDescent="0.3">
      <c r="B171" s="68">
        <v>97</v>
      </c>
      <c r="C171" s="40">
        <v>105.38379433978632</v>
      </c>
      <c r="D171" s="68">
        <f t="shared" si="4"/>
        <v>97</v>
      </c>
      <c r="E171" s="40">
        <v>243.04441261066444</v>
      </c>
      <c r="K171" s="66"/>
      <c r="L171" s="66"/>
    </row>
    <row r="172" spans="2:12" x14ac:dyDescent="0.3">
      <c r="B172" s="68">
        <v>98</v>
      </c>
      <c r="C172" s="40">
        <v>143.12566099822024</v>
      </c>
      <c r="D172" s="68">
        <f t="shared" si="4"/>
        <v>98</v>
      </c>
      <c r="E172" s="40">
        <v>361.91676018117971</v>
      </c>
      <c r="K172" s="66"/>
      <c r="L172" s="66"/>
    </row>
    <row r="173" spans="2:12" x14ac:dyDescent="0.3">
      <c r="B173" s="68">
        <v>99</v>
      </c>
      <c r="C173" s="40">
        <v>77.750823846933741</v>
      </c>
      <c r="D173" s="68">
        <f t="shared" si="4"/>
        <v>99</v>
      </c>
      <c r="E173" s="40">
        <v>110.52047380296145</v>
      </c>
      <c r="K173" s="66"/>
      <c r="L173" s="66"/>
    </row>
    <row r="174" spans="2:12" x14ac:dyDescent="0.3">
      <c r="B174" s="68">
        <v>100</v>
      </c>
      <c r="C174" s="40">
        <v>26.080176801486857</v>
      </c>
      <c r="D174" s="68">
        <f t="shared" si="4"/>
        <v>100</v>
      </c>
      <c r="E174" s="40">
        <v>230.31713200114299</v>
      </c>
      <c r="K174" s="66"/>
      <c r="L174" s="66"/>
    </row>
    <row r="175" spans="2:12" x14ac:dyDescent="0.3">
      <c r="B175" s="68">
        <v>101</v>
      </c>
      <c r="C175" s="40">
        <v>125.20101827647484</v>
      </c>
      <c r="D175" s="68">
        <f t="shared" si="4"/>
        <v>101</v>
      </c>
      <c r="E175" s="40">
        <v>83.77640685400074</v>
      </c>
      <c r="K175" s="66"/>
      <c r="L175" s="66"/>
    </row>
    <row r="176" spans="2:12" x14ac:dyDescent="0.3">
      <c r="B176" s="68">
        <v>102</v>
      </c>
      <c r="C176" s="40">
        <v>36.549988742271992</v>
      </c>
      <c r="D176" s="68">
        <f t="shared" si="4"/>
        <v>102</v>
      </c>
      <c r="E176" s="40">
        <v>90.425219794258439</v>
      </c>
      <c r="K176" s="66"/>
      <c r="L176" s="66"/>
    </row>
    <row r="177" spans="2:12" x14ac:dyDescent="0.3">
      <c r="B177" s="68">
        <v>103</v>
      </c>
      <c r="C177" s="40">
        <v>105.22522335997667</v>
      </c>
      <c r="D177" s="68">
        <f t="shared" si="4"/>
        <v>103</v>
      </c>
      <c r="E177" s="40">
        <v>-49.34116442453135</v>
      </c>
      <c r="K177" s="66"/>
      <c r="L177" s="66"/>
    </row>
    <row r="178" spans="2:12" x14ac:dyDescent="0.3">
      <c r="B178" s="68">
        <v>104</v>
      </c>
      <c r="C178" s="40">
        <v>43.373230876217896</v>
      </c>
      <c r="D178" s="68">
        <f t="shared" si="4"/>
        <v>104</v>
      </c>
      <c r="E178" s="40">
        <v>17.2467704474005</v>
      </c>
    </row>
    <row r="179" spans="2:12" x14ac:dyDescent="0.3">
      <c r="B179" s="68">
        <v>105</v>
      </c>
      <c r="C179" s="40">
        <v>94.461552736005729</v>
      </c>
      <c r="D179" s="68">
        <f t="shared" si="4"/>
        <v>105</v>
      </c>
      <c r="E179" s="40">
        <v>313.78922567751113</v>
      </c>
    </row>
    <row r="180" spans="2:12" x14ac:dyDescent="0.3">
      <c r="B180" s="68">
        <v>106</v>
      </c>
      <c r="C180" s="40">
        <v>133.6406035957643</v>
      </c>
      <c r="D180" s="68">
        <f t="shared" si="4"/>
        <v>106</v>
      </c>
      <c r="E180" s="40">
        <v>-13.457695359705289</v>
      </c>
    </row>
    <row r="181" spans="2:12" x14ac:dyDescent="0.3">
      <c r="B181" s="68">
        <v>107</v>
      </c>
      <c r="C181" s="40">
        <v>116.57585488527346</v>
      </c>
      <c r="D181" s="68">
        <f t="shared" si="4"/>
        <v>107</v>
      </c>
      <c r="E181" s="40">
        <v>272.95186080124222</v>
      </c>
    </row>
    <row r="182" spans="2:12" x14ac:dyDescent="0.3">
      <c r="B182" s="68">
        <v>108</v>
      </c>
      <c r="C182" s="40">
        <v>113.24085250061046</v>
      </c>
      <c r="D182" s="68">
        <f t="shared" si="4"/>
        <v>108</v>
      </c>
      <c r="E182" s="40">
        <v>169.40221499201112</v>
      </c>
    </row>
    <row r="183" spans="2:12" x14ac:dyDescent="0.3">
      <c r="B183" s="68">
        <v>109</v>
      </c>
      <c r="C183" s="40">
        <v>159.85663159986268</v>
      </c>
      <c r="D183" s="68">
        <f t="shared" si="4"/>
        <v>109</v>
      </c>
      <c r="E183" s="40">
        <v>139.72156166393719</v>
      </c>
    </row>
    <row r="184" spans="2:12" x14ac:dyDescent="0.3">
      <c r="B184" s="68">
        <v>110</v>
      </c>
      <c r="C184" s="40">
        <v>84.959206043798986</v>
      </c>
      <c r="D184" s="68">
        <f t="shared" si="4"/>
        <v>110</v>
      </c>
      <c r="E184" s="40">
        <v>86.761707395842478</v>
      </c>
    </row>
    <row r="185" spans="2:12" x14ac:dyDescent="0.3">
      <c r="B185" s="68">
        <v>111</v>
      </c>
      <c r="C185" s="40">
        <v>97.497442420460814</v>
      </c>
      <c r="D185" s="68">
        <f t="shared" si="4"/>
        <v>111</v>
      </c>
      <c r="E185" s="40">
        <v>191.7625349308226</v>
      </c>
    </row>
    <row r="186" spans="2:12" x14ac:dyDescent="0.3">
      <c r="B186" s="68">
        <v>112</v>
      </c>
      <c r="C186" s="40">
        <v>138.70068551117015</v>
      </c>
      <c r="D186" s="68">
        <f t="shared" si="4"/>
        <v>112</v>
      </c>
      <c r="E186" s="40">
        <v>68.569989017824767</v>
      </c>
    </row>
    <row r="187" spans="2:12" x14ac:dyDescent="0.3">
      <c r="B187" s="68">
        <v>113</v>
      </c>
      <c r="C187" s="40">
        <v>288.32227077808665</v>
      </c>
      <c r="D187" s="68">
        <f t="shared" si="4"/>
        <v>113</v>
      </c>
      <c r="E187" s="40">
        <v>235.34867739016039</v>
      </c>
    </row>
    <row r="188" spans="2:12" x14ac:dyDescent="0.3">
      <c r="B188" s="68">
        <v>114</v>
      </c>
      <c r="C188" s="40">
        <v>117.93539500668024</v>
      </c>
      <c r="D188" s="68">
        <f t="shared" si="4"/>
        <v>114</v>
      </c>
      <c r="E188" s="40">
        <v>0.14520419449810168</v>
      </c>
    </row>
    <row r="189" spans="2:12" x14ac:dyDescent="0.3">
      <c r="B189" s="68">
        <v>115</v>
      </c>
      <c r="C189" s="40">
        <v>122.5466093838706</v>
      </c>
      <c r="D189" s="68">
        <f t="shared" si="4"/>
        <v>115</v>
      </c>
      <c r="E189" s="40">
        <v>-266.76797954946835</v>
      </c>
    </row>
    <row r="190" spans="2:12" x14ac:dyDescent="0.3">
      <c r="B190" s="68">
        <v>116</v>
      </c>
      <c r="C190" s="40">
        <v>126.68159343960826</v>
      </c>
      <c r="D190" s="68">
        <f t="shared" si="4"/>
        <v>116</v>
      </c>
      <c r="E190" s="40">
        <v>108.55269409894238</v>
      </c>
    </row>
    <row r="191" spans="2:12" x14ac:dyDescent="0.3">
      <c r="B191" s="68">
        <v>117</v>
      </c>
      <c r="C191" s="40">
        <v>128.69279294006787</v>
      </c>
      <c r="D191" s="68">
        <f t="shared" si="4"/>
        <v>117</v>
      </c>
      <c r="E191" s="40">
        <v>0.44627000834254477</v>
      </c>
    </row>
    <row r="192" spans="2:12" x14ac:dyDescent="0.3">
      <c r="B192" s="68">
        <v>118</v>
      </c>
      <c r="C192" s="40">
        <v>157.22732020882023</v>
      </c>
      <c r="D192" s="68">
        <f t="shared" si="4"/>
        <v>118</v>
      </c>
      <c r="E192" s="40">
        <v>312.75283178957932</v>
      </c>
    </row>
    <row r="193" spans="2:5" x14ac:dyDescent="0.3">
      <c r="B193" s="68">
        <v>119</v>
      </c>
      <c r="C193" s="40">
        <v>144.19418101383266</v>
      </c>
      <c r="D193" s="68">
        <f t="shared" si="4"/>
        <v>119</v>
      </c>
      <c r="E193" s="40">
        <v>230.98415243341688</v>
      </c>
    </row>
    <row r="194" spans="2:5" x14ac:dyDescent="0.3">
      <c r="B194" s="68">
        <v>120</v>
      </c>
      <c r="C194" s="40">
        <v>117.30714065191891</v>
      </c>
      <c r="D194" s="68">
        <f t="shared" si="4"/>
        <v>120</v>
      </c>
      <c r="E194" s="40">
        <v>-206.24932088605942</v>
      </c>
    </row>
    <row r="195" spans="2:5" x14ac:dyDescent="0.3">
      <c r="B195" s="68">
        <v>121</v>
      </c>
      <c r="C195" s="40">
        <v>109.90391819459425</v>
      </c>
      <c r="D195" s="68">
        <f t="shared" si="4"/>
        <v>121</v>
      </c>
      <c r="E195" s="40">
        <v>143.04603796022317</v>
      </c>
    </row>
    <row r="196" spans="2:5" x14ac:dyDescent="0.3">
      <c r="B196" s="68">
        <v>122</v>
      </c>
      <c r="C196" s="40">
        <v>59.484697566266014</v>
      </c>
      <c r="D196" s="68">
        <f t="shared" si="4"/>
        <v>122</v>
      </c>
      <c r="E196" s="40">
        <v>291.63187702263684</v>
      </c>
    </row>
    <row r="197" spans="2:5" x14ac:dyDescent="0.3">
      <c r="B197" s="68">
        <v>123</v>
      </c>
      <c r="C197" s="40">
        <v>155.235617626107</v>
      </c>
      <c r="D197" s="68">
        <f t="shared" si="4"/>
        <v>123</v>
      </c>
      <c r="E197" s="40">
        <v>-178.57658270895416</v>
      </c>
    </row>
    <row r="198" spans="2:5" x14ac:dyDescent="0.3">
      <c r="B198" s="68">
        <v>124</v>
      </c>
      <c r="C198" s="40">
        <v>70.109798015532959</v>
      </c>
      <c r="D198" s="68">
        <f t="shared" si="4"/>
        <v>124</v>
      </c>
      <c r="E198" s="40">
        <v>172.16986542477414</v>
      </c>
    </row>
    <row r="199" spans="2:5" x14ac:dyDescent="0.3">
      <c r="B199" s="68">
        <v>125</v>
      </c>
      <c r="C199" s="40">
        <v>57.546427723826376</v>
      </c>
      <c r="D199" s="68">
        <f t="shared" si="4"/>
        <v>125</v>
      </c>
      <c r="E199" s="40">
        <v>-50.330073871661725</v>
      </c>
    </row>
    <row r="200" spans="2:5" x14ac:dyDescent="0.3">
      <c r="B200" s="68">
        <v>126</v>
      </c>
      <c r="C200" s="40">
        <v>71.032801999139977</v>
      </c>
      <c r="D200" s="68">
        <f t="shared" si="4"/>
        <v>126</v>
      </c>
      <c r="E200" s="40">
        <v>31.810462879077239</v>
      </c>
    </row>
    <row r="201" spans="2:5" x14ac:dyDescent="0.3">
      <c r="B201" s="68">
        <v>127</v>
      </c>
      <c r="C201" s="40">
        <v>115.84554850152131</v>
      </c>
      <c r="D201" s="68">
        <f t="shared" si="4"/>
        <v>127</v>
      </c>
      <c r="E201" s="40">
        <v>124.18867994061625</v>
      </c>
    </row>
    <row r="202" spans="2:5" x14ac:dyDescent="0.3">
      <c r="B202" s="68">
        <v>128</v>
      </c>
      <c r="C202" s="40">
        <v>153.59147473417346</v>
      </c>
      <c r="D202" s="68">
        <f t="shared" si="4"/>
        <v>128</v>
      </c>
      <c r="E202" s="40">
        <v>247.10165392001028</v>
      </c>
    </row>
    <row r="203" spans="2:5" x14ac:dyDescent="0.3">
      <c r="B203" s="68">
        <v>129</v>
      </c>
      <c r="C203" s="40">
        <v>99.5559734336682</v>
      </c>
      <c r="D203" s="68">
        <f t="shared" si="4"/>
        <v>129</v>
      </c>
      <c r="E203" s="40">
        <v>45.89420213226672</v>
      </c>
    </row>
    <row r="204" spans="2:5" x14ac:dyDescent="0.3">
      <c r="B204" s="68">
        <v>130</v>
      </c>
      <c r="C204" s="40">
        <v>110.72878147260261</v>
      </c>
      <c r="D204" s="68">
        <f t="shared" si="4"/>
        <v>130</v>
      </c>
      <c r="E204" s="40">
        <v>131.48269973753901</v>
      </c>
    </row>
    <row r="205" spans="2:5" x14ac:dyDescent="0.3">
      <c r="B205" s="68">
        <v>131</v>
      </c>
      <c r="C205" s="40">
        <v>128.80603600975584</v>
      </c>
      <c r="D205" s="68">
        <f t="shared" ref="D205:D268" si="5">B205</f>
        <v>131</v>
      </c>
      <c r="E205" s="40">
        <v>438.28699071138436</v>
      </c>
    </row>
    <row r="206" spans="2:5" x14ac:dyDescent="0.3">
      <c r="B206" s="68">
        <v>132</v>
      </c>
      <c r="C206" s="40">
        <v>71.923528805141245</v>
      </c>
      <c r="D206" s="68">
        <f t="shared" si="5"/>
        <v>132</v>
      </c>
      <c r="E206" s="40">
        <v>187.4322483571714</v>
      </c>
    </row>
    <row r="207" spans="2:5" x14ac:dyDescent="0.3">
      <c r="B207" s="68">
        <v>133</v>
      </c>
      <c r="C207" s="40">
        <v>117.66641409702815</v>
      </c>
      <c r="D207" s="68">
        <f t="shared" si="5"/>
        <v>133</v>
      </c>
      <c r="E207" s="40">
        <v>126.64988598428741</v>
      </c>
    </row>
    <row r="208" spans="2:5" x14ac:dyDescent="0.3">
      <c r="B208" s="68">
        <v>134</v>
      </c>
      <c r="C208" s="40">
        <v>194.04601452916273</v>
      </c>
      <c r="D208" s="68">
        <f t="shared" si="5"/>
        <v>134</v>
      </c>
      <c r="E208" s="40">
        <v>372.44948736201809</v>
      </c>
    </row>
    <row r="209" spans="2:5" x14ac:dyDescent="0.3">
      <c r="B209" s="68">
        <v>135</v>
      </c>
      <c r="C209" s="40">
        <v>143.13381248536587</v>
      </c>
      <c r="D209" s="68">
        <f t="shared" si="5"/>
        <v>135</v>
      </c>
      <c r="E209" s="40">
        <v>341.8161105594836</v>
      </c>
    </row>
    <row r="210" spans="2:5" x14ac:dyDescent="0.3">
      <c r="B210" s="68">
        <v>136</v>
      </c>
      <c r="C210" s="40">
        <v>122.28515713523618</v>
      </c>
      <c r="D210" s="68">
        <f t="shared" si="5"/>
        <v>136</v>
      </c>
      <c r="E210" s="40">
        <v>273.92242703431765</v>
      </c>
    </row>
    <row r="211" spans="2:5" x14ac:dyDescent="0.3">
      <c r="B211" s="68">
        <v>137</v>
      </c>
      <c r="C211" s="40">
        <v>93.573339034007844</v>
      </c>
      <c r="D211" s="68">
        <f t="shared" si="5"/>
        <v>137</v>
      </c>
      <c r="E211" s="40">
        <v>252.42187104980206</v>
      </c>
    </row>
    <row r="212" spans="2:5" x14ac:dyDescent="0.3">
      <c r="B212" s="68">
        <v>138</v>
      </c>
      <c r="C212" s="40">
        <v>160.66758607257802</v>
      </c>
      <c r="D212" s="68">
        <f t="shared" si="5"/>
        <v>138</v>
      </c>
      <c r="E212" s="40">
        <v>220.19960496372732</v>
      </c>
    </row>
    <row r="213" spans="2:5" x14ac:dyDescent="0.3">
      <c r="B213" s="68">
        <v>139</v>
      </c>
      <c r="C213" s="40">
        <v>97.104328606223291</v>
      </c>
      <c r="D213" s="68">
        <f t="shared" si="5"/>
        <v>139</v>
      </c>
      <c r="E213" s="40">
        <v>51.061149149822242</v>
      </c>
    </row>
    <row r="214" spans="2:5" x14ac:dyDescent="0.3">
      <c r="B214" s="68">
        <v>140</v>
      </c>
      <c r="C214" s="40">
        <v>106.26638440521872</v>
      </c>
      <c r="D214" s="68">
        <f t="shared" si="5"/>
        <v>140</v>
      </c>
      <c r="E214" s="40">
        <v>53.775275822746302</v>
      </c>
    </row>
    <row r="215" spans="2:5" x14ac:dyDescent="0.3">
      <c r="B215" s="68">
        <v>141</v>
      </c>
      <c r="C215" s="40">
        <v>85.087684718251694</v>
      </c>
      <c r="D215" s="68">
        <f t="shared" si="5"/>
        <v>141</v>
      </c>
      <c r="E215" s="40">
        <v>427.90377534807567</v>
      </c>
    </row>
    <row r="216" spans="2:5" x14ac:dyDescent="0.3">
      <c r="B216" s="68">
        <v>142</v>
      </c>
      <c r="C216" s="40">
        <v>82.690303976480621</v>
      </c>
      <c r="D216" s="68">
        <f t="shared" si="5"/>
        <v>142</v>
      </c>
      <c r="E216" s="40">
        <v>-217.87061024101951</v>
      </c>
    </row>
    <row r="217" spans="2:5" x14ac:dyDescent="0.3">
      <c r="B217" s="68">
        <v>143</v>
      </c>
      <c r="C217" s="40">
        <v>125.58614757888832</v>
      </c>
      <c r="D217" s="68">
        <f t="shared" si="5"/>
        <v>143</v>
      </c>
      <c r="E217" s="40">
        <v>223.8908549510642</v>
      </c>
    </row>
    <row r="218" spans="2:5" x14ac:dyDescent="0.3">
      <c r="B218" s="68">
        <v>144</v>
      </c>
      <c r="C218" s="40">
        <v>128.8337137120723</v>
      </c>
      <c r="D218" s="68">
        <f t="shared" si="5"/>
        <v>144</v>
      </c>
      <c r="E218" s="40">
        <v>115.14886984054215</v>
      </c>
    </row>
    <row r="219" spans="2:5" x14ac:dyDescent="0.3">
      <c r="B219" s="68">
        <v>145</v>
      </c>
      <c r="C219" s="40">
        <v>95.821988907985386</v>
      </c>
      <c r="D219" s="68">
        <f t="shared" si="5"/>
        <v>145</v>
      </c>
      <c r="E219" s="40">
        <v>235.43940916881434</v>
      </c>
    </row>
    <row r="220" spans="2:5" x14ac:dyDescent="0.3">
      <c r="B220" s="68">
        <v>146</v>
      </c>
      <c r="C220" s="40">
        <v>10.095424719933394</v>
      </c>
      <c r="D220" s="68">
        <f t="shared" si="5"/>
        <v>146</v>
      </c>
      <c r="E220" s="40">
        <v>253.13408439296094</v>
      </c>
    </row>
    <row r="221" spans="2:5" x14ac:dyDescent="0.3">
      <c r="B221" s="68">
        <v>147</v>
      </c>
      <c r="C221" s="40">
        <v>106.04920133043819</v>
      </c>
      <c r="D221" s="68">
        <f t="shared" si="5"/>
        <v>147</v>
      </c>
      <c r="E221" s="40">
        <v>129.31200739681452</v>
      </c>
    </row>
    <row r="222" spans="2:5" x14ac:dyDescent="0.3">
      <c r="B222" s="68">
        <v>148</v>
      </c>
      <c r="C222" s="40">
        <v>103.0361680239198</v>
      </c>
      <c r="D222" s="68">
        <f t="shared" si="5"/>
        <v>148</v>
      </c>
      <c r="E222" s="40">
        <v>10.586300434735989</v>
      </c>
    </row>
    <row r="223" spans="2:5" x14ac:dyDescent="0.3">
      <c r="B223" s="68">
        <v>149</v>
      </c>
      <c r="C223" s="40">
        <v>143.99328727990502</v>
      </c>
      <c r="D223" s="68">
        <f t="shared" si="5"/>
        <v>149</v>
      </c>
      <c r="E223" s="40">
        <v>235.17328189981436</v>
      </c>
    </row>
    <row r="224" spans="2:5" x14ac:dyDescent="0.3">
      <c r="B224" s="68">
        <v>150</v>
      </c>
      <c r="C224" s="40">
        <v>74.315917026799212</v>
      </c>
      <c r="D224" s="68">
        <f t="shared" si="5"/>
        <v>150</v>
      </c>
      <c r="E224" s="40">
        <v>29.764736530959901</v>
      </c>
    </row>
    <row r="225" spans="2:5" x14ac:dyDescent="0.3">
      <c r="B225" s="68">
        <v>151</v>
      </c>
      <c r="C225" s="40">
        <v>151.14205329815249</v>
      </c>
      <c r="D225" s="68">
        <f t="shared" si="5"/>
        <v>151</v>
      </c>
      <c r="E225" s="40">
        <v>170.98198673420785</v>
      </c>
    </row>
    <row r="226" spans="2:5" x14ac:dyDescent="0.3">
      <c r="B226" s="68">
        <v>152</v>
      </c>
      <c r="C226" s="40">
        <v>87.989323105723741</v>
      </c>
      <c r="D226" s="68">
        <f t="shared" si="5"/>
        <v>152</v>
      </c>
      <c r="E226" s="40">
        <v>94.242062945969053</v>
      </c>
    </row>
    <row r="227" spans="2:5" x14ac:dyDescent="0.3">
      <c r="B227" s="68">
        <v>153</v>
      </c>
      <c r="C227" s="40">
        <v>134.95663836031426</v>
      </c>
      <c r="D227" s="68">
        <f t="shared" si="5"/>
        <v>153</v>
      </c>
      <c r="E227" s="40">
        <v>299.87186669813008</v>
      </c>
    </row>
    <row r="228" spans="2:5" x14ac:dyDescent="0.3">
      <c r="B228" s="68">
        <v>154</v>
      </c>
      <c r="C228" s="40">
        <v>68.640813857369011</v>
      </c>
      <c r="D228" s="68">
        <f t="shared" si="5"/>
        <v>154</v>
      </c>
      <c r="E228" s="40">
        <v>145.39114717248009</v>
      </c>
    </row>
    <row r="229" spans="2:5" x14ac:dyDescent="0.3">
      <c r="B229" s="68">
        <v>155</v>
      </c>
      <c r="C229" s="40">
        <v>38.041374876674112</v>
      </c>
      <c r="D229" s="68">
        <f t="shared" si="5"/>
        <v>155</v>
      </c>
      <c r="E229" s="40">
        <v>-90.041301707407669</v>
      </c>
    </row>
    <row r="230" spans="2:5" x14ac:dyDescent="0.3">
      <c r="B230" s="68">
        <v>156</v>
      </c>
      <c r="C230" s="40">
        <v>127.28613829148303</v>
      </c>
      <c r="D230" s="68">
        <f t="shared" si="5"/>
        <v>156</v>
      </c>
      <c r="E230" s="40">
        <v>252.51614319919707</v>
      </c>
    </row>
    <row r="231" spans="2:5" x14ac:dyDescent="0.3">
      <c r="B231" s="68">
        <v>157</v>
      </c>
      <c r="C231" s="40">
        <v>134.32260203238334</v>
      </c>
      <c r="D231" s="68">
        <f t="shared" si="5"/>
        <v>157</v>
      </c>
      <c r="E231" s="40">
        <v>249.1749404360919</v>
      </c>
    </row>
    <row r="232" spans="2:5" x14ac:dyDescent="0.3">
      <c r="B232" s="68">
        <v>158</v>
      </c>
      <c r="C232" s="40">
        <v>18.563250886161999</v>
      </c>
      <c r="D232" s="68">
        <f t="shared" si="5"/>
        <v>158</v>
      </c>
      <c r="E232" s="40">
        <v>314.75034834132987</v>
      </c>
    </row>
    <row r="233" spans="2:5" x14ac:dyDescent="0.3">
      <c r="B233" s="68">
        <v>159</v>
      </c>
      <c r="C233" s="40">
        <v>101.99682055024225</v>
      </c>
      <c r="D233" s="68">
        <f t="shared" si="5"/>
        <v>159</v>
      </c>
      <c r="E233" s="40">
        <v>62.705552008244432</v>
      </c>
    </row>
    <row r="234" spans="2:5" x14ac:dyDescent="0.3">
      <c r="B234" s="68">
        <v>160</v>
      </c>
      <c r="C234" s="40">
        <v>110.11886319397161</v>
      </c>
      <c r="D234" s="68">
        <f t="shared" si="5"/>
        <v>160</v>
      </c>
      <c r="E234" s="40">
        <v>179.63172260690749</v>
      </c>
    </row>
    <row r="235" spans="2:5" x14ac:dyDescent="0.3">
      <c r="B235" s="68">
        <v>161</v>
      </c>
      <c r="C235" s="40">
        <v>95.514959375450672</v>
      </c>
      <c r="D235" s="68">
        <f t="shared" si="5"/>
        <v>161</v>
      </c>
      <c r="E235" s="40">
        <v>204.69345149675547</v>
      </c>
    </row>
    <row r="236" spans="2:5" x14ac:dyDescent="0.3">
      <c r="B236" s="68">
        <v>162</v>
      </c>
      <c r="C236" s="40">
        <v>141.7948263970242</v>
      </c>
      <c r="D236" s="68">
        <f t="shared" si="5"/>
        <v>162</v>
      </c>
      <c r="E236" s="40">
        <v>407.44999293696048</v>
      </c>
    </row>
    <row r="237" spans="2:5" x14ac:dyDescent="0.3">
      <c r="B237" s="68">
        <v>163</v>
      </c>
      <c r="C237" s="40">
        <v>102.10959374596598</v>
      </c>
      <c r="D237" s="68">
        <f t="shared" si="5"/>
        <v>163</v>
      </c>
      <c r="E237" s="40">
        <v>-142.4517182267696</v>
      </c>
    </row>
    <row r="238" spans="2:5" x14ac:dyDescent="0.3">
      <c r="B238" s="68">
        <v>164</v>
      </c>
      <c r="C238" s="40">
        <v>95.384764506754408</v>
      </c>
      <c r="D238" s="68">
        <f t="shared" si="5"/>
        <v>164</v>
      </c>
      <c r="E238" s="40">
        <v>-394.2097144837291</v>
      </c>
    </row>
    <row r="239" spans="2:5" x14ac:dyDescent="0.3">
      <c r="B239" s="68">
        <v>165</v>
      </c>
      <c r="C239" s="40">
        <v>-7.5069324751764883</v>
      </c>
      <c r="D239" s="68">
        <f t="shared" si="5"/>
        <v>165</v>
      </c>
      <c r="E239" s="40">
        <v>-175.27326318893236</v>
      </c>
    </row>
    <row r="240" spans="2:5" x14ac:dyDescent="0.3">
      <c r="B240" s="68">
        <v>166</v>
      </c>
      <c r="C240" s="40">
        <v>71.891264520929141</v>
      </c>
      <c r="D240" s="68">
        <f t="shared" si="5"/>
        <v>166</v>
      </c>
      <c r="E240" s="40">
        <v>177.5631349890507</v>
      </c>
    </row>
    <row r="241" spans="2:5" x14ac:dyDescent="0.3">
      <c r="B241" s="68">
        <v>167</v>
      </c>
      <c r="C241" s="40">
        <v>153.90166406792895</v>
      </c>
      <c r="D241" s="68">
        <f t="shared" si="5"/>
        <v>167</v>
      </c>
      <c r="E241" s="40">
        <v>136.8482835488206</v>
      </c>
    </row>
    <row r="242" spans="2:5" x14ac:dyDescent="0.3">
      <c r="B242" s="68">
        <v>168</v>
      </c>
      <c r="C242" s="40">
        <v>193.48503000639781</v>
      </c>
      <c r="D242" s="68">
        <f t="shared" si="5"/>
        <v>168</v>
      </c>
      <c r="E242" s="40">
        <v>32.270761544981291</v>
      </c>
    </row>
    <row r="243" spans="2:5" x14ac:dyDescent="0.3">
      <c r="B243" s="68">
        <v>169</v>
      </c>
      <c r="C243" s="40">
        <v>50.484287824256484</v>
      </c>
      <c r="D243" s="68">
        <f t="shared" si="5"/>
        <v>169</v>
      </c>
      <c r="E243" s="40">
        <v>89.775723676492603</v>
      </c>
    </row>
    <row r="244" spans="2:5" x14ac:dyDescent="0.3">
      <c r="B244" s="68">
        <v>170</v>
      </c>
      <c r="C244" s="40">
        <v>108.22002716351744</v>
      </c>
      <c r="D244" s="68">
        <f t="shared" si="5"/>
        <v>170</v>
      </c>
      <c r="E244" s="40">
        <v>177.35049651558941</v>
      </c>
    </row>
    <row r="245" spans="2:5" x14ac:dyDescent="0.3">
      <c r="B245" s="68">
        <v>171</v>
      </c>
      <c r="C245" s="40">
        <v>139.52971568494596</v>
      </c>
      <c r="D245" s="68">
        <f t="shared" si="5"/>
        <v>171</v>
      </c>
      <c r="E245" s="40">
        <v>179.91101641493458</v>
      </c>
    </row>
    <row r="246" spans="2:5" x14ac:dyDescent="0.3">
      <c r="B246" s="68">
        <v>172</v>
      </c>
      <c r="C246" s="40">
        <v>126.33709013239761</v>
      </c>
      <c r="D246" s="68">
        <f t="shared" si="5"/>
        <v>172</v>
      </c>
      <c r="E246" s="40">
        <v>-146.57377897835858</v>
      </c>
    </row>
    <row r="247" spans="2:5" x14ac:dyDescent="0.3">
      <c r="B247" s="68">
        <v>173</v>
      </c>
      <c r="C247" s="40">
        <v>135.63643795713378</v>
      </c>
      <c r="D247" s="68">
        <f t="shared" si="5"/>
        <v>173</v>
      </c>
      <c r="E247" s="40">
        <v>32.019201258329488</v>
      </c>
    </row>
    <row r="248" spans="2:5" x14ac:dyDescent="0.3">
      <c r="B248" s="68">
        <v>174</v>
      </c>
      <c r="C248" s="40">
        <v>159.87504813915703</v>
      </c>
      <c r="D248" s="68">
        <f t="shared" si="5"/>
        <v>174</v>
      </c>
      <c r="E248" s="40">
        <v>211.8386063759971</v>
      </c>
    </row>
    <row r="249" spans="2:5" x14ac:dyDescent="0.3">
      <c r="B249" s="68">
        <v>175</v>
      </c>
      <c r="C249" s="40">
        <v>133.324976247096</v>
      </c>
      <c r="D249" s="68">
        <f t="shared" si="5"/>
        <v>175</v>
      </c>
      <c r="E249" s="40">
        <v>579.30588620570393</v>
      </c>
    </row>
    <row r="250" spans="2:5" x14ac:dyDescent="0.3">
      <c r="B250" s="68">
        <v>176</v>
      </c>
      <c r="C250" s="40">
        <v>142.95388336555396</v>
      </c>
      <c r="D250" s="68">
        <f t="shared" si="5"/>
        <v>176</v>
      </c>
      <c r="E250" s="40">
        <v>74.330297290229538</v>
      </c>
    </row>
    <row r="251" spans="2:5" x14ac:dyDescent="0.3">
      <c r="B251" s="68">
        <v>177</v>
      </c>
      <c r="C251" s="40">
        <v>47.462624977642882</v>
      </c>
      <c r="D251" s="68">
        <f t="shared" si="5"/>
        <v>177</v>
      </c>
      <c r="E251" s="40">
        <v>-121.80492700459794</v>
      </c>
    </row>
    <row r="252" spans="2:5" x14ac:dyDescent="0.3">
      <c r="B252" s="68">
        <v>178</v>
      </c>
      <c r="C252" s="40">
        <v>161.7020292635236</v>
      </c>
      <c r="D252" s="68">
        <f t="shared" si="5"/>
        <v>178</v>
      </c>
      <c r="E252" s="40">
        <v>156.67478193245418</v>
      </c>
    </row>
    <row r="253" spans="2:5" x14ac:dyDescent="0.3">
      <c r="B253" s="68">
        <v>179</v>
      </c>
      <c r="C253" s="40">
        <v>125.28878781603233</v>
      </c>
      <c r="D253" s="68">
        <f t="shared" si="5"/>
        <v>179</v>
      </c>
      <c r="E253" s="40">
        <v>11.615817238183038</v>
      </c>
    </row>
    <row r="254" spans="2:5" x14ac:dyDescent="0.3">
      <c r="B254" s="68">
        <v>180</v>
      </c>
      <c r="C254" s="40">
        <v>135.36978745263099</v>
      </c>
      <c r="D254" s="68">
        <f t="shared" si="5"/>
        <v>180</v>
      </c>
      <c r="E254" s="40">
        <v>275.00417140455403</v>
      </c>
    </row>
    <row r="255" spans="2:5" x14ac:dyDescent="0.3">
      <c r="B255" s="68">
        <v>181</v>
      </c>
      <c r="C255" s="40">
        <v>101.23015434596834</v>
      </c>
      <c r="D255" s="68">
        <f t="shared" si="5"/>
        <v>181</v>
      </c>
      <c r="E255" s="40">
        <v>81.962452853252898</v>
      </c>
    </row>
    <row r="256" spans="2:5" x14ac:dyDescent="0.3">
      <c r="B256" s="68">
        <v>182</v>
      </c>
      <c r="C256" s="40">
        <v>101.83946830099434</v>
      </c>
      <c r="D256" s="68">
        <f t="shared" si="5"/>
        <v>182</v>
      </c>
      <c r="E256" s="40">
        <v>363.39623248780623</v>
      </c>
    </row>
    <row r="257" spans="2:5" x14ac:dyDescent="0.3">
      <c r="B257" s="68">
        <v>183</v>
      </c>
      <c r="C257" s="40">
        <v>-157.28969680774748</v>
      </c>
      <c r="D257" s="68">
        <f t="shared" si="5"/>
        <v>183</v>
      </c>
      <c r="E257" s="40">
        <v>238.33179719469771</v>
      </c>
    </row>
    <row r="258" spans="2:5" x14ac:dyDescent="0.3">
      <c r="B258" s="68">
        <v>184</v>
      </c>
      <c r="C258" s="40">
        <v>138.61066145087176</v>
      </c>
      <c r="D258" s="68">
        <f t="shared" si="5"/>
        <v>184</v>
      </c>
      <c r="E258" s="40">
        <v>209.76702487794887</v>
      </c>
    </row>
    <row r="259" spans="2:5" x14ac:dyDescent="0.3">
      <c r="B259" s="68">
        <v>185</v>
      </c>
      <c r="C259" s="40">
        <v>137.25721840738154</v>
      </c>
      <c r="D259" s="68">
        <f t="shared" si="5"/>
        <v>185</v>
      </c>
      <c r="E259" s="40">
        <v>-23.40830408922108</v>
      </c>
    </row>
    <row r="260" spans="2:5" x14ac:dyDescent="0.3">
      <c r="B260" s="68">
        <v>186</v>
      </c>
      <c r="C260" s="40">
        <v>52.892128847224363</v>
      </c>
      <c r="D260" s="68">
        <f t="shared" si="5"/>
        <v>186</v>
      </c>
      <c r="E260" s="40">
        <v>364.76352664983216</v>
      </c>
    </row>
    <row r="261" spans="2:5" x14ac:dyDescent="0.3">
      <c r="B261" s="68">
        <v>187</v>
      </c>
      <c r="C261" s="40">
        <v>68.213944587867076</v>
      </c>
      <c r="D261" s="68">
        <f t="shared" si="5"/>
        <v>187</v>
      </c>
      <c r="E261" s="40">
        <v>67.089015395143122</v>
      </c>
    </row>
    <row r="262" spans="2:5" x14ac:dyDescent="0.3">
      <c r="B262" s="68">
        <v>188</v>
      </c>
      <c r="C262" s="40">
        <v>71.56233058422076</v>
      </c>
      <c r="D262" s="68">
        <f t="shared" si="5"/>
        <v>188</v>
      </c>
      <c r="E262" s="40">
        <v>393.25086619539445</v>
      </c>
    </row>
    <row r="263" spans="2:5" x14ac:dyDescent="0.3">
      <c r="B263" s="68">
        <v>189</v>
      </c>
      <c r="C263" s="40">
        <v>118.62875493716642</v>
      </c>
      <c r="D263" s="68">
        <f t="shared" si="5"/>
        <v>189</v>
      </c>
      <c r="E263" s="40">
        <v>327.14922939528918</v>
      </c>
    </row>
    <row r="264" spans="2:5" x14ac:dyDescent="0.3">
      <c r="B264" s="68">
        <v>190</v>
      </c>
      <c r="C264" s="40">
        <v>48.587359360442719</v>
      </c>
      <c r="D264" s="68">
        <f t="shared" si="5"/>
        <v>190</v>
      </c>
      <c r="E264" s="40">
        <v>54.274209582423296</v>
      </c>
    </row>
    <row r="265" spans="2:5" x14ac:dyDescent="0.3">
      <c r="B265" s="68">
        <v>191</v>
      </c>
      <c r="C265" s="40">
        <v>159.68807005253819</v>
      </c>
      <c r="D265" s="68">
        <f t="shared" si="5"/>
        <v>191</v>
      </c>
      <c r="E265" s="40">
        <v>233.20967015156015</v>
      </c>
    </row>
    <row r="266" spans="2:5" x14ac:dyDescent="0.3">
      <c r="B266" s="68">
        <v>192</v>
      </c>
      <c r="C266" s="40">
        <v>131.50209935783951</v>
      </c>
      <c r="D266" s="68">
        <f t="shared" si="5"/>
        <v>192</v>
      </c>
      <c r="E266" s="40">
        <v>-169.83411048097642</v>
      </c>
    </row>
    <row r="267" spans="2:5" x14ac:dyDescent="0.3">
      <c r="B267" s="68">
        <v>193</v>
      </c>
      <c r="C267" s="40">
        <v>208.32755122408449</v>
      </c>
      <c r="D267" s="68">
        <f t="shared" si="5"/>
        <v>193</v>
      </c>
      <c r="E267" s="40">
        <v>13.065450071312265</v>
      </c>
    </row>
    <row r="268" spans="2:5" x14ac:dyDescent="0.3">
      <c r="B268" s="68">
        <v>194</v>
      </c>
      <c r="C268" s="40">
        <v>182.69412280310399</v>
      </c>
      <c r="D268" s="68">
        <f t="shared" si="5"/>
        <v>194</v>
      </c>
      <c r="E268" s="40">
        <v>308.56511921212177</v>
      </c>
    </row>
    <row r="269" spans="2:5" x14ac:dyDescent="0.3">
      <c r="B269" s="68">
        <v>195</v>
      </c>
      <c r="C269" s="40">
        <v>71.863058611234777</v>
      </c>
      <c r="D269" s="68">
        <f t="shared" ref="D269:D286" si="6">B269</f>
        <v>195</v>
      </c>
      <c r="E269" s="40">
        <v>278.74775517642536</v>
      </c>
    </row>
    <row r="270" spans="2:5" x14ac:dyDescent="0.3">
      <c r="B270" s="68">
        <v>196</v>
      </c>
      <c r="C270" s="40">
        <v>150.52759622499269</v>
      </c>
      <c r="D270" s="68">
        <f t="shared" si="6"/>
        <v>196</v>
      </c>
      <c r="E270" s="40">
        <v>-30.478617157554375</v>
      </c>
    </row>
    <row r="271" spans="2:5" x14ac:dyDescent="0.3">
      <c r="B271" s="68">
        <v>197</v>
      </c>
      <c r="C271" s="40">
        <v>211.61697297919378</v>
      </c>
      <c r="D271" s="68">
        <f t="shared" si="6"/>
        <v>197</v>
      </c>
      <c r="E271" s="40">
        <v>-2.8836755397631633</v>
      </c>
    </row>
    <row r="272" spans="2:5" x14ac:dyDescent="0.3">
      <c r="B272" s="68">
        <v>198</v>
      </c>
      <c r="C272" s="40">
        <v>127.81302521533435</v>
      </c>
      <c r="D272" s="68">
        <f t="shared" si="6"/>
        <v>198</v>
      </c>
      <c r="E272" s="40">
        <v>2.9090040220300191</v>
      </c>
    </row>
    <row r="273" spans="2:5" x14ac:dyDescent="0.3">
      <c r="B273" s="68">
        <v>199</v>
      </c>
      <c r="C273" s="40">
        <v>145.74830775234093</v>
      </c>
      <c r="D273" s="68">
        <f t="shared" si="6"/>
        <v>199</v>
      </c>
      <c r="E273" s="40">
        <v>288.00933593880205</v>
      </c>
    </row>
    <row r="274" spans="2:5" x14ac:dyDescent="0.3">
      <c r="B274" s="68">
        <v>200</v>
      </c>
      <c r="C274" s="40">
        <v>156.85058322130595</v>
      </c>
      <c r="D274" s="68">
        <f t="shared" si="6"/>
        <v>200</v>
      </c>
      <c r="E274" s="40">
        <v>457.66251734394109</v>
      </c>
    </row>
    <row r="275" spans="2:5" x14ac:dyDescent="0.3">
      <c r="B275" s="68">
        <v>201</v>
      </c>
      <c r="C275" s="40">
        <v>148.81760824215809</v>
      </c>
      <c r="D275" s="68">
        <f t="shared" si="6"/>
        <v>201</v>
      </c>
      <c r="E275" s="40">
        <v>208.12189168380638</v>
      </c>
    </row>
    <row r="276" spans="2:5" x14ac:dyDescent="0.3">
      <c r="B276" s="68">
        <v>202</v>
      </c>
      <c r="C276" s="40">
        <v>141.24239302382554</v>
      </c>
      <c r="D276" s="68">
        <f t="shared" si="6"/>
        <v>202</v>
      </c>
      <c r="E276" s="40">
        <v>32.391784757940449</v>
      </c>
    </row>
    <row r="277" spans="2:5" x14ac:dyDescent="0.3">
      <c r="B277" s="68">
        <v>203</v>
      </c>
      <c r="C277" s="40">
        <v>96.930531358610921</v>
      </c>
      <c r="D277" s="68">
        <f t="shared" si="6"/>
        <v>203</v>
      </c>
      <c r="E277" s="40">
        <v>415.07392368824486</v>
      </c>
    </row>
    <row r="278" spans="2:5" x14ac:dyDescent="0.3">
      <c r="B278" s="68">
        <v>204</v>
      </c>
      <c r="C278" s="40">
        <v>99.23798364614585</v>
      </c>
      <c r="D278" s="68">
        <f t="shared" si="6"/>
        <v>204</v>
      </c>
      <c r="E278" s="40">
        <v>-135.36937378283628</v>
      </c>
    </row>
    <row r="279" spans="2:5" x14ac:dyDescent="0.3">
      <c r="B279" s="68">
        <v>205</v>
      </c>
      <c r="C279" s="40">
        <v>93.943336125428914</v>
      </c>
      <c r="D279" s="68">
        <f t="shared" si="6"/>
        <v>205</v>
      </c>
      <c r="E279" s="40">
        <v>14.218647264387119</v>
      </c>
    </row>
    <row r="280" spans="2:5" x14ac:dyDescent="0.3">
      <c r="B280" s="68">
        <v>206</v>
      </c>
      <c r="C280" s="40">
        <v>140.83163280752822</v>
      </c>
      <c r="D280" s="68">
        <f t="shared" si="6"/>
        <v>206</v>
      </c>
      <c r="E280" s="40">
        <v>280.60412341510101</v>
      </c>
    </row>
    <row r="281" spans="2:5" x14ac:dyDescent="0.3">
      <c r="B281" s="68">
        <v>207</v>
      </c>
      <c r="C281" s="40">
        <v>105.39350113574196</v>
      </c>
      <c r="D281" s="68">
        <f t="shared" si="6"/>
        <v>207</v>
      </c>
      <c r="E281" s="40">
        <v>-139.58747393932961</v>
      </c>
    </row>
    <row r="282" spans="2:5" x14ac:dyDescent="0.3">
      <c r="B282" s="68">
        <v>208</v>
      </c>
      <c r="C282" s="40">
        <v>100.51868435256996</v>
      </c>
      <c r="D282" s="68">
        <f t="shared" si="6"/>
        <v>208</v>
      </c>
      <c r="E282" s="40">
        <v>1.0180125418645638</v>
      </c>
    </row>
    <row r="283" spans="2:5" x14ac:dyDescent="0.3">
      <c r="B283" s="68">
        <v>209</v>
      </c>
      <c r="C283" s="40">
        <v>68.687226115078701</v>
      </c>
      <c r="D283" s="68">
        <f t="shared" si="6"/>
        <v>209</v>
      </c>
      <c r="E283" s="40">
        <v>-34.699083702569602</v>
      </c>
    </row>
    <row r="284" spans="2:5" x14ac:dyDescent="0.3">
      <c r="B284" s="68">
        <v>210</v>
      </c>
      <c r="C284" s="40">
        <v>111.57320990903838</v>
      </c>
      <c r="D284" s="68">
        <f t="shared" si="6"/>
        <v>210</v>
      </c>
      <c r="E284" s="40">
        <v>-184.6803549351086</v>
      </c>
    </row>
    <row r="285" spans="2:5" x14ac:dyDescent="0.3">
      <c r="B285" s="68">
        <v>211</v>
      </c>
      <c r="C285" s="40">
        <v>104.2219748463212</v>
      </c>
      <c r="D285" s="68">
        <f t="shared" si="6"/>
        <v>211</v>
      </c>
      <c r="E285" s="40">
        <v>356.48703205172444</v>
      </c>
    </row>
    <row r="286" spans="2:5" x14ac:dyDescent="0.3">
      <c r="B286" s="68">
        <v>212</v>
      </c>
      <c r="C286" s="40">
        <v>138.3157194332577</v>
      </c>
      <c r="D286" s="68">
        <f t="shared" si="6"/>
        <v>212</v>
      </c>
      <c r="E286" s="40">
        <v>-2.8435024722492015</v>
      </c>
    </row>
    <row r="287" spans="2:5" x14ac:dyDescent="0.3">
      <c r="B287" s="68">
        <v>213</v>
      </c>
      <c r="C287" s="40">
        <v>78.857784986442795</v>
      </c>
      <c r="D287" s="68">
        <f t="shared" ref="D287:D350" si="7">B287</f>
        <v>213</v>
      </c>
      <c r="E287" s="40">
        <v>264.31709278115056</v>
      </c>
    </row>
    <row r="288" spans="2:5" x14ac:dyDescent="0.3">
      <c r="B288" s="68">
        <v>214</v>
      </c>
      <c r="C288" s="40">
        <v>96.33972979281917</v>
      </c>
      <c r="D288" s="68">
        <f t="shared" si="7"/>
        <v>214</v>
      </c>
      <c r="E288" s="40">
        <v>232.220681950602</v>
      </c>
    </row>
    <row r="289" spans="2:5" x14ac:dyDescent="0.3">
      <c r="B289" s="68">
        <v>215</v>
      </c>
      <c r="C289" s="40">
        <v>-93.53097052387551</v>
      </c>
      <c r="D289" s="68">
        <f t="shared" si="7"/>
        <v>215</v>
      </c>
      <c r="E289" s="40">
        <v>239.66460488935394</v>
      </c>
    </row>
    <row r="290" spans="2:5" x14ac:dyDescent="0.3">
      <c r="B290" s="68">
        <v>216</v>
      </c>
      <c r="C290" s="40">
        <v>150.50539045099794</v>
      </c>
      <c r="D290" s="68">
        <f t="shared" si="7"/>
        <v>216</v>
      </c>
      <c r="E290" s="40">
        <v>267.84208024175319</v>
      </c>
    </row>
    <row r="291" spans="2:5" x14ac:dyDescent="0.3">
      <c r="B291" s="68">
        <v>217</v>
      </c>
      <c r="C291" s="40">
        <v>101.55827723642632</v>
      </c>
      <c r="D291" s="68">
        <f t="shared" si="7"/>
        <v>217</v>
      </c>
      <c r="E291" s="40">
        <v>331.92870040634614</v>
      </c>
    </row>
    <row r="292" spans="2:5" x14ac:dyDescent="0.3">
      <c r="B292" s="68">
        <v>218</v>
      </c>
      <c r="C292" s="40">
        <v>111.55847809592774</v>
      </c>
      <c r="D292" s="68">
        <f t="shared" si="7"/>
        <v>218</v>
      </c>
      <c r="E292" s="40">
        <v>172.04861449363813</v>
      </c>
    </row>
    <row r="293" spans="2:5" x14ac:dyDescent="0.3">
      <c r="B293" s="68">
        <v>219</v>
      </c>
      <c r="C293" s="40">
        <v>89.819486081905083</v>
      </c>
      <c r="D293" s="68">
        <f t="shared" si="7"/>
        <v>219</v>
      </c>
      <c r="E293" s="40">
        <v>243.90289726043699</v>
      </c>
    </row>
    <row r="294" spans="2:5" x14ac:dyDescent="0.3">
      <c r="B294" s="68">
        <v>220</v>
      </c>
      <c r="C294" s="40">
        <v>77.245710436438259</v>
      </c>
      <c r="D294" s="68">
        <f t="shared" si="7"/>
        <v>220</v>
      </c>
      <c r="E294" s="40">
        <v>-106.42773190517171</v>
      </c>
    </row>
    <row r="295" spans="2:5" x14ac:dyDescent="0.3">
      <c r="B295" s="68">
        <v>221</v>
      </c>
      <c r="C295" s="40">
        <v>-10.301410848265853</v>
      </c>
      <c r="D295" s="68">
        <f t="shared" si="7"/>
        <v>221</v>
      </c>
      <c r="E295" s="40">
        <v>-164.26923522708896</v>
      </c>
    </row>
    <row r="296" spans="2:5" x14ac:dyDescent="0.3">
      <c r="B296" s="68">
        <v>222</v>
      </c>
      <c r="C296" s="40">
        <v>36.970396923532562</v>
      </c>
      <c r="D296" s="68">
        <f t="shared" si="7"/>
        <v>222</v>
      </c>
      <c r="E296" s="40">
        <v>183.49186432676285</v>
      </c>
    </row>
    <row r="297" spans="2:5" x14ac:dyDescent="0.3">
      <c r="B297" s="68">
        <v>223</v>
      </c>
      <c r="C297" s="40">
        <v>136.55739607240503</v>
      </c>
      <c r="D297" s="68">
        <f t="shared" si="7"/>
        <v>223</v>
      </c>
      <c r="E297" s="40">
        <v>84.225030054007902</v>
      </c>
    </row>
    <row r="298" spans="2:5" x14ac:dyDescent="0.3">
      <c r="B298" s="68">
        <v>224</v>
      </c>
      <c r="C298" s="40">
        <v>86.834869126181246</v>
      </c>
      <c r="D298" s="68">
        <f t="shared" si="7"/>
        <v>224</v>
      </c>
      <c r="E298" s="40">
        <v>139.11295959418402</v>
      </c>
    </row>
    <row r="299" spans="2:5" x14ac:dyDescent="0.3">
      <c r="B299" s="68">
        <v>225</v>
      </c>
      <c r="C299" s="40">
        <v>72.362919477222732</v>
      </c>
      <c r="D299" s="68">
        <f t="shared" si="7"/>
        <v>225</v>
      </c>
      <c r="E299" s="40">
        <v>190.55279194965053</v>
      </c>
    </row>
    <row r="300" spans="2:5" x14ac:dyDescent="0.3">
      <c r="B300" s="68">
        <v>226</v>
      </c>
      <c r="C300" s="40">
        <v>56.838612567309951</v>
      </c>
      <c r="D300" s="68">
        <f t="shared" si="7"/>
        <v>226</v>
      </c>
      <c r="E300" s="40">
        <v>184.32313580324583</v>
      </c>
    </row>
    <row r="301" spans="2:5" x14ac:dyDescent="0.3">
      <c r="B301" s="68">
        <v>227</v>
      </c>
      <c r="C301" s="40">
        <v>124.39608859534539</v>
      </c>
      <c r="D301" s="68">
        <f t="shared" si="7"/>
        <v>227</v>
      </c>
      <c r="E301" s="40">
        <v>-84.552352881151364</v>
      </c>
    </row>
    <row r="302" spans="2:5" x14ac:dyDescent="0.3">
      <c r="B302" s="68">
        <v>228</v>
      </c>
      <c r="C302" s="40">
        <v>109.19451254815306</v>
      </c>
      <c r="D302" s="68">
        <f t="shared" si="7"/>
        <v>228</v>
      </c>
      <c r="E302" s="40">
        <v>9.3973581196777172</v>
      </c>
    </row>
    <row r="303" spans="2:5" x14ac:dyDescent="0.3">
      <c r="B303" s="68">
        <v>229</v>
      </c>
      <c r="C303" s="40">
        <v>139.79147036749492</v>
      </c>
      <c r="D303" s="68">
        <f t="shared" si="7"/>
        <v>229</v>
      </c>
      <c r="E303" s="40">
        <v>-287.74919221608104</v>
      </c>
    </row>
    <row r="304" spans="2:5" x14ac:dyDescent="0.3">
      <c r="B304" s="68">
        <v>230</v>
      </c>
      <c r="C304" s="40">
        <v>218.15973553514169</v>
      </c>
      <c r="D304" s="68">
        <f t="shared" si="7"/>
        <v>230</v>
      </c>
      <c r="E304" s="40">
        <v>214.30165219885083</v>
      </c>
    </row>
    <row r="305" spans="2:5" x14ac:dyDescent="0.3">
      <c r="B305" s="68">
        <v>231</v>
      </c>
      <c r="C305" s="40">
        <v>86.851540209507633</v>
      </c>
      <c r="D305" s="68">
        <f t="shared" si="7"/>
        <v>231</v>
      </c>
      <c r="E305" s="40">
        <v>262.39437245674867</v>
      </c>
    </row>
    <row r="306" spans="2:5" x14ac:dyDescent="0.3">
      <c r="B306" s="68">
        <v>232</v>
      </c>
      <c r="C306" s="40">
        <v>110.20175188510896</v>
      </c>
      <c r="D306" s="68">
        <f t="shared" si="7"/>
        <v>232</v>
      </c>
      <c r="E306" s="40">
        <v>30.686529413268111</v>
      </c>
    </row>
    <row r="307" spans="2:5" x14ac:dyDescent="0.3">
      <c r="B307" s="68">
        <v>233</v>
      </c>
      <c r="C307" s="40">
        <v>77.967208084148567</v>
      </c>
      <c r="D307" s="68">
        <f t="shared" si="7"/>
        <v>233</v>
      </c>
      <c r="E307" s="40">
        <v>-175.45265849545109</v>
      </c>
    </row>
    <row r="308" spans="2:5" x14ac:dyDescent="0.3">
      <c r="B308" s="68">
        <v>234</v>
      </c>
      <c r="C308" s="40">
        <v>158.39054253719922</v>
      </c>
      <c r="D308" s="68">
        <f t="shared" si="7"/>
        <v>234</v>
      </c>
      <c r="E308" s="40">
        <v>150.92120247588846</v>
      </c>
    </row>
    <row r="309" spans="2:5" x14ac:dyDescent="0.3">
      <c r="B309" s="68">
        <v>235</v>
      </c>
      <c r="C309" s="40">
        <v>79.552583266584634</v>
      </c>
      <c r="D309" s="68">
        <f t="shared" si="7"/>
        <v>235</v>
      </c>
      <c r="E309" s="40">
        <v>104.67814349256977</v>
      </c>
    </row>
    <row r="310" spans="2:5" x14ac:dyDescent="0.3">
      <c r="B310" s="68">
        <v>236</v>
      </c>
      <c r="C310" s="40">
        <v>111.19342305960288</v>
      </c>
      <c r="D310" s="68">
        <f t="shared" si="7"/>
        <v>236</v>
      </c>
      <c r="E310" s="40">
        <v>7.3526483611233378</v>
      </c>
    </row>
    <row r="311" spans="2:5" x14ac:dyDescent="0.3">
      <c r="B311" s="68">
        <v>237</v>
      </c>
      <c r="C311" s="40">
        <v>165.15685087760818</v>
      </c>
      <c r="D311" s="68">
        <f t="shared" si="7"/>
        <v>237</v>
      </c>
      <c r="E311" s="40">
        <v>-40.002689992025942</v>
      </c>
    </row>
    <row r="312" spans="2:5" x14ac:dyDescent="0.3">
      <c r="B312" s="68">
        <v>238</v>
      </c>
      <c r="C312" s="40">
        <v>134.06474136940005</v>
      </c>
      <c r="D312" s="68">
        <f t="shared" si="7"/>
        <v>238</v>
      </c>
      <c r="E312" s="40">
        <v>68.500246448468658</v>
      </c>
    </row>
    <row r="313" spans="2:5" x14ac:dyDescent="0.3">
      <c r="B313" s="68">
        <v>239</v>
      </c>
      <c r="C313" s="40">
        <v>157.73739031952653</v>
      </c>
      <c r="D313" s="68">
        <f t="shared" si="7"/>
        <v>239</v>
      </c>
      <c r="E313" s="40">
        <v>121.3318079070863</v>
      </c>
    </row>
    <row r="314" spans="2:5" x14ac:dyDescent="0.3">
      <c r="B314" s="68">
        <v>240</v>
      </c>
      <c r="C314" s="40">
        <v>177.91953702901378</v>
      </c>
      <c r="D314" s="68">
        <f t="shared" si="7"/>
        <v>240</v>
      </c>
      <c r="E314" s="40">
        <v>-245.06790914420836</v>
      </c>
    </row>
    <row r="315" spans="2:5" x14ac:dyDescent="0.3">
      <c r="B315" s="68">
        <v>241</v>
      </c>
      <c r="C315" s="40">
        <v>144.04366584931145</v>
      </c>
      <c r="D315" s="68">
        <f t="shared" si="7"/>
        <v>241</v>
      </c>
      <c r="E315" s="40">
        <v>390.2274942692265</v>
      </c>
    </row>
    <row r="316" spans="2:5" x14ac:dyDescent="0.3">
      <c r="B316" s="68">
        <v>242</v>
      </c>
      <c r="C316" s="40">
        <v>-5.6180071566675682</v>
      </c>
      <c r="D316" s="68">
        <f t="shared" si="7"/>
        <v>242</v>
      </c>
      <c r="E316" s="40">
        <v>-133.27048685712069</v>
      </c>
    </row>
    <row r="317" spans="2:5" x14ac:dyDescent="0.3">
      <c r="B317" s="68">
        <v>243</v>
      </c>
      <c r="C317" s="40">
        <v>133.40303382062007</v>
      </c>
      <c r="D317" s="68">
        <f t="shared" si="7"/>
        <v>243</v>
      </c>
      <c r="E317" s="40">
        <v>171.9632032020246</v>
      </c>
    </row>
    <row r="318" spans="2:5" x14ac:dyDescent="0.3">
      <c r="B318" s="68">
        <v>244</v>
      </c>
      <c r="C318" s="40">
        <v>75.904839467926848</v>
      </c>
      <c r="D318" s="68">
        <f t="shared" si="7"/>
        <v>244</v>
      </c>
      <c r="E318" s="40">
        <v>-7.6785653872057766</v>
      </c>
    </row>
    <row r="319" spans="2:5" x14ac:dyDescent="0.3">
      <c r="B319" s="68">
        <v>245</v>
      </c>
      <c r="C319" s="40">
        <v>105.51064862037273</v>
      </c>
      <c r="D319" s="68">
        <f t="shared" si="7"/>
        <v>245</v>
      </c>
      <c r="E319" s="40">
        <v>290.43016512975248</v>
      </c>
    </row>
    <row r="320" spans="2:5" x14ac:dyDescent="0.3">
      <c r="B320" s="68">
        <v>246</v>
      </c>
      <c r="C320" s="40">
        <v>8.2646499763702526</v>
      </c>
      <c r="D320" s="68">
        <f t="shared" si="7"/>
        <v>246</v>
      </c>
      <c r="E320" s="40">
        <v>77.937198080011328</v>
      </c>
    </row>
    <row r="321" spans="2:5" x14ac:dyDescent="0.3">
      <c r="B321" s="68">
        <v>247</v>
      </c>
      <c r="C321" s="40">
        <v>118.02590482826315</v>
      </c>
      <c r="D321" s="68">
        <f t="shared" si="7"/>
        <v>247</v>
      </c>
      <c r="E321" s="40">
        <v>188.78348230487916</v>
      </c>
    </row>
    <row r="322" spans="2:5" x14ac:dyDescent="0.3">
      <c r="B322" s="68">
        <v>248</v>
      </c>
      <c r="C322" s="40">
        <v>133.19466979224211</v>
      </c>
      <c r="D322" s="68">
        <f t="shared" si="7"/>
        <v>248</v>
      </c>
      <c r="E322" s="40">
        <v>56.020541866957686</v>
      </c>
    </row>
    <row r="323" spans="2:5" x14ac:dyDescent="0.3">
      <c r="B323" s="68">
        <v>249</v>
      </c>
      <c r="C323" s="40">
        <v>151.18701742462721</v>
      </c>
      <c r="D323" s="68">
        <f t="shared" si="7"/>
        <v>249</v>
      </c>
      <c r="E323" s="40">
        <v>123.70171482417216</v>
      </c>
    </row>
    <row r="324" spans="2:5" x14ac:dyDescent="0.3">
      <c r="B324" s="68">
        <v>250</v>
      </c>
      <c r="C324" s="40">
        <v>95.209000782937537</v>
      </c>
      <c r="D324" s="68">
        <f t="shared" si="7"/>
        <v>250</v>
      </c>
      <c r="E324" s="40">
        <v>362.14494480705548</v>
      </c>
    </row>
    <row r="325" spans="2:5" x14ac:dyDescent="0.3">
      <c r="B325" s="68">
        <v>251</v>
      </c>
      <c r="C325" s="40">
        <v>124.27115996745101</v>
      </c>
      <c r="D325" s="68">
        <f t="shared" si="7"/>
        <v>251</v>
      </c>
      <c r="E325" s="40">
        <v>138.77720094316425</v>
      </c>
    </row>
    <row r="326" spans="2:5" x14ac:dyDescent="0.3">
      <c r="B326" s="68">
        <v>252</v>
      </c>
      <c r="C326" s="40">
        <v>104.26369445409625</v>
      </c>
      <c r="D326" s="68">
        <f t="shared" si="7"/>
        <v>252</v>
      </c>
      <c r="E326" s="40">
        <v>121.04593023023369</v>
      </c>
    </row>
    <row r="327" spans="2:5" x14ac:dyDescent="0.3">
      <c r="B327" s="68">
        <v>253</v>
      </c>
      <c r="C327" s="40">
        <v>-2.8218959137061423</v>
      </c>
      <c r="D327" s="68">
        <f t="shared" si="7"/>
        <v>253</v>
      </c>
      <c r="E327" s="40">
        <v>384.18011951221661</v>
      </c>
    </row>
    <row r="328" spans="2:5" x14ac:dyDescent="0.3">
      <c r="B328" s="68">
        <v>254</v>
      </c>
      <c r="C328" s="40">
        <v>123.47220775194842</v>
      </c>
      <c r="D328" s="68">
        <f t="shared" si="7"/>
        <v>254</v>
      </c>
      <c r="E328" s="40">
        <v>336.89539012095941</v>
      </c>
    </row>
    <row r="329" spans="2:5" x14ac:dyDescent="0.3">
      <c r="B329" s="68">
        <v>255</v>
      </c>
      <c r="C329" s="40">
        <v>134.42411166174315</v>
      </c>
      <c r="D329" s="68">
        <f t="shared" si="7"/>
        <v>255</v>
      </c>
      <c r="E329" s="40">
        <v>68.094176418196895</v>
      </c>
    </row>
    <row r="330" spans="2:5" x14ac:dyDescent="0.3">
      <c r="B330" s="68">
        <v>256</v>
      </c>
      <c r="C330" s="40">
        <v>-14.021064572491358</v>
      </c>
      <c r="D330" s="68">
        <f t="shared" si="7"/>
        <v>256</v>
      </c>
      <c r="E330" s="40">
        <v>254.8181559402808</v>
      </c>
    </row>
    <row r="331" spans="2:5" x14ac:dyDescent="0.3">
      <c r="B331" s="68">
        <v>257</v>
      </c>
      <c r="C331" s="40">
        <v>123.94050492403672</v>
      </c>
      <c r="D331" s="68">
        <f t="shared" si="7"/>
        <v>257</v>
      </c>
      <c r="E331" s="40">
        <v>187.83976776042266</v>
      </c>
    </row>
    <row r="332" spans="2:5" x14ac:dyDescent="0.3">
      <c r="B332" s="68">
        <v>258</v>
      </c>
      <c r="C332" s="40">
        <v>49.708612225127311</v>
      </c>
      <c r="D332" s="68">
        <f t="shared" si="7"/>
        <v>258</v>
      </c>
      <c r="E332" s="40">
        <v>106.10020224285979</v>
      </c>
    </row>
    <row r="333" spans="2:5" x14ac:dyDescent="0.3">
      <c r="B333" s="68">
        <v>259</v>
      </c>
      <c r="C333" s="40">
        <v>155.19846329344145</v>
      </c>
      <c r="D333" s="68">
        <f t="shared" si="7"/>
        <v>259</v>
      </c>
      <c r="E333" s="40">
        <v>179.38706178098957</v>
      </c>
    </row>
    <row r="334" spans="2:5" x14ac:dyDescent="0.3">
      <c r="B334" s="68">
        <v>260</v>
      </c>
      <c r="C334" s="40">
        <v>142.80824449026082</v>
      </c>
      <c r="D334" s="68">
        <f t="shared" si="7"/>
        <v>260</v>
      </c>
      <c r="E334" s="40">
        <v>-170.94928918508816</v>
      </c>
    </row>
    <row r="335" spans="2:5" x14ac:dyDescent="0.3">
      <c r="B335" s="68">
        <v>261</v>
      </c>
      <c r="C335" s="40">
        <v>62.604026627647855</v>
      </c>
      <c r="D335" s="68">
        <f t="shared" si="7"/>
        <v>261</v>
      </c>
      <c r="E335" s="40">
        <v>139.11363550411153</v>
      </c>
    </row>
    <row r="336" spans="2:5" x14ac:dyDescent="0.3">
      <c r="B336" s="68">
        <v>262</v>
      </c>
      <c r="C336" s="40">
        <v>172.79606750851787</v>
      </c>
      <c r="D336" s="68">
        <f t="shared" si="7"/>
        <v>262</v>
      </c>
      <c r="E336" s="40">
        <v>-162.81542266616137</v>
      </c>
    </row>
    <row r="337" spans="2:5" x14ac:dyDescent="0.3">
      <c r="B337" s="68">
        <v>263</v>
      </c>
      <c r="C337" s="40">
        <v>132.14456214169041</v>
      </c>
      <c r="D337" s="68">
        <f t="shared" si="7"/>
        <v>263</v>
      </c>
      <c r="E337" s="40">
        <v>70.872674105642318</v>
      </c>
    </row>
    <row r="338" spans="2:5" x14ac:dyDescent="0.3">
      <c r="B338" s="68">
        <v>264</v>
      </c>
      <c r="C338" s="40">
        <v>124.02906863377919</v>
      </c>
      <c r="D338" s="68">
        <f t="shared" si="7"/>
        <v>264</v>
      </c>
      <c r="E338" s="40">
        <v>135.84400503758627</v>
      </c>
    </row>
    <row r="339" spans="2:5" x14ac:dyDescent="0.3">
      <c r="B339" s="68">
        <v>265</v>
      </c>
      <c r="C339" s="40">
        <v>49.340841027184965</v>
      </c>
      <c r="D339" s="68">
        <f t="shared" si="7"/>
        <v>265</v>
      </c>
      <c r="E339" s="40">
        <v>160.14534133295723</v>
      </c>
    </row>
    <row r="340" spans="2:5" x14ac:dyDescent="0.3">
      <c r="B340" s="68">
        <v>266</v>
      </c>
      <c r="C340" s="40">
        <v>79.472980137214861</v>
      </c>
      <c r="D340" s="68">
        <f t="shared" si="7"/>
        <v>266</v>
      </c>
      <c r="E340" s="40">
        <v>-252.8646461925336</v>
      </c>
    </row>
    <row r="341" spans="2:5" x14ac:dyDescent="0.3">
      <c r="B341" s="68">
        <v>267</v>
      </c>
      <c r="C341" s="40">
        <v>49.079036139214892</v>
      </c>
      <c r="D341" s="68">
        <f t="shared" si="7"/>
        <v>267</v>
      </c>
      <c r="E341" s="40">
        <v>376.56207882903624</v>
      </c>
    </row>
    <row r="342" spans="2:5" x14ac:dyDescent="0.3">
      <c r="B342" s="68">
        <v>268</v>
      </c>
      <c r="C342" s="40">
        <v>127.38502723652286</v>
      </c>
      <c r="D342" s="68">
        <f t="shared" si="7"/>
        <v>268</v>
      </c>
      <c r="E342" s="40">
        <v>398.9957673320269</v>
      </c>
    </row>
    <row r="343" spans="2:5" x14ac:dyDescent="0.3">
      <c r="B343" s="68">
        <v>269</v>
      </c>
      <c r="C343" s="40">
        <v>119.51355311077775</v>
      </c>
      <c r="D343" s="68">
        <f t="shared" si="7"/>
        <v>269</v>
      </c>
      <c r="E343" s="40">
        <v>41.382460765682268</v>
      </c>
    </row>
    <row r="344" spans="2:5" x14ac:dyDescent="0.3">
      <c r="B344" s="68">
        <v>270</v>
      </c>
      <c r="C344" s="40">
        <v>168.36810719627431</v>
      </c>
      <c r="D344" s="68">
        <f t="shared" si="7"/>
        <v>270</v>
      </c>
      <c r="E344" s="40">
        <v>18.298596389919858</v>
      </c>
    </row>
    <row r="345" spans="2:5" x14ac:dyDescent="0.3">
      <c r="B345" s="68">
        <v>271</v>
      </c>
      <c r="C345" s="40">
        <v>98.435652952777957</v>
      </c>
      <c r="D345" s="68">
        <f t="shared" si="7"/>
        <v>271</v>
      </c>
      <c r="E345" s="40">
        <v>302.05362039315253</v>
      </c>
    </row>
    <row r="346" spans="2:5" x14ac:dyDescent="0.3">
      <c r="B346" s="68">
        <v>272</v>
      </c>
      <c r="C346" s="40">
        <v>77.591009587415954</v>
      </c>
      <c r="D346" s="68">
        <f t="shared" si="7"/>
        <v>272</v>
      </c>
      <c r="E346" s="40">
        <v>-313.55939631901441</v>
      </c>
    </row>
    <row r="347" spans="2:5" x14ac:dyDescent="0.3">
      <c r="B347" s="68">
        <v>273</v>
      </c>
      <c r="C347" s="40">
        <v>78.194291126557658</v>
      </c>
      <c r="D347" s="68">
        <f t="shared" si="7"/>
        <v>273</v>
      </c>
      <c r="E347" s="40">
        <v>22.314729285156094</v>
      </c>
    </row>
    <row r="348" spans="2:5" x14ac:dyDescent="0.3">
      <c r="B348" s="68">
        <v>274</v>
      </c>
      <c r="C348" s="40">
        <v>169.17354999500049</v>
      </c>
      <c r="D348" s="68">
        <f t="shared" si="7"/>
        <v>274</v>
      </c>
      <c r="E348" s="40">
        <v>159.77188069370195</v>
      </c>
    </row>
    <row r="349" spans="2:5" x14ac:dyDescent="0.3">
      <c r="B349" s="68">
        <v>275</v>
      </c>
      <c r="C349" s="40">
        <v>102.90342277566295</v>
      </c>
      <c r="D349" s="68">
        <f t="shared" si="7"/>
        <v>275</v>
      </c>
      <c r="E349" s="40">
        <v>-217.53645089693299</v>
      </c>
    </row>
    <row r="350" spans="2:5" x14ac:dyDescent="0.3">
      <c r="B350" s="68">
        <v>276</v>
      </c>
      <c r="C350" s="40">
        <v>117.26977451236878</v>
      </c>
      <c r="D350" s="68">
        <f t="shared" si="7"/>
        <v>276</v>
      </c>
      <c r="E350" s="40">
        <v>16.30132988874886</v>
      </c>
    </row>
    <row r="351" spans="2:5" x14ac:dyDescent="0.3">
      <c r="B351" s="68">
        <v>277</v>
      </c>
      <c r="C351" s="40">
        <v>100.97978289334182</v>
      </c>
      <c r="D351" s="68">
        <f t="shared" ref="D351:D414" si="8">B351</f>
        <v>277</v>
      </c>
      <c r="E351" s="40">
        <v>425.12602852041084</v>
      </c>
    </row>
    <row r="352" spans="2:5" x14ac:dyDescent="0.3">
      <c r="B352" s="68">
        <v>278</v>
      </c>
      <c r="C352" s="40">
        <v>120.19923810032272</v>
      </c>
      <c r="D352" s="68">
        <f t="shared" si="8"/>
        <v>278</v>
      </c>
      <c r="E352" s="40">
        <v>413.03276735524634</v>
      </c>
    </row>
    <row r="353" spans="2:5" x14ac:dyDescent="0.3">
      <c r="B353" s="68">
        <v>279</v>
      </c>
      <c r="C353" s="40">
        <v>101.02507105397365</v>
      </c>
      <c r="D353" s="68">
        <f t="shared" si="8"/>
        <v>279</v>
      </c>
      <c r="E353" s="40">
        <v>49.168314457798033</v>
      </c>
    </row>
    <row r="354" spans="2:5" x14ac:dyDescent="0.3">
      <c r="B354" s="68">
        <v>280</v>
      </c>
      <c r="C354" s="40">
        <v>154.01662555776312</v>
      </c>
      <c r="D354" s="68">
        <f t="shared" si="8"/>
        <v>280</v>
      </c>
      <c r="E354" s="40">
        <v>7.0704872547270528</v>
      </c>
    </row>
    <row r="355" spans="2:5" x14ac:dyDescent="0.3">
      <c r="B355" s="68">
        <v>281</v>
      </c>
      <c r="C355" s="40">
        <v>125.24523308425039</v>
      </c>
      <c r="D355" s="68">
        <f t="shared" si="8"/>
        <v>281</v>
      </c>
      <c r="E355" s="40">
        <v>280.7041531312185</v>
      </c>
    </row>
    <row r="356" spans="2:5" x14ac:dyDescent="0.3">
      <c r="B356" s="68">
        <v>282</v>
      </c>
      <c r="C356" s="40">
        <v>125.56359465962058</v>
      </c>
      <c r="D356" s="68">
        <f t="shared" si="8"/>
        <v>282</v>
      </c>
      <c r="E356" s="40">
        <v>104.65365721919727</v>
      </c>
    </row>
    <row r="357" spans="2:5" x14ac:dyDescent="0.3">
      <c r="B357" s="68">
        <v>283</v>
      </c>
      <c r="C357" s="40">
        <v>138.66894783384097</v>
      </c>
      <c r="D357" s="68">
        <f t="shared" si="8"/>
        <v>283</v>
      </c>
      <c r="E357" s="40">
        <v>39.47386988024504</v>
      </c>
    </row>
    <row r="358" spans="2:5" x14ac:dyDescent="0.3">
      <c r="B358" s="68">
        <v>284</v>
      </c>
      <c r="C358" s="40">
        <v>99.727897241437759</v>
      </c>
      <c r="D358" s="68">
        <f t="shared" si="8"/>
        <v>284</v>
      </c>
      <c r="E358" s="40">
        <v>126.7123639769982</v>
      </c>
    </row>
    <row r="359" spans="2:5" x14ac:dyDescent="0.3">
      <c r="B359" s="68">
        <v>285</v>
      </c>
      <c r="C359" s="40">
        <v>126.239859133709</v>
      </c>
      <c r="D359" s="68">
        <f t="shared" si="8"/>
        <v>285</v>
      </c>
      <c r="E359" s="40">
        <v>335.83281245751948</v>
      </c>
    </row>
    <row r="360" spans="2:5" x14ac:dyDescent="0.3">
      <c r="B360" s="68">
        <v>286</v>
      </c>
      <c r="C360" s="40">
        <v>139.34904060604921</v>
      </c>
      <c r="D360" s="68">
        <f t="shared" si="8"/>
        <v>286</v>
      </c>
      <c r="E360" s="40">
        <v>115.06586195396316</v>
      </c>
    </row>
    <row r="361" spans="2:5" x14ac:dyDescent="0.3">
      <c r="B361" s="68">
        <v>287</v>
      </c>
      <c r="C361" s="40">
        <v>111.82837782531104</v>
      </c>
      <c r="D361" s="68">
        <f t="shared" si="8"/>
        <v>287</v>
      </c>
      <c r="E361" s="40">
        <v>251.76751283253287</v>
      </c>
    </row>
    <row r="362" spans="2:5" x14ac:dyDescent="0.3">
      <c r="B362" s="68">
        <v>288</v>
      </c>
      <c r="C362" s="40">
        <v>10.393028544125759</v>
      </c>
      <c r="D362" s="68">
        <f t="shared" si="8"/>
        <v>288</v>
      </c>
      <c r="E362" s="40">
        <v>328.27360081003877</v>
      </c>
    </row>
    <row r="363" spans="2:5" x14ac:dyDescent="0.3">
      <c r="B363" s="68">
        <v>289</v>
      </c>
      <c r="C363" s="40">
        <v>108.92775126973611</v>
      </c>
      <c r="D363" s="68">
        <f t="shared" si="8"/>
        <v>289</v>
      </c>
      <c r="E363" s="40">
        <v>108.62427347158595</v>
      </c>
    </row>
    <row r="364" spans="2:5" x14ac:dyDescent="0.3">
      <c r="B364" s="68">
        <v>290</v>
      </c>
      <c r="C364" s="40">
        <v>103.61669380648536</v>
      </c>
      <c r="D364" s="68">
        <f t="shared" si="8"/>
        <v>290</v>
      </c>
      <c r="E364" s="40">
        <v>303.27824971072351</v>
      </c>
    </row>
    <row r="365" spans="2:5" x14ac:dyDescent="0.3">
      <c r="B365" s="68">
        <v>291</v>
      </c>
      <c r="C365" s="40">
        <v>74.258021396905718</v>
      </c>
      <c r="D365" s="68">
        <f t="shared" si="8"/>
        <v>291</v>
      </c>
      <c r="E365" s="40">
        <v>-148.4721391165709</v>
      </c>
    </row>
    <row r="366" spans="2:5" x14ac:dyDescent="0.3">
      <c r="B366" s="68">
        <v>292</v>
      </c>
      <c r="C366" s="40">
        <v>27.888498201424547</v>
      </c>
      <c r="D366" s="68">
        <f t="shared" si="8"/>
        <v>292</v>
      </c>
      <c r="E366" s="40">
        <v>131.55150618085952</v>
      </c>
    </row>
    <row r="367" spans="2:5" x14ac:dyDescent="0.3">
      <c r="B367" s="68">
        <v>293</v>
      </c>
      <c r="C367" s="40">
        <v>64.801605695830261</v>
      </c>
      <c r="D367" s="68">
        <f t="shared" si="8"/>
        <v>293</v>
      </c>
      <c r="E367" s="40">
        <v>293.47428499966583</v>
      </c>
    </row>
    <row r="368" spans="2:5" x14ac:dyDescent="0.3">
      <c r="B368" s="68">
        <v>294</v>
      </c>
      <c r="C368" s="40">
        <v>55.998340464972145</v>
      </c>
      <c r="D368" s="68">
        <f t="shared" si="8"/>
        <v>294</v>
      </c>
      <c r="E368" s="40">
        <v>-6.1448219401975717</v>
      </c>
    </row>
    <row r="369" spans="2:5" x14ac:dyDescent="0.3">
      <c r="B369" s="68">
        <v>295</v>
      </c>
      <c r="C369" s="40">
        <v>117.47869682778722</v>
      </c>
      <c r="D369" s="68">
        <f t="shared" si="8"/>
        <v>295</v>
      </c>
      <c r="E369" s="40">
        <v>28.961480685330059</v>
      </c>
    </row>
    <row r="370" spans="2:5" x14ac:dyDescent="0.3">
      <c r="B370" s="68">
        <v>296</v>
      </c>
      <c r="C370" s="40">
        <v>101.77853305080451</v>
      </c>
      <c r="D370" s="68">
        <f t="shared" si="8"/>
        <v>296</v>
      </c>
      <c r="E370" s="40">
        <v>98.17001247400836</v>
      </c>
    </row>
    <row r="371" spans="2:5" x14ac:dyDescent="0.3">
      <c r="B371" s="68">
        <v>297</v>
      </c>
      <c r="C371" s="40">
        <v>73.819525199627805</v>
      </c>
      <c r="D371" s="68">
        <f t="shared" si="8"/>
        <v>297</v>
      </c>
      <c r="E371" s="40">
        <v>231.82841933732576</v>
      </c>
    </row>
    <row r="372" spans="2:5" x14ac:dyDescent="0.3">
      <c r="B372" s="68">
        <v>298</v>
      </c>
      <c r="C372" s="40">
        <v>121.27454279435958</v>
      </c>
      <c r="D372" s="68">
        <f t="shared" si="8"/>
        <v>298</v>
      </c>
      <c r="E372" s="40">
        <v>358.1305839324254</v>
      </c>
    </row>
    <row r="373" spans="2:5" x14ac:dyDescent="0.3">
      <c r="B373" s="68">
        <v>299</v>
      </c>
      <c r="C373" s="40">
        <v>146.69276434542925</v>
      </c>
      <c r="D373" s="68">
        <f t="shared" si="8"/>
        <v>299</v>
      </c>
      <c r="E373" s="40">
        <v>233.82404011728732</v>
      </c>
    </row>
    <row r="374" spans="2:5" x14ac:dyDescent="0.3">
      <c r="B374" s="68">
        <v>300</v>
      </c>
      <c r="C374" s="40">
        <v>160.25258959004921</v>
      </c>
      <c r="D374" s="68">
        <f t="shared" si="8"/>
        <v>300</v>
      </c>
      <c r="E374" s="40">
        <v>-191.24679077902638</v>
      </c>
    </row>
    <row r="375" spans="2:5" x14ac:dyDescent="0.3">
      <c r="B375" s="68">
        <v>301</v>
      </c>
      <c r="C375" s="40">
        <v>102.37067746702412</v>
      </c>
      <c r="D375" s="68">
        <f t="shared" si="8"/>
        <v>301</v>
      </c>
      <c r="E375" s="40">
        <v>-151.09343650125732</v>
      </c>
    </row>
    <row r="376" spans="2:5" x14ac:dyDescent="0.3">
      <c r="B376" s="68">
        <v>302</v>
      </c>
      <c r="C376" s="40">
        <v>54.037951504317071</v>
      </c>
      <c r="D376" s="68">
        <f t="shared" si="8"/>
        <v>302</v>
      </c>
      <c r="E376" s="40">
        <v>93.353986139592934</v>
      </c>
    </row>
    <row r="377" spans="2:5" x14ac:dyDescent="0.3">
      <c r="B377" s="68">
        <v>303</v>
      </c>
      <c r="C377" s="40">
        <v>7.1734031220446628</v>
      </c>
      <c r="D377" s="68">
        <f t="shared" si="8"/>
        <v>303</v>
      </c>
      <c r="E377" s="40">
        <v>-50.831001655578184</v>
      </c>
    </row>
    <row r="378" spans="2:5" x14ac:dyDescent="0.3">
      <c r="B378" s="68">
        <v>304</v>
      </c>
      <c r="C378" s="40">
        <v>111.35991310295826</v>
      </c>
      <c r="D378" s="68">
        <f t="shared" si="8"/>
        <v>304</v>
      </c>
      <c r="E378" s="40">
        <v>251.19049849527988</v>
      </c>
    </row>
    <row r="379" spans="2:5" x14ac:dyDescent="0.3">
      <c r="B379" s="68">
        <v>305</v>
      </c>
      <c r="C379" s="40">
        <v>136.91446303512595</v>
      </c>
      <c r="D379" s="68">
        <f t="shared" si="8"/>
        <v>305</v>
      </c>
      <c r="E379" s="40">
        <v>109.20164294751976</v>
      </c>
    </row>
    <row r="380" spans="2:5" x14ac:dyDescent="0.3">
      <c r="B380" s="68">
        <v>306</v>
      </c>
      <c r="C380" s="40">
        <v>163.98959331698308</v>
      </c>
      <c r="D380" s="68">
        <f t="shared" si="8"/>
        <v>306</v>
      </c>
      <c r="E380" s="40">
        <v>33.508609841526273</v>
      </c>
    </row>
    <row r="381" spans="2:5" x14ac:dyDescent="0.3">
      <c r="B381" s="68">
        <v>307</v>
      </c>
      <c r="C381" s="40">
        <v>146.22117981920564</v>
      </c>
      <c r="D381" s="68">
        <f t="shared" si="8"/>
        <v>307</v>
      </c>
      <c r="E381" s="40">
        <v>180.18720646907701</v>
      </c>
    </row>
    <row r="382" spans="2:5" x14ac:dyDescent="0.3">
      <c r="B382" s="68">
        <v>308</v>
      </c>
      <c r="C382" s="40">
        <v>99.415050391891299</v>
      </c>
      <c r="D382" s="68">
        <f t="shared" si="8"/>
        <v>308</v>
      </c>
      <c r="E382" s="40">
        <v>-135.21483117595602</v>
      </c>
    </row>
    <row r="383" spans="2:5" x14ac:dyDescent="0.3">
      <c r="B383" s="68">
        <v>309</v>
      </c>
      <c r="C383" s="40">
        <v>106.02928484065595</v>
      </c>
      <c r="D383" s="68">
        <f t="shared" si="8"/>
        <v>309</v>
      </c>
      <c r="E383" s="40">
        <v>255.91559025816295</v>
      </c>
    </row>
    <row r="384" spans="2:5" x14ac:dyDescent="0.3">
      <c r="B384" s="68">
        <v>310</v>
      </c>
      <c r="C384" s="40">
        <v>139.06344611478011</v>
      </c>
      <c r="D384" s="68">
        <f t="shared" si="8"/>
        <v>310</v>
      </c>
      <c r="E384" s="40">
        <v>180.02191370655885</v>
      </c>
    </row>
    <row r="385" spans="2:5" x14ac:dyDescent="0.3">
      <c r="B385" s="68">
        <v>311</v>
      </c>
      <c r="C385" s="40">
        <v>154.04773533919675</v>
      </c>
      <c r="D385" s="68">
        <f t="shared" si="8"/>
        <v>311</v>
      </c>
      <c r="E385" s="40">
        <v>242.64555248002097</v>
      </c>
    </row>
    <row r="386" spans="2:5" x14ac:dyDescent="0.3">
      <c r="B386" s="68">
        <v>312</v>
      </c>
      <c r="C386" s="40">
        <v>107.08735219133227</v>
      </c>
      <c r="D386" s="68">
        <f t="shared" si="8"/>
        <v>312</v>
      </c>
      <c r="E386" s="40">
        <v>291.86495133109725</v>
      </c>
    </row>
    <row r="387" spans="2:5" x14ac:dyDescent="0.3">
      <c r="B387" s="68">
        <v>313</v>
      </c>
      <c r="C387" s="40">
        <v>73.245419764266643</v>
      </c>
      <c r="D387" s="68">
        <f t="shared" si="8"/>
        <v>313</v>
      </c>
      <c r="E387" s="40">
        <v>245.99948654183044</v>
      </c>
    </row>
    <row r="388" spans="2:5" x14ac:dyDescent="0.3">
      <c r="B388" s="68">
        <v>314</v>
      </c>
      <c r="C388" s="40">
        <v>109.20804047769693</v>
      </c>
      <c r="D388" s="68">
        <f t="shared" si="8"/>
        <v>314</v>
      </c>
      <c r="E388" s="40">
        <v>132.21806557867689</v>
      </c>
    </row>
    <row r="389" spans="2:5" x14ac:dyDescent="0.3">
      <c r="B389" s="68">
        <v>315</v>
      </c>
      <c r="C389" s="40">
        <v>103.71545760179056</v>
      </c>
      <c r="D389" s="68">
        <f t="shared" si="8"/>
        <v>315</v>
      </c>
      <c r="E389" s="40">
        <v>80.002442673153112</v>
      </c>
    </row>
    <row r="390" spans="2:5" x14ac:dyDescent="0.3">
      <c r="B390" s="68">
        <v>316</v>
      </c>
      <c r="C390" s="40">
        <v>123.91058777171804</v>
      </c>
      <c r="D390" s="68">
        <f t="shared" si="8"/>
        <v>316</v>
      </c>
      <c r="E390" s="40">
        <v>47.287608644657922</v>
      </c>
    </row>
    <row r="391" spans="2:5" x14ac:dyDescent="0.3">
      <c r="B391" s="68">
        <v>317</v>
      </c>
      <c r="C391" s="40">
        <v>123.43767581331842</v>
      </c>
      <c r="D391" s="68">
        <f t="shared" si="8"/>
        <v>317</v>
      </c>
      <c r="E391" s="40">
        <v>417.09192551676449</v>
      </c>
    </row>
    <row r="392" spans="2:5" x14ac:dyDescent="0.3">
      <c r="B392" s="68">
        <v>318</v>
      </c>
      <c r="C392" s="40">
        <v>-59.977687379021496</v>
      </c>
      <c r="D392" s="68">
        <f t="shared" si="8"/>
        <v>318</v>
      </c>
      <c r="E392" s="40">
        <v>192.64818162058668</v>
      </c>
    </row>
    <row r="393" spans="2:5" x14ac:dyDescent="0.3">
      <c r="B393" s="68">
        <v>319</v>
      </c>
      <c r="C393" s="40">
        <v>212.53450528900953</v>
      </c>
      <c r="D393" s="68">
        <f t="shared" si="8"/>
        <v>319</v>
      </c>
      <c r="E393" s="40">
        <v>-68.768334799232804</v>
      </c>
    </row>
    <row r="394" spans="2:5" x14ac:dyDescent="0.3">
      <c r="B394" s="68">
        <v>320</v>
      </c>
      <c r="C394" s="40">
        <v>162.41687514952679</v>
      </c>
      <c r="D394" s="68">
        <f t="shared" si="8"/>
        <v>320</v>
      </c>
      <c r="E394" s="40">
        <v>285.8369145460581</v>
      </c>
    </row>
    <row r="395" spans="2:5" x14ac:dyDescent="0.3">
      <c r="B395" s="68">
        <v>321</v>
      </c>
      <c r="C395" s="40">
        <v>23.923274532215313</v>
      </c>
      <c r="D395" s="68">
        <f t="shared" si="8"/>
        <v>321</v>
      </c>
      <c r="E395" s="40">
        <v>268.40630131523471</v>
      </c>
    </row>
    <row r="396" spans="2:5" x14ac:dyDescent="0.3">
      <c r="B396" s="68">
        <v>322</v>
      </c>
      <c r="C396" s="40">
        <v>41.774590175706813</v>
      </c>
      <c r="D396" s="68">
        <f t="shared" si="8"/>
        <v>322</v>
      </c>
      <c r="E396" s="40">
        <v>372.10724719520653</v>
      </c>
    </row>
    <row r="397" spans="2:5" x14ac:dyDescent="0.3">
      <c r="B397" s="68">
        <v>323</v>
      </c>
      <c r="C397" s="40">
        <v>102.50778509895819</v>
      </c>
      <c r="D397" s="68">
        <f t="shared" si="8"/>
        <v>323</v>
      </c>
      <c r="E397" s="40">
        <v>-181.56766047256502</v>
      </c>
    </row>
    <row r="398" spans="2:5" x14ac:dyDescent="0.3">
      <c r="B398" s="68">
        <v>324</v>
      </c>
      <c r="C398" s="40">
        <v>103.10193335151391</v>
      </c>
      <c r="D398" s="68">
        <f t="shared" si="8"/>
        <v>324</v>
      </c>
      <c r="E398" s="40">
        <v>1.0046923069434381</v>
      </c>
    </row>
    <row r="399" spans="2:5" x14ac:dyDescent="0.3">
      <c r="B399" s="68">
        <v>325</v>
      </c>
      <c r="C399" s="40">
        <v>116.54838308806782</v>
      </c>
      <c r="D399" s="68">
        <f t="shared" si="8"/>
        <v>325</v>
      </c>
      <c r="E399" s="40">
        <v>-18.569087999744507</v>
      </c>
    </row>
    <row r="400" spans="2:5" x14ac:dyDescent="0.3">
      <c r="B400" s="68">
        <v>326</v>
      </c>
      <c r="C400" s="40">
        <v>134.67455322308308</v>
      </c>
      <c r="D400" s="68">
        <f t="shared" si="8"/>
        <v>326</v>
      </c>
      <c r="E400" s="40">
        <v>404.16391313576111</v>
      </c>
    </row>
    <row r="401" spans="2:5" x14ac:dyDescent="0.3">
      <c r="B401" s="68">
        <v>327</v>
      </c>
      <c r="C401" s="40">
        <v>135.71983107269969</v>
      </c>
      <c r="D401" s="68">
        <f t="shared" si="8"/>
        <v>327</v>
      </c>
      <c r="E401" s="40">
        <v>-50.332434797664305</v>
      </c>
    </row>
    <row r="402" spans="2:5" x14ac:dyDescent="0.3">
      <c r="B402" s="68">
        <v>328</v>
      </c>
      <c r="C402" s="40">
        <v>107.15058144517066</v>
      </c>
      <c r="D402" s="68">
        <f t="shared" si="8"/>
        <v>328</v>
      </c>
      <c r="E402" s="40">
        <v>84.140277605903833</v>
      </c>
    </row>
    <row r="403" spans="2:5" x14ac:dyDescent="0.3">
      <c r="B403" s="68">
        <v>329</v>
      </c>
      <c r="C403" s="40">
        <v>106.66944923493654</v>
      </c>
      <c r="D403" s="68">
        <f t="shared" si="8"/>
        <v>329</v>
      </c>
      <c r="E403" s="40">
        <v>-84.134021655885306</v>
      </c>
    </row>
    <row r="404" spans="2:5" x14ac:dyDescent="0.3">
      <c r="B404" s="68">
        <v>330</v>
      </c>
      <c r="C404" s="40">
        <v>133.13601189266441</v>
      </c>
      <c r="D404" s="68">
        <f t="shared" si="8"/>
        <v>330</v>
      </c>
      <c r="E404" s="40">
        <v>220.98481959971969</v>
      </c>
    </row>
    <row r="405" spans="2:5" x14ac:dyDescent="0.3">
      <c r="B405" s="68">
        <v>331</v>
      </c>
      <c r="C405" s="40">
        <v>83.228752945374637</v>
      </c>
      <c r="D405" s="68">
        <f t="shared" si="8"/>
        <v>331</v>
      </c>
      <c r="E405" s="40">
        <v>452.23894010474777</v>
      </c>
    </row>
    <row r="406" spans="2:5" x14ac:dyDescent="0.3">
      <c r="B406" s="68">
        <v>332</v>
      </c>
      <c r="C406" s="40">
        <v>124.03823846893867</v>
      </c>
      <c r="D406" s="68">
        <f t="shared" si="8"/>
        <v>332</v>
      </c>
      <c r="E406" s="40">
        <v>101.39347657998584</v>
      </c>
    </row>
    <row r="407" spans="2:5" x14ac:dyDescent="0.3">
      <c r="B407" s="68">
        <v>333</v>
      </c>
      <c r="C407" s="40">
        <v>59.197448654573677</v>
      </c>
      <c r="D407" s="68">
        <f t="shared" si="8"/>
        <v>333</v>
      </c>
      <c r="E407" s="40">
        <v>-165.25659124783567</v>
      </c>
    </row>
    <row r="408" spans="2:5" x14ac:dyDescent="0.3">
      <c r="B408" s="68">
        <v>334</v>
      </c>
      <c r="C408" s="40">
        <v>127.49582343749447</v>
      </c>
      <c r="D408" s="68">
        <f t="shared" si="8"/>
        <v>334</v>
      </c>
      <c r="E408" s="40">
        <v>98.635354592634926</v>
      </c>
    </row>
    <row r="409" spans="2:5" x14ac:dyDescent="0.3">
      <c r="B409" s="68">
        <v>335</v>
      </c>
      <c r="C409" s="40">
        <v>143.11478383463964</v>
      </c>
      <c r="D409" s="68">
        <f t="shared" si="8"/>
        <v>335</v>
      </c>
      <c r="E409" s="40">
        <v>340.93924244973175</v>
      </c>
    </row>
    <row r="410" spans="2:5" x14ac:dyDescent="0.3">
      <c r="B410" s="68">
        <v>336</v>
      </c>
      <c r="C410" s="40">
        <v>139.80161964570334</v>
      </c>
      <c r="D410" s="68">
        <f t="shared" si="8"/>
        <v>336</v>
      </c>
      <c r="E410" s="40">
        <v>128.7587627401885</v>
      </c>
    </row>
    <row r="411" spans="2:5" x14ac:dyDescent="0.3">
      <c r="B411" s="68">
        <v>337</v>
      </c>
      <c r="C411" s="40">
        <v>175.67902393408531</v>
      </c>
      <c r="D411" s="68">
        <f t="shared" si="8"/>
        <v>337</v>
      </c>
      <c r="E411" s="40">
        <v>331.04809798559711</v>
      </c>
    </row>
    <row r="412" spans="2:5" x14ac:dyDescent="0.3">
      <c r="B412" s="68">
        <v>338</v>
      </c>
      <c r="C412" s="40">
        <v>102.26938320513288</v>
      </c>
      <c r="D412" s="68">
        <f t="shared" si="8"/>
        <v>338</v>
      </c>
      <c r="E412" s="40">
        <v>143.79910801298433</v>
      </c>
    </row>
    <row r="413" spans="2:5" x14ac:dyDescent="0.3">
      <c r="B413" s="68">
        <v>339</v>
      </c>
      <c r="C413" s="40">
        <v>118.93302820829663</v>
      </c>
      <c r="D413" s="68">
        <f t="shared" si="8"/>
        <v>339</v>
      </c>
      <c r="E413" s="40">
        <v>211.01291464229553</v>
      </c>
    </row>
    <row r="414" spans="2:5" x14ac:dyDescent="0.3">
      <c r="B414" s="68">
        <v>340</v>
      </c>
      <c r="C414" s="40">
        <v>128.29383975338641</v>
      </c>
      <c r="D414" s="68">
        <f t="shared" si="8"/>
        <v>340</v>
      </c>
      <c r="E414" s="40">
        <v>249.97395383016138</v>
      </c>
    </row>
    <row r="415" spans="2:5" x14ac:dyDescent="0.3">
      <c r="B415" s="68">
        <v>341</v>
      </c>
      <c r="C415" s="40">
        <v>93.426924673091619</v>
      </c>
      <c r="D415" s="68">
        <f t="shared" ref="D415:D478" si="9">B415</f>
        <v>341</v>
      </c>
      <c r="E415" s="40">
        <v>46.185458231137275</v>
      </c>
    </row>
    <row r="416" spans="2:5" x14ac:dyDescent="0.3">
      <c r="B416" s="68">
        <v>342</v>
      </c>
      <c r="C416" s="40">
        <v>110.25131028755155</v>
      </c>
      <c r="D416" s="68">
        <f t="shared" si="9"/>
        <v>342</v>
      </c>
      <c r="E416" s="40">
        <v>152.41266436614683</v>
      </c>
    </row>
    <row r="417" spans="2:5" x14ac:dyDescent="0.3">
      <c r="B417" s="68">
        <v>343</v>
      </c>
      <c r="C417" s="40">
        <v>153.8005920629019</v>
      </c>
      <c r="D417" s="68">
        <f t="shared" si="9"/>
        <v>343</v>
      </c>
      <c r="E417" s="40">
        <v>2.8405194017819051</v>
      </c>
    </row>
    <row r="418" spans="2:5" x14ac:dyDescent="0.3">
      <c r="B418" s="68">
        <v>344</v>
      </c>
      <c r="C418" s="40">
        <v>124.49533775400683</v>
      </c>
      <c r="D418" s="68">
        <f t="shared" si="9"/>
        <v>344</v>
      </c>
      <c r="E418" s="40">
        <v>-21.41032756154415</v>
      </c>
    </row>
    <row r="419" spans="2:5" x14ac:dyDescent="0.3">
      <c r="B419" s="68">
        <v>345</v>
      </c>
      <c r="C419" s="40">
        <v>79.503862257117291</v>
      </c>
      <c r="D419" s="68">
        <f t="shared" si="9"/>
        <v>345</v>
      </c>
      <c r="E419" s="40">
        <v>483.780688754317</v>
      </c>
    </row>
    <row r="420" spans="2:5" x14ac:dyDescent="0.3">
      <c r="B420" s="68">
        <v>346</v>
      </c>
      <c r="C420" s="40">
        <v>76.883533179951655</v>
      </c>
      <c r="D420" s="68">
        <f t="shared" si="9"/>
        <v>346</v>
      </c>
      <c r="E420" s="40">
        <v>89.801820237347968</v>
      </c>
    </row>
    <row r="421" spans="2:5" x14ac:dyDescent="0.3">
      <c r="B421" s="68">
        <v>347</v>
      </c>
      <c r="C421" s="40">
        <v>129.31873675842778</v>
      </c>
      <c r="D421" s="68">
        <f t="shared" si="9"/>
        <v>347</v>
      </c>
      <c r="E421" s="40">
        <v>258.67294686435594</v>
      </c>
    </row>
    <row r="422" spans="2:5" x14ac:dyDescent="0.3">
      <c r="B422" s="68">
        <v>348</v>
      </c>
      <c r="C422" s="40">
        <v>2.1298480509103519</v>
      </c>
      <c r="D422" s="68">
        <f t="shared" si="9"/>
        <v>348</v>
      </c>
      <c r="E422" s="40">
        <v>-88.958408846693615</v>
      </c>
    </row>
    <row r="423" spans="2:5" x14ac:dyDescent="0.3">
      <c r="B423" s="68">
        <v>349</v>
      </c>
      <c r="C423" s="40">
        <v>-15.986057485938634</v>
      </c>
      <c r="D423" s="68">
        <f t="shared" si="9"/>
        <v>349</v>
      </c>
      <c r="E423" s="40">
        <v>-155.32210356747248</v>
      </c>
    </row>
    <row r="424" spans="2:5" x14ac:dyDescent="0.3">
      <c r="B424" s="68">
        <v>350</v>
      </c>
      <c r="C424" s="40">
        <v>64.891981731549393</v>
      </c>
      <c r="D424" s="68">
        <f t="shared" si="9"/>
        <v>350</v>
      </c>
      <c r="E424" s="40">
        <v>-112.76495144817466</v>
      </c>
    </row>
    <row r="425" spans="2:5" x14ac:dyDescent="0.3">
      <c r="B425" s="68">
        <v>351</v>
      </c>
      <c r="C425" s="40">
        <v>124.0423719603439</v>
      </c>
      <c r="D425" s="68">
        <f t="shared" si="9"/>
        <v>351</v>
      </c>
      <c r="E425" s="40">
        <v>194.64951951855548</v>
      </c>
    </row>
    <row r="426" spans="2:5" x14ac:dyDescent="0.3">
      <c r="B426" s="68">
        <v>352</v>
      </c>
      <c r="C426" s="40">
        <v>185.56158007497064</v>
      </c>
      <c r="D426" s="68">
        <f t="shared" si="9"/>
        <v>352</v>
      </c>
      <c r="E426" s="40">
        <v>302.0837745488929</v>
      </c>
    </row>
    <row r="427" spans="2:5" x14ac:dyDescent="0.3">
      <c r="B427" s="68">
        <v>353</v>
      </c>
      <c r="C427" s="40">
        <v>-32.828925150257412</v>
      </c>
      <c r="D427" s="68">
        <f t="shared" si="9"/>
        <v>353</v>
      </c>
      <c r="E427" s="40">
        <v>-20.932968702050012</v>
      </c>
    </row>
    <row r="428" spans="2:5" x14ac:dyDescent="0.3">
      <c r="B428" s="68">
        <v>354</v>
      </c>
      <c r="C428" s="40">
        <v>95.445055183136503</v>
      </c>
      <c r="D428" s="68">
        <f t="shared" si="9"/>
        <v>354</v>
      </c>
      <c r="E428" s="40">
        <v>140.54261042530567</v>
      </c>
    </row>
    <row r="429" spans="2:5" x14ac:dyDescent="0.3">
      <c r="B429" s="68">
        <v>355</v>
      </c>
      <c r="C429" s="40">
        <v>145.50755353512471</v>
      </c>
      <c r="D429" s="68">
        <f t="shared" si="9"/>
        <v>355</v>
      </c>
      <c r="E429" s="40">
        <v>336.67216583818379</v>
      </c>
    </row>
    <row r="430" spans="2:5" x14ac:dyDescent="0.3">
      <c r="B430" s="68">
        <v>356</v>
      </c>
      <c r="C430" s="40">
        <v>148.05228737673505</v>
      </c>
      <c r="D430" s="68">
        <f t="shared" si="9"/>
        <v>356</v>
      </c>
      <c r="E430" s="40">
        <v>-38.485308726853368</v>
      </c>
    </row>
    <row r="431" spans="2:5" x14ac:dyDescent="0.3">
      <c r="B431" s="68">
        <v>357</v>
      </c>
      <c r="C431" s="40">
        <v>120.71426834469489</v>
      </c>
      <c r="D431" s="68">
        <f t="shared" si="9"/>
        <v>357</v>
      </c>
      <c r="E431" s="40">
        <v>175.97294912060713</v>
      </c>
    </row>
    <row r="432" spans="2:5" x14ac:dyDescent="0.3">
      <c r="B432" s="68">
        <v>358</v>
      </c>
      <c r="C432" s="40">
        <v>130.66025044994211</v>
      </c>
      <c r="D432" s="68">
        <f t="shared" si="9"/>
        <v>358</v>
      </c>
      <c r="E432" s="40">
        <v>273.01536834769706</v>
      </c>
    </row>
    <row r="433" spans="2:5" x14ac:dyDescent="0.3">
      <c r="B433" s="68">
        <v>359</v>
      </c>
      <c r="C433" s="40">
        <v>126.05992425992474</v>
      </c>
      <c r="D433" s="68">
        <f t="shared" si="9"/>
        <v>359</v>
      </c>
      <c r="E433" s="40">
        <v>441.34235100134464</v>
      </c>
    </row>
    <row r="434" spans="2:5" x14ac:dyDescent="0.3">
      <c r="B434" s="68">
        <v>360</v>
      </c>
      <c r="C434" s="40">
        <v>104.07373018949743</v>
      </c>
      <c r="D434" s="68">
        <f t="shared" si="9"/>
        <v>360</v>
      </c>
      <c r="E434" s="40">
        <v>194.13112230166774</v>
      </c>
    </row>
    <row r="435" spans="2:5" x14ac:dyDescent="0.3">
      <c r="B435" s="68">
        <v>361</v>
      </c>
      <c r="C435" s="40">
        <v>119.87156433333757</v>
      </c>
      <c r="D435" s="68">
        <f t="shared" si="9"/>
        <v>361</v>
      </c>
      <c r="E435" s="40">
        <v>11.302024452905442</v>
      </c>
    </row>
    <row r="436" spans="2:5" x14ac:dyDescent="0.3">
      <c r="B436" s="68">
        <v>362</v>
      </c>
      <c r="C436" s="40">
        <v>79.893248785939122</v>
      </c>
      <c r="D436" s="68">
        <f t="shared" si="9"/>
        <v>362</v>
      </c>
      <c r="E436" s="40">
        <v>108.22461525802967</v>
      </c>
    </row>
    <row r="437" spans="2:5" x14ac:dyDescent="0.3">
      <c r="B437" s="68">
        <v>363</v>
      </c>
      <c r="C437" s="40">
        <v>161.57807375912355</v>
      </c>
      <c r="D437" s="68">
        <f t="shared" si="9"/>
        <v>363</v>
      </c>
      <c r="E437" s="40">
        <v>23.571753856810762</v>
      </c>
    </row>
    <row r="438" spans="2:5" x14ac:dyDescent="0.3">
      <c r="B438" s="68">
        <v>364</v>
      </c>
      <c r="C438" s="40">
        <v>160.37169304708044</v>
      </c>
      <c r="D438" s="68">
        <f t="shared" si="9"/>
        <v>364</v>
      </c>
      <c r="E438" s="40">
        <v>196.12576694140085</v>
      </c>
    </row>
    <row r="439" spans="2:5" x14ac:dyDescent="0.3">
      <c r="B439" s="68">
        <v>365</v>
      </c>
      <c r="C439" s="40">
        <v>155.91739441040551</v>
      </c>
      <c r="D439" s="68">
        <f t="shared" si="9"/>
        <v>365</v>
      </c>
      <c r="E439" s="40">
        <v>270.98288038452927</v>
      </c>
    </row>
    <row r="440" spans="2:5" x14ac:dyDescent="0.3">
      <c r="B440" s="68">
        <v>366</v>
      </c>
      <c r="C440" s="40">
        <v>228.82563354413406</v>
      </c>
      <c r="D440" s="68">
        <f t="shared" si="9"/>
        <v>366</v>
      </c>
      <c r="E440" s="40">
        <v>701.11588194571129</v>
      </c>
    </row>
    <row r="441" spans="2:5" x14ac:dyDescent="0.3">
      <c r="B441" s="68">
        <v>367</v>
      </c>
      <c r="C441" s="40">
        <v>112.60459166260344</v>
      </c>
      <c r="D441" s="68">
        <f t="shared" si="9"/>
        <v>367</v>
      </c>
      <c r="E441" s="40">
        <v>295.70264151315644</v>
      </c>
    </row>
    <row r="442" spans="2:5" x14ac:dyDescent="0.3">
      <c r="B442" s="68">
        <v>368</v>
      </c>
      <c r="C442" s="40">
        <v>105.41576665275348</v>
      </c>
      <c r="D442" s="68">
        <f t="shared" si="9"/>
        <v>368</v>
      </c>
      <c r="E442" s="40">
        <v>302.69737785544766</v>
      </c>
    </row>
    <row r="443" spans="2:5" x14ac:dyDescent="0.3">
      <c r="B443" s="68">
        <v>369</v>
      </c>
      <c r="C443" s="40">
        <v>-22.949339842124633</v>
      </c>
      <c r="D443" s="68">
        <f t="shared" si="9"/>
        <v>369</v>
      </c>
      <c r="E443" s="40">
        <v>349.92441465944961</v>
      </c>
    </row>
    <row r="444" spans="2:5" x14ac:dyDescent="0.3">
      <c r="B444" s="68">
        <v>370</v>
      </c>
      <c r="C444" s="40">
        <v>121.43776248593954</v>
      </c>
      <c r="D444" s="68">
        <f t="shared" si="9"/>
        <v>370</v>
      </c>
      <c r="E444" s="40">
        <v>86.098892898915267</v>
      </c>
    </row>
    <row r="445" spans="2:5" x14ac:dyDescent="0.3">
      <c r="B445" s="68">
        <v>371</v>
      </c>
      <c r="C445" s="40">
        <v>124.00482971038389</v>
      </c>
      <c r="D445" s="68">
        <f t="shared" si="9"/>
        <v>371</v>
      </c>
      <c r="E445" s="40">
        <v>-167.41961663169724</v>
      </c>
    </row>
    <row r="446" spans="2:5" x14ac:dyDescent="0.3">
      <c r="B446" s="68">
        <v>372</v>
      </c>
      <c r="C446" s="40">
        <v>108.29682011301414</v>
      </c>
      <c r="D446" s="68">
        <f t="shared" si="9"/>
        <v>372</v>
      </c>
      <c r="E446" s="40">
        <v>-3.288696641162415</v>
      </c>
    </row>
    <row r="447" spans="2:5" x14ac:dyDescent="0.3">
      <c r="B447" s="68">
        <v>373</v>
      </c>
      <c r="C447" s="40">
        <v>152.39887600225751</v>
      </c>
      <c r="D447" s="68">
        <f t="shared" si="9"/>
        <v>373</v>
      </c>
      <c r="E447" s="40">
        <v>351.68255360862378</v>
      </c>
    </row>
    <row r="448" spans="2:5" x14ac:dyDescent="0.3">
      <c r="B448" s="68">
        <v>374</v>
      </c>
      <c r="C448" s="40">
        <v>137.83489658518423</v>
      </c>
      <c r="D448" s="68">
        <f t="shared" si="9"/>
        <v>374</v>
      </c>
      <c r="E448" s="40">
        <v>28.217291437240892</v>
      </c>
    </row>
    <row r="449" spans="2:5" x14ac:dyDescent="0.3">
      <c r="B449" s="68">
        <v>375</v>
      </c>
      <c r="C449" s="40">
        <v>-13.646949122704097</v>
      </c>
      <c r="D449" s="68">
        <f t="shared" si="9"/>
        <v>375</v>
      </c>
      <c r="E449" s="40">
        <v>171.6995619065537</v>
      </c>
    </row>
    <row r="450" spans="2:5" x14ac:dyDescent="0.3">
      <c r="B450" s="68">
        <v>376</v>
      </c>
      <c r="C450" s="40">
        <v>-11.805207066464035</v>
      </c>
      <c r="D450" s="68">
        <f t="shared" si="9"/>
        <v>376</v>
      </c>
      <c r="E450" s="40">
        <v>158.94469346792818</v>
      </c>
    </row>
    <row r="451" spans="2:5" x14ac:dyDescent="0.3">
      <c r="B451" s="68">
        <v>377</v>
      </c>
      <c r="C451" s="40">
        <v>95.145490152161457</v>
      </c>
      <c r="D451" s="68">
        <f t="shared" si="9"/>
        <v>377</v>
      </c>
      <c r="E451" s="40">
        <v>17.751524021380639</v>
      </c>
    </row>
    <row r="452" spans="2:5" x14ac:dyDescent="0.3">
      <c r="B452" s="68">
        <v>378</v>
      </c>
      <c r="C452" s="40">
        <v>149.94936160069059</v>
      </c>
      <c r="D452" s="68">
        <f t="shared" si="9"/>
        <v>378</v>
      </c>
      <c r="E452" s="40">
        <v>361.35495516722881</v>
      </c>
    </row>
    <row r="453" spans="2:5" x14ac:dyDescent="0.3">
      <c r="B453" s="68">
        <v>379</v>
      </c>
      <c r="C453" s="40">
        <v>160.50688860865273</v>
      </c>
      <c r="D453" s="68">
        <f t="shared" si="9"/>
        <v>379</v>
      </c>
      <c r="E453" s="40">
        <v>126.09140752968327</v>
      </c>
    </row>
    <row r="454" spans="2:5" x14ac:dyDescent="0.3">
      <c r="B454" s="68">
        <v>380</v>
      </c>
      <c r="C454" s="40">
        <v>-39.182184902073594</v>
      </c>
      <c r="D454" s="68">
        <f t="shared" si="9"/>
        <v>380</v>
      </c>
      <c r="E454" s="40">
        <v>-2.9026661543116417</v>
      </c>
    </row>
    <row r="455" spans="2:5" x14ac:dyDescent="0.3">
      <c r="B455" s="68">
        <v>381</v>
      </c>
      <c r="C455" s="40">
        <v>135.05967505751087</v>
      </c>
      <c r="D455" s="68">
        <f t="shared" si="9"/>
        <v>381</v>
      </c>
      <c r="E455" s="40">
        <v>119.72263559692396</v>
      </c>
    </row>
    <row r="456" spans="2:5" x14ac:dyDescent="0.3">
      <c r="B456" s="68">
        <v>382</v>
      </c>
      <c r="C456" s="40">
        <v>95.512711966348149</v>
      </c>
      <c r="D456" s="68">
        <f t="shared" si="9"/>
        <v>382</v>
      </c>
      <c r="E456" s="40">
        <v>464.72455468402421</v>
      </c>
    </row>
    <row r="457" spans="2:5" x14ac:dyDescent="0.3">
      <c r="B457" s="68">
        <v>383</v>
      </c>
      <c r="C457" s="40">
        <v>67.236931224693251</v>
      </c>
      <c r="D457" s="68">
        <f t="shared" si="9"/>
        <v>383</v>
      </c>
      <c r="E457" s="40">
        <v>120.8702263107597</v>
      </c>
    </row>
    <row r="458" spans="2:5" x14ac:dyDescent="0.3">
      <c r="B458" s="68">
        <v>384</v>
      </c>
      <c r="C458" s="40">
        <v>148.79577064210267</v>
      </c>
      <c r="D458" s="68">
        <f t="shared" si="9"/>
        <v>384</v>
      </c>
      <c r="E458" s="40">
        <v>483.61805153595299</v>
      </c>
    </row>
    <row r="459" spans="2:5" x14ac:dyDescent="0.3">
      <c r="B459" s="68">
        <v>385</v>
      </c>
      <c r="C459" s="40">
        <v>132.86248747102826</v>
      </c>
      <c r="D459" s="68">
        <f t="shared" si="9"/>
        <v>385</v>
      </c>
      <c r="E459" s="40">
        <v>328.80426449409219</v>
      </c>
    </row>
    <row r="460" spans="2:5" x14ac:dyDescent="0.3">
      <c r="B460" s="68">
        <v>386</v>
      </c>
      <c r="C460" s="40">
        <v>-30.249248889731319</v>
      </c>
      <c r="D460" s="68">
        <f t="shared" si="9"/>
        <v>386</v>
      </c>
      <c r="E460" s="40">
        <v>259.46107484332543</v>
      </c>
    </row>
    <row r="461" spans="2:5" x14ac:dyDescent="0.3">
      <c r="B461" s="68">
        <v>387</v>
      </c>
      <c r="C461" s="40">
        <v>171.8513338718675</v>
      </c>
      <c r="D461" s="68">
        <f t="shared" si="9"/>
        <v>387</v>
      </c>
      <c r="E461" s="40">
        <v>-128.17463729904367</v>
      </c>
    </row>
    <row r="462" spans="2:5" x14ac:dyDescent="0.3">
      <c r="B462" s="68">
        <v>388</v>
      </c>
      <c r="C462" s="40">
        <v>223.95961199762323</v>
      </c>
      <c r="D462" s="68">
        <f t="shared" si="9"/>
        <v>388</v>
      </c>
      <c r="E462" s="40">
        <v>165.9021340816733</v>
      </c>
    </row>
    <row r="463" spans="2:5" x14ac:dyDescent="0.3">
      <c r="B463" s="68">
        <v>389</v>
      </c>
      <c r="C463" s="40">
        <v>67.016915285440149</v>
      </c>
      <c r="D463" s="68">
        <f t="shared" si="9"/>
        <v>389</v>
      </c>
      <c r="E463" s="40">
        <v>-81.541804535044349</v>
      </c>
    </row>
    <row r="464" spans="2:5" x14ac:dyDescent="0.3">
      <c r="B464" s="68">
        <v>390</v>
      </c>
      <c r="C464" s="40">
        <v>116.65905037946516</v>
      </c>
      <c r="D464" s="68">
        <f t="shared" si="9"/>
        <v>390</v>
      </c>
      <c r="E464" s="40">
        <v>-3.4305596176346711</v>
      </c>
    </row>
    <row r="465" spans="2:5" x14ac:dyDescent="0.3">
      <c r="B465" s="68">
        <v>391</v>
      </c>
      <c r="C465" s="40">
        <v>83.316607220985404</v>
      </c>
      <c r="D465" s="68">
        <f t="shared" si="9"/>
        <v>391</v>
      </c>
      <c r="E465" s="40">
        <v>358.92887153800126</v>
      </c>
    </row>
    <row r="466" spans="2:5" x14ac:dyDescent="0.3">
      <c r="B466" s="68">
        <v>392</v>
      </c>
      <c r="C466" s="40">
        <v>103.14820776368811</v>
      </c>
      <c r="D466" s="68">
        <f t="shared" si="9"/>
        <v>392</v>
      </c>
      <c r="E466" s="40">
        <v>-59.692441864322497</v>
      </c>
    </row>
    <row r="467" spans="2:5" x14ac:dyDescent="0.3">
      <c r="B467" s="68">
        <v>393</v>
      </c>
      <c r="C467" s="40">
        <v>124.67373434302461</v>
      </c>
      <c r="D467" s="68">
        <f t="shared" si="9"/>
        <v>393</v>
      </c>
      <c r="E467" s="40">
        <v>71.729775716313981</v>
      </c>
    </row>
    <row r="468" spans="2:5" x14ac:dyDescent="0.3">
      <c r="B468" s="68">
        <v>394</v>
      </c>
      <c r="C468" s="40">
        <v>189.4930932697529</v>
      </c>
      <c r="D468" s="68">
        <f t="shared" si="9"/>
        <v>394</v>
      </c>
      <c r="E468" s="40">
        <v>132.72638327072386</v>
      </c>
    </row>
    <row r="469" spans="2:5" x14ac:dyDescent="0.3">
      <c r="B469" s="68">
        <v>395</v>
      </c>
      <c r="C469" s="40">
        <v>155.33458561376992</v>
      </c>
      <c r="D469" s="68">
        <f t="shared" si="9"/>
        <v>395</v>
      </c>
      <c r="E469" s="40">
        <v>215.00367379518352</v>
      </c>
    </row>
    <row r="470" spans="2:5" x14ac:dyDescent="0.3">
      <c r="B470" s="68">
        <v>396</v>
      </c>
      <c r="C470" s="40">
        <v>142.57185316086711</v>
      </c>
      <c r="D470" s="68">
        <f t="shared" si="9"/>
        <v>396</v>
      </c>
      <c r="E470" s="40">
        <v>39.266620362977633</v>
      </c>
    </row>
    <row r="471" spans="2:5" x14ac:dyDescent="0.3">
      <c r="B471" s="68">
        <v>397</v>
      </c>
      <c r="C471" s="40">
        <v>115.02635192319542</v>
      </c>
      <c r="D471" s="68">
        <f t="shared" si="9"/>
        <v>397</v>
      </c>
      <c r="E471" s="40">
        <v>121.69169252166657</v>
      </c>
    </row>
    <row r="472" spans="2:5" x14ac:dyDescent="0.3">
      <c r="B472" s="68">
        <v>398</v>
      </c>
      <c r="C472" s="40">
        <v>130.02468124823412</v>
      </c>
      <c r="D472" s="68">
        <f t="shared" si="9"/>
        <v>398</v>
      </c>
      <c r="E472" s="40">
        <v>6.2952947473584118</v>
      </c>
    </row>
    <row r="473" spans="2:5" x14ac:dyDescent="0.3">
      <c r="B473" s="68">
        <v>399</v>
      </c>
      <c r="C473" s="40">
        <v>-43.001288434845648</v>
      </c>
      <c r="D473" s="68">
        <f t="shared" si="9"/>
        <v>399</v>
      </c>
      <c r="E473" s="40">
        <v>86.758050794130241</v>
      </c>
    </row>
    <row r="474" spans="2:5" x14ac:dyDescent="0.3">
      <c r="B474" s="68">
        <v>400</v>
      </c>
      <c r="C474" s="40">
        <v>75.95479584137405</v>
      </c>
      <c r="D474" s="68">
        <f t="shared" si="9"/>
        <v>400</v>
      </c>
      <c r="E474" s="40">
        <v>100.58771375789856</v>
      </c>
    </row>
    <row r="475" spans="2:5" x14ac:dyDescent="0.3">
      <c r="B475" s="68">
        <v>401</v>
      </c>
      <c r="C475" s="40">
        <v>144.95686768579759</v>
      </c>
      <c r="D475" s="68">
        <f t="shared" si="9"/>
        <v>401</v>
      </c>
      <c r="E475" s="40">
        <v>-19.224354438734217</v>
      </c>
    </row>
    <row r="476" spans="2:5" x14ac:dyDescent="0.3">
      <c r="B476" s="68">
        <v>402</v>
      </c>
      <c r="C476" s="40">
        <v>95.466750279550098</v>
      </c>
      <c r="D476" s="68">
        <f t="shared" si="9"/>
        <v>402</v>
      </c>
      <c r="E476" s="40">
        <v>-35.811853439461416</v>
      </c>
    </row>
    <row r="477" spans="2:5" x14ac:dyDescent="0.3">
      <c r="B477" s="68">
        <v>403</v>
      </c>
      <c r="C477" s="40">
        <v>47.160885770131351</v>
      </c>
      <c r="D477" s="68">
        <f t="shared" si="9"/>
        <v>403</v>
      </c>
      <c r="E477" s="40">
        <v>115.59234872566704</v>
      </c>
    </row>
    <row r="478" spans="2:5" x14ac:dyDescent="0.3">
      <c r="B478" s="68">
        <v>404</v>
      </c>
      <c r="C478" s="40">
        <v>93.650255147714375</v>
      </c>
      <c r="D478" s="68">
        <f t="shared" si="9"/>
        <v>404</v>
      </c>
      <c r="E478" s="40">
        <v>315.56074765576579</v>
      </c>
    </row>
    <row r="479" spans="2:5" x14ac:dyDescent="0.3">
      <c r="B479" s="68">
        <v>405</v>
      </c>
      <c r="C479" s="40">
        <v>54.834449439272518</v>
      </c>
      <c r="D479" s="68">
        <f t="shared" ref="D479:D542" si="10">B479</f>
        <v>405</v>
      </c>
      <c r="E479" s="40">
        <v>144.13348508418363</v>
      </c>
    </row>
    <row r="480" spans="2:5" x14ac:dyDescent="0.3">
      <c r="B480" s="68">
        <v>406</v>
      </c>
      <c r="C480" s="40">
        <v>114.86461165643716</v>
      </c>
      <c r="D480" s="68">
        <f t="shared" si="10"/>
        <v>406</v>
      </c>
      <c r="E480" s="40">
        <v>100.36186990187511</v>
      </c>
    </row>
    <row r="481" spans="2:5" x14ac:dyDescent="0.3">
      <c r="B481" s="68">
        <v>407</v>
      </c>
      <c r="C481" s="40">
        <v>95.828611837732879</v>
      </c>
      <c r="D481" s="68">
        <f t="shared" si="10"/>
        <v>407</v>
      </c>
      <c r="E481" s="40">
        <v>-80.354848116715544</v>
      </c>
    </row>
    <row r="482" spans="2:5" x14ac:dyDescent="0.3">
      <c r="B482" s="68">
        <v>408</v>
      </c>
      <c r="C482" s="40">
        <v>74.263052492334495</v>
      </c>
      <c r="D482" s="68">
        <f t="shared" si="10"/>
        <v>408</v>
      </c>
      <c r="E482" s="40">
        <v>-16.309032063809497</v>
      </c>
    </row>
    <row r="483" spans="2:5" x14ac:dyDescent="0.3">
      <c r="B483" s="68">
        <v>409</v>
      </c>
      <c r="C483" s="40">
        <v>242.0078468547853</v>
      </c>
      <c r="D483" s="68">
        <f t="shared" si="10"/>
        <v>409</v>
      </c>
      <c r="E483" s="40">
        <v>508.98798618335394</v>
      </c>
    </row>
    <row r="484" spans="2:5" x14ac:dyDescent="0.3">
      <c r="B484" s="68">
        <v>410</v>
      </c>
      <c r="C484" s="40">
        <v>139.11782730667977</v>
      </c>
      <c r="D484" s="68">
        <f t="shared" si="10"/>
        <v>410</v>
      </c>
      <c r="E484" s="40">
        <v>152.38247500494475</v>
      </c>
    </row>
    <row r="485" spans="2:5" x14ac:dyDescent="0.3">
      <c r="B485" s="68">
        <v>411</v>
      </c>
      <c r="C485" s="40">
        <v>114.59070614741856</v>
      </c>
      <c r="D485" s="68">
        <f t="shared" si="10"/>
        <v>411</v>
      </c>
      <c r="E485" s="40">
        <v>198.12506050757872</v>
      </c>
    </row>
    <row r="486" spans="2:5" x14ac:dyDescent="0.3">
      <c r="B486" s="68">
        <v>412</v>
      </c>
      <c r="C486" s="40">
        <v>197.56152623951195</v>
      </c>
      <c r="D486" s="68">
        <f t="shared" si="10"/>
        <v>412</v>
      </c>
      <c r="E486" s="40">
        <v>213.01094071258984</v>
      </c>
    </row>
    <row r="487" spans="2:5" x14ac:dyDescent="0.3">
      <c r="B487" s="68">
        <v>413</v>
      </c>
      <c r="C487" s="40">
        <v>100.09253367342367</v>
      </c>
      <c r="D487" s="68">
        <f t="shared" si="10"/>
        <v>413</v>
      </c>
      <c r="E487" s="40">
        <v>377.0938077799824</v>
      </c>
    </row>
    <row r="488" spans="2:5" x14ac:dyDescent="0.3">
      <c r="B488" s="68">
        <v>414</v>
      </c>
      <c r="C488" s="40">
        <v>111.43894572302148</v>
      </c>
      <c r="D488" s="68">
        <f t="shared" si="10"/>
        <v>414</v>
      </c>
      <c r="E488" s="40">
        <v>128.39646191524622</v>
      </c>
    </row>
    <row r="489" spans="2:5" x14ac:dyDescent="0.3">
      <c r="B489" s="68">
        <v>415</v>
      </c>
      <c r="C489" s="40">
        <v>143.09318538694583</v>
      </c>
      <c r="D489" s="68">
        <f t="shared" si="10"/>
        <v>415</v>
      </c>
      <c r="E489" s="40">
        <v>-31.862101969578752</v>
      </c>
    </row>
    <row r="490" spans="2:5" x14ac:dyDescent="0.3">
      <c r="B490" s="68">
        <v>416</v>
      </c>
      <c r="C490" s="40">
        <v>96.530911248010938</v>
      </c>
      <c r="D490" s="68">
        <f t="shared" si="10"/>
        <v>416</v>
      </c>
      <c r="E490" s="40">
        <v>92.51093218986118</v>
      </c>
    </row>
    <row r="491" spans="2:5" x14ac:dyDescent="0.3">
      <c r="B491" s="68">
        <v>417</v>
      </c>
      <c r="C491" s="40">
        <v>128.59291688824638</v>
      </c>
      <c r="D491" s="68">
        <f t="shared" si="10"/>
        <v>417</v>
      </c>
      <c r="E491" s="40">
        <v>248.54035575852586</v>
      </c>
    </row>
    <row r="492" spans="2:5" x14ac:dyDescent="0.3">
      <c r="B492" s="68">
        <v>418</v>
      </c>
      <c r="C492" s="40">
        <v>170.651920293308</v>
      </c>
      <c r="D492" s="68">
        <f t="shared" si="10"/>
        <v>418</v>
      </c>
      <c r="E492" s="40">
        <v>-35.984665497016685</v>
      </c>
    </row>
    <row r="493" spans="2:5" x14ac:dyDescent="0.3">
      <c r="B493" s="68">
        <v>419</v>
      </c>
      <c r="C493" s="40">
        <v>127.94372672205914</v>
      </c>
      <c r="D493" s="68">
        <f t="shared" si="10"/>
        <v>419</v>
      </c>
      <c r="E493" s="40">
        <v>164.71219086731134</v>
      </c>
    </row>
    <row r="494" spans="2:5" x14ac:dyDescent="0.3">
      <c r="B494" s="68">
        <v>420</v>
      </c>
      <c r="C494" s="40">
        <v>64.219235175443686</v>
      </c>
      <c r="D494" s="68">
        <f t="shared" si="10"/>
        <v>420</v>
      </c>
      <c r="E494" s="40">
        <v>119.72509232938599</v>
      </c>
    </row>
    <row r="495" spans="2:5" x14ac:dyDescent="0.3">
      <c r="B495" s="68">
        <v>421</v>
      </c>
      <c r="C495" s="40">
        <v>111.45847779206024</v>
      </c>
      <c r="D495" s="68">
        <f t="shared" si="10"/>
        <v>421</v>
      </c>
      <c r="E495" s="40">
        <v>182.99961983275702</v>
      </c>
    </row>
    <row r="496" spans="2:5" x14ac:dyDescent="0.3">
      <c r="B496" s="68">
        <v>422</v>
      </c>
      <c r="C496" s="40">
        <v>89.963623261450792</v>
      </c>
      <c r="D496" s="68">
        <f t="shared" si="10"/>
        <v>422</v>
      </c>
      <c r="E496" s="40">
        <v>294.659026031895</v>
      </c>
    </row>
    <row r="497" spans="2:5" x14ac:dyDescent="0.3">
      <c r="B497" s="68">
        <v>423</v>
      </c>
      <c r="C497" s="40">
        <v>157.58280371559653</v>
      </c>
      <c r="D497" s="68">
        <f t="shared" si="10"/>
        <v>423</v>
      </c>
      <c r="E497" s="40">
        <v>22.022643028524662</v>
      </c>
    </row>
    <row r="498" spans="2:5" x14ac:dyDescent="0.3">
      <c r="B498" s="68">
        <v>424</v>
      </c>
      <c r="C498" s="40">
        <v>46.536236671650244</v>
      </c>
      <c r="D498" s="68">
        <f t="shared" si="10"/>
        <v>424</v>
      </c>
      <c r="E498" s="40">
        <v>54.264819448961205</v>
      </c>
    </row>
    <row r="499" spans="2:5" x14ac:dyDescent="0.3">
      <c r="B499" s="68">
        <v>425</v>
      </c>
      <c r="C499" s="40">
        <v>81.200734305676605</v>
      </c>
      <c r="D499" s="68">
        <f t="shared" si="10"/>
        <v>425</v>
      </c>
      <c r="E499" s="40">
        <v>-125.00914487247698</v>
      </c>
    </row>
    <row r="500" spans="2:5" x14ac:dyDescent="0.3">
      <c r="B500" s="68">
        <v>426</v>
      </c>
      <c r="C500" s="40">
        <v>126.70098216662689</v>
      </c>
      <c r="D500" s="68">
        <f t="shared" si="10"/>
        <v>426</v>
      </c>
      <c r="E500" s="40">
        <v>342.45276080458171</v>
      </c>
    </row>
    <row r="501" spans="2:5" x14ac:dyDescent="0.3">
      <c r="B501" s="68">
        <v>427</v>
      </c>
      <c r="C501" s="40">
        <v>129.65057493266613</v>
      </c>
      <c r="D501" s="68">
        <f t="shared" si="10"/>
        <v>427</v>
      </c>
      <c r="E501" s="40">
        <v>169.07379038927314</v>
      </c>
    </row>
    <row r="502" spans="2:5" x14ac:dyDescent="0.3">
      <c r="B502" s="68">
        <v>428</v>
      </c>
      <c r="C502" s="40">
        <v>122.86269448351712</v>
      </c>
      <c r="D502" s="68">
        <f t="shared" si="10"/>
        <v>428</v>
      </c>
      <c r="E502" s="40">
        <v>46.025505456569888</v>
      </c>
    </row>
    <row r="503" spans="2:5" x14ac:dyDescent="0.3">
      <c r="B503" s="68">
        <v>429</v>
      </c>
      <c r="C503" s="40">
        <v>43.215163926094263</v>
      </c>
      <c r="D503" s="68">
        <f t="shared" si="10"/>
        <v>429</v>
      </c>
      <c r="E503" s="40">
        <v>134.28985837783361</v>
      </c>
    </row>
    <row r="504" spans="2:5" x14ac:dyDescent="0.3">
      <c r="B504" s="68">
        <v>430</v>
      </c>
      <c r="C504" s="40">
        <v>97.827120791739659</v>
      </c>
      <c r="D504" s="68">
        <f t="shared" si="10"/>
        <v>430</v>
      </c>
      <c r="E504" s="40">
        <v>87.167444307958917</v>
      </c>
    </row>
    <row r="505" spans="2:5" x14ac:dyDescent="0.3">
      <c r="B505" s="68">
        <v>431</v>
      </c>
      <c r="C505" s="40">
        <v>191.76275499669359</v>
      </c>
      <c r="D505" s="68">
        <f t="shared" si="10"/>
        <v>431</v>
      </c>
      <c r="E505" s="40">
        <v>110.45385534961721</v>
      </c>
    </row>
    <row r="506" spans="2:5" x14ac:dyDescent="0.3">
      <c r="B506" s="68">
        <v>432</v>
      </c>
      <c r="C506" s="40">
        <v>112.65766610827538</v>
      </c>
      <c r="D506" s="68">
        <f t="shared" si="10"/>
        <v>432</v>
      </c>
      <c r="E506" s="40">
        <v>348.92961764182508</v>
      </c>
    </row>
    <row r="507" spans="2:5" x14ac:dyDescent="0.3">
      <c r="B507" s="68">
        <v>433</v>
      </c>
      <c r="C507" s="40">
        <v>106.20473414437899</v>
      </c>
      <c r="D507" s="68">
        <f t="shared" si="10"/>
        <v>433</v>
      </c>
      <c r="E507" s="40">
        <v>128.71558348785499</v>
      </c>
    </row>
    <row r="508" spans="2:5" x14ac:dyDescent="0.3">
      <c r="B508" s="68">
        <v>434</v>
      </c>
      <c r="C508" s="40">
        <v>68.535546019047672</v>
      </c>
      <c r="D508" s="68">
        <f t="shared" si="10"/>
        <v>434</v>
      </c>
      <c r="E508" s="40">
        <v>-38.71317970758399</v>
      </c>
    </row>
    <row r="509" spans="2:5" x14ac:dyDescent="0.3">
      <c r="B509" s="68">
        <v>435</v>
      </c>
      <c r="C509" s="40">
        <v>168.37943233692766</v>
      </c>
      <c r="D509" s="68">
        <f t="shared" si="10"/>
        <v>435</v>
      </c>
      <c r="E509" s="40">
        <v>127.99455846760539</v>
      </c>
    </row>
    <row r="510" spans="2:5" x14ac:dyDescent="0.3">
      <c r="B510" s="68">
        <v>436</v>
      </c>
      <c r="C510" s="40">
        <v>139.95852985833608</v>
      </c>
      <c r="D510" s="68">
        <f t="shared" si="10"/>
        <v>436</v>
      </c>
      <c r="E510" s="40">
        <v>189.17985322382526</v>
      </c>
    </row>
    <row r="511" spans="2:5" x14ac:dyDescent="0.3">
      <c r="B511" s="68">
        <v>437</v>
      </c>
      <c r="C511" s="40">
        <v>148.59404642049063</v>
      </c>
      <c r="D511" s="68">
        <f t="shared" si="10"/>
        <v>437</v>
      </c>
      <c r="E511" s="40">
        <v>279.56699411818721</v>
      </c>
    </row>
    <row r="512" spans="2:5" x14ac:dyDescent="0.3">
      <c r="B512" s="68">
        <v>438</v>
      </c>
      <c r="C512" s="40">
        <v>146.31234215476377</v>
      </c>
      <c r="D512" s="68">
        <f t="shared" si="10"/>
        <v>438</v>
      </c>
      <c r="E512" s="40">
        <v>-27.173472324676037</v>
      </c>
    </row>
    <row r="513" spans="2:5" x14ac:dyDescent="0.3">
      <c r="B513" s="68">
        <v>439</v>
      </c>
      <c r="C513" s="40">
        <v>141.65928519287797</v>
      </c>
      <c r="D513" s="68">
        <f t="shared" si="10"/>
        <v>439</v>
      </c>
      <c r="E513" s="40">
        <v>69.777357170621684</v>
      </c>
    </row>
    <row r="514" spans="2:5" x14ac:dyDescent="0.3">
      <c r="B514" s="68">
        <v>440</v>
      </c>
      <c r="C514" s="40">
        <v>142.20243128642295</v>
      </c>
      <c r="D514" s="68">
        <f t="shared" si="10"/>
        <v>440</v>
      </c>
      <c r="E514" s="40">
        <v>172.2205604511455</v>
      </c>
    </row>
    <row r="515" spans="2:5" x14ac:dyDescent="0.3">
      <c r="B515" s="68">
        <v>441</v>
      </c>
      <c r="C515" s="40">
        <v>44.171340276341724</v>
      </c>
      <c r="D515" s="68">
        <f t="shared" si="10"/>
        <v>441</v>
      </c>
      <c r="E515" s="40">
        <v>389.62946587543308</v>
      </c>
    </row>
    <row r="516" spans="2:5" x14ac:dyDescent="0.3">
      <c r="B516" s="68">
        <v>442</v>
      </c>
      <c r="C516" s="40">
        <v>75.844325699656224</v>
      </c>
      <c r="D516" s="68">
        <f t="shared" si="10"/>
        <v>442</v>
      </c>
      <c r="E516" s="40">
        <v>383.16967347111563</v>
      </c>
    </row>
    <row r="517" spans="2:5" x14ac:dyDescent="0.3">
      <c r="B517" s="68">
        <v>443</v>
      </c>
      <c r="C517" s="40">
        <v>144.99158279973469</v>
      </c>
      <c r="D517" s="68">
        <f t="shared" si="10"/>
        <v>443</v>
      </c>
      <c r="E517" s="40">
        <v>47.999346460322279</v>
      </c>
    </row>
    <row r="518" spans="2:5" x14ac:dyDescent="0.3">
      <c r="B518" s="68">
        <v>444</v>
      </c>
      <c r="C518" s="40">
        <v>139.46236380629298</v>
      </c>
      <c r="D518" s="68">
        <f t="shared" si="10"/>
        <v>444</v>
      </c>
      <c r="E518" s="40">
        <v>220.88248839815211</v>
      </c>
    </row>
    <row r="519" spans="2:5" x14ac:dyDescent="0.3">
      <c r="B519" s="68">
        <v>445</v>
      </c>
      <c r="C519" s="40">
        <v>129.31620750888143</v>
      </c>
      <c r="D519" s="68">
        <f t="shared" si="10"/>
        <v>445</v>
      </c>
      <c r="E519" s="40">
        <v>427.38534380982094</v>
      </c>
    </row>
    <row r="520" spans="2:5" x14ac:dyDescent="0.3">
      <c r="B520" s="68">
        <v>446</v>
      </c>
      <c r="C520" s="40">
        <v>131.24097226229301</v>
      </c>
      <c r="D520" s="68">
        <f t="shared" si="10"/>
        <v>446</v>
      </c>
      <c r="E520" s="40">
        <v>-38.163932783852133</v>
      </c>
    </row>
    <row r="521" spans="2:5" x14ac:dyDescent="0.3">
      <c r="B521" s="68">
        <v>447</v>
      </c>
      <c r="C521" s="40">
        <v>118.49157383374536</v>
      </c>
      <c r="D521" s="68">
        <f t="shared" si="10"/>
        <v>447</v>
      </c>
      <c r="E521" s="40">
        <v>339.51971220380784</v>
      </c>
    </row>
    <row r="522" spans="2:5" x14ac:dyDescent="0.3">
      <c r="B522" s="68">
        <v>448</v>
      </c>
      <c r="C522" s="40">
        <v>64.017317774065148</v>
      </c>
      <c r="D522" s="68">
        <f t="shared" si="10"/>
        <v>448</v>
      </c>
      <c r="E522" s="40">
        <v>290.80843055163473</v>
      </c>
    </row>
    <row r="523" spans="2:5" x14ac:dyDescent="0.3">
      <c r="B523" s="68">
        <v>449</v>
      </c>
      <c r="C523" s="40">
        <v>57.260543722887668</v>
      </c>
      <c r="D523" s="68">
        <f t="shared" si="10"/>
        <v>449</v>
      </c>
      <c r="E523" s="40">
        <v>-64.333172682363809</v>
      </c>
    </row>
    <row r="524" spans="2:5" x14ac:dyDescent="0.3">
      <c r="B524" s="68">
        <v>450</v>
      </c>
      <c r="C524" s="40">
        <v>52.191618005244699</v>
      </c>
      <c r="D524" s="68">
        <f t="shared" si="10"/>
        <v>450</v>
      </c>
      <c r="E524" s="40">
        <v>326.94951545566312</v>
      </c>
    </row>
    <row r="525" spans="2:5" x14ac:dyDescent="0.3">
      <c r="B525" s="68">
        <v>451</v>
      </c>
      <c r="C525" s="40">
        <v>89.052428015511495</v>
      </c>
      <c r="D525" s="68">
        <f t="shared" si="10"/>
        <v>451</v>
      </c>
      <c r="E525" s="40">
        <v>210.06628851916304</v>
      </c>
    </row>
    <row r="526" spans="2:5" x14ac:dyDescent="0.3">
      <c r="B526" s="68">
        <v>452</v>
      </c>
      <c r="C526" s="40">
        <v>64.635426014891465</v>
      </c>
      <c r="D526" s="68">
        <f t="shared" si="10"/>
        <v>452</v>
      </c>
      <c r="E526" s="40">
        <v>83.538805564905203</v>
      </c>
    </row>
    <row r="527" spans="2:5" x14ac:dyDescent="0.3">
      <c r="B527" s="68">
        <v>453</v>
      </c>
      <c r="C527" s="40">
        <v>136.510251386839</v>
      </c>
      <c r="D527" s="68">
        <f t="shared" si="10"/>
        <v>453</v>
      </c>
      <c r="E527" s="40">
        <v>389.88543879131032</v>
      </c>
    </row>
    <row r="528" spans="2:5" x14ac:dyDescent="0.3">
      <c r="B528" s="68">
        <v>454</v>
      </c>
      <c r="C528" s="40">
        <v>107.55865408142893</v>
      </c>
      <c r="D528" s="68">
        <f t="shared" si="10"/>
        <v>454</v>
      </c>
      <c r="E528" s="40">
        <v>230.17843521984508</v>
      </c>
    </row>
    <row r="529" spans="2:5" x14ac:dyDescent="0.3">
      <c r="B529" s="68">
        <v>455</v>
      </c>
      <c r="C529" s="40">
        <v>233.98588594556577</v>
      </c>
      <c r="D529" s="68">
        <f t="shared" si="10"/>
        <v>455</v>
      </c>
      <c r="E529" s="40">
        <v>124.84045419028412</v>
      </c>
    </row>
    <row r="530" spans="2:5" x14ac:dyDescent="0.3">
      <c r="B530" s="68">
        <v>456</v>
      </c>
      <c r="C530" s="40">
        <v>141.54474986660003</v>
      </c>
      <c r="D530" s="68">
        <f t="shared" si="10"/>
        <v>456</v>
      </c>
      <c r="E530" s="40">
        <v>-181.5909158035123</v>
      </c>
    </row>
    <row r="531" spans="2:5" x14ac:dyDescent="0.3">
      <c r="B531" s="68">
        <v>457</v>
      </c>
      <c r="C531" s="40">
        <v>60.613908907748041</v>
      </c>
      <c r="D531" s="68">
        <f t="shared" si="10"/>
        <v>457</v>
      </c>
      <c r="E531" s="40">
        <v>62.58291300269768</v>
      </c>
    </row>
    <row r="532" spans="2:5" x14ac:dyDescent="0.3">
      <c r="B532" s="68">
        <v>458</v>
      </c>
      <c r="C532" s="40">
        <v>99.477525576238378</v>
      </c>
      <c r="D532" s="68">
        <f t="shared" si="10"/>
        <v>458</v>
      </c>
      <c r="E532" s="40">
        <v>363.01092448243458</v>
      </c>
    </row>
    <row r="533" spans="2:5" x14ac:dyDescent="0.3">
      <c r="B533" s="68">
        <v>459</v>
      </c>
      <c r="C533" s="40">
        <v>109.96155462996271</v>
      </c>
      <c r="D533" s="68">
        <f t="shared" si="10"/>
        <v>459</v>
      </c>
      <c r="E533" s="40">
        <v>37.27610393882636</v>
      </c>
    </row>
    <row r="534" spans="2:5" x14ac:dyDescent="0.3">
      <c r="B534" s="68">
        <v>460</v>
      </c>
      <c r="C534" s="40">
        <v>89.360052399335061</v>
      </c>
      <c r="D534" s="68">
        <f t="shared" si="10"/>
        <v>460</v>
      </c>
      <c r="E534" s="40">
        <v>295.44807726481258</v>
      </c>
    </row>
    <row r="535" spans="2:5" x14ac:dyDescent="0.3">
      <c r="B535" s="68">
        <v>461</v>
      </c>
      <c r="C535" s="40">
        <v>175.73405618758574</v>
      </c>
      <c r="D535" s="68">
        <f t="shared" si="10"/>
        <v>461</v>
      </c>
      <c r="E535" s="40">
        <v>-5.5985393207307856</v>
      </c>
    </row>
    <row r="536" spans="2:5" x14ac:dyDescent="0.3">
      <c r="B536" s="68">
        <v>462</v>
      </c>
      <c r="C536" s="40">
        <v>106.6493466419042</v>
      </c>
      <c r="D536" s="68">
        <f t="shared" si="10"/>
        <v>462</v>
      </c>
      <c r="E536" s="40">
        <v>-171.33292593457287</v>
      </c>
    </row>
    <row r="537" spans="2:5" x14ac:dyDescent="0.3">
      <c r="B537" s="68">
        <v>463</v>
      </c>
      <c r="C537" s="40">
        <v>105.80924601414392</v>
      </c>
      <c r="D537" s="68">
        <f t="shared" si="10"/>
        <v>463</v>
      </c>
      <c r="E537" s="40">
        <v>-41.541584508379415</v>
      </c>
    </row>
    <row r="538" spans="2:5" x14ac:dyDescent="0.3">
      <c r="B538" s="68">
        <v>464</v>
      </c>
      <c r="C538" s="40">
        <v>64.729211064585527</v>
      </c>
      <c r="D538" s="68">
        <f t="shared" si="10"/>
        <v>464</v>
      </c>
      <c r="E538" s="40">
        <v>-275.71151863498869</v>
      </c>
    </row>
    <row r="539" spans="2:5" x14ac:dyDescent="0.3">
      <c r="B539" s="68">
        <v>465</v>
      </c>
      <c r="C539" s="40">
        <v>55.813545174118801</v>
      </c>
      <c r="D539" s="68">
        <f t="shared" si="10"/>
        <v>465</v>
      </c>
      <c r="E539" s="40">
        <v>-190.4876299490023</v>
      </c>
    </row>
    <row r="540" spans="2:5" x14ac:dyDescent="0.3">
      <c r="B540" s="68">
        <v>466</v>
      </c>
      <c r="C540" s="40">
        <v>98.703186861758667</v>
      </c>
      <c r="D540" s="68">
        <f t="shared" si="10"/>
        <v>466</v>
      </c>
      <c r="E540" s="40">
        <v>106.72881267972119</v>
      </c>
    </row>
    <row r="541" spans="2:5" x14ac:dyDescent="0.3">
      <c r="B541" s="68">
        <v>467</v>
      </c>
      <c r="C541" s="40">
        <v>165.56188728612381</v>
      </c>
      <c r="D541" s="68">
        <f t="shared" si="10"/>
        <v>467</v>
      </c>
      <c r="E541" s="40">
        <v>19.682298362305197</v>
      </c>
    </row>
    <row r="542" spans="2:5" x14ac:dyDescent="0.3">
      <c r="B542" s="68">
        <v>468</v>
      </c>
      <c r="C542" s="40">
        <v>170.26571469189531</v>
      </c>
      <c r="D542" s="68">
        <f t="shared" si="10"/>
        <v>468</v>
      </c>
      <c r="E542" s="40">
        <v>-232.06053217343964</v>
      </c>
    </row>
    <row r="543" spans="2:5" x14ac:dyDescent="0.3">
      <c r="B543" s="68">
        <v>469</v>
      </c>
      <c r="C543" s="40">
        <v>6.1545256670884454</v>
      </c>
      <c r="D543" s="68">
        <f t="shared" ref="D543:D574" si="11">B543</f>
        <v>469</v>
      </c>
      <c r="E543" s="40">
        <v>132.29548918286017</v>
      </c>
    </row>
    <row r="544" spans="2:5" x14ac:dyDescent="0.3">
      <c r="B544" s="68">
        <v>470</v>
      </c>
      <c r="C544" s="40">
        <v>131.96502571653531</v>
      </c>
      <c r="D544" s="68">
        <f t="shared" si="11"/>
        <v>470</v>
      </c>
      <c r="E544" s="40">
        <v>303.6872108068444</v>
      </c>
    </row>
    <row r="545" spans="2:5" x14ac:dyDescent="0.3">
      <c r="B545" s="68">
        <v>471</v>
      </c>
      <c r="C545" s="40">
        <v>142.03163623639935</v>
      </c>
      <c r="D545" s="68">
        <f t="shared" si="11"/>
        <v>471</v>
      </c>
      <c r="E545" s="40">
        <v>-74.835619339812325</v>
      </c>
    </row>
    <row r="546" spans="2:5" x14ac:dyDescent="0.3">
      <c r="B546" s="68">
        <v>472</v>
      </c>
      <c r="C546" s="40">
        <v>58.625886758360402</v>
      </c>
      <c r="D546" s="68">
        <f t="shared" si="11"/>
        <v>472</v>
      </c>
      <c r="E546" s="40">
        <v>360.0558629488059</v>
      </c>
    </row>
    <row r="547" spans="2:5" x14ac:dyDescent="0.3">
      <c r="B547" s="68">
        <v>473</v>
      </c>
      <c r="C547" s="40">
        <v>96.806264767409473</v>
      </c>
      <c r="D547" s="68">
        <f t="shared" si="11"/>
        <v>473</v>
      </c>
      <c r="E547" s="40">
        <v>-166.24575333465586</v>
      </c>
    </row>
    <row r="548" spans="2:5" x14ac:dyDescent="0.3">
      <c r="B548" s="68">
        <v>474</v>
      </c>
      <c r="C548" s="40">
        <v>152.27320433354873</v>
      </c>
      <c r="D548" s="68">
        <f t="shared" si="11"/>
        <v>474</v>
      </c>
      <c r="E548" s="40">
        <v>-169.19092006787048</v>
      </c>
    </row>
    <row r="549" spans="2:5" x14ac:dyDescent="0.3">
      <c r="B549" s="68">
        <v>475</v>
      </c>
      <c r="C549" s="40">
        <v>143.32985622486521</v>
      </c>
      <c r="D549" s="68">
        <f t="shared" si="11"/>
        <v>475</v>
      </c>
      <c r="E549" s="40">
        <v>92.278508039842038</v>
      </c>
    </row>
    <row r="550" spans="2:5" x14ac:dyDescent="0.3">
      <c r="B550" s="68">
        <v>476</v>
      </c>
      <c r="C550" s="40">
        <v>117.19320871485388</v>
      </c>
      <c r="D550" s="68">
        <f t="shared" si="11"/>
        <v>476</v>
      </c>
      <c r="E550" s="40">
        <v>-206.78033112290237</v>
      </c>
    </row>
    <row r="551" spans="2:5" x14ac:dyDescent="0.3">
      <c r="B551" s="68">
        <v>477</v>
      </c>
      <c r="C551" s="40">
        <v>38.906483424911038</v>
      </c>
      <c r="D551" s="68">
        <f t="shared" si="11"/>
        <v>477</v>
      </c>
      <c r="E551" s="40">
        <v>-11.595419361636681</v>
      </c>
    </row>
    <row r="552" spans="2:5" x14ac:dyDescent="0.3">
      <c r="B552" s="68">
        <v>478</v>
      </c>
      <c r="C552" s="40">
        <v>110.28661255404059</v>
      </c>
      <c r="D552" s="68">
        <f t="shared" si="11"/>
        <v>478</v>
      </c>
      <c r="E552" s="40">
        <v>378.15620759891357</v>
      </c>
    </row>
    <row r="553" spans="2:5" x14ac:dyDescent="0.3">
      <c r="B553" s="68">
        <v>479</v>
      </c>
      <c r="C553" s="40">
        <v>119.74394659976494</v>
      </c>
      <c r="D553" s="68">
        <f t="shared" si="11"/>
        <v>479</v>
      </c>
      <c r="E553" s="40">
        <v>111.63120603137152</v>
      </c>
    </row>
    <row r="554" spans="2:5" x14ac:dyDescent="0.3">
      <c r="B554" s="68">
        <v>480</v>
      </c>
      <c r="C554" s="40">
        <v>61.756542865040799</v>
      </c>
      <c r="D554" s="68">
        <f t="shared" si="11"/>
        <v>480</v>
      </c>
      <c r="E554" s="40">
        <v>131.53694178318636</v>
      </c>
    </row>
    <row r="555" spans="2:5" x14ac:dyDescent="0.3">
      <c r="B555" s="68">
        <v>481</v>
      </c>
      <c r="C555" s="40">
        <v>101.22578469785049</v>
      </c>
      <c r="D555" s="68">
        <f t="shared" si="11"/>
        <v>481</v>
      </c>
      <c r="E555" s="40">
        <v>38.49898528670105</v>
      </c>
    </row>
    <row r="556" spans="2:5" x14ac:dyDescent="0.3">
      <c r="B556" s="68">
        <v>482</v>
      </c>
      <c r="C556" s="40">
        <v>66.47558120891992</v>
      </c>
      <c r="D556" s="68">
        <f t="shared" si="11"/>
        <v>482</v>
      </c>
      <c r="E556" s="40">
        <v>-8.7809253246656631</v>
      </c>
    </row>
    <row r="557" spans="2:5" x14ac:dyDescent="0.3">
      <c r="B557" s="68">
        <v>483</v>
      </c>
      <c r="C557" s="40">
        <v>142.56078504518683</v>
      </c>
      <c r="D557" s="68">
        <f t="shared" si="11"/>
        <v>483</v>
      </c>
      <c r="E557" s="40">
        <v>30.686410746567436</v>
      </c>
    </row>
    <row r="558" spans="2:5" x14ac:dyDescent="0.3">
      <c r="B558" s="68">
        <v>484</v>
      </c>
      <c r="C558" s="40">
        <v>119.17134027019247</v>
      </c>
      <c r="D558" s="68">
        <f t="shared" si="11"/>
        <v>484</v>
      </c>
      <c r="E558" s="40">
        <v>214.73685717158577</v>
      </c>
    </row>
    <row r="559" spans="2:5" x14ac:dyDescent="0.3">
      <c r="B559" s="68">
        <v>485</v>
      </c>
      <c r="C559" s="40">
        <v>145.43720327511988</v>
      </c>
      <c r="D559" s="68">
        <f t="shared" si="11"/>
        <v>485</v>
      </c>
      <c r="E559" s="40">
        <v>45.110490886427655</v>
      </c>
    </row>
    <row r="560" spans="2:5" x14ac:dyDescent="0.3">
      <c r="B560" s="68">
        <v>486</v>
      </c>
      <c r="C560" s="40">
        <v>116.55935966212287</v>
      </c>
      <c r="D560" s="68">
        <f t="shared" si="11"/>
        <v>486</v>
      </c>
      <c r="E560" s="40">
        <v>371.65310333439339</v>
      </c>
    </row>
    <row r="561" spans="2:5" x14ac:dyDescent="0.3">
      <c r="B561" s="68">
        <v>487</v>
      </c>
      <c r="C561" s="40">
        <v>101.60335174709404</v>
      </c>
      <c r="D561" s="68">
        <f t="shared" si="11"/>
        <v>487</v>
      </c>
      <c r="E561" s="40">
        <v>38.850304874141145</v>
      </c>
    </row>
    <row r="562" spans="2:5" x14ac:dyDescent="0.3">
      <c r="B562" s="68">
        <v>488</v>
      </c>
      <c r="C562" s="40">
        <v>138.22208873678019</v>
      </c>
      <c r="D562" s="68">
        <f t="shared" si="11"/>
        <v>488</v>
      </c>
      <c r="E562" s="40">
        <v>167.68531320038957</v>
      </c>
    </row>
    <row r="563" spans="2:5" x14ac:dyDescent="0.3">
      <c r="B563" s="68">
        <v>489</v>
      </c>
      <c r="C563" s="40">
        <v>128.74654977746866</v>
      </c>
      <c r="D563" s="68">
        <f t="shared" si="11"/>
        <v>489</v>
      </c>
      <c r="E563" s="40">
        <v>312.11407953902949</v>
      </c>
    </row>
    <row r="564" spans="2:5" x14ac:dyDescent="0.3">
      <c r="B564" s="68">
        <v>490</v>
      </c>
      <c r="C564" s="40">
        <v>127.59168849223417</v>
      </c>
      <c r="D564" s="68">
        <f t="shared" si="11"/>
        <v>490</v>
      </c>
      <c r="E564" s="40">
        <v>237.0478164089746</v>
      </c>
    </row>
    <row r="565" spans="2:5" x14ac:dyDescent="0.3">
      <c r="B565" s="68">
        <v>491</v>
      </c>
      <c r="C565" s="40">
        <v>144.03979488725241</v>
      </c>
      <c r="D565" s="68">
        <f t="shared" si="11"/>
        <v>491</v>
      </c>
      <c r="E565" s="40">
        <v>2.0911744391475451</v>
      </c>
    </row>
    <row r="566" spans="2:5" x14ac:dyDescent="0.3">
      <c r="B566" s="68">
        <v>492</v>
      </c>
      <c r="C566" s="40">
        <v>163.33334923120171</v>
      </c>
      <c r="D566" s="68">
        <f t="shared" si="11"/>
        <v>492</v>
      </c>
      <c r="E566" s="40">
        <v>-88.344003540128185</v>
      </c>
    </row>
    <row r="567" spans="2:5" x14ac:dyDescent="0.3">
      <c r="B567" s="68">
        <v>493</v>
      </c>
      <c r="C567" s="40">
        <v>94.47280760315995</v>
      </c>
      <c r="D567" s="68">
        <f t="shared" si="11"/>
        <v>493</v>
      </c>
      <c r="E567" s="40">
        <v>-27.299547944169696</v>
      </c>
    </row>
    <row r="568" spans="2:5" x14ac:dyDescent="0.3">
      <c r="B568" s="68">
        <v>494</v>
      </c>
      <c r="C568" s="40">
        <v>70.849366465215141</v>
      </c>
      <c r="D568" s="68">
        <f t="shared" si="11"/>
        <v>494</v>
      </c>
      <c r="E568" s="40">
        <v>231.94091609966236</v>
      </c>
    </row>
    <row r="569" spans="2:5" x14ac:dyDescent="0.3">
      <c r="B569" s="68">
        <v>495</v>
      </c>
      <c r="C569" s="40">
        <v>210.71379398080603</v>
      </c>
      <c r="D569" s="68">
        <f t="shared" si="11"/>
        <v>495</v>
      </c>
      <c r="E569" s="40">
        <v>-77.018464192706361</v>
      </c>
    </row>
    <row r="570" spans="2:5" x14ac:dyDescent="0.3">
      <c r="B570" s="68">
        <v>496</v>
      </c>
      <c r="C570" s="40">
        <v>113.85060936841555</v>
      </c>
      <c r="D570" s="68">
        <f t="shared" si="11"/>
        <v>496</v>
      </c>
      <c r="E570" s="40">
        <v>-32.498734473392688</v>
      </c>
    </row>
    <row r="571" spans="2:5" x14ac:dyDescent="0.3">
      <c r="B571" s="68">
        <v>497</v>
      </c>
      <c r="C571" s="40">
        <v>108.88799965827027</v>
      </c>
      <c r="D571" s="68">
        <f t="shared" si="11"/>
        <v>497</v>
      </c>
      <c r="E571" s="40">
        <v>200.67760771323174</v>
      </c>
    </row>
    <row r="572" spans="2:5" x14ac:dyDescent="0.3">
      <c r="B572" s="68">
        <v>498</v>
      </c>
      <c r="C572" s="40">
        <v>61.425735985312599</v>
      </c>
      <c r="D572" s="68">
        <f t="shared" si="11"/>
        <v>498</v>
      </c>
      <c r="E572" s="40">
        <v>-117.47305722678956</v>
      </c>
    </row>
    <row r="573" spans="2:5" x14ac:dyDescent="0.3">
      <c r="B573" s="68">
        <v>499</v>
      </c>
      <c r="C573" s="40">
        <v>38.490176660924575</v>
      </c>
      <c r="D573" s="68">
        <f t="shared" si="11"/>
        <v>499</v>
      </c>
      <c r="E573" s="40">
        <v>31.223649720180976</v>
      </c>
    </row>
    <row r="574" spans="2:5" x14ac:dyDescent="0.3">
      <c r="B574" s="68">
        <v>500</v>
      </c>
      <c r="C574" s="40">
        <v>30.207141315406027</v>
      </c>
      <c r="D574" s="68">
        <f t="shared" si="11"/>
        <v>500</v>
      </c>
      <c r="E574" s="40">
        <v>135.28855766366712</v>
      </c>
    </row>
    <row r="575" spans="2:5" x14ac:dyDescent="0.3">
      <c r="B575" s="68"/>
      <c r="C575" s="68"/>
      <c r="D575" s="68"/>
    </row>
    <row r="576" spans="2:5" x14ac:dyDescent="0.3">
      <c r="B576" s="68"/>
      <c r="C576" s="68"/>
      <c r="D576" s="68"/>
    </row>
    <row r="577" spans="2:4" x14ac:dyDescent="0.3">
      <c r="B577" s="68"/>
      <c r="C577" s="68"/>
      <c r="D577" s="68"/>
    </row>
    <row r="578" spans="2:4" x14ac:dyDescent="0.3">
      <c r="B578" s="68"/>
      <c r="C578" s="68"/>
      <c r="D578" s="68"/>
    </row>
    <row r="579" spans="2:4" x14ac:dyDescent="0.3">
      <c r="B579" s="68"/>
      <c r="C579" s="68"/>
      <c r="D579" s="68"/>
    </row>
    <row r="580" spans="2:4" x14ac:dyDescent="0.3">
      <c r="B580" s="68"/>
      <c r="C580" s="68"/>
      <c r="D580" s="68"/>
    </row>
    <row r="581" spans="2:4" x14ac:dyDescent="0.3">
      <c r="B581" s="68"/>
      <c r="C581" s="68"/>
      <c r="D581" s="68"/>
    </row>
    <row r="582" spans="2:4" x14ac:dyDescent="0.3">
      <c r="B582" s="68"/>
      <c r="C582" s="68"/>
      <c r="D582" s="68"/>
    </row>
    <row r="583" spans="2:4" x14ac:dyDescent="0.3">
      <c r="B583" s="68"/>
      <c r="C583" s="68"/>
      <c r="D583" s="68"/>
    </row>
    <row r="584" spans="2:4" x14ac:dyDescent="0.3">
      <c r="B584" s="68"/>
      <c r="C584" s="68"/>
      <c r="D584" s="68"/>
    </row>
    <row r="585" spans="2:4" x14ac:dyDescent="0.3">
      <c r="B585" s="68"/>
      <c r="C585" s="68"/>
      <c r="D585" s="68"/>
    </row>
    <row r="586" spans="2:4" x14ac:dyDescent="0.3">
      <c r="B586" s="68"/>
      <c r="C586" s="68"/>
      <c r="D586" s="68"/>
    </row>
    <row r="587" spans="2:4" x14ac:dyDescent="0.3">
      <c r="B587" s="68"/>
      <c r="C587" s="68"/>
      <c r="D587" s="68"/>
    </row>
    <row r="588" spans="2:4" x14ac:dyDescent="0.3">
      <c r="B588" s="68"/>
      <c r="C588" s="68"/>
      <c r="D588" s="68"/>
    </row>
    <row r="589" spans="2:4" x14ac:dyDescent="0.3">
      <c r="B589" s="68"/>
      <c r="C589" s="68"/>
      <c r="D589" s="68"/>
    </row>
    <row r="590" spans="2:4" x14ac:dyDescent="0.3">
      <c r="B590" s="68"/>
      <c r="C590" s="68"/>
      <c r="D590" s="68"/>
    </row>
    <row r="591" spans="2:4" x14ac:dyDescent="0.3">
      <c r="B591" s="68"/>
      <c r="C591" s="68"/>
      <c r="D591" s="68"/>
    </row>
    <row r="592" spans="2:4" x14ac:dyDescent="0.3">
      <c r="B592" s="68"/>
      <c r="C592" s="68"/>
      <c r="D592" s="68"/>
    </row>
    <row r="593" spans="2:4" x14ac:dyDescent="0.3">
      <c r="B593" s="68"/>
      <c r="C593" s="68"/>
      <c r="D593" s="68"/>
    </row>
    <row r="594" spans="2:4" x14ac:dyDescent="0.3">
      <c r="B594" s="68"/>
      <c r="C594" s="68"/>
      <c r="D594" s="68"/>
    </row>
    <row r="595" spans="2:4" x14ac:dyDescent="0.3">
      <c r="B595" s="68"/>
      <c r="C595" s="68"/>
      <c r="D595" s="68"/>
    </row>
    <row r="596" spans="2:4" x14ac:dyDescent="0.3">
      <c r="B596" s="68"/>
      <c r="C596" s="68"/>
      <c r="D596" s="68"/>
    </row>
    <row r="597" spans="2:4" x14ac:dyDescent="0.3">
      <c r="B597" s="68"/>
      <c r="C597" s="68"/>
      <c r="D597" s="68"/>
    </row>
    <row r="598" spans="2:4" x14ac:dyDescent="0.3">
      <c r="B598" s="68"/>
      <c r="C598" s="68"/>
      <c r="D598" s="68"/>
    </row>
    <row r="599" spans="2:4" x14ac:dyDescent="0.3">
      <c r="B599" s="68"/>
      <c r="C599" s="68"/>
      <c r="D599" s="68"/>
    </row>
    <row r="600" spans="2:4" x14ac:dyDescent="0.3">
      <c r="B600" s="68"/>
      <c r="C600" s="68"/>
      <c r="D600" s="68"/>
    </row>
    <row r="601" spans="2:4" x14ac:dyDescent="0.3">
      <c r="B601" s="68"/>
      <c r="C601" s="68"/>
      <c r="D601" s="68"/>
    </row>
    <row r="602" spans="2:4" x14ac:dyDescent="0.3">
      <c r="B602" s="68"/>
      <c r="C602" s="68"/>
      <c r="D602" s="68"/>
    </row>
    <row r="603" spans="2:4" x14ac:dyDescent="0.3">
      <c r="B603" s="68"/>
      <c r="C603" s="68"/>
      <c r="D603" s="68"/>
    </row>
    <row r="604" spans="2:4" x14ac:dyDescent="0.3">
      <c r="B604" s="68"/>
      <c r="C604" s="68"/>
      <c r="D604" s="68"/>
    </row>
    <row r="605" spans="2:4" x14ac:dyDescent="0.3">
      <c r="B605" s="68"/>
      <c r="C605" s="68"/>
      <c r="D605" s="68"/>
    </row>
    <row r="606" spans="2:4" x14ac:dyDescent="0.3">
      <c r="B606" s="68"/>
      <c r="C606" s="68"/>
      <c r="D606" s="68"/>
    </row>
    <row r="607" spans="2:4" x14ac:dyDescent="0.3">
      <c r="B607" s="68"/>
      <c r="C607" s="68"/>
      <c r="D607" s="68"/>
    </row>
    <row r="608" spans="2:4" x14ac:dyDescent="0.3">
      <c r="B608" s="68"/>
      <c r="C608" s="68"/>
      <c r="D608" s="68"/>
    </row>
    <row r="609" spans="2:4" x14ac:dyDescent="0.3">
      <c r="B609" s="68"/>
      <c r="C609" s="68"/>
      <c r="D609" s="68"/>
    </row>
    <row r="610" spans="2:4" x14ac:dyDescent="0.3">
      <c r="B610" s="68"/>
      <c r="C610" s="68"/>
      <c r="D610" s="68"/>
    </row>
    <row r="611" spans="2:4" x14ac:dyDescent="0.3">
      <c r="B611" s="68"/>
      <c r="C611" s="68"/>
      <c r="D611" s="68"/>
    </row>
    <row r="612" spans="2:4" x14ac:dyDescent="0.3">
      <c r="B612" s="68"/>
      <c r="C612" s="68"/>
      <c r="D612" s="68"/>
    </row>
    <row r="613" spans="2:4" x14ac:dyDescent="0.3">
      <c r="B613" s="68"/>
      <c r="C613" s="68"/>
      <c r="D613" s="68"/>
    </row>
    <row r="614" spans="2:4" x14ac:dyDescent="0.3">
      <c r="B614" s="68"/>
      <c r="C614" s="68"/>
      <c r="D614" s="68"/>
    </row>
    <row r="615" spans="2:4" x14ac:dyDescent="0.3">
      <c r="B615" s="68"/>
      <c r="C615" s="68"/>
      <c r="D615" s="68"/>
    </row>
    <row r="616" spans="2:4" x14ac:dyDescent="0.3">
      <c r="B616" s="68"/>
      <c r="C616" s="68"/>
      <c r="D616" s="68"/>
    </row>
    <row r="617" spans="2:4" x14ac:dyDescent="0.3">
      <c r="B617" s="68"/>
      <c r="C617" s="68"/>
      <c r="D617" s="68"/>
    </row>
    <row r="618" spans="2:4" x14ac:dyDescent="0.3">
      <c r="B618" s="68"/>
      <c r="C618" s="68"/>
      <c r="D618" s="68"/>
    </row>
    <row r="619" spans="2:4" x14ac:dyDescent="0.3">
      <c r="B619" s="68"/>
      <c r="C619" s="68"/>
      <c r="D619" s="68"/>
    </row>
    <row r="620" spans="2:4" x14ac:dyDescent="0.3">
      <c r="B620" s="68"/>
      <c r="C620" s="68"/>
      <c r="D620" s="68"/>
    </row>
    <row r="621" spans="2:4" x14ac:dyDescent="0.3">
      <c r="B621" s="68"/>
      <c r="C621" s="68"/>
      <c r="D621" s="68"/>
    </row>
    <row r="622" spans="2:4" x14ac:dyDescent="0.3">
      <c r="B622" s="68"/>
      <c r="C622" s="68"/>
      <c r="D622" s="68"/>
    </row>
    <row r="623" spans="2:4" x14ac:dyDescent="0.3">
      <c r="B623" s="68"/>
      <c r="C623" s="68"/>
      <c r="D623" s="68"/>
    </row>
    <row r="624" spans="2:4" x14ac:dyDescent="0.3">
      <c r="B624" s="68"/>
      <c r="C624" s="68"/>
      <c r="D624" s="68"/>
    </row>
    <row r="625" spans="2:4" x14ac:dyDescent="0.3">
      <c r="B625" s="68"/>
      <c r="C625" s="68"/>
      <c r="D625" s="68"/>
    </row>
    <row r="626" spans="2:4" x14ac:dyDescent="0.3">
      <c r="B626" s="68"/>
      <c r="C626" s="68"/>
      <c r="D626" s="68"/>
    </row>
    <row r="627" spans="2:4" x14ac:dyDescent="0.3">
      <c r="B627" s="68"/>
      <c r="C627" s="68"/>
      <c r="D627" s="68"/>
    </row>
    <row r="628" spans="2:4" x14ac:dyDescent="0.3">
      <c r="B628" s="68"/>
      <c r="C628" s="68"/>
      <c r="D628" s="68"/>
    </row>
    <row r="629" spans="2:4" x14ac:dyDescent="0.3">
      <c r="B629" s="68"/>
      <c r="C629" s="68"/>
      <c r="D629" s="68"/>
    </row>
    <row r="630" spans="2:4" x14ac:dyDescent="0.3">
      <c r="B630" s="68"/>
      <c r="C630" s="68"/>
      <c r="D630" s="68"/>
    </row>
    <row r="631" spans="2:4" x14ac:dyDescent="0.3">
      <c r="B631" s="68"/>
      <c r="C631" s="68"/>
      <c r="D631" s="68"/>
    </row>
    <row r="632" spans="2:4" x14ac:dyDescent="0.3">
      <c r="B632" s="68"/>
      <c r="C632" s="68"/>
      <c r="D632" s="68"/>
    </row>
    <row r="633" spans="2:4" x14ac:dyDescent="0.3">
      <c r="B633" s="68"/>
      <c r="C633" s="68"/>
      <c r="D633" s="68"/>
    </row>
    <row r="634" spans="2:4" x14ac:dyDescent="0.3">
      <c r="B634" s="68"/>
      <c r="C634" s="68"/>
      <c r="D634" s="68"/>
    </row>
    <row r="635" spans="2:4" x14ac:dyDescent="0.3">
      <c r="B635" s="68"/>
      <c r="C635" s="68"/>
      <c r="D635" s="68"/>
    </row>
    <row r="636" spans="2:4" x14ac:dyDescent="0.3">
      <c r="B636" s="68"/>
      <c r="C636" s="68"/>
      <c r="D636" s="68"/>
    </row>
    <row r="637" spans="2:4" x14ac:dyDescent="0.3">
      <c r="B637" s="68"/>
      <c r="C637" s="68"/>
      <c r="D637" s="68"/>
    </row>
    <row r="638" spans="2:4" x14ac:dyDescent="0.3">
      <c r="B638" s="68"/>
      <c r="C638" s="68"/>
      <c r="D638" s="68"/>
    </row>
    <row r="639" spans="2:4" x14ac:dyDescent="0.3">
      <c r="B639" s="68"/>
      <c r="C639" s="68"/>
      <c r="D639" s="68"/>
    </row>
    <row r="640" spans="2:4" x14ac:dyDescent="0.3">
      <c r="B640" s="68"/>
      <c r="C640" s="68"/>
      <c r="D640" s="68"/>
    </row>
    <row r="641" spans="2:4" x14ac:dyDescent="0.3">
      <c r="B641" s="68"/>
      <c r="C641" s="68"/>
      <c r="D641" s="68"/>
    </row>
    <row r="642" spans="2:4" x14ac:dyDescent="0.3">
      <c r="B642" s="68"/>
      <c r="C642" s="68"/>
      <c r="D642" s="68"/>
    </row>
    <row r="643" spans="2:4" x14ac:dyDescent="0.3">
      <c r="B643" s="68"/>
      <c r="C643" s="68"/>
      <c r="D643" s="68"/>
    </row>
    <row r="644" spans="2:4" x14ac:dyDescent="0.3">
      <c r="B644" s="68"/>
      <c r="C644" s="68"/>
      <c r="D644" s="68"/>
    </row>
    <row r="645" spans="2:4" x14ac:dyDescent="0.3">
      <c r="B645" s="68"/>
      <c r="C645" s="68"/>
      <c r="D645" s="68"/>
    </row>
    <row r="646" spans="2:4" x14ac:dyDescent="0.3">
      <c r="B646" s="68"/>
      <c r="C646" s="68"/>
      <c r="D646" s="68"/>
    </row>
    <row r="647" spans="2:4" x14ac:dyDescent="0.3">
      <c r="B647" s="68"/>
      <c r="C647" s="68"/>
      <c r="D647" s="68"/>
    </row>
    <row r="648" spans="2:4" x14ac:dyDescent="0.3">
      <c r="B648" s="68"/>
      <c r="C648" s="68"/>
      <c r="D648" s="68"/>
    </row>
    <row r="649" spans="2:4" x14ac:dyDescent="0.3">
      <c r="B649" s="68"/>
      <c r="C649" s="68"/>
      <c r="D649" s="68"/>
    </row>
    <row r="650" spans="2:4" x14ac:dyDescent="0.3">
      <c r="B650" s="68"/>
      <c r="C650" s="68"/>
      <c r="D650" s="68"/>
    </row>
    <row r="651" spans="2:4" x14ac:dyDescent="0.3">
      <c r="B651" s="68"/>
      <c r="C651" s="68"/>
      <c r="D651" s="68"/>
    </row>
    <row r="652" spans="2:4" x14ac:dyDescent="0.3">
      <c r="B652" s="68"/>
      <c r="C652" s="68"/>
      <c r="D652" s="68"/>
    </row>
    <row r="653" spans="2:4" x14ac:dyDescent="0.3">
      <c r="B653" s="68"/>
      <c r="C653" s="68"/>
      <c r="D653" s="68"/>
    </row>
    <row r="654" spans="2:4" x14ac:dyDescent="0.3">
      <c r="B654" s="68"/>
      <c r="C654" s="68"/>
      <c r="D654" s="68"/>
    </row>
    <row r="655" spans="2:4" x14ac:dyDescent="0.3">
      <c r="B655" s="68"/>
      <c r="C655" s="68"/>
      <c r="D655" s="68"/>
    </row>
    <row r="656" spans="2:4" x14ac:dyDescent="0.3">
      <c r="B656" s="68"/>
      <c r="C656" s="68"/>
      <c r="D656" s="68"/>
    </row>
    <row r="657" spans="2:4" x14ac:dyDescent="0.3">
      <c r="B657" s="68"/>
      <c r="C657" s="68"/>
      <c r="D657" s="68"/>
    </row>
    <row r="658" spans="2:4" x14ac:dyDescent="0.3">
      <c r="B658" s="68"/>
      <c r="C658" s="68"/>
      <c r="D658" s="68"/>
    </row>
    <row r="659" spans="2:4" x14ac:dyDescent="0.3">
      <c r="B659" s="68"/>
      <c r="C659" s="68"/>
      <c r="D659" s="68"/>
    </row>
    <row r="660" spans="2:4" x14ac:dyDescent="0.3">
      <c r="B660" s="68"/>
      <c r="C660" s="68"/>
      <c r="D660" s="68"/>
    </row>
    <row r="661" spans="2:4" x14ac:dyDescent="0.3">
      <c r="B661" s="68"/>
      <c r="C661" s="68"/>
      <c r="D661" s="68"/>
    </row>
    <row r="662" spans="2:4" x14ac:dyDescent="0.3">
      <c r="B662" s="68"/>
      <c r="C662" s="68"/>
      <c r="D662" s="68"/>
    </row>
    <row r="663" spans="2:4" x14ac:dyDescent="0.3">
      <c r="B663" s="68"/>
      <c r="C663" s="68"/>
      <c r="D663" s="68"/>
    </row>
    <row r="664" spans="2:4" x14ac:dyDescent="0.3">
      <c r="B664" s="68"/>
      <c r="C664" s="68"/>
      <c r="D664" s="68"/>
    </row>
    <row r="665" spans="2:4" x14ac:dyDescent="0.3">
      <c r="B665" s="68"/>
      <c r="C665" s="68"/>
      <c r="D665" s="68"/>
    </row>
    <row r="666" spans="2:4" x14ac:dyDescent="0.3">
      <c r="B666" s="68"/>
      <c r="C666" s="68"/>
      <c r="D666" s="68"/>
    </row>
    <row r="667" spans="2:4" x14ac:dyDescent="0.3">
      <c r="B667" s="68"/>
      <c r="C667" s="68"/>
      <c r="D667" s="68"/>
    </row>
    <row r="668" spans="2:4" x14ac:dyDescent="0.3">
      <c r="B668" s="68"/>
      <c r="C668" s="68"/>
      <c r="D668" s="68"/>
    </row>
    <row r="669" spans="2:4" x14ac:dyDescent="0.3">
      <c r="B669" s="68"/>
      <c r="C669" s="68"/>
      <c r="D669" s="68"/>
    </row>
    <row r="670" spans="2:4" x14ac:dyDescent="0.3">
      <c r="B670" s="68"/>
      <c r="C670" s="68"/>
      <c r="D670" s="68"/>
    </row>
    <row r="671" spans="2:4" x14ac:dyDescent="0.3">
      <c r="B671" s="68"/>
      <c r="C671" s="68"/>
      <c r="D671" s="68"/>
    </row>
    <row r="672" spans="2:4" x14ac:dyDescent="0.3">
      <c r="B672" s="68"/>
      <c r="C672" s="68"/>
      <c r="D672" s="68"/>
    </row>
    <row r="673" spans="2:4" x14ac:dyDescent="0.3">
      <c r="B673" s="68"/>
      <c r="C673" s="68"/>
      <c r="D673" s="68"/>
    </row>
    <row r="674" spans="2:4" x14ac:dyDescent="0.3">
      <c r="B674" s="68"/>
      <c r="C674" s="68"/>
      <c r="D674" s="68"/>
    </row>
    <row r="675" spans="2:4" x14ac:dyDescent="0.3">
      <c r="B675" s="68"/>
      <c r="C675" s="68"/>
      <c r="D675" s="68"/>
    </row>
    <row r="676" spans="2:4" x14ac:dyDescent="0.3">
      <c r="B676" s="68"/>
      <c r="C676" s="68"/>
      <c r="D676" s="68"/>
    </row>
    <row r="677" spans="2:4" x14ac:dyDescent="0.3">
      <c r="B677" s="68"/>
      <c r="C677" s="68"/>
      <c r="D677" s="68"/>
    </row>
    <row r="678" spans="2:4" x14ac:dyDescent="0.3">
      <c r="B678" s="68"/>
      <c r="C678" s="68"/>
      <c r="D678" s="68"/>
    </row>
    <row r="679" spans="2:4" x14ac:dyDescent="0.3">
      <c r="B679" s="68"/>
      <c r="C679" s="68"/>
      <c r="D679" s="68"/>
    </row>
    <row r="680" spans="2:4" x14ac:dyDescent="0.3">
      <c r="B680" s="68"/>
      <c r="C680" s="68"/>
      <c r="D680" s="68"/>
    </row>
    <row r="681" spans="2:4" x14ac:dyDescent="0.3">
      <c r="B681" s="68"/>
      <c r="C681" s="68"/>
      <c r="D681" s="68"/>
    </row>
    <row r="682" spans="2:4" x14ac:dyDescent="0.3">
      <c r="B682" s="68"/>
      <c r="C682" s="68"/>
      <c r="D682" s="68"/>
    </row>
    <row r="683" spans="2:4" x14ac:dyDescent="0.3">
      <c r="B683" s="68"/>
      <c r="C683" s="68"/>
      <c r="D683" s="68"/>
    </row>
    <row r="684" spans="2:4" x14ac:dyDescent="0.3">
      <c r="B684" s="68"/>
      <c r="C684" s="68"/>
      <c r="D684" s="68"/>
    </row>
    <row r="685" spans="2:4" x14ac:dyDescent="0.3">
      <c r="B685" s="68"/>
      <c r="C685" s="68"/>
      <c r="D685" s="68"/>
    </row>
  </sheetData>
  <mergeCells count="106">
    <mergeCell ref="D2:E2"/>
    <mergeCell ref="D3:E3"/>
    <mergeCell ref="D4:E4"/>
    <mergeCell ref="D5:E5"/>
    <mergeCell ref="D6:E6"/>
    <mergeCell ref="D8:E8"/>
    <mergeCell ref="D9:E9"/>
    <mergeCell ref="D10:E10"/>
    <mergeCell ref="D11:E11"/>
    <mergeCell ref="D7:E7"/>
    <mergeCell ref="D14:E14"/>
    <mergeCell ref="D16:E16"/>
    <mergeCell ref="D15:E15"/>
    <mergeCell ref="D13:E13"/>
    <mergeCell ref="D12:E12"/>
    <mergeCell ref="D24:E24"/>
    <mergeCell ref="D23:E23"/>
    <mergeCell ref="D17:E17"/>
    <mergeCell ref="D18:E18"/>
    <mergeCell ref="D19:E19"/>
    <mergeCell ref="D20:E20"/>
    <mergeCell ref="D21:E21"/>
    <mergeCell ref="D22:E22"/>
    <mergeCell ref="D28:E28"/>
    <mergeCell ref="B53:E5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36:C36"/>
    <mergeCell ref="B37:C37"/>
    <mergeCell ref="B38:C38"/>
    <mergeCell ref="B39:C39"/>
    <mergeCell ref="B62:C62"/>
    <mergeCell ref="B54:C54"/>
    <mergeCell ref="B55:C55"/>
    <mergeCell ref="B56:C56"/>
    <mergeCell ref="B57:C57"/>
    <mergeCell ref="B59:C59"/>
    <mergeCell ref="B60:C60"/>
    <mergeCell ref="B61:C61"/>
    <mergeCell ref="B58:C58"/>
    <mergeCell ref="B74:C74"/>
    <mergeCell ref="B73:C73"/>
    <mergeCell ref="B72:C72"/>
    <mergeCell ref="B71:C71"/>
    <mergeCell ref="B70:C70"/>
    <mergeCell ref="B69:C69"/>
    <mergeCell ref="B68:C68"/>
    <mergeCell ref="B67:C67"/>
    <mergeCell ref="B66:C66"/>
    <mergeCell ref="B65:C65"/>
    <mergeCell ref="B64:C64"/>
    <mergeCell ref="B63:C63"/>
    <mergeCell ref="B12:C12"/>
    <mergeCell ref="B11:C11"/>
    <mergeCell ref="B10:C10"/>
    <mergeCell ref="B9:C9"/>
    <mergeCell ref="B35:C35"/>
    <mergeCell ref="B19:C19"/>
    <mergeCell ref="B20:C20"/>
    <mergeCell ref="B21:C21"/>
    <mergeCell ref="B22:C22"/>
    <mergeCell ref="B29:C29"/>
    <mergeCell ref="B28:C28"/>
    <mergeCell ref="B23:C23"/>
    <mergeCell ref="B33:C33"/>
    <mergeCell ref="A40:E40"/>
    <mergeCell ref="A41:E41"/>
    <mergeCell ref="B30:C30"/>
    <mergeCell ref="D30:E30"/>
    <mergeCell ref="B32:C32"/>
    <mergeCell ref="D32:E32"/>
    <mergeCell ref="B25:C25"/>
    <mergeCell ref="B26:C26"/>
    <mergeCell ref="B31:C31"/>
    <mergeCell ref="B34:C34"/>
    <mergeCell ref="B17:C17"/>
    <mergeCell ref="B18:C18"/>
    <mergeCell ref="B27:C27"/>
    <mergeCell ref="B1:E1"/>
    <mergeCell ref="B2:C2"/>
    <mergeCell ref="B3:C3"/>
    <mergeCell ref="B4:C4"/>
    <mergeCell ref="B5:C5"/>
    <mergeCell ref="B6:C6"/>
    <mergeCell ref="B7:C7"/>
    <mergeCell ref="B8:C8"/>
    <mergeCell ref="B16:C16"/>
    <mergeCell ref="B15:C15"/>
    <mergeCell ref="B14:C14"/>
    <mergeCell ref="B13:C13"/>
    <mergeCell ref="D29:E29"/>
    <mergeCell ref="D31:E31"/>
    <mergeCell ref="D33:E33"/>
    <mergeCell ref="D34:E34"/>
    <mergeCell ref="D25:E25"/>
    <mergeCell ref="D26:E26"/>
    <mergeCell ref="D27:E2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abSelected="1" topLeftCell="I17" workbookViewId="0">
      <selection activeCell="N26" sqref="N26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7.109375" customWidth="1"/>
    <col min="5" max="5" width="11.109375" customWidth="1"/>
    <col min="6" max="6" width="13.88671875" customWidth="1"/>
    <col min="7" max="7" width="11.109375" customWidth="1"/>
    <col min="8" max="10" width="12.886718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0.109375" bestFit="1" customWidth="1"/>
    <col min="28" max="28" width="10.5546875" bestFit="1" customWidth="1"/>
    <col min="29" max="29" width="17.33203125" customWidth="1"/>
    <col min="30" max="30" width="19" customWidth="1"/>
    <col min="31" max="31" width="15.109375" customWidth="1"/>
    <col min="32" max="33" width="12.5546875" customWidth="1"/>
    <col min="34" max="34" width="22.21875" customWidth="1"/>
    <col min="35" max="35" width="9" customWidth="1"/>
    <col min="36" max="36" width="11.21875" customWidth="1"/>
  </cols>
  <sheetData>
    <row r="1" spans="1:37" ht="15.6" x14ac:dyDescent="0.3">
      <c r="C1" s="100" t="s">
        <v>107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0" t="s">
        <v>159</v>
      </c>
      <c r="R1" s="100"/>
      <c r="S1" s="100"/>
      <c r="T1" s="100"/>
      <c r="U1" s="100"/>
      <c r="V1" s="100" t="s">
        <v>115</v>
      </c>
      <c r="W1" s="100"/>
      <c r="X1" s="100"/>
      <c r="Y1" s="100"/>
      <c r="Z1" s="100"/>
      <c r="AA1" s="100"/>
      <c r="AB1" s="100" t="s">
        <v>116</v>
      </c>
      <c r="AC1" s="100"/>
      <c r="AD1" s="100"/>
      <c r="AE1" s="100"/>
      <c r="AF1" s="100"/>
      <c r="AG1" s="100"/>
      <c r="AH1" s="100"/>
    </row>
    <row r="2" spans="1:37" ht="15.6" x14ac:dyDescent="0.3">
      <c r="A2" s="18" t="s">
        <v>35</v>
      </c>
      <c r="B2" s="2" t="s">
        <v>38</v>
      </c>
      <c r="C2" t="s">
        <v>39</v>
      </c>
      <c r="D2" t="s">
        <v>40</v>
      </c>
      <c r="E2" t="s">
        <v>147</v>
      </c>
      <c r="F2" t="s">
        <v>41</v>
      </c>
      <c r="G2" t="s">
        <v>52</v>
      </c>
      <c r="H2" t="s">
        <v>64</v>
      </c>
      <c r="I2" t="s">
        <v>106</v>
      </c>
      <c r="J2" t="s">
        <v>65</v>
      </c>
      <c r="K2" t="s">
        <v>66</v>
      </c>
      <c r="L2" s="51" t="s">
        <v>67</v>
      </c>
      <c r="M2" s="51" t="s">
        <v>68</v>
      </c>
      <c r="N2" s="12" t="s">
        <v>69</v>
      </c>
      <c r="O2" s="12" t="s">
        <v>60</v>
      </c>
      <c r="P2" t="s">
        <v>94</v>
      </c>
      <c r="Q2" t="s">
        <v>162</v>
      </c>
      <c r="R2" t="s">
        <v>70</v>
      </c>
      <c r="S2" t="s">
        <v>95</v>
      </c>
      <c r="T2" s="2" t="s">
        <v>152</v>
      </c>
      <c r="U2" s="2" t="s">
        <v>96</v>
      </c>
      <c r="V2" t="s">
        <v>97</v>
      </c>
      <c r="W2" t="s">
        <v>98</v>
      </c>
      <c r="X2" t="s">
        <v>99</v>
      </c>
      <c r="Y2" t="s">
        <v>160</v>
      </c>
      <c r="Z2" t="s">
        <v>34</v>
      </c>
      <c r="AA2" t="s">
        <v>17</v>
      </c>
      <c r="AB2" t="s">
        <v>37</v>
      </c>
      <c r="AC2" t="s">
        <v>71</v>
      </c>
      <c r="AD2" t="s">
        <v>55</v>
      </c>
      <c r="AE2" t="s">
        <v>72</v>
      </c>
      <c r="AF2" t="s">
        <v>42</v>
      </c>
      <c r="AG2" t="s">
        <v>73</v>
      </c>
      <c r="AH2" t="s">
        <v>100</v>
      </c>
      <c r="AI2" t="s">
        <v>79</v>
      </c>
      <c r="AJ2" t="s">
        <v>114</v>
      </c>
      <c r="AK2" t="s">
        <v>80</v>
      </c>
    </row>
    <row r="3" spans="1:37" ht="15.6" x14ac:dyDescent="0.3">
      <c r="A3" s="18" t="s">
        <v>158</v>
      </c>
      <c r="B3" t="s">
        <v>53</v>
      </c>
      <c r="C3" s="42">
        <f>O3/H3</f>
        <v>61666.396631476637</v>
      </c>
      <c r="D3" s="122">
        <f>E3/SUM(E3:E3)</f>
        <v>1</v>
      </c>
      <c r="E3" s="123">
        <f>C3/SUM(C3:C4)</f>
        <v>0.35926587081837474</v>
      </c>
      <c r="F3" s="42">
        <f>C3*D3</f>
        <v>61666.396631476637</v>
      </c>
      <c r="G3" s="4">
        <f>[1]All!$H$12</f>
        <v>0.76279625000000006</v>
      </c>
      <c r="H3" s="124">
        <f>[1]All!$G$12</f>
        <v>4.8</v>
      </c>
      <c r="I3" s="116">
        <f>P3/F3</f>
        <v>7.0436462426640478</v>
      </c>
      <c r="J3" s="122">
        <f>[1]All!$J$12</f>
        <v>5.8360000000000003</v>
      </c>
      <c r="K3" s="122">
        <f>[1]All!$I$12</f>
        <v>0.4541</v>
      </c>
      <c r="L3" s="79">
        <f>F3*H3</f>
        <v>295998.70383108786</v>
      </c>
      <c r="M3" s="79">
        <f>I3-H3</f>
        <v>2.243646242664048</v>
      </c>
      <c r="N3" s="24">
        <v>1</v>
      </c>
      <c r="O3" s="80">
        <f>([2]prod_herd_data!$J$8+[2]prod_herd_data!$K$8)*(1-[2]prod_herd_data!$J$3)*E46</f>
        <v>295998.70383108786</v>
      </c>
      <c r="P3" s="87">
        <f>P25*E46</f>
        <v>434356.28293193132</v>
      </c>
      <c r="Q3" s="77">
        <f>NPV_Baseline!B34</f>
        <v>102.38197935134957</v>
      </c>
      <c r="R3" s="77">
        <f ca="1">NPV_Baseline!B72</f>
        <v>50.937716825464456</v>
      </c>
      <c r="S3" s="78">
        <f>NPV_Baseline!B32*M3</f>
        <v>78.670230853959993</v>
      </c>
      <c r="T3" s="83">
        <f>I3*K3*Q3-S3</f>
        <v>248.80055304574472</v>
      </c>
      <c r="U3" s="74">
        <f ca="1">H3*R3*K3</f>
        <v>111.02792261012836</v>
      </c>
      <c r="V3" s="121">
        <f>Q3*(P3*N3*K3)/(C3*D3)</f>
        <v>327.47078389970471</v>
      </c>
      <c r="W3" s="121">
        <f>[1]All!$E$12*[3]Sheet1!$B$9</f>
        <v>2532.0489928615684</v>
      </c>
      <c r="X3" s="121">
        <f>[1]All!$F$12</f>
        <v>1260.65508</v>
      </c>
      <c r="Y3" s="71">
        <f>V3+W3</f>
        <v>2859.5197767612731</v>
      </c>
      <c r="Z3" s="71">
        <f>W3+T3</f>
        <v>2780.8495459073133</v>
      </c>
      <c r="AA3" s="7"/>
      <c r="AB3" s="75">
        <f>SQRT(E3*(1-E3)/Q56)</f>
        <v>2.9812406067520097E-2</v>
      </c>
      <c r="AC3" s="71">
        <f>Z3*F3</f>
        <v>171484971.07038209</v>
      </c>
      <c r="AD3" s="86">
        <f>Y3*F3</f>
        <v>176336280.72931218</v>
      </c>
      <c r="AE3" s="7"/>
      <c r="AF3" s="7"/>
      <c r="AG3" s="7">
        <f>F3*J3/SUMPRODUCT(F3:F4,J3:J4)</f>
        <v>0.36622176275263241</v>
      </c>
      <c r="AH3" s="7" t="e">
        <f>#REF!*AC3</f>
        <v>#REF!</v>
      </c>
      <c r="AI3" s="26"/>
      <c r="AJ3" s="27"/>
      <c r="AK3" s="39"/>
    </row>
    <row r="4" spans="1:37" ht="15.6" x14ac:dyDescent="0.3">
      <c r="A4" s="19"/>
      <c r="B4" t="s">
        <v>5</v>
      </c>
      <c r="C4" s="42">
        <f>O4/H4</f>
        <v>109979.17741374573</v>
      </c>
      <c r="D4" s="122">
        <f>E4/SUM(E4:E4)</f>
        <v>1</v>
      </c>
      <c r="E4" s="123">
        <f>1-E3</f>
        <v>0.64073412918162531</v>
      </c>
      <c r="F4" s="42">
        <f xml:space="preserve"> C4*D4</f>
        <v>109979.17741374573</v>
      </c>
      <c r="G4" s="4">
        <v>0.27</v>
      </c>
      <c r="H4" s="124">
        <f>[1]All!$G$13</f>
        <v>2.8</v>
      </c>
      <c r="I4" s="116">
        <f>P4/F4</f>
        <v>4.6583234993003879</v>
      </c>
      <c r="J4" s="122">
        <f>[1]All!$J$13</f>
        <v>5.6630000000000003</v>
      </c>
      <c r="K4" s="122">
        <f>[1]All!$I$13</f>
        <v>0.55710000000000004</v>
      </c>
      <c r="L4" s="79">
        <f>F4*H4</f>
        <v>307941.69675848802</v>
      </c>
      <c r="M4" s="79">
        <f>I4-H4</f>
        <v>1.8583234993003881</v>
      </c>
      <c r="N4" s="24">
        <v>1</v>
      </c>
      <c r="O4" s="80">
        <f>([2]prod_herd_data!$J$8+[2]prod_herd_data!$K$8)*([2]prod_herd_data!$J$3)*(1-E45)</f>
        <v>307941.69675848802</v>
      </c>
      <c r="P4" s="80">
        <f>P26*(1-E44)</f>
        <v>512318.58658017818</v>
      </c>
      <c r="Q4" s="77">
        <f>NPV_Baseline!D34</f>
        <v>159.61062489481509</v>
      </c>
      <c r="R4" s="77">
        <f ca="1">NPV_Baseline!E72</f>
        <v>170.23719473836587</v>
      </c>
      <c r="S4" s="78">
        <f>NPV_Baseline!D32*M4</f>
        <v>192.75975195150758</v>
      </c>
      <c r="T4" s="74">
        <f>I4*K4*Q4-S4</f>
        <v>221.45408389080487</v>
      </c>
      <c r="U4" s="74">
        <f ca="1">H4*R4*K4</f>
        <v>265.54959532848216</v>
      </c>
      <c r="V4" s="121">
        <f>Q4*(P4*N4*K4)/(C4*D4)</f>
        <v>414.21383584231251</v>
      </c>
      <c r="W4" s="121">
        <f>[1]All!$E$13*[3]Sheet1!$B$9</f>
        <v>2549.5329853259786</v>
      </c>
      <c r="X4" s="121">
        <f>[1]All!$F$13</f>
        <v>1180.8</v>
      </c>
      <c r="Y4" s="71">
        <f>V4+W4</f>
        <v>2963.7468211682913</v>
      </c>
      <c r="Z4" s="84">
        <f>W4+T4</f>
        <v>2770.9870692167833</v>
      </c>
      <c r="AA4" s="7"/>
      <c r="AB4" s="75">
        <f>SQRT(E4*(1-E4)/Q56)</f>
        <v>2.9812406067520093E-2</v>
      </c>
      <c r="AC4" s="84">
        <f>Z4*F4</f>
        <v>304750878.49658793</v>
      </c>
      <c r="AD4" s="71">
        <f>Y4*F4</f>
        <v>325950437.45469242</v>
      </c>
      <c r="AE4" s="7"/>
      <c r="AF4" s="7"/>
      <c r="AG4" s="7">
        <f>F4*J4/SUMPRODUCT(F3:F4,J3:J4)</f>
        <v>0.63377823724736759</v>
      </c>
      <c r="AH4" s="7" t="e">
        <f>#REF!*AC4</f>
        <v>#REF!</v>
      </c>
      <c r="AI4" s="26"/>
      <c r="AJ4" s="89">
        <f ca="1">MC_Baseline!J20</f>
        <v>39.181823126677671</v>
      </c>
      <c r="AK4" s="39"/>
    </row>
    <row r="5" spans="1:37" ht="15.6" x14ac:dyDescent="0.3">
      <c r="A5" s="19"/>
      <c r="E5" s="47"/>
      <c r="F5" s="42"/>
      <c r="G5" s="4"/>
      <c r="H5" s="124"/>
      <c r="I5" s="4"/>
      <c r="J5" s="4"/>
      <c r="L5" s="79"/>
      <c r="M5" s="79"/>
      <c r="N5" s="24"/>
      <c r="O5" s="16"/>
      <c r="P5" s="81"/>
      <c r="Q5" s="77"/>
      <c r="R5" s="77"/>
      <c r="S5" s="8"/>
      <c r="T5" s="74"/>
      <c r="U5" s="74"/>
      <c r="V5" s="71"/>
      <c r="W5" s="71"/>
      <c r="X5" s="71"/>
      <c r="Y5" s="71"/>
      <c r="Z5" s="71"/>
      <c r="AA5" s="7"/>
      <c r="AB5" s="75"/>
      <c r="AC5" s="71"/>
      <c r="AD5" s="71"/>
      <c r="AE5" s="7"/>
      <c r="AF5" s="7"/>
      <c r="AG5" s="7"/>
      <c r="AH5" s="7"/>
      <c r="AI5" s="1"/>
      <c r="AJ5" s="89"/>
      <c r="AK5" s="46"/>
    </row>
    <row r="6" spans="1:37" ht="15.6" x14ac:dyDescent="0.3">
      <c r="A6" s="18" t="str">
        <f>A27</f>
        <v>Inclusive</v>
      </c>
      <c r="B6" t="s">
        <v>77</v>
      </c>
      <c r="E6" s="114">
        <f>F6/SUM(F6:F8)</f>
        <v>6.8260515455491194E-2</v>
      </c>
      <c r="F6" s="115">
        <f>F3*E51</f>
        <v>11716.61535998056</v>
      </c>
      <c r="G6" s="116">
        <f>G4</f>
        <v>0.27</v>
      </c>
      <c r="H6" s="115">
        <f>L6*(1/F6)</f>
        <v>10.760038504042504</v>
      </c>
      <c r="I6" s="117"/>
      <c r="J6" s="116">
        <f>J3</f>
        <v>5.8360000000000003</v>
      </c>
      <c r="K6" s="33">
        <f>K3</f>
        <v>0.4541</v>
      </c>
      <c r="L6" s="118">
        <f>P6*N6</f>
        <v>126071.23241044665</v>
      </c>
      <c r="M6" s="118">
        <f>H6-H3</f>
        <v>5.9600385040425037</v>
      </c>
      <c r="N6" s="119">
        <f>E47</f>
        <v>0.1</v>
      </c>
      <c r="O6" s="15"/>
      <c r="P6" s="81">
        <f>P28*(1-E44)</f>
        <v>1260712.3241044665</v>
      </c>
      <c r="Q6" s="77">
        <f>NPV_Roadmap!C33</f>
        <v>274.83358178429671</v>
      </c>
      <c r="R6" s="77">
        <f ca="1">NPV_Roadmap!C67</f>
        <v>323.20611675339285</v>
      </c>
      <c r="S6" s="78">
        <f>K6*(H6*(NPV_Roadmap!C28 + NPV_Baseline!B30)  -   H3*NPV_Baseline!B30) * (NPV_Roadmap!C25+NPV_Roadmap!L25)</f>
        <v>92.208582923057023</v>
      </c>
      <c r="T6" s="74">
        <f>H6*K6*Q6-S6</f>
        <v>1250.6649837493012</v>
      </c>
      <c r="U6" s="74">
        <f ca="1">H6*R6*K6</f>
        <v>1579.2282295239888</v>
      </c>
      <c r="V6" s="71">
        <f>V3</f>
        <v>327.47078389970471</v>
      </c>
      <c r="W6" s="71">
        <f>W3</f>
        <v>2532.0489928615684</v>
      </c>
      <c r="X6" s="71">
        <f>X3</f>
        <v>1260.65508</v>
      </c>
      <c r="Y6" s="71">
        <f>V6+W6</f>
        <v>2859.5197767612731</v>
      </c>
      <c r="Z6" s="71">
        <f>T6+W6</f>
        <v>3782.7139766108694</v>
      </c>
      <c r="AA6" s="73">
        <f t="shared" ref="AA6:AA20" si="0">(Z6/Y6)</f>
        <v>1.3228493844848372</v>
      </c>
      <c r="AB6" s="75">
        <f>AB3</f>
        <v>2.9812406067520097E-2</v>
      </c>
      <c r="AC6" s="82">
        <f>Z6*F6</f>
        <v>44320604.680772059</v>
      </c>
      <c r="AD6" s="71">
        <f>AD3</f>
        <v>176336280.72931218</v>
      </c>
      <c r="AE6" s="71">
        <f>AC6-AD6</f>
        <v>-132015676.04854012</v>
      </c>
      <c r="AF6" s="7">
        <f>(AC6+AC7)/AD6</f>
        <v>0.93540542705622409</v>
      </c>
      <c r="AG6" s="7">
        <f>F6*J6/SUMPRODUCT(F6:F8,J6:J8)</f>
        <v>6.9582134923000152E-2</v>
      </c>
      <c r="AH6" s="92">
        <f ca="1">MC_Inclusive!K20</f>
        <v>21.971106793105129</v>
      </c>
      <c r="AI6" s="1"/>
      <c r="AJ6" s="89"/>
      <c r="AK6" s="39"/>
    </row>
    <row r="7" spans="1:37" ht="15.6" x14ac:dyDescent="0.3">
      <c r="A7" s="18"/>
      <c r="B7" t="s">
        <v>112</v>
      </c>
      <c r="E7" s="114">
        <f>F7/SUM(F6:F8)</f>
        <v>0.29100535536288352</v>
      </c>
      <c r="F7" s="115">
        <f>F3-F6</f>
        <v>49949.781271496075</v>
      </c>
      <c r="G7" s="116">
        <f>G3</f>
        <v>0.76279625000000006</v>
      </c>
      <c r="H7" s="115">
        <f>L7*(1/F7)</f>
        <v>9.2628399407233477</v>
      </c>
      <c r="I7" s="117"/>
      <c r="J7" s="116">
        <f>J3</f>
        <v>5.8360000000000003</v>
      </c>
      <c r="K7" s="33">
        <f>K3</f>
        <v>0.4541</v>
      </c>
      <c r="L7" s="118">
        <f>P7*N7</f>
        <v>462676.82899200887</v>
      </c>
      <c r="M7" s="118">
        <f>H7-H3</f>
        <v>4.4628399407233479</v>
      </c>
      <c r="N7" s="119">
        <v>1</v>
      </c>
      <c r="O7" s="15"/>
      <c r="P7" s="81">
        <f>P27*E46</f>
        <v>462676.82899200887</v>
      </c>
      <c r="Q7" s="77">
        <f>NPV_Roadmap!E33</f>
        <v>22.104966099359416</v>
      </c>
      <c r="R7" s="77">
        <f ca="1">NPV_Roadmap!E67</f>
        <v>25.430715561618889</v>
      </c>
      <c r="S7" s="78">
        <f>K7*(H7*(NPV_Roadmap!E28+NPV_Baseline!B30)  -   H3*NPV_Baseline!B30) * (NPV_Roadmap!E25+NPV_Roadmap!L25)</f>
        <v>210.09644870583401</v>
      </c>
      <c r="T7" s="74">
        <f t="shared" ref="T7:T19" si="1">H7*K7*Q7-S7</f>
        <v>-117.11731088498584</v>
      </c>
      <c r="U7" s="74">
        <f ca="1">H7*R7*K7</f>
        <v>106.96809017748609</v>
      </c>
      <c r="V7" s="71">
        <f t="shared" ref="V7:X8" si="2">V3</f>
        <v>327.47078389970471</v>
      </c>
      <c r="W7" s="71">
        <f t="shared" si="2"/>
        <v>2532.0489928615684</v>
      </c>
      <c r="X7" s="71">
        <f t="shared" si="2"/>
        <v>1260.65508</v>
      </c>
      <c r="Y7" s="71">
        <f>V7+W7</f>
        <v>2859.5197767612731</v>
      </c>
      <c r="Z7" s="71">
        <f>T7+W7</f>
        <v>2414.9316819765827</v>
      </c>
      <c r="AA7" s="73">
        <f t="shared" si="0"/>
        <v>0.84452351111617896</v>
      </c>
      <c r="AB7" s="75">
        <f>AB3</f>
        <v>2.9812406067520097E-2</v>
      </c>
      <c r="AC7" s="71">
        <f>Z7*F7</f>
        <v>120625309.30033642</v>
      </c>
      <c r="AD7" s="71">
        <v>0</v>
      </c>
      <c r="AE7" s="71">
        <f t="shared" ref="AE7:AE20" si="3">AC7-AD7</f>
        <v>120625309.30033642</v>
      </c>
      <c r="AF7" s="7">
        <v>0</v>
      </c>
      <c r="AG7" s="7">
        <f>F7*J7/SUMPRODUCT(F6:F8,J6:J8)</f>
        <v>0.29663962782963221</v>
      </c>
      <c r="AH7" s="92">
        <f ca="1">MC_Inclusive!K20</f>
        <v>21.971106793105129</v>
      </c>
      <c r="AI7" s="1"/>
      <c r="AJ7" s="89"/>
      <c r="AK7" s="39"/>
    </row>
    <row r="8" spans="1:37" ht="15.6" x14ac:dyDescent="0.3">
      <c r="A8" s="19"/>
      <c r="B8" t="s">
        <v>113</v>
      </c>
      <c r="E8" s="114">
        <f>F8/SUM(F6:F8)</f>
        <v>0.6407341291816252</v>
      </c>
      <c r="F8" s="115">
        <f>F4</f>
        <v>109979.17741374573</v>
      </c>
      <c r="G8" s="116">
        <f>G4</f>
        <v>0.27</v>
      </c>
      <c r="H8" s="115">
        <f>L8*(1/F8)</f>
        <v>10.31687196045719</v>
      </c>
      <c r="I8" s="117"/>
      <c r="J8" s="116">
        <f>J4</f>
        <v>5.6630000000000003</v>
      </c>
      <c r="K8" s="33">
        <f>K4</f>
        <v>0.55710000000000004</v>
      </c>
      <c r="L8" s="118">
        <f t="shared" ref="L8" si="4">P8*N8</f>
        <v>1134641.09169402</v>
      </c>
      <c r="M8" s="118">
        <f>H8-H4</f>
        <v>7.5168719604571903</v>
      </c>
      <c r="N8" s="119">
        <f>N4*(1-E47)</f>
        <v>0.9</v>
      </c>
      <c r="O8" s="15"/>
      <c r="P8" s="81">
        <f>P28*(1-E44)</f>
        <v>1260712.3241044665</v>
      </c>
      <c r="Q8" s="77">
        <f>NPV_Roadmap!G33</f>
        <v>617.47413431540622</v>
      </c>
      <c r="R8" s="77">
        <f ca="1">NPV_Roadmap!G67</f>
        <v>302.32255971722435</v>
      </c>
      <c r="S8" s="78">
        <f>K8*(H8*(NPV_Roadmap!G28+NPV_Baseline!E30)  -   H4*NPV_Baseline!E30) * (NPV_Roadmap!G25+NPV_Roadmap!L25)</f>
        <v>101.59580360890806</v>
      </c>
      <c r="T8" s="74">
        <f t="shared" si="1"/>
        <v>3447.3549180721434</v>
      </c>
      <c r="U8" s="74">
        <f ca="1">H8*R8*K8</f>
        <v>1737.6077909376099</v>
      </c>
      <c r="V8" s="71">
        <f t="shared" si="2"/>
        <v>414.21383584231251</v>
      </c>
      <c r="W8" s="71">
        <f t="shared" si="2"/>
        <v>2549.5329853259786</v>
      </c>
      <c r="X8" s="71">
        <f>X4</f>
        <v>1180.8</v>
      </c>
      <c r="Y8" s="71">
        <f>V8+W8</f>
        <v>2963.7468211682913</v>
      </c>
      <c r="Z8" s="71">
        <f>T8+W8</f>
        <v>5996.887903398122</v>
      </c>
      <c r="AA8" s="73">
        <f t="shared" si="0"/>
        <v>2.0234143687867996</v>
      </c>
      <c r="AB8" s="75">
        <f>AB4</f>
        <v>2.9812406067520093E-2</v>
      </c>
      <c r="AC8" s="71">
        <f>Z8*F8</f>
        <v>659532798.65816772</v>
      </c>
      <c r="AD8" s="71">
        <f>AD4</f>
        <v>325950437.45469242</v>
      </c>
      <c r="AE8" s="71">
        <f t="shared" si="3"/>
        <v>333582361.2034753</v>
      </c>
      <c r="AF8" s="7">
        <f t="shared" ref="AF8" si="5">AC8/AD8</f>
        <v>2.0234143687867996</v>
      </c>
      <c r="AG8" s="7">
        <f>F8*J8/SUMPRODUCT(F6:F8,J6:J8)</f>
        <v>0.63377823724736759</v>
      </c>
      <c r="AH8" s="92">
        <f ca="1">MC_Inclusive!K20</f>
        <v>21.971106793105129</v>
      </c>
      <c r="AI8" s="46">
        <f>-1+SUM(AC6:AC8)/SUM(AC3:AC4)</f>
        <v>0.7312403368813063</v>
      </c>
      <c r="AJ8" s="89">
        <f ca="1">MC_Inclusive!K20</f>
        <v>21.971106793105129</v>
      </c>
      <c r="AK8" s="93">
        <f>(AI8)*SUM(AD6:AD8)/SUMPRODUCT(F6:F8,J6:J8)</f>
        <v>373.75940352575367</v>
      </c>
    </row>
    <row r="9" spans="1:37" ht="15.6" x14ac:dyDescent="0.3">
      <c r="A9" s="19"/>
      <c r="E9" s="114"/>
      <c r="F9" s="115"/>
      <c r="G9" s="116"/>
      <c r="H9" s="115"/>
      <c r="I9" s="117"/>
      <c r="J9" s="33"/>
      <c r="K9" s="33"/>
      <c r="L9" s="118"/>
      <c r="M9" s="118"/>
      <c r="N9" s="119"/>
      <c r="O9" s="15"/>
      <c r="P9" s="81"/>
      <c r="Q9" s="77"/>
      <c r="R9" s="77"/>
      <c r="S9" s="78"/>
      <c r="T9" s="74"/>
      <c r="U9" s="74"/>
      <c r="V9" s="71"/>
      <c r="W9" s="71"/>
      <c r="X9" s="71"/>
      <c r="Y9" s="71"/>
      <c r="Z9" s="71"/>
      <c r="AA9" s="73"/>
      <c r="AB9" s="75"/>
      <c r="AC9" s="71"/>
      <c r="AD9" s="71"/>
      <c r="AE9" s="71"/>
      <c r="AF9" s="7"/>
      <c r="AG9" s="7"/>
      <c r="AH9" s="92"/>
      <c r="AI9" s="86"/>
      <c r="AJ9" s="89"/>
      <c r="AK9" s="93"/>
    </row>
    <row r="10" spans="1:37" ht="15.6" x14ac:dyDescent="0.3">
      <c r="A10" s="18" t="str">
        <f>A29</f>
        <v>Inequitable</v>
      </c>
      <c r="B10" t="s">
        <v>77</v>
      </c>
      <c r="E10" s="114">
        <f>F10/SUM(F10:F12)</f>
        <v>1.4370634832734991E-2</v>
      </c>
      <c r="F10" s="115">
        <f>F3*E52</f>
        <v>2466.6558652590656</v>
      </c>
      <c r="G10" s="116">
        <f>G6</f>
        <v>0.27</v>
      </c>
      <c r="H10" s="115">
        <f>L10*(1/F10)</f>
        <v>5.1110182894201888</v>
      </c>
      <c r="I10" s="117"/>
      <c r="J10" s="116">
        <f>J6</f>
        <v>5.8360000000000003</v>
      </c>
      <c r="K10" s="33">
        <f>K6</f>
        <v>0.4541</v>
      </c>
      <c r="L10" s="118">
        <f>P10*N10</f>
        <v>12607.123241044665</v>
      </c>
      <c r="M10" s="118">
        <f>H10-H3</f>
        <v>0.31101828942018894</v>
      </c>
      <c r="N10" s="119">
        <f>E48</f>
        <v>0.01</v>
      </c>
      <c r="O10" s="15"/>
      <c r="P10" s="81">
        <f>P30*(1-E44)</f>
        <v>1260712.3241044665</v>
      </c>
      <c r="Q10" s="77">
        <f>NPV_Roadmap!C33</f>
        <v>274.83358178429671</v>
      </c>
      <c r="R10" s="77">
        <f ca="1">NPV_Roadmap!C67</f>
        <v>323.20611675339285</v>
      </c>
      <c r="S10" s="78">
        <f>K10*(H10*(NPV_Roadmap!C28 + NPV_Baseline!B30)  -   H7*NPV_Baseline!B30) * (NPV_Roadmap!C25+NPV_Roadmap!L25)</f>
        <v>-64.233409021815405</v>
      </c>
      <c r="T10" s="74">
        <f t="shared" si="1"/>
        <v>702.09835319118554</v>
      </c>
      <c r="U10" s="74">
        <f ca="1">H10*R10*K10</f>
        <v>750.13340902389473</v>
      </c>
      <c r="V10" s="71">
        <f t="shared" ref="V10:X12" si="6">V6</f>
        <v>327.47078389970471</v>
      </c>
      <c r="W10" s="71">
        <f t="shared" si="6"/>
        <v>2532.0489928615684</v>
      </c>
      <c r="X10" s="71">
        <f>X6</f>
        <v>1260.65508</v>
      </c>
      <c r="Y10" s="71">
        <f>V10+W10</f>
        <v>2859.5197767612731</v>
      </c>
      <c r="Z10" s="71">
        <f>T10+W10</f>
        <v>3234.1473460527541</v>
      </c>
      <c r="AA10" s="73">
        <f t="shared" si="0"/>
        <v>1.1310106586203745</v>
      </c>
      <c r="AB10" s="75">
        <f>AB6</f>
        <v>2.9812406067520097E-2</v>
      </c>
      <c r="AC10" s="71">
        <f>Z10*F10</f>
        <v>7977528.5202530669</v>
      </c>
      <c r="AD10" s="71">
        <f>AD6</f>
        <v>176336280.72931218</v>
      </c>
      <c r="AE10" s="71">
        <f>AC10-AD10</f>
        <v>-168358752.20905912</v>
      </c>
      <c r="AF10" s="7">
        <f>(AC10+AC11)/AD10</f>
        <v>0.88920193987420604</v>
      </c>
      <c r="AG10" s="7">
        <f>F10*J10/SUMPRODUCT(F10:F12,J10:J12)</f>
        <v>1.4648870510105296E-2</v>
      </c>
      <c r="AH10" s="92">
        <f ca="1">MC_Inequitable!K20</f>
        <v>23.255571571834203</v>
      </c>
      <c r="AI10" s="86"/>
      <c r="AJ10" s="89"/>
      <c r="AK10" s="93">
        <f>AI10*SUM(AD8:AD10)/SUMPRODUCT(F8:F10,J8:J10)</f>
        <v>0</v>
      </c>
    </row>
    <row r="11" spans="1:37" ht="15.6" x14ac:dyDescent="0.3">
      <c r="A11" s="20"/>
      <c r="B11" t="s">
        <v>112</v>
      </c>
      <c r="E11" s="114">
        <f>F11/SUM(F10:F12)</f>
        <v>0.34489523598563976</v>
      </c>
      <c r="F11" s="115">
        <f>F3*(1-E52)</f>
        <v>59199.740766217568</v>
      </c>
      <c r="G11" s="116">
        <f>G7</f>
        <v>0.76279625000000006</v>
      </c>
      <c r="H11" s="115">
        <f>L11*(1/F11)</f>
        <v>7.8155211999853238</v>
      </c>
      <c r="I11" s="117"/>
      <c r="J11" s="116">
        <f t="shared" ref="J11:J20" si="7">J7</f>
        <v>5.8360000000000003</v>
      </c>
      <c r="K11" s="33">
        <f>K6</f>
        <v>0.4541</v>
      </c>
      <c r="L11" s="118">
        <f>P11*N11</f>
        <v>462676.82899200887</v>
      </c>
      <c r="M11" s="118">
        <f>H11-H3</f>
        <v>3.015521199985324</v>
      </c>
      <c r="N11" s="119">
        <v>1</v>
      </c>
      <c r="O11" s="15"/>
      <c r="P11" s="81">
        <f>P29*E46</f>
        <v>462676.82899200887</v>
      </c>
      <c r="Q11" s="77">
        <f>NPV_Roadmap!E33</f>
        <v>22.104966099359416</v>
      </c>
      <c r="R11" s="77">
        <f ca="1">NPV_Roadmap!E67</f>
        <v>25.430715561618889</v>
      </c>
      <c r="S11" s="78">
        <f>K11*(H11*(NPV_Roadmap!E28+NPV_Baseline!B30)  -   H7*NPV_Baseline!B30) * (NPV_Roadmap!E25+NPV_Roadmap!L25)</f>
        <v>96.620308353460814</v>
      </c>
      <c r="T11" s="74">
        <f t="shared" si="1"/>
        <v>-18.169160817120186</v>
      </c>
      <c r="U11" s="74">
        <f ca="1">H11*R11*K11</f>
        <v>90.254326087253872</v>
      </c>
      <c r="V11" s="71">
        <f t="shared" si="6"/>
        <v>327.47078389970471</v>
      </c>
      <c r="W11" s="71">
        <f t="shared" si="6"/>
        <v>2532.0489928615684</v>
      </c>
      <c r="X11" s="71">
        <f t="shared" si="6"/>
        <v>1260.65508</v>
      </c>
      <c r="Y11" s="71">
        <f>V11+W11</f>
        <v>2859.5197767612731</v>
      </c>
      <c r="Z11" s="71">
        <f>T11+W11</f>
        <v>2513.8798320444484</v>
      </c>
      <c r="AA11" s="73">
        <f t="shared" si="0"/>
        <v>0.87912657659311566</v>
      </c>
      <c r="AB11" s="75">
        <f>AB3</f>
        <v>2.9812406067520097E-2</v>
      </c>
      <c r="AC11" s="71">
        <f>Z11*F11</f>
        <v>148821034.3744539</v>
      </c>
      <c r="AD11" s="71">
        <f>AD7</f>
        <v>0</v>
      </c>
      <c r="AE11" s="71">
        <f t="shared" si="3"/>
        <v>148821034.3744539</v>
      </c>
      <c r="AF11" s="7">
        <v>0</v>
      </c>
      <c r="AG11" s="7">
        <f>F11*J11/SUMPRODUCT(F10:F12,J10:J12)</f>
        <v>0.35157289224252708</v>
      </c>
      <c r="AH11" s="92">
        <f ca="1">MC_Inequitable!K20</f>
        <v>23.255571571834203</v>
      </c>
      <c r="AI11" s="86"/>
      <c r="AJ11" s="89"/>
      <c r="AK11" s="93">
        <f>AI11*SUM(AD9:AD11)/SUMPRODUCT(F9:F11,J9:J11)</f>
        <v>0</v>
      </c>
    </row>
    <row r="12" spans="1:37" ht="15.6" x14ac:dyDescent="0.3">
      <c r="A12" s="18"/>
      <c r="B12" t="s">
        <v>113</v>
      </c>
      <c r="E12" s="114">
        <f>F12/SUM(F10:F12)</f>
        <v>0.6407341291816252</v>
      </c>
      <c r="F12" s="115">
        <f>F8</f>
        <v>109979.17741374573</v>
      </c>
      <c r="G12" s="116">
        <f>G8</f>
        <v>0.27</v>
      </c>
      <c r="H12" s="115">
        <f>L12*(1/F12)</f>
        <v>11.348559156502908</v>
      </c>
      <c r="I12" s="117"/>
      <c r="J12" s="116">
        <f t="shared" si="7"/>
        <v>5.6630000000000003</v>
      </c>
      <c r="K12" s="33">
        <f>K8</f>
        <v>0.55710000000000004</v>
      </c>
      <c r="L12" s="118">
        <f t="shared" ref="L12" si="8">P12*N12</f>
        <v>1248105.2008634219</v>
      </c>
      <c r="M12" s="118">
        <f>H12-H4</f>
        <v>8.5485591565029075</v>
      </c>
      <c r="N12" s="119">
        <f>N4*(1-E48)</f>
        <v>0.99</v>
      </c>
      <c r="O12" s="15"/>
      <c r="P12" s="81">
        <f>P30*(1-E44)</f>
        <v>1260712.3241044665</v>
      </c>
      <c r="Q12" s="77">
        <f>NPV_Roadmap!G33</f>
        <v>617.47413431540622</v>
      </c>
      <c r="R12" s="77">
        <f ca="1">NPV_Roadmap!G67</f>
        <v>302.32255971722435</v>
      </c>
      <c r="S12" s="78">
        <f>K12*(H12*(NPV_Roadmap!G28+NPV_Baseline!E30)  -   H8*NPV_Baseline!E30) * (NPV_Roadmap!G25+NPV_Roadmap!L25)</f>
        <v>111.75538396979886</v>
      </c>
      <c r="T12" s="74">
        <f t="shared" si="1"/>
        <v>3792.0904098793571</v>
      </c>
      <c r="U12" s="74">
        <f ca="1">H12*R12*K12</f>
        <v>1911.3685700313708</v>
      </c>
      <c r="V12" s="71">
        <f t="shared" si="6"/>
        <v>414.21383584231251</v>
      </c>
      <c r="W12" s="71">
        <f t="shared" si="6"/>
        <v>2549.5329853259786</v>
      </c>
      <c r="X12" s="71">
        <f t="shared" si="6"/>
        <v>1180.8</v>
      </c>
      <c r="Y12" s="71">
        <f>V12+W12</f>
        <v>2963.7468211682913</v>
      </c>
      <c r="Z12" s="71">
        <f>T12+W12</f>
        <v>6341.6233952053353</v>
      </c>
      <c r="AA12" s="73">
        <f t="shared" si="0"/>
        <v>2.1397318252392101</v>
      </c>
      <c r="AB12" s="75">
        <f>AB8</f>
        <v>2.9812406067520093E-2</v>
      </c>
      <c r="AC12" s="71">
        <f>Z12*F12</f>
        <v>697446524.47244811</v>
      </c>
      <c r="AD12" s="71">
        <f>AD8</f>
        <v>325950437.45469242</v>
      </c>
      <c r="AE12" s="71">
        <f t="shared" si="3"/>
        <v>371496087.01775569</v>
      </c>
      <c r="AF12" s="7">
        <f>AC12/AD12</f>
        <v>2.1397318252392106</v>
      </c>
      <c r="AG12" s="7">
        <f>F12*J12/SUMPRODUCT(F10:F12,J10:J12)</f>
        <v>0.63377823724736759</v>
      </c>
      <c r="AH12" s="92">
        <f ca="1">MC_Inequitable!K20</f>
        <v>23.255571571834203</v>
      </c>
      <c r="AI12" s="86">
        <f>-1+SUM(AC10:AC12)/SUM(AC3:AC4)</f>
        <v>0.79374376822723436</v>
      </c>
      <c r="AJ12" s="89">
        <f ca="1">MC_Inequitable!K20</f>
        <v>23.255571571834203</v>
      </c>
      <c r="AK12" s="93">
        <f>(AI12)*SUM(AD10:AD12)/SUMPRODUCT(F10:F12,J10:J12)</f>
        <v>405.70682770342034</v>
      </c>
    </row>
    <row r="13" spans="1:37" ht="15.6" x14ac:dyDescent="0.3">
      <c r="A13" s="18"/>
      <c r="E13" s="114"/>
      <c r="F13" s="115"/>
      <c r="G13" s="116"/>
      <c r="H13" s="115"/>
      <c r="I13" s="117"/>
      <c r="J13" s="116"/>
      <c r="K13" s="33"/>
      <c r="L13" s="118"/>
      <c r="M13" s="118"/>
      <c r="N13" s="119"/>
      <c r="O13" s="15"/>
      <c r="P13" s="81"/>
      <c r="Q13" s="77"/>
      <c r="R13" s="77"/>
      <c r="S13" s="78"/>
      <c r="T13" s="74"/>
      <c r="U13" s="74"/>
      <c r="V13" s="71"/>
      <c r="W13" s="71"/>
      <c r="X13" s="71"/>
      <c r="Y13" s="71"/>
      <c r="Z13" s="71"/>
      <c r="AA13" s="73"/>
      <c r="AB13" s="75"/>
      <c r="AC13" s="71"/>
      <c r="AD13" s="71"/>
      <c r="AE13" s="71"/>
      <c r="AF13" s="7"/>
      <c r="AG13" s="7"/>
      <c r="AH13" s="92"/>
      <c r="AI13" s="86"/>
      <c r="AJ13" s="89"/>
      <c r="AK13" s="93"/>
    </row>
    <row r="14" spans="1:37" ht="15.6" x14ac:dyDescent="0.3">
      <c r="A14" s="18" t="str">
        <f>A31</f>
        <v>Status quo</v>
      </c>
      <c r="B14" t="s">
        <v>77</v>
      </c>
      <c r="E14" s="114">
        <f>F14/SUM(F14:F16)</f>
        <v>1.4370634832734991E-2</v>
      </c>
      <c r="F14" s="115">
        <f>F3*E53</f>
        <v>2466.6558652590656</v>
      </c>
      <c r="G14" s="116">
        <f>G10</f>
        <v>0.27</v>
      </c>
      <c r="H14" s="115">
        <f>L14*(1/F14)</f>
        <v>5.3173905308108314</v>
      </c>
      <c r="I14" s="117"/>
      <c r="J14" s="116">
        <f t="shared" si="7"/>
        <v>5.8360000000000003</v>
      </c>
      <c r="K14" s="33">
        <f>K11</f>
        <v>0.4541</v>
      </c>
      <c r="L14" s="118">
        <f>P14*N14</f>
        <v>13116.172540697553</v>
      </c>
      <c r="M14" s="118">
        <f>H14-H3</f>
        <v>0.51739053081083153</v>
      </c>
      <c r="N14" s="119">
        <f>E49</f>
        <v>0.01</v>
      </c>
      <c r="O14" s="15"/>
      <c r="P14" s="81">
        <f>P32*(1-E44)</f>
        <v>1311617.2540697553</v>
      </c>
      <c r="Q14" s="77">
        <f>NPV_Roadmap!C33</f>
        <v>274.83358178429671</v>
      </c>
      <c r="R14" s="77">
        <f ca="1">NPV_Roadmap!C67</f>
        <v>323.20611675339285</v>
      </c>
      <c r="S14" s="78">
        <f>K14*(H14*(NPV_Roadmap!C28 + NPV_Baseline!B30)  -   H11*NPV_Baseline!B30) * (NPV_Roadmap!C25+NPV_Roadmap!L25)</f>
        <v>-38.648926312299778</v>
      </c>
      <c r="T14" s="74">
        <f>H14*K14*Q14-S14</f>
        <v>702.26952440003686</v>
      </c>
      <c r="U14" s="74">
        <f ca="1">H14*R14*K14</f>
        <v>780.42222901945502</v>
      </c>
      <c r="V14" s="71">
        <f t="shared" ref="V14:W16" si="9">V10</f>
        <v>327.47078389970471</v>
      </c>
      <c r="W14" s="71">
        <f t="shared" si="9"/>
        <v>2532.0489928615684</v>
      </c>
      <c r="X14" s="71">
        <f t="shared" ref="X14:X20" si="10">X10</f>
        <v>1260.65508</v>
      </c>
      <c r="Y14" s="71">
        <f>V14+W14</f>
        <v>2859.5197767612731</v>
      </c>
      <c r="Z14" s="71">
        <f>T14+W14</f>
        <v>3234.3185172616054</v>
      </c>
      <c r="AA14" s="73">
        <f t="shared" si="0"/>
        <v>1.1310705187445265</v>
      </c>
      <c r="AB14" s="75">
        <f>AB10</f>
        <v>2.9812406067520097E-2</v>
      </c>
      <c r="AC14" s="71">
        <f>Z14*F14</f>
        <v>7977950.7407193435</v>
      </c>
      <c r="AD14" s="71">
        <f>AD10</f>
        <v>176336280.72931218</v>
      </c>
      <c r="AE14" s="71">
        <f>AC14-AD14</f>
        <v>-168358329.98859283</v>
      </c>
      <c r="AF14" s="7">
        <f>(AC14+AC15)/AD14</f>
        <v>0.80560477982028877</v>
      </c>
      <c r="AG14" s="7">
        <f>F14*J14/SUMPRODUCT(F14:F16,J14:J16)</f>
        <v>1.4648870510105296E-2</v>
      </c>
      <c r="AH14" s="92">
        <f ca="1">MC_Status_quo!K20</f>
        <v>22.391691036795056</v>
      </c>
      <c r="AI14" s="86"/>
      <c r="AJ14" s="89"/>
      <c r="AK14" s="93">
        <f>AI14*SUM(AD12:AD14)/SUMPRODUCT(F12:F14,J12:J14)</f>
        <v>0</v>
      </c>
    </row>
    <row r="15" spans="1:37" ht="15.6" x14ac:dyDescent="0.3">
      <c r="A15" s="18"/>
      <c r="B15" t="s">
        <v>112</v>
      </c>
      <c r="E15" s="114">
        <f>F15/SUM(F14:F16)</f>
        <v>0.34489523598563976</v>
      </c>
      <c r="F15" s="115">
        <f>F3*(1-E53)</f>
        <v>59199.740766217568</v>
      </c>
      <c r="G15" s="116">
        <f>G11</f>
        <v>0.76279625000000006</v>
      </c>
      <c r="H15" s="115">
        <f>L15*(1/F15)</f>
        <v>18.784226312492805</v>
      </c>
      <c r="I15" s="117"/>
      <c r="J15" s="116">
        <f t="shared" si="7"/>
        <v>5.8360000000000003</v>
      </c>
      <c r="K15" s="33">
        <f>K3</f>
        <v>0.4541</v>
      </c>
      <c r="L15" s="118">
        <f>P15*N15</f>
        <v>1112021.3281935372</v>
      </c>
      <c r="M15" s="118">
        <f>H15-H3</f>
        <v>13.984226312492805</v>
      </c>
      <c r="N15" s="119">
        <v>1</v>
      </c>
      <c r="O15" s="15"/>
      <c r="P15" s="81">
        <f>P31*E46</f>
        <v>1112021.3281935372</v>
      </c>
      <c r="Q15" s="77">
        <f>NPV_Roadmap!E33</f>
        <v>22.104966099359416</v>
      </c>
      <c r="R15" s="77">
        <f ca="1">NPV_Roadmap!E67</f>
        <v>25.430715561618889</v>
      </c>
      <c r="S15" s="78">
        <f>K15*(H15*(NPV_Roadmap!E28+NPV_Baseline!B30)  -   H11*NPV_Baseline!B30) * (NPV_Roadmap!E25+NPV_Roadmap!L25)</f>
        <v>455.73787743181384</v>
      </c>
      <c r="T15" s="74">
        <f t="shared" si="1"/>
        <v>-267.18434759171157</v>
      </c>
      <c r="U15" s="74">
        <f ca="1">H15*R15*K15</f>
        <v>216.92189727636892</v>
      </c>
      <c r="V15" s="71">
        <f t="shared" si="9"/>
        <v>327.47078389970471</v>
      </c>
      <c r="W15" s="71">
        <f t="shared" si="9"/>
        <v>2532.0489928615684</v>
      </c>
      <c r="X15" s="71">
        <f t="shared" si="10"/>
        <v>1260.65508</v>
      </c>
      <c r="Y15" s="71">
        <f>V15+W15</f>
        <v>2859.5197767612731</v>
      </c>
      <c r="Z15" s="71">
        <f>T15+W15</f>
        <v>2264.8646452698567</v>
      </c>
      <c r="AA15" s="73">
        <f t="shared" si="0"/>
        <v>0.7920437073651122</v>
      </c>
      <c r="AB15" s="75">
        <f>AB11</f>
        <v>2.9812406067520097E-2</v>
      </c>
      <c r="AC15" s="71">
        <f>Z15*F15</f>
        <v>134079399.87054683</v>
      </c>
      <c r="AD15" s="71">
        <f>AD11</f>
        <v>0</v>
      </c>
      <c r="AE15" s="71">
        <f>AC15-AD15</f>
        <v>134079399.87054683</v>
      </c>
      <c r="AF15" s="7">
        <v>0</v>
      </c>
      <c r="AG15" s="7">
        <f>F15*J15/SUMPRODUCT(F14:F16,J14:J16)</f>
        <v>0.35157289224252708</v>
      </c>
      <c r="AH15" s="92">
        <f ca="1">MC_Status_quo!K20</f>
        <v>22.391691036795056</v>
      </c>
      <c r="AI15" s="86"/>
      <c r="AJ15" s="89"/>
      <c r="AK15" s="93">
        <f>AI15*SUM(AD13:AD15)/SUMPRODUCT(F13:F15,J13:J15)</f>
        <v>0</v>
      </c>
    </row>
    <row r="16" spans="1:37" ht="15.6" x14ac:dyDescent="0.3">
      <c r="A16" s="19"/>
      <c r="B16" t="s">
        <v>113</v>
      </c>
      <c r="E16" s="114">
        <f>F16/SUM(F14:F16)</f>
        <v>0.6407341291816252</v>
      </c>
      <c r="F16" s="115">
        <f>F12</f>
        <v>109979.17741374573</v>
      </c>
      <c r="G16" s="116">
        <f>G12</f>
        <v>0.27</v>
      </c>
      <c r="H16" s="115">
        <f>L16*(1/F16)</f>
        <v>11.806790267616286</v>
      </c>
      <c r="I16" s="117"/>
      <c r="J16" s="116">
        <f t="shared" si="7"/>
        <v>5.6630000000000003</v>
      </c>
      <c r="K16" s="33">
        <f>K12</f>
        <v>0.55710000000000004</v>
      </c>
      <c r="L16" s="118">
        <f>P16*N16</f>
        <v>1298501.0815290578</v>
      </c>
      <c r="M16" s="118">
        <f>H16-H4</f>
        <v>9.0067902676162852</v>
      </c>
      <c r="N16" s="119">
        <f>N4*(1-E49)</f>
        <v>0.99</v>
      </c>
      <c r="O16" s="15"/>
      <c r="P16" s="81">
        <f>P32*(1-E44)</f>
        <v>1311617.2540697553</v>
      </c>
      <c r="Q16" s="77">
        <f>NPV_Roadmap!G33</f>
        <v>617.47413431540622</v>
      </c>
      <c r="R16" s="77">
        <f ca="1">NPV_Roadmap!G67</f>
        <v>302.32255971722435</v>
      </c>
      <c r="S16" s="78">
        <f>K16*(H16*(NPV_Roadmap!G28+NPV_Baseline!E30)  -   H12*NPV_Baseline!E30) * (NPV_Roadmap!G25+NPV_Roadmap!L25)</f>
        <v>116.26783291271501</v>
      </c>
      <c r="T16" s="74">
        <f t="shared" si="1"/>
        <v>3945.2070987909797</v>
      </c>
      <c r="U16" s="74">
        <f ca="1">H16*R16*K16</f>
        <v>1988.5456399584186</v>
      </c>
      <c r="V16" s="71">
        <f t="shared" si="9"/>
        <v>414.21383584231251</v>
      </c>
      <c r="W16" s="71">
        <f t="shared" si="9"/>
        <v>2549.5329853259786</v>
      </c>
      <c r="X16" s="71">
        <f t="shared" si="10"/>
        <v>1180.8</v>
      </c>
      <c r="Y16" s="71">
        <f>V16+W16</f>
        <v>2963.7468211682913</v>
      </c>
      <c r="Z16" s="71">
        <f>T16+W16</f>
        <v>6494.7400841169583</v>
      </c>
      <c r="AA16" s="73">
        <f t="shared" si="0"/>
        <v>2.1913950401326017</v>
      </c>
      <c r="AB16" s="75">
        <f>AB12</f>
        <v>2.9812406067520093E-2</v>
      </c>
      <c r="AC16" s="71">
        <f>Z16*F16</f>
        <v>714286171.96726477</v>
      </c>
      <c r="AD16" s="71">
        <f>AD12</f>
        <v>325950437.45469242</v>
      </c>
      <c r="AE16" s="71">
        <f t="shared" si="3"/>
        <v>388335734.51257235</v>
      </c>
      <c r="AF16" s="7">
        <f t="shared" ref="AF16" si="11">AC16/AD16</f>
        <v>2.1913950401326017</v>
      </c>
      <c r="AG16" s="7">
        <f>F16*J16/SUMPRODUCT(F14:F16,J14:J16)</f>
        <v>0.63377823724736759</v>
      </c>
      <c r="AH16" s="92">
        <f ca="1">MC_Status_quo!K20</f>
        <v>22.391691036795056</v>
      </c>
      <c r="AI16" s="86">
        <f>-1+SUM(AC14:AC16)/SUM(AC3:AC4)</f>
        <v>0.79815006232139774</v>
      </c>
      <c r="AJ16" s="89">
        <f ca="1">MC_Status_quo!K20</f>
        <v>22.391691036795056</v>
      </c>
      <c r="AK16" s="93">
        <f>(AI16)*SUM(AD14:AD16)/SUMPRODUCT(F14:F16,J14:J16)</f>
        <v>407.95901999825111</v>
      </c>
    </row>
    <row r="17" spans="1:37" ht="15.6" x14ac:dyDescent="0.3">
      <c r="A17" s="19"/>
      <c r="E17" s="114"/>
      <c r="F17" s="115"/>
      <c r="G17" s="116"/>
      <c r="H17" s="115"/>
      <c r="I17" s="117"/>
      <c r="J17" s="116"/>
      <c r="K17" s="33"/>
      <c r="L17" s="118"/>
      <c r="M17" s="118"/>
      <c r="N17" s="119"/>
      <c r="O17" s="15"/>
      <c r="P17" s="81"/>
      <c r="Q17" s="77"/>
      <c r="R17" s="77"/>
      <c r="S17" s="78"/>
      <c r="T17" s="74"/>
      <c r="U17" s="74"/>
      <c r="V17" s="71"/>
      <c r="W17" s="71"/>
      <c r="X17" s="71"/>
      <c r="Y17" s="71"/>
      <c r="Z17" s="71"/>
      <c r="AA17" s="73"/>
      <c r="AB17" s="75"/>
      <c r="AC17" s="71"/>
      <c r="AD17" s="71"/>
      <c r="AE17" s="71"/>
      <c r="AF17" s="7"/>
      <c r="AG17" s="7"/>
      <c r="AH17" s="92"/>
      <c r="AI17" s="86"/>
      <c r="AJ17" s="89"/>
      <c r="AK17" s="93"/>
    </row>
    <row r="18" spans="1:37" ht="15.6" x14ac:dyDescent="0.3">
      <c r="A18" s="18" t="str">
        <f>A33</f>
        <v>Middle road</v>
      </c>
      <c r="B18" t="s">
        <v>77</v>
      </c>
      <c r="E18" s="114">
        <f>F18/SUM(F18:F20)</f>
        <v>4.131557514411309E-2</v>
      </c>
      <c r="F18" s="115">
        <f>F3*E54</f>
        <v>7091.6356126198125</v>
      </c>
      <c r="G18" s="116">
        <f>G14</f>
        <v>0.27</v>
      </c>
      <c r="H18" s="115">
        <f>L18*(1/F18)</f>
        <v>11.971621023834023</v>
      </c>
      <c r="I18" s="117"/>
      <c r="J18" s="116">
        <f t="shared" si="7"/>
        <v>5.8360000000000003</v>
      </c>
      <c r="K18" s="33">
        <f>K14</f>
        <v>0.4541</v>
      </c>
      <c r="L18" s="118">
        <f>P18*N18</f>
        <v>84898.373993409419</v>
      </c>
      <c r="M18" s="118">
        <f>H18-H3</f>
        <v>7.1716210238340237</v>
      </c>
      <c r="N18" s="119">
        <f>E50</f>
        <v>5.5000000000000007E-2</v>
      </c>
      <c r="O18" s="15"/>
      <c r="P18" s="81">
        <f>P34*(1-E44)</f>
        <v>1543606.799880171</v>
      </c>
      <c r="Q18" s="77">
        <f>NPV_Roadmap!C33</f>
        <v>274.83358178429671</v>
      </c>
      <c r="R18" s="77">
        <f ca="1">NPV_Roadmap!C67</f>
        <v>323.20611675339285</v>
      </c>
      <c r="S18" s="78">
        <f>K18*(H18*(NPV_Roadmap!C28 + NPV_Baseline!B30)  -   H15*NPV_Baseline!B30) * (NPV_Roadmap!C25+NPV_Roadmap!L25)</f>
        <v>-105.39876198035888</v>
      </c>
      <c r="T18" s="74">
        <f t="shared" si="1"/>
        <v>1599.4801648569335</v>
      </c>
      <c r="U18" s="74">
        <f ca="1">H18*R18*K18</f>
        <v>1757.0496487441646</v>
      </c>
      <c r="V18" s="71">
        <f t="shared" ref="V18:W20" si="12">V14</f>
        <v>327.47078389970471</v>
      </c>
      <c r="W18" s="71">
        <f t="shared" si="12"/>
        <v>2532.0489928615684</v>
      </c>
      <c r="X18" s="71">
        <f t="shared" si="10"/>
        <v>1260.65508</v>
      </c>
      <c r="Y18" s="71">
        <f>V18+W18</f>
        <v>2859.5197767612731</v>
      </c>
      <c r="Z18" s="71">
        <f>T18+W18</f>
        <v>4131.5291577185017</v>
      </c>
      <c r="AA18" s="73">
        <f t="shared" si="0"/>
        <v>1.4448332168550071</v>
      </c>
      <c r="AB18" s="75">
        <f>AB14</f>
        <v>2.9812406067520097E-2</v>
      </c>
      <c r="AC18" s="71">
        <f>Z18*F18</f>
        <v>29299299.309453666</v>
      </c>
      <c r="AD18" s="71">
        <f>AD14</f>
        <v>176336280.72931218</v>
      </c>
      <c r="AE18" s="71">
        <f t="shared" si="3"/>
        <v>-147036981.41985852</v>
      </c>
      <c r="AF18" s="7">
        <f>(AC18+AC19)/AD18</f>
        <v>0.97337344531177794</v>
      </c>
      <c r="AG18" s="7">
        <f>F18*J18/SUMPRODUCT(F18:F20,J18:J20)</f>
        <v>4.2115502716552719E-2</v>
      </c>
      <c r="AH18" s="92">
        <f ca="1">MC_Middle_rd!K20</f>
        <v>27.389473320131213</v>
      </c>
      <c r="AI18" s="86"/>
      <c r="AJ18" s="89"/>
      <c r="AK18" s="93">
        <f>AI18*SUM(AD16:AD18)/SUMPRODUCT(F16:F18,J16:J18)</f>
        <v>0</v>
      </c>
    </row>
    <row r="19" spans="1:37" ht="15.6" x14ac:dyDescent="0.3">
      <c r="A19" s="18"/>
      <c r="B19" t="s">
        <v>4</v>
      </c>
      <c r="E19" s="114">
        <f>F19/SUM(F18:F20)</f>
        <v>0.31795029567426164</v>
      </c>
      <c r="F19" s="115">
        <f>F3*(1-E54)</f>
        <v>54574.761018856821</v>
      </c>
      <c r="G19" s="116">
        <f>G15</f>
        <v>0.76279625000000006</v>
      </c>
      <c r="H19" s="115">
        <f>L19*(1/F19)</f>
        <v>10.380220823261974</v>
      </c>
      <c r="I19" s="117"/>
      <c r="J19" s="116">
        <f t="shared" si="7"/>
        <v>5.8360000000000003</v>
      </c>
      <c r="K19" s="33">
        <f>K15</f>
        <v>0.4541</v>
      </c>
      <c r="L19" s="118">
        <f t="shared" ref="L19:L20" si="13">P19*N19</f>
        <v>566498.07075248344</v>
      </c>
      <c r="M19" s="118">
        <f>H19-H3</f>
        <v>5.5802208232619739</v>
      </c>
      <c r="N19" s="119">
        <v>1</v>
      </c>
      <c r="O19" s="15"/>
      <c r="P19" s="81">
        <f>P33*E46</f>
        <v>566498.07075248344</v>
      </c>
      <c r="Q19" s="77">
        <f>NPV_Roadmap!E33</f>
        <v>22.104966099359416</v>
      </c>
      <c r="R19" s="77">
        <f ca="1">NPV_Roadmap!E67</f>
        <v>25.430715561618889</v>
      </c>
      <c r="S19" s="78">
        <f>K19*(H19*(NPV_Roadmap!E28+NPV_Baseline!B30)  -   H15*NPV_Baseline!B30) * (NPV_Roadmap!E25+NPV_Roadmap!L25)</f>
        <v>28.046775913321245</v>
      </c>
      <c r="T19" s="74">
        <f t="shared" si="1"/>
        <v>76.14848047815903</v>
      </c>
      <c r="U19" s="74">
        <f ca="1">H19*R19*K19</f>
        <v>119.87170286764091</v>
      </c>
      <c r="V19" s="71">
        <f t="shared" si="12"/>
        <v>327.47078389970471</v>
      </c>
      <c r="W19" s="71">
        <f t="shared" si="12"/>
        <v>2532.0489928615684</v>
      </c>
      <c r="X19" s="71">
        <f t="shared" si="10"/>
        <v>1260.65508</v>
      </c>
      <c r="Y19" s="71">
        <f>V19+W19</f>
        <v>2859.5197767612731</v>
      </c>
      <c r="Z19" s="71">
        <f>T19+W19</f>
        <v>2608.1974733397274</v>
      </c>
      <c r="AA19" s="73">
        <f t="shared" si="0"/>
        <v>0.91211031115644303</v>
      </c>
      <c r="AB19" s="75">
        <f>AB15</f>
        <v>2.9812406067520097E-2</v>
      </c>
      <c r="AC19" s="71">
        <f>Z19*F19</f>
        <v>142341753.7975018</v>
      </c>
      <c r="AD19" s="71">
        <f>AD15</f>
        <v>0</v>
      </c>
      <c r="AE19" s="71">
        <f t="shared" si="3"/>
        <v>142341753.7975018</v>
      </c>
      <c r="AF19" s="7">
        <v>0</v>
      </c>
      <c r="AG19" s="7">
        <f>F19*J19/SUMPRODUCT(F18:F20,J18:J20)</f>
        <v>0.32410626003607962</v>
      </c>
      <c r="AH19" s="92">
        <f ca="1">MC_Middle_rd!K20</f>
        <v>27.389473320131213</v>
      </c>
      <c r="AI19" s="86"/>
      <c r="AJ19" s="89"/>
      <c r="AK19" s="93">
        <f>AI19*SUM(AD17:AD19)/SUMPRODUCT(F17:F19,J17:J19)</f>
        <v>0</v>
      </c>
    </row>
    <row r="20" spans="1:37" ht="15.6" x14ac:dyDescent="0.3">
      <c r="A20" s="20"/>
      <c r="B20" t="s">
        <v>54</v>
      </c>
      <c r="E20" s="114">
        <f>F20/SUM(F18:F20)</f>
        <v>0.6407341291816252</v>
      </c>
      <c r="F20" s="115">
        <f>F16</f>
        <v>109979.17741374573</v>
      </c>
      <c r="G20" s="116">
        <f>G16</f>
        <v>0.27</v>
      </c>
      <c r="H20" s="115">
        <f>L20*(1/F20)</f>
        <v>13.263496419863612</v>
      </c>
      <c r="I20" s="117"/>
      <c r="J20" s="116">
        <f t="shared" si="7"/>
        <v>5.6630000000000003</v>
      </c>
      <c r="K20" s="33">
        <f>K16</f>
        <v>0.55710000000000004</v>
      </c>
      <c r="L20" s="118">
        <f t="shared" si="13"/>
        <v>1458708.4258867614</v>
      </c>
      <c r="M20" s="118">
        <f>H20-H4</f>
        <v>10.463496419863613</v>
      </c>
      <c r="N20" s="119">
        <f>N4*(1-E50)</f>
        <v>0.94499999999999995</v>
      </c>
      <c r="O20" s="15"/>
      <c r="P20" s="81">
        <f>P34*(1-E44)</f>
        <v>1543606.799880171</v>
      </c>
      <c r="Q20" s="77">
        <f>NPV_Roadmap!G33</f>
        <v>617.47413431540622</v>
      </c>
      <c r="R20" s="77">
        <f ca="1">NPV_Roadmap!G67</f>
        <v>302.32255971722435</v>
      </c>
      <c r="S20" s="78">
        <f>K20*(H20*(NPV_Roadmap!G28+NPV_Baseline!E30)  -   H16*NPV_Baseline!E30) * (NPV_Roadmap!G25+NPV_Roadmap!L25)</f>
        <v>130.61280421088057</v>
      </c>
      <c r="T20" s="74">
        <f>H20*K20*Q20-S20</f>
        <v>4431.9615275929864</v>
      </c>
      <c r="U20" s="74">
        <f ca="1">H20*R20*K20</f>
        <v>2233.8897683873938</v>
      </c>
      <c r="V20" s="71">
        <f t="shared" si="12"/>
        <v>414.21383584231251</v>
      </c>
      <c r="W20" s="71">
        <f t="shared" si="12"/>
        <v>2549.5329853259786</v>
      </c>
      <c r="X20" s="71">
        <f t="shared" si="10"/>
        <v>1180.8</v>
      </c>
      <c r="Y20" s="71">
        <f>V20+W20</f>
        <v>2963.7468211682913</v>
      </c>
      <c r="Z20" s="71">
        <f>T20+W20</f>
        <v>6981.4945129189655</v>
      </c>
      <c r="AA20" s="73">
        <f t="shared" si="0"/>
        <v>2.355631210822152</v>
      </c>
      <c r="AB20" s="75">
        <f>AB16</f>
        <v>2.9812406067520093E-2</v>
      </c>
      <c r="AC20" s="71">
        <f>Z20*F20</f>
        <v>767819023.64940715</v>
      </c>
      <c r="AD20" s="71">
        <f>AD16</f>
        <v>325950437.45469242</v>
      </c>
      <c r="AE20" s="71">
        <f t="shared" si="3"/>
        <v>441868586.19471473</v>
      </c>
      <c r="AF20" s="7">
        <f>AC20/AD20</f>
        <v>2.3556312108221515</v>
      </c>
      <c r="AG20" s="7">
        <f>F20*J20/SUMPRODUCT(F18:F20,J18:J20)</f>
        <v>0.63377823724736759</v>
      </c>
      <c r="AH20" s="92">
        <f ca="1">MC_Middle_rd!K20</f>
        <v>27.389473320131213</v>
      </c>
      <c r="AI20" s="86">
        <f>-1+SUM(AC18:AC20)/SUM(AC3:AC4)</f>
        <v>0.97267819634030395</v>
      </c>
      <c r="AJ20" s="89">
        <f ca="1">MC_Middle_rd!K20</f>
        <v>27.389473320131213</v>
      </c>
      <c r="AK20" s="93">
        <f>(AI20)*SUM(AD18:AD20)/SUMPRODUCT(F18:F20,J18:J20)</f>
        <v>497.16571166897802</v>
      </c>
    </row>
    <row r="21" spans="1:37" x14ac:dyDescent="0.3">
      <c r="A21" s="2"/>
      <c r="I21" s="47"/>
      <c r="N21" s="3"/>
      <c r="O21" s="3"/>
      <c r="R21" s="8"/>
      <c r="S21" s="8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101" t="s">
        <v>76</v>
      </c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45"/>
      <c r="J24" s="39"/>
      <c r="K24" s="1"/>
      <c r="L24" t="s">
        <v>74</v>
      </c>
      <c r="M24" t="s">
        <v>75</v>
      </c>
      <c r="N24" t="s">
        <v>1</v>
      </c>
      <c r="O24" t="s">
        <v>2</v>
      </c>
      <c r="P24" t="s">
        <v>3</v>
      </c>
      <c r="AC24" s="7"/>
      <c r="AE24" s="24"/>
    </row>
    <row r="25" spans="1:37" x14ac:dyDescent="0.3">
      <c r="A25" s="2" t="s">
        <v>158</v>
      </c>
      <c r="B25" t="s">
        <v>4</v>
      </c>
      <c r="E25" s="59">
        <f>[6]Rungwe!D19</f>
        <v>1.0324753493684273</v>
      </c>
      <c r="F25" s="88">
        <f>1-F26</f>
        <v>0.31610000000000005</v>
      </c>
      <c r="G25" s="10"/>
      <c r="H25" s="4">
        <f>F25*Q41</f>
        <v>314892.23811817856</v>
      </c>
      <c r="I25" s="4"/>
      <c r="J25" s="4"/>
      <c r="L25" s="4">
        <f>H25*E25^12</f>
        <v>462081.15205524612</v>
      </c>
      <c r="M25" s="24">
        <f>L25/(L25+L26)</f>
        <v>0.28960993500030624</v>
      </c>
      <c r="N25" s="3">
        <f>SUM(L25+L26)</f>
        <v>1595529.3524538705</v>
      </c>
      <c r="O25">
        <v>1</v>
      </c>
      <c r="P25" s="40">
        <f>N25*O25*M25</f>
        <v>462081.15205524612</v>
      </c>
      <c r="Q25" s="96"/>
    </row>
    <row r="26" spans="1:37" x14ac:dyDescent="0.3">
      <c r="A26" s="2"/>
      <c r="B26" t="s">
        <v>5</v>
      </c>
      <c r="E26" s="59">
        <f>[6]Rungwe!D20</f>
        <v>1.0433322562243532</v>
      </c>
      <c r="F26" s="59">
        <f>[2]prod_herd_data!J3</f>
        <v>0.68389999999999995</v>
      </c>
      <c r="H26" s="4">
        <f>F26*Q41</f>
        <v>681286.93973116821</v>
      </c>
      <c r="I26" s="4"/>
      <c r="J26" s="4"/>
      <c r="L26" s="4">
        <f>H26*E26^12</f>
        <v>1133448.2003986244</v>
      </c>
      <c r="M26" s="4">
        <f>L26/(L25+L26)</f>
        <v>0.71039006499969382</v>
      </c>
      <c r="N26" s="3"/>
      <c r="O26">
        <v>1</v>
      </c>
      <c r="P26" s="40">
        <f>N25*O26*M26</f>
        <v>1133448.2003986244</v>
      </c>
      <c r="Q26" s="24">
        <f>P26/(P25+P26)</f>
        <v>0.71039006499969382</v>
      </c>
    </row>
    <row r="27" spans="1:37" x14ac:dyDescent="0.3">
      <c r="A27" s="2" t="str">
        <f>[2]prod_herd_data!A24</f>
        <v>Inclusive</v>
      </c>
      <c r="B27" t="s">
        <v>4</v>
      </c>
      <c r="P27" s="40">
        <f>([2]prod_herd_data!J25*[2]prod_herd_data!J30+[2]prod_herd_data!K25*[2]prod_herd_data!K30)</f>
        <v>492209.39254469034</v>
      </c>
      <c r="Q27" s="24"/>
    </row>
    <row r="28" spans="1:37" x14ac:dyDescent="0.3">
      <c r="A28" s="2"/>
      <c r="B28" t="s">
        <v>5</v>
      </c>
      <c r="H28" s="4"/>
      <c r="I28" s="4"/>
      <c r="J28" s="4"/>
      <c r="L28" s="4"/>
      <c r="P28" s="40">
        <f>([2]prod_herd_data!J24*[2]prod_herd_data!J30+[2]prod_herd_data!K24*[2]prod_herd_data!K30)</f>
        <v>2789186.5577532449</v>
      </c>
      <c r="Q28" s="24">
        <f>P28/(P27+P28)</f>
        <v>0.85</v>
      </c>
    </row>
    <row r="29" spans="1:37" x14ac:dyDescent="0.3">
      <c r="A29" s="2" t="str">
        <f>[2]prod_herd_data!A33</f>
        <v>Inequitable</v>
      </c>
      <c r="B29" t="s">
        <v>4</v>
      </c>
      <c r="P29" s="40">
        <f>([2]prod_herd_data!J34*[2]prod_herd_data!J39+[2]prod_herd_data!K34*[2]prod_herd_data!K39)</f>
        <v>492209.39254469034</v>
      </c>
      <c r="Q29" s="24"/>
    </row>
    <row r="30" spans="1:37" x14ac:dyDescent="0.3">
      <c r="A30" s="2"/>
      <c r="B30" t="s">
        <v>5</v>
      </c>
      <c r="P30" s="40">
        <f>([2]prod_herd_data!J33*[2]prod_herd_data!J39+[2]prod_herd_data!K33*[2]prod_herd_data!K39)</f>
        <v>2789186.5577532449</v>
      </c>
      <c r="Q30" s="24">
        <f t="shared" ref="Q30:Q34" si="14">P30/(P29+P30)</f>
        <v>0.85</v>
      </c>
    </row>
    <row r="31" spans="1:37" x14ac:dyDescent="0.3">
      <c r="A31" s="2" t="str">
        <f>[2]prod_herd_data!A42</f>
        <v>Status quo</v>
      </c>
      <c r="B31" t="s">
        <v>4</v>
      </c>
      <c r="O31" s="4">
        <f>H25*(E25^12)*([2]prod_herd_data!$D$49*[2]prod_herd_data!$D$5+[2]prod_herd_data!$E$49*[2]prod_herd_data!$E$5)</f>
        <v>1385340.7841198549</v>
      </c>
      <c r="P31" s="40">
        <f>([2]prod_herd_data!J43*[2]prod_herd_data!J48+[2]prod_herd_data!K43*[2]prod_herd_data!K48)</f>
        <v>1183001.4129718482</v>
      </c>
      <c r="Q31" s="24"/>
    </row>
    <row r="32" spans="1:37" x14ac:dyDescent="0.3">
      <c r="A32" s="2"/>
      <c r="B32" t="s">
        <v>5</v>
      </c>
      <c r="P32" s="40">
        <f>([2]prod_herd_data!J42*[2]prod_herd_data!J48+[2]prod_herd_data!K42*[2]prod_herd_data!K48)</f>
        <v>2901808.0842251228</v>
      </c>
      <c r="Q32" s="24">
        <f t="shared" si="14"/>
        <v>0.71039006499969382</v>
      </c>
    </row>
    <row r="33" spans="1:21" x14ac:dyDescent="0.3">
      <c r="A33" s="2" t="str">
        <f>[2]prod_herd_data!A51</f>
        <v>Middle road</v>
      </c>
      <c r="B33" t="s">
        <v>4</v>
      </c>
      <c r="O33" s="4"/>
      <c r="P33" s="40">
        <f>([2]prod_herd_data!J57*[2]prod_herd_data!J52+[2]prod_herd_data!K57*[2]prod_herd_data!K52)</f>
        <v>602657.52207711013</v>
      </c>
      <c r="Q33" s="24"/>
    </row>
    <row r="34" spans="1:21" x14ac:dyDescent="0.3">
      <c r="B34" t="s">
        <v>5</v>
      </c>
      <c r="O34" s="4"/>
      <c r="P34" s="40">
        <f>([2]prod_herd_data!J57*[2]prod_herd_data!J51+[2]prod_herd_data!K57*[2]prod_herd_data!K51)</f>
        <v>3415059.2917702901</v>
      </c>
      <c r="Q34" s="24">
        <f t="shared" si="14"/>
        <v>0.85</v>
      </c>
    </row>
    <row r="37" spans="1:21" x14ac:dyDescent="0.3">
      <c r="E37" s="25"/>
    </row>
    <row r="38" spans="1:21" x14ac:dyDescent="0.3">
      <c r="E38" s="25"/>
    </row>
    <row r="41" spans="1:21" x14ac:dyDescent="0.3">
      <c r="P41" s="126" t="s">
        <v>164</v>
      </c>
      <c r="Q41" s="127">
        <f>([2]prod_herd_data!J8+[2]prod_herd_data!K8)</f>
        <v>996179.17784934677</v>
      </c>
    </row>
    <row r="42" spans="1:21" x14ac:dyDescent="0.3">
      <c r="B42" s="112" t="s">
        <v>108</v>
      </c>
      <c r="C42" s="112"/>
      <c r="D42" s="112"/>
      <c r="E42" s="112"/>
      <c r="F42" s="112" t="s">
        <v>26</v>
      </c>
      <c r="G42" s="112"/>
      <c r="H42" s="112"/>
    </row>
    <row r="43" spans="1:21" x14ac:dyDescent="0.3">
      <c r="B43" s="112"/>
      <c r="C43" s="112"/>
      <c r="D43" s="112"/>
      <c r="E43" s="112"/>
      <c r="F43" s="112"/>
      <c r="G43" s="112"/>
      <c r="H43" s="112"/>
    </row>
    <row r="44" spans="1:21" x14ac:dyDescent="0.3">
      <c r="B44" s="112" t="s">
        <v>61</v>
      </c>
      <c r="C44" s="112"/>
      <c r="D44" s="112"/>
      <c r="E44" s="112">
        <f>0.548</f>
        <v>0.54800000000000004</v>
      </c>
      <c r="F44" s="112"/>
      <c r="G44" s="112"/>
      <c r="H44" s="112"/>
    </row>
    <row r="45" spans="1:21" x14ac:dyDescent="0.3">
      <c r="B45" s="112" t="s">
        <v>62</v>
      </c>
      <c r="C45" s="112"/>
      <c r="D45" s="112"/>
      <c r="E45" s="112">
        <f>0.548</f>
        <v>0.54800000000000004</v>
      </c>
      <c r="F45" s="112"/>
      <c r="G45" s="112"/>
      <c r="H45" s="112"/>
    </row>
    <row r="46" spans="1:21" x14ac:dyDescent="0.3">
      <c r="B46" s="112" t="s">
        <v>63</v>
      </c>
      <c r="C46" s="112"/>
      <c r="D46" s="112"/>
      <c r="E46" s="112">
        <f>0.94</f>
        <v>0.94</v>
      </c>
      <c r="F46" s="112"/>
      <c r="G46" s="112"/>
      <c r="H46" s="112"/>
    </row>
    <row r="47" spans="1:21" x14ac:dyDescent="0.3">
      <c r="B47" s="112" t="s">
        <v>25</v>
      </c>
      <c r="C47" s="112"/>
      <c r="D47" s="112"/>
      <c r="E47" s="112">
        <f>0.1</f>
        <v>0.1</v>
      </c>
      <c r="F47" s="112"/>
      <c r="G47" s="112"/>
      <c r="H47" s="112"/>
      <c r="R47" s="2" t="s">
        <v>163</v>
      </c>
    </row>
    <row r="48" spans="1:21" x14ac:dyDescent="0.3">
      <c r="B48" s="112" t="s">
        <v>23</v>
      </c>
      <c r="C48" s="112"/>
      <c r="D48" s="112"/>
      <c r="E48" s="112">
        <f>0.01</f>
        <v>0.01</v>
      </c>
      <c r="F48" s="112"/>
      <c r="G48" s="112"/>
      <c r="H48" s="112"/>
      <c r="R48" s="120" t="s">
        <v>36</v>
      </c>
      <c r="S48" s="21"/>
      <c r="T48" s="11"/>
      <c r="U48" s="11"/>
    </row>
    <row r="49" spans="2:19" x14ac:dyDescent="0.3">
      <c r="B49" s="112" t="s">
        <v>56</v>
      </c>
      <c r="C49" s="112"/>
      <c r="D49" s="112"/>
      <c r="E49" s="112">
        <f>E48</f>
        <v>0.01</v>
      </c>
      <c r="F49" s="112"/>
      <c r="G49" s="112"/>
      <c r="H49" s="112"/>
      <c r="P49" s="21"/>
      <c r="R49" s="112" t="s">
        <v>45</v>
      </c>
      <c r="S49" s="29"/>
    </row>
    <row r="50" spans="2:19" x14ac:dyDescent="0.3">
      <c r="B50" s="112" t="s">
        <v>27</v>
      </c>
      <c r="C50" s="112"/>
      <c r="D50" s="112"/>
      <c r="E50" s="112">
        <f>E48+(E47-E48)/2</f>
        <v>5.5000000000000007E-2</v>
      </c>
      <c r="F50" s="112"/>
      <c r="G50" s="112"/>
      <c r="H50" s="112" t="s">
        <v>157</v>
      </c>
      <c r="P50" s="21"/>
      <c r="R50" s="125" t="s">
        <v>24</v>
      </c>
      <c r="S50" s="29"/>
    </row>
    <row r="51" spans="2:19" x14ac:dyDescent="0.3">
      <c r="B51" s="112" t="s">
        <v>109</v>
      </c>
      <c r="C51" s="112"/>
      <c r="D51" s="112"/>
      <c r="E51" s="113">
        <f>0.19</f>
        <v>0.19</v>
      </c>
      <c r="F51" s="113">
        <f>(E6+E8*H51)/SUM(E6,E7,E8*H51)</f>
        <v>0.69621885173612996</v>
      </c>
      <c r="G51" s="54"/>
      <c r="H51" s="112">
        <f>1-0.06563707</f>
        <v>0.93436293000000004</v>
      </c>
      <c r="P51" s="29"/>
      <c r="R51" s="22"/>
      <c r="S51" s="22"/>
    </row>
    <row r="52" spans="2:19" x14ac:dyDescent="0.3">
      <c r="B52" s="112" t="s">
        <v>110</v>
      </c>
      <c r="C52" s="112"/>
      <c r="D52" s="112"/>
      <c r="E52" s="113">
        <f>0.04</f>
        <v>0.04</v>
      </c>
      <c r="F52" s="113">
        <f>(E10+E12*H51)/SUM(E10,E11,E12*H51)</f>
        <v>0.63996308353911713</v>
      </c>
      <c r="G52" s="54"/>
      <c r="H52" s="112"/>
      <c r="P52" s="22"/>
      <c r="R52" s="30"/>
      <c r="S52" s="30"/>
    </row>
    <row r="53" spans="2:19" x14ac:dyDescent="0.3">
      <c r="B53" s="112" t="s">
        <v>111</v>
      </c>
      <c r="C53" s="112"/>
      <c r="D53" s="112"/>
      <c r="E53" s="113">
        <f>E52</f>
        <v>0.04</v>
      </c>
      <c r="F53" s="113">
        <f>(E14+E16*H51)/SUM(E14,E15,E16*H51)</f>
        <v>0.63996308353911713</v>
      </c>
      <c r="G53" s="54"/>
      <c r="H53" s="112"/>
      <c r="P53" s="22"/>
      <c r="R53" s="30"/>
      <c r="S53" s="30"/>
    </row>
    <row r="54" spans="2:19" x14ac:dyDescent="0.3">
      <c r="B54" s="112" t="s">
        <v>57</v>
      </c>
      <c r="C54" s="112"/>
      <c r="D54" s="112"/>
      <c r="E54" s="113">
        <f>E52+(E51-E52)*0.5</f>
        <v>0.11499999999999999</v>
      </c>
      <c r="F54" s="113">
        <f>(E18+E20*H51)/SUM(E18,E19,E20*H51)</f>
        <v>0.66809096763762355</v>
      </c>
      <c r="G54" s="54"/>
      <c r="H54" s="112"/>
      <c r="P54" s="30"/>
      <c r="R54" s="31"/>
      <c r="S54" s="31"/>
    </row>
    <row r="55" spans="2:19" x14ac:dyDescent="0.3">
      <c r="B55" s="66"/>
      <c r="C55" s="66"/>
      <c r="D55" s="66"/>
      <c r="E55" s="66"/>
      <c r="F55" s="66"/>
      <c r="G55" s="66"/>
      <c r="H55" s="66"/>
      <c r="P55" s="31"/>
      <c r="R55" s="32"/>
      <c r="S55" s="32"/>
    </row>
    <row r="56" spans="2:19" x14ac:dyDescent="0.3">
      <c r="P56" s="32"/>
      <c r="Q56" s="21">
        <f>[1]All!$B$12</f>
        <v>259</v>
      </c>
      <c r="R56" s="21" t="s">
        <v>43</v>
      </c>
      <c r="S56" s="21"/>
    </row>
    <row r="58" spans="2:19" x14ac:dyDescent="0.3">
      <c r="G58" s="44"/>
      <c r="H58" s="44"/>
      <c r="I58" s="44"/>
      <c r="J58" s="44"/>
      <c r="K58" s="44"/>
    </row>
    <row r="59" spans="2:19" ht="15.6" x14ac:dyDescent="0.3">
      <c r="G59" s="44"/>
      <c r="H59" s="44"/>
      <c r="I59" s="44"/>
      <c r="J59" s="44"/>
      <c r="K59" s="44"/>
      <c r="Q59" s="49"/>
    </row>
    <row r="60" spans="2:19" x14ac:dyDescent="0.3">
      <c r="G60" s="44"/>
      <c r="H60" s="44"/>
      <c r="I60" s="44"/>
      <c r="J60" s="44"/>
      <c r="K60" s="44"/>
    </row>
    <row r="62" spans="2:19" x14ac:dyDescent="0.3">
      <c r="G62" s="40"/>
      <c r="H62" s="40"/>
      <c r="I62" s="40"/>
      <c r="J62" s="40"/>
      <c r="K62" s="40"/>
    </row>
    <row r="63" spans="2:19" x14ac:dyDescent="0.3">
      <c r="G63" s="40"/>
      <c r="H63" s="40"/>
      <c r="I63" s="40"/>
      <c r="J63" s="40"/>
      <c r="K63" s="40"/>
    </row>
    <row r="64" spans="2:19" x14ac:dyDescent="0.3">
      <c r="G64" s="40"/>
      <c r="H64" s="40"/>
      <c r="I64" s="40"/>
      <c r="J64" s="40"/>
      <c r="K64" s="40"/>
    </row>
    <row r="66" spans="6:10" x14ac:dyDescent="0.3">
      <c r="J66" s="44"/>
    </row>
    <row r="70" spans="6:10" x14ac:dyDescent="0.3">
      <c r="J70" s="44"/>
    </row>
    <row r="73" spans="6:10" x14ac:dyDescent="0.3">
      <c r="F73" s="43"/>
      <c r="G73" s="43"/>
      <c r="H73" s="43"/>
      <c r="I73" s="43"/>
      <c r="J73" s="43"/>
    </row>
    <row r="74" spans="6:10" x14ac:dyDescent="0.3">
      <c r="F74" s="43"/>
      <c r="G74" s="43"/>
      <c r="H74" s="43"/>
      <c r="I74" s="43"/>
      <c r="J74" s="43"/>
    </row>
    <row r="75" spans="6:10" x14ac:dyDescent="0.3">
      <c r="F75" s="43"/>
      <c r="G75" s="43"/>
      <c r="H75" s="43"/>
      <c r="I75" s="43"/>
      <c r="J75" s="43"/>
    </row>
    <row r="77" spans="6:10" x14ac:dyDescent="0.3">
      <c r="H77" s="43"/>
      <c r="I77" s="43"/>
    </row>
    <row r="78" spans="6:10" x14ac:dyDescent="0.3">
      <c r="F78" s="42"/>
      <c r="G78" s="42"/>
      <c r="H78" s="42"/>
      <c r="I78" s="42"/>
      <c r="J78" s="42"/>
    </row>
    <row r="79" spans="6:10" x14ac:dyDescent="0.3">
      <c r="F79" s="42"/>
      <c r="G79" s="42"/>
      <c r="H79" s="42"/>
      <c r="I79" s="42"/>
      <c r="J79" s="42"/>
    </row>
    <row r="80" spans="6:10" x14ac:dyDescent="0.3">
      <c r="F80" s="42"/>
      <c r="G80" s="42"/>
      <c r="H80" s="42"/>
      <c r="I80" s="42"/>
      <c r="J80" s="42"/>
    </row>
    <row r="81" spans="6:13" x14ac:dyDescent="0.3">
      <c r="H81" s="43"/>
      <c r="I81" s="43"/>
    </row>
    <row r="85" spans="6:13" x14ac:dyDescent="0.3">
      <c r="H85" s="43"/>
      <c r="I85" s="43"/>
      <c r="J85" s="40"/>
      <c r="K85" s="40"/>
      <c r="L85" s="40"/>
      <c r="M85" s="40"/>
    </row>
    <row r="86" spans="6:13" x14ac:dyDescent="0.3">
      <c r="J86" s="40"/>
      <c r="K86" s="40"/>
      <c r="L86" s="40"/>
      <c r="M86" s="40"/>
    </row>
    <row r="87" spans="6:13" x14ac:dyDescent="0.3">
      <c r="J87" s="40"/>
      <c r="K87" s="40"/>
      <c r="L87" s="40"/>
      <c r="M87" s="40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6"/>
      <c r="E102" s="16"/>
      <c r="F102" s="16"/>
      <c r="G102" s="3"/>
      <c r="H102" s="3"/>
      <c r="I102" s="3"/>
      <c r="J102" s="41"/>
      <c r="K102" s="3"/>
    </row>
    <row r="103" spans="4:11" x14ac:dyDescent="0.3">
      <c r="D103" s="16"/>
      <c r="E103" s="16"/>
      <c r="F103" s="16"/>
      <c r="G103" s="3"/>
      <c r="H103" s="3"/>
      <c r="I103" s="3"/>
      <c r="J103" s="36"/>
      <c r="K103" s="3"/>
    </row>
    <row r="104" spans="4:11" x14ac:dyDescent="0.3">
      <c r="D104" s="16"/>
      <c r="E104" s="16"/>
      <c r="F104" s="16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42"/>
      <c r="H106" s="42"/>
      <c r="I106" s="42"/>
      <c r="J106" s="42"/>
      <c r="K106" s="42"/>
    </row>
    <row r="107" spans="4:11" x14ac:dyDescent="0.3">
      <c r="G107" s="42"/>
      <c r="H107" s="42"/>
      <c r="I107" s="42"/>
      <c r="J107" s="42"/>
      <c r="K107" s="42"/>
    </row>
    <row r="108" spans="4:11" x14ac:dyDescent="0.3">
      <c r="D108" s="40"/>
      <c r="E108" s="40"/>
      <c r="F108" s="40"/>
      <c r="G108" s="42"/>
      <c r="H108" s="42"/>
      <c r="I108" s="42"/>
      <c r="J108" s="42"/>
      <c r="K108" s="42"/>
    </row>
    <row r="109" spans="4:11" x14ac:dyDescent="0.3">
      <c r="D109" s="40"/>
      <c r="E109" s="40"/>
      <c r="F109" s="40"/>
    </row>
    <row r="110" spans="4:11" x14ac:dyDescent="0.3">
      <c r="D110" s="40"/>
      <c r="E110" s="40"/>
      <c r="F110" s="40"/>
      <c r="G110" s="40"/>
    </row>
    <row r="113" spans="10:10" x14ac:dyDescent="0.3">
      <c r="J113" s="3"/>
    </row>
  </sheetData>
  <mergeCells count="5">
    <mergeCell ref="Q1:U1"/>
    <mergeCell ref="V1:AA1"/>
    <mergeCell ref="AB1:AH1"/>
    <mergeCell ref="C1:P1"/>
    <mergeCell ref="E23:P2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C3:J129"/>
  <sheetViews>
    <sheetView workbookViewId="0">
      <selection activeCell="D21" sqref="D21"/>
    </sheetView>
  </sheetViews>
  <sheetFormatPr defaultRowHeight="14.4" x14ac:dyDescent="0.3"/>
  <cols>
    <col min="3" max="3" width="37" customWidth="1"/>
    <col min="4" max="4" width="12.77734375" customWidth="1"/>
    <col min="5" max="5" width="14" customWidth="1"/>
    <col min="7" max="7" width="19.77734375" bestFit="1" customWidth="1"/>
    <col min="8" max="8" width="8.88671875" customWidth="1"/>
    <col min="9" max="9" width="31.5546875" customWidth="1"/>
  </cols>
  <sheetData>
    <row r="3" spans="3:9" x14ac:dyDescent="0.3">
      <c r="D3" s="55"/>
      <c r="E3" s="55"/>
      <c r="G3" s="2"/>
      <c r="H3" s="2"/>
      <c r="I3" s="2"/>
    </row>
    <row r="4" spans="3:9" x14ac:dyDescent="0.3">
      <c r="D4" s="2" t="s">
        <v>4</v>
      </c>
      <c r="E4" s="2" t="s">
        <v>5</v>
      </c>
      <c r="G4" s="2" t="s">
        <v>78</v>
      </c>
      <c r="H4" s="2"/>
      <c r="I4" s="2"/>
    </row>
    <row r="5" spans="3:9" x14ac:dyDescent="0.3">
      <c r="C5" t="s">
        <v>81</v>
      </c>
      <c r="D5" s="40">
        <f>Mappings!Q3</f>
        <v>102.38197935134957</v>
      </c>
      <c r="E5" s="40">
        <f>Mappings!Q4</f>
        <v>159.61062489481509</v>
      </c>
      <c r="F5" s="40"/>
      <c r="G5" s="40"/>
      <c r="H5" s="40"/>
      <c r="I5" s="40"/>
    </row>
    <row r="6" spans="3:9" x14ac:dyDescent="0.3">
      <c r="C6" t="s">
        <v>82</v>
      </c>
      <c r="D6" s="40">
        <f ca="1">_xlfn.NORM.INV(RAND(),Mappings!Q3,Mappings!R3)</f>
        <v>167.75388403583054</v>
      </c>
      <c r="E6" s="40">
        <f ca="1">_xlfn.NORM.INV(RAND(),Mappings!Q4,Mappings!R4)</f>
        <v>503.7120243788429</v>
      </c>
      <c r="F6" s="40"/>
      <c r="G6" s="40"/>
      <c r="H6" s="40"/>
      <c r="I6" s="40"/>
    </row>
    <row r="7" spans="3:9" x14ac:dyDescent="0.3">
      <c r="C7" t="s">
        <v>83</v>
      </c>
      <c r="D7" s="40">
        <f>Mappings!H3*Mappings!K3</f>
        <v>2.1796799999999998</v>
      </c>
      <c r="E7" s="40">
        <f>Mappings!H4*Mappings!K4</f>
        <v>1.5598799999999999</v>
      </c>
      <c r="F7" s="40"/>
      <c r="G7" s="40"/>
      <c r="H7" s="40"/>
      <c r="I7" s="40"/>
    </row>
    <row r="8" spans="3:9" x14ac:dyDescent="0.3">
      <c r="C8" t="s">
        <v>84</v>
      </c>
      <c r="D8" s="40">
        <f ca="1">_xlfn.NORM.INV(RAND(),D7,D7*Mappings!G3)</f>
        <v>2.7820186283500292</v>
      </c>
      <c r="E8" s="40">
        <f ca="1">_xlfn.NORM.INV(RAND(),E7,E7*Mappings!G4)</f>
        <v>1.3190616482334789</v>
      </c>
      <c r="F8" s="40"/>
      <c r="G8" s="40"/>
      <c r="H8" s="40"/>
      <c r="I8" s="40"/>
    </row>
    <row r="9" spans="3:9" x14ac:dyDescent="0.3">
      <c r="C9" t="s">
        <v>85</v>
      </c>
      <c r="D9" s="40">
        <f>Mappings!W3</f>
        <v>2532.0489928615684</v>
      </c>
      <c r="E9" s="40">
        <f>Mappings!W4</f>
        <v>2549.5329853259786</v>
      </c>
      <c r="F9" s="40"/>
      <c r="G9" s="40"/>
      <c r="H9" s="40"/>
      <c r="I9" s="40"/>
    </row>
    <row r="10" spans="3:9" x14ac:dyDescent="0.3">
      <c r="C10" t="s">
        <v>86</v>
      </c>
      <c r="D10" s="40">
        <f ca="1">_xlfn.NORM.INV(RAND(),D9,Mappings!X3)</f>
        <v>3959.3881796759224</v>
      </c>
      <c r="E10" s="40">
        <f ca="1">_xlfn.NORM.INV(RAND(),E9,Mappings!X4)</f>
        <v>3352.6699322609447</v>
      </c>
      <c r="F10" s="40"/>
      <c r="G10" s="40"/>
      <c r="H10" s="40"/>
      <c r="I10" s="40"/>
    </row>
    <row r="11" spans="3:9" x14ac:dyDescent="0.3">
      <c r="C11" t="s">
        <v>87</v>
      </c>
      <c r="D11" s="40">
        <f>Mappings!F3</f>
        <v>61666.396631476637</v>
      </c>
      <c r="E11" s="40">
        <f>Mappings!F4</f>
        <v>109979.17741374573</v>
      </c>
      <c r="F11" s="40"/>
      <c r="G11" s="40"/>
      <c r="H11" s="40"/>
      <c r="I11" s="40"/>
    </row>
    <row r="12" spans="3:9" x14ac:dyDescent="0.3">
      <c r="C12" t="s">
        <v>88</v>
      </c>
      <c r="D12" s="40">
        <f>Mappings!AB3*D11</f>
        <v>1838.4236570983348</v>
      </c>
      <c r="E12" s="40">
        <f>Mappings!AB4*E11</f>
        <v>3278.7438960304216</v>
      </c>
      <c r="F12" s="40"/>
      <c r="G12" s="40"/>
      <c r="H12" s="40"/>
      <c r="I12" s="40"/>
    </row>
    <row r="13" spans="3:9" x14ac:dyDescent="0.3">
      <c r="D13" s="40"/>
      <c r="E13" s="40"/>
      <c r="F13" s="40"/>
      <c r="G13" s="40"/>
      <c r="H13" s="40"/>
      <c r="I13" s="40"/>
    </row>
    <row r="14" spans="3:9" x14ac:dyDescent="0.3">
      <c r="C14" t="s">
        <v>89</v>
      </c>
      <c r="D14" s="40">
        <f ca="1">D6*D8</f>
        <v>466.69443036575115</v>
      </c>
      <c r="E14" s="40">
        <f ca="1">E6*E8</f>
        <v>664.42721311217883</v>
      </c>
      <c r="F14" s="40"/>
      <c r="G14" s="40"/>
      <c r="H14" s="40"/>
      <c r="I14" s="40"/>
    </row>
    <row r="15" spans="3:9" x14ac:dyDescent="0.3">
      <c r="C15" t="s">
        <v>90</v>
      </c>
      <c r="D15" s="40">
        <f ca="1">D10</f>
        <v>3959.3881796759224</v>
      </c>
      <c r="E15" s="40">
        <f ca="1">E10</f>
        <v>3352.6699322609447</v>
      </c>
      <c r="F15" s="40"/>
      <c r="G15" s="40"/>
      <c r="H15" s="40"/>
      <c r="I15" s="40"/>
    </row>
    <row r="16" spans="3:9" x14ac:dyDescent="0.3">
      <c r="C16" t="s">
        <v>87</v>
      </c>
      <c r="D16" s="40">
        <f ca="1">_xlfn.NORM.INV(RAND(),D11,D12)</f>
        <v>62029.562096912945</v>
      </c>
      <c r="E16" s="40">
        <f t="shared" ref="E16" ca="1" si="0">_xlfn.NORM.INV(RAND(),E11,E12)</f>
        <v>108712.08308073814</v>
      </c>
      <c r="F16" s="40"/>
      <c r="G16" s="40"/>
      <c r="H16" s="40"/>
      <c r="I16" s="40"/>
    </row>
    <row r="17" spans="3:10" x14ac:dyDescent="0.3">
      <c r="D17" s="40"/>
      <c r="E17" s="40"/>
      <c r="F17" s="40"/>
      <c r="G17" s="40"/>
      <c r="H17" s="40"/>
      <c r="I17" s="40"/>
    </row>
    <row r="18" spans="3:10" x14ac:dyDescent="0.3">
      <c r="C18" t="s">
        <v>91</v>
      </c>
      <c r="D18" s="40">
        <f ca="1">(D14+D15)*D16</f>
        <v>274547966.10564649</v>
      </c>
      <c r="E18" s="40">
        <f ca="1">(E14+E15)*E16</f>
        <v>436706998.61119902</v>
      </c>
      <c r="F18" s="40"/>
      <c r="G18" s="40">
        <f ca="1">D18+E18</f>
        <v>711254964.71684551</v>
      </c>
      <c r="H18" s="40"/>
      <c r="I18" s="40"/>
    </row>
    <row r="19" spans="3:10" x14ac:dyDescent="0.3">
      <c r="C19" t="s">
        <v>92</v>
      </c>
      <c r="D19" s="40" t="s">
        <v>103</v>
      </c>
      <c r="E19" s="40" t="s">
        <v>103</v>
      </c>
      <c r="F19" s="40"/>
      <c r="G19" s="40">
        <f ca="1">STDEVA(G22:G129)</f>
        <v>176930531.85385329</v>
      </c>
      <c r="H19" s="40"/>
      <c r="I19" s="110" t="s">
        <v>117</v>
      </c>
    </row>
    <row r="20" spans="3:10" x14ac:dyDescent="0.3">
      <c r="C20" t="s">
        <v>93</v>
      </c>
      <c r="D20" s="40" t="s">
        <v>103</v>
      </c>
      <c r="E20" s="40" t="s">
        <v>103</v>
      </c>
      <c r="F20" s="40"/>
      <c r="G20" s="40">
        <f ca="1">AVERAGE(G22:G129)</f>
        <v>451562785.32988137</v>
      </c>
      <c r="H20" s="40"/>
      <c r="I20" s="110"/>
      <c r="J20" s="2">
        <f ca="1">100*G19/G20</f>
        <v>39.181823126677671</v>
      </c>
    </row>
    <row r="22" spans="3:10" x14ac:dyDescent="0.3">
      <c r="F22">
        <v>1</v>
      </c>
      <c r="G22">
        <f ca="1">G18</f>
        <v>711254964.71684551</v>
      </c>
    </row>
    <row r="23" spans="3:10" x14ac:dyDescent="0.3">
      <c r="F23">
        <v>2</v>
      </c>
      <c r="G23">
        <f t="dataTable" ref="G23:G129" dt2D="0" dtr="0" r1="G21" ca="1"/>
        <v>275174045.13953322</v>
      </c>
    </row>
    <row r="24" spans="3:10" x14ac:dyDescent="0.3">
      <c r="F24">
        <v>3</v>
      </c>
      <c r="G24">
        <v>317260410.28605509</v>
      </c>
    </row>
    <row r="25" spans="3:10" x14ac:dyDescent="0.3">
      <c r="F25">
        <v>4</v>
      </c>
      <c r="G25">
        <v>439325212.92774111</v>
      </c>
    </row>
    <row r="26" spans="3:10" x14ac:dyDescent="0.3">
      <c r="F26">
        <v>5</v>
      </c>
      <c r="G26">
        <v>530290565.50043267</v>
      </c>
    </row>
    <row r="27" spans="3:10" x14ac:dyDescent="0.3">
      <c r="F27">
        <v>6</v>
      </c>
      <c r="G27">
        <v>339866692.68165505</v>
      </c>
    </row>
    <row r="28" spans="3:10" x14ac:dyDescent="0.3">
      <c r="F28">
        <v>7</v>
      </c>
      <c r="G28">
        <v>170126074.04986048</v>
      </c>
    </row>
    <row r="29" spans="3:10" x14ac:dyDescent="0.3">
      <c r="F29">
        <v>8</v>
      </c>
      <c r="G29">
        <v>599217091.41490042</v>
      </c>
    </row>
    <row r="30" spans="3:10" x14ac:dyDescent="0.3">
      <c r="F30">
        <v>9</v>
      </c>
      <c r="G30">
        <v>481647034.60186815</v>
      </c>
    </row>
    <row r="31" spans="3:10" x14ac:dyDescent="0.3">
      <c r="F31">
        <v>10</v>
      </c>
      <c r="G31">
        <v>482150420.32730711</v>
      </c>
    </row>
    <row r="32" spans="3:10" x14ac:dyDescent="0.3">
      <c r="F32">
        <v>11</v>
      </c>
      <c r="G32">
        <v>422467195.18970227</v>
      </c>
    </row>
    <row r="33" spans="6:7" x14ac:dyDescent="0.3">
      <c r="F33">
        <v>12</v>
      </c>
      <c r="G33">
        <v>293558823.73366094</v>
      </c>
    </row>
    <row r="34" spans="6:7" x14ac:dyDescent="0.3">
      <c r="F34">
        <v>13</v>
      </c>
      <c r="G34">
        <v>783689183.0878315</v>
      </c>
    </row>
    <row r="35" spans="6:7" x14ac:dyDescent="0.3">
      <c r="F35">
        <v>14</v>
      </c>
      <c r="G35">
        <v>528075554.08687073</v>
      </c>
    </row>
    <row r="36" spans="6:7" x14ac:dyDescent="0.3">
      <c r="F36">
        <v>15</v>
      </c>
      <c r="G36">
        <v>406759600.7521466</v>
      </c>
    </row>
    <row r="37" spans="6:7" x14ac:dyDescent="0.3">
      <c r="F37">
        <v>16</v>
      </c>
      <c r="G37">
        <v>502718752.36417335</v>
      </c>
    </row>
    <row r="38" spans="6:7" x14ac:dyDescent="0.3">
      <c r="F38">
        <v>17</v>
      </c>
      <c r="G38">
        <v>291542280.01302415</v>
      </c>
    </row>
    <row r="39" spans="6:7" x14ac:dyDescent="0.3">
      <c r="F39">
        <v>18</v>
      </c>
      <c r="G39">
        <v>575489557.48109818</v>
      </c>
    </row>
    <row r="40" spans="6:7" x14ac:dyDescent="0.3">
      <c r="F40">
        <v>19</v>
      </c>
      <c r="G40">
        <v>483718021.48401117</v>
      </c>
    </row>
    <row r="41" spans="6:7" x14ac:dyDescent="0.3">
      <c r="F41">
        <v>20</v>
      </c>
      <c r="G41">
        <v>497192767.54223907</v>
      </c>
    </row>
    <row r="42" spans="6:7" x14ac:dyDescent="0.3">
      <c r="F42">
        <v>21</v>
      </c>
      <c r="G42">
        <v>572082616.05834281</v>
      </c>
    </row>
    <row r="43" spans="6:7" x14ac:dyDescent="0.3">
      <c r="F43">
        <v>22</v>
      </c>
      <c r="G43">
        <v>550660419.98495078</v>
      </c>
    </row>
    <row r="44" spans="6:7" x14ac:dyDescent="0.3">
      <c r="F44">
        <v>23</v>
      </c>
      <c r="G44">
        <v>226998576.92027587</v>
      </c>
    </row>
    <row r="45" spans="6:7" x14ac:dyDescent="0.3">
      <c r="F45">
        <v>24</v>
      </c>
      <c r="G45">
        <v>542378280.68908668</v>
      </c>
    </row>
    <row r="46" spans="6:7" x14ac:dyDescent="0.3">
      <c r="F46">
        <v>25</v>
      </c>
      <c r="G46">
        <v>598250300.21652722</v>
      </c>
    </row>
    <row r="47" spans="6:7" x14ac:dyDescent="0.3">
      <c r="F47">
        <v>26</v>
      </c>
      <c r="G47">
        <v>434313629.71417218</v>
      </c>
    </row>
    <row r="48" spans="6:7" x14ac:dyDescent="0.3">
      <c r="F48">
        <v>27</v>
      </c>
      <c r="G48">
        <v>266733385.13286525</v>
      </c>
    </row>
    <row r="49" spans="6:7" x14ac:dyDescent="0.3">
      <c r="F49">
        <v>28</v>
      </c>
      <c r="G49">
        <v>636881703.14324915</v>
      </c>
    </row>
    <row r="50" spans="6:7" x14ac:dyDescent="0.3">
      <c r="F50">
        <v>29</v>
      </c>
      <c r="G50">
        <v>759390357.3648181</v>
      </c>
    </row>
    <row r="51" spans="6:7" x14ac:dyDescent="0.3">
      <c r="F51">
        <v>30</v>
      </c>
      <c r="G51">
        <v>600403175.01566029</v>
      </c>
    </row>
    <row r="52" spans="6:7" x14ac:dyDescent="0.3">
      <c r="F52">
        <v>31</v>
      </c>
      <c r="G52">
        <v>615045442.21233273</v>
      </c>
    </row>
    <row r="53" spans="6:7" x14ac:dyDescent="0.3">
      <c r="F53">
        <v>32</v>
      </c>
      <c r="G53">
        <v>431133512.34507215</v>
      </c>
    </row>
    <row r="54" spans="6:7" x14ac:dyDescent="0.3">
      <c r="F54">
        <v>33</v>
      </c>
      <c r="G54">
        <v>498995171.96055615</v>
      </c>
    </row>
    <row r="55" spans="6:7" x14ac:dyDescent="0.3">
      <c r="F55">
        <v>34</v>
      </c>
      <c r="G55">
        <v>434718979.91502076</v>
      </c>
    </row>
    <row r="56" spans="6:7" x14ac:dyDescent="0.3">
      <c r="F56">
        <v>35</v>
      </c>
      <c r="G56">
        <v>573304148.72762251</v>
      </c>
    </row>
    <row r="57" spans="6:7" x14ac:dyDescent="0.3">
      <c r="F57">
        <v>36</v>
      </c>
      <c r="G57">
        <v>715644277.0262605</v>
      </c>
    </row>
    <row r="58" spans="6:7" x14ac:dyDescent="0.3">
      <c r="F58">
        <v>37</v>
      </c>
      <c r="G58">
        <v>864050875.29335487</v>
      </c>
    </row>
    <row r="59" spans="6:7" x14ac:dyDescent="0.3">
      <c r="F59">
        <v>38</v>
      </c>
      <c r="G59">
        <v>526861880.64189827</v>
      </c>
    </row>
    <row r="60" spans="6:7" x14ac:dyDescent="0.3">
      <c r="F60">
        <v>39</v>
      </c>
      <c r="G60">
        <v>651605480.86827385</v>
      </c>
    </row>
    <row r="61" spans="6:7" x14ac:dyDescent="0.3">
      <c r="F61">
        <v>40</v>
      </c>
      <c r="G61">
        <v>611111230.02394688</v>
      </c>
    </row>
    <row r="62" spans="6:7" x14ac:dyDescent="0.3">
      <c r="F62">
        <v>41</v>
      </c>
      <c r="G62">
        <v>315755075.1395486</v>
      </c>
    </row>
    <row r="63" spans="6:7" x14ac:dyDescent="0.3">
      <c r="F63">
        <v>42</v>
      </c>
      <c r="G63">
        <v>231173400.13218987</v>
      </c>
    </row>
    <row r="64" spans="6:7" x14ac:dyDescent="0.3">
      <c r="F64">
        <v>43</v>
      </c>
      <c r="G64">
        <v>463358774.92740607</v>
      </c>
    </row>
    <row r="65" spans="6:7" x14ac:dyDescent="0.3">
      <c r="F65">
        <v>44</v>
      </c>
      <c r="G65">
        <v>393976562.44397485</v>
      </c>
    </row>
    <row r="66" spans="6:7" x14ac:dyDescent="0.3">
      <c r="F66">
        <v>45</v>
      </c>
      <c r="G66">
        <v>126876676.40187265</v>
      </c>
    </row>
    <row r="67" spans="6:7" x14ac:dyDescent="0.3">
      <c r="F67">
        <v>46</v>
      </c>
      <c r="G67">
        <v>607925877.02148557</v>
      </c>
    </row>
    <row r="68" spans="6:7" x14ac:dyDescent="0.3">
      <c r="F68">
        <v>47</v>
      </c>
      <c r="G68">
        <v>235200675.25849986</v>
      </c>
    </row>
    <row r="69" spans="6:7" x14ac:dyDescent="0.3">
      <c r="F69">
        <v>48</v>
      </c>
      <c r="G69">
        <v>239689048.01783884</v>
      </c>
    </row>
    <row r="70" spans="6:7" x14ac:dyDescent="0.3">
      <c r="F70">
        <v>49</v>
      </c>
      <c r="G70">
        <v>518954436.01154202</v>
      </c>
    </row>
    <row r="71" spans="6:7" x14ac:dyDescent="0.3">
      <c r="F71">
        <v>50</v>
      </c>
      <c r="G71">
        <v>436865547.59582233</v>
      </c>
    </row>
    <row r="72" spans="6:7" x14ac:dyDescent="0.3">
      <c r="F72">
        <v>51</v>
      </c>
      <c r="G72">
        <v>503713629.4855262</v>
      </c>
    </row>
    <row r="73" spans="6:7" x14ac:dyDescent="0.3">
      <c r="F73">
        <v>52</v>
      </c>
      <c r="G73">
        <v>358557780.63423824</v>
      </c>
    </row>
    <row r="74" spans="6:7" x14ac:dyDescent="0.3">
      <c r="F74">
        <v>53</v>
      </c>
      <c r="G74">
        <v>122585191.48150253</v>
      </c>
    </row>
    <row r="75" spans="6:7" x14ac:dyDescent="0.3">
      <c r="F75">
        <v>54</v>
      </c>
      <c r="G75">
        <v>277091864.35034007</v>
      </c>
    </row>
    <row r="76" spans="6:7" x14ac:dyDescent="0.3">
      <c r="F76">
        <v>55</v>
      </c>
      <c r="G76">
        <v>563049287.78392303</v>
      </c>
    </row>
    <row r="77" spans="6:7" x14ac:dyDescent="0.3">
      <c r="F77">
        <v>56</v>
      </c>
      <c r="G77">
        <v>341479978.15301168</v>
      </c>
    </row>
    <row r="78" spans="6:7" x14ac:dyDescent="0.3">
      <c r="F78">
        <v>57</v>
      </c>
      <c r="G78">
        <v>296839942.01660031</v>
      </c>
    </row>
    <row r="79" spans="6:7" x14ac:dyDescent="0.3">
      <c r="F79">
        <v>58</v>
      </c>
      <c r="G79">
        <v>564117439.00746548</v>
      </c>
    </row>
    <row r="80" spans="6:7" x14ac:dyDescent="0.3">
      <c r="F80">
        <v>59</v>
      </c>
      <c r="G80">
        <v>334243394.19418854</v>
      </c>
    </row>
    <row r="81" spans="6:7" x14ac:dyDescent="0.3">
      <c r="F81">
        <v>60</v>
      </c>
      <c r="G81">
        <v>835293623.3963027</v>
      </c>
    </row>
    <row r="82" spans="6:7" x14ac:dyDescent="0.3">
      <c r="F82">
        <v>61</v>
      </c>
      <c r="G82">
        <v>336073128.39845014</v>
      </c>
    </row>
    <row r="83" spans="6:7" x14ac:dyDescent="0.3">
      <c r="F83">
        <v>62</v>
      </c>
      <c r="G83">
        <v>335735421.83059311</v>
      </c>
    </row>
    <row r="84" spans="6:7" x14ac:dyDescent="0.3">
      <c r="F84">
        <v>63</v>
      </c>
      <c r="G84">
        <v>356853890.41452277</v>
      </c>
    </row>
    <row r="85" spans="6:7" x14ac:dyDescent="0.3">
      <c r="F85">
        <v>64</v>
      </c>
      <c r="G85">
        <v>136253149.08757368</v>
      </c>
    </row>
    <row r="86" spans="6:7" x14ac:dyDescent="0.3">
      <c r="F86">
        <v>65</v>
      </c>
      <c r="G86">
        <v>400412596.10048139</v>
      </c>
    </row>
    <row r="87" spans="6:7" x14ac:dyDescent="0.3">
      <c r="F87">
        <v>66</v>
      </c>
      <c r="G87">
        <v>348927918.15039837</v>
      </c>
    </row>
    <row r="88" spans="6:7" x14ac:dyDescent="0.3">
      <c r="F88">
        <v>67</v>
      </c>
      <c r="G88">
        <v>523381882.38901055</v>
      </c>
    </row>
    <row r="89" spans="6:7" x14ac:dyDescent="0.3">
      <c r="F89">
        <v>68</v>
      </c>
      <c r="G89">
        <v>84935949.18193455</v>
      </c>
    </row>
    <row r="90" spans="6:7" x14ac:dyDescent="0.3">
      <c r="F90">
        <v>69</v>
      </c>
      <c r="G90">
        <v>513537460.23070842</v>
      </c>
    </row>
    <row r="91" spans="6:7" x14ac:dyDescent="0.3">
      <c r="F91">
        <v>70</v>
      </c>
      <c r="G91">
        <v>289656097.0610888</v>
      </c>
    </row>
    <row r="92" spans="6:7" x14ac:dyDescent="0.3">
      <c r="F92">
        <v>71</v>
      </c>
      <c r="G92">
        <v>160191812.50428826</v>
      </c>
    </row>
    <row r="93" spans="6:7" x14ac:dyDescent="0.3">
      <c r="F93">
        <v>72</v>
      </c>
      <c r="G93">
        <v>349193723.74766362</v>
      </c>
    </row>
    <row r="94" spans="6:7" x14ac:dyDescent="0.3">
      <c r="F94">
        <v>73</v>
      </c>
      <c r="G94">
        <v>474295273.47270912</v>
      </c>
    </row>
    <row r="95" spans="6:7" x14ac:dyDescent="0.3">
      <c r="F95">
        <v>74</v>
      </c>
      <c r="G95">
        <v>187244790.73994797</v>
      </c>
    </row>
    <row r="96" spans="6:7" x14ac:dyDescent="0.3">
      <c r="F96">
        <v>75</v>
      </c>
      <c r="G96">
        <v>364741938.48493838</v>
      </c>
    </row>
    <row r="97" spans="6:7" x14ac:dyDescent="0.3">
      <c r="F97">
        <v>76</v>
      </c>
      <c r="G97">
        <v>687942998.29349041</v>
      </c>
    </row>
    <row r="98" spans="6:7" x14ac:dyDescent="0.3">
      <c r="F98">
        <v>77</v>
      </c>
      <c r="G98">
        <v>457396815.54899287</v>
      </c>
    </row>
    <row r="99" spans="6:7" x14ac:dyDescent="0.3">
      <c r="F99">
        <v>78</v>
      </c>
      <c r="G99">
        <v>214826378.78452465</v>
      </c>
    </row>
    <row r="100" spans="6:7" x14ac:dyDescent="0.3">
      <c r="F100">
        <v>79</v>
      </c>
      <c r="G100">
        <v>688207960.96637392</v>
      </c>
    </row>
    <row r="101" spans="6:7" x14ac:dyDescent="0.3">
      <c r="F101">
        <v>80</v>
      </c>
      <c r="G101">
        <v>536412747.18887484</v>
      </c>
    </row>
    <row r="102" spans="6:7" x14ac:dyDescent="0.3">
      <c r="F102">
        <v>81</v>
      </c>
      <c r="G102">
        <v>738633330.93486524</v>
      </c>
    </row>
    <row r="103" spans="6:7" x14ac:dyDescent="0.3">
      <c r="F103">
        <v>82</v>
      </c>
      <c r="G103">
        <v>498759944.76378405</v>
      </c>
    </row>
    <row r="104" spans="6:7" x14ac:dyDescent="0.3">
      <c r="F104">
        <v>83</v>
      </c>
      <c r="G104">
        <v>621431833.38621938</v>
      </c>
    </row>
    <row r="105" spans="6:7" x14ac:dyDescent="0.3">
      <c r="F105">
        <v>84</v>
      </c>
      <c r="G105">
        <v>247516189.49811208</v>
      </c>
    </row>
    <row r="106" spans="6:7" x14ac:dyDescent="0.3">
      <c r="F106">
        <v>85</v>
      </c>
      <c r="G106">
        <v>530688535.92603427</v>
      </c>
    </row>
    <row r="107" spans="6:7" x14ac:dyDescent="0.3">
      <c r="F107">
        <v>86</v>
      </c>
      <c r="G107">
        <v>592785734.02246785</v>
      </c>
    </row>
    <row r="108" spans="6:7" x14ac:dyDescent="0.3">
      <c r="F108">
        <v>87</v>
      </c>
      <c r="G108">
        <v>501414329.43411362</v>
      </c>
    </row>
    <row r="109" spans="6:7" x14ac:dyDescent="0.3">
      <c r="F109">
        <v>88</v>
      </c>
      <c r="G109">
        <v>595603314.89420986</v>
      </c>
    </row>
    <row r="110" spans="6:7" x14ac:dyDescent="0.3">
      <c r="F110">
        <v>89</v>
      </c>
      <c r="G110">
        <v>539633626.92324042</v>
      </c>
    </row>
    <row r="111" spans="6:7" x14ac:dyDescent="0.3">
      <c r="F111">
        <v>90</v>
      </c>
      <c r="G111">
        <v>381450999.5676167</v>
      </c>
    </row>
    <row r="112" spans="6:7" x14ac:dyDescent="0.3">
      <c r="F112">
        <v>91</v>
      </c>
      <c r="G112">
        <v>441856753.0579145</v>
      </c>
    </row>
    <row r="113" spans="6:7" x14ac:dyDescent="0.3">
      <c r="F113">
        <v>92</v>
      </c>
      <c r="G113">
        <v>685250200.13185334</v>
      </c>
    </row>
    <row r="114" spans="6:7" x14ac:dyDescent="0.3">
      <c r="F114">
        <v>93</v>
      </c>
      <c r="G114">
        <v>561966892.80670929</v>
      </c>
    </row>
    <row r="115" spans="6:7" x14ac:dyDescent="0.3">
      <c r="F115">
        <v>94</v>
      </c>
      <c r="G115">
        <v>429924556.19415504</v>
      </c>
    </row>
    <row r="116" spans="6:7" x14ac:dyDescent="0.3">
      <c r="F116">
        <v>95</v>
      </c>
      <c r="G116">
        <v>230319576.70309824</v>
      </c>
    </row>
    <row r="117" spans="6:7" x14ac:dyDescent="0.3">
      <c r="F117">
        <v>96</v>
      </c>
      <c r="G117">
        <v>123095920.35085133</v>
      </c>
    </row>
    <row r="118" spans="6:7" x14ac:dyDescent="0.3">
      <c r="F118">
        <v>97</v>
      </c>
      <c r="G118">
        <v>572725047.92715669</v>
      </c>
    </row>
    <row r="119" spans="6:7" x14ac:dyDescent="0.3">
      <c r="F119">
        <v>98</v>
      </c>
      <c r="G119">
        <v>404840624.88566965</v>
      </c>
    </row>
    <row r="120" spans="6:7" x14ac:dyDescent="0.3">
      <c r="F120">
        <v>99</v>
      </c>
      <c r="G120">
        <v>701233857.19224739</v>
      </c>
    </row>
    <row r="121" spans="6:7" x14ac:dyDescent="0.3">
      <c r="F121">
        <v>100</v>
      </c>
      <c r="G121">
        <v>143738779.73740408</v>
      </c>
    </row>
    <row r="122" spans="6:7" x14ac:dyDescent="0.3">
      <c r="F122">
        <v>101</v>
      </c>
      <c r="G122">
        <v>415108719.60555696</v>
      </c>
    </row>
    <row r="123" spans="6:7" x14ac:dyDescent="0.3">
      <c r="F123">
        <v>102</v>
      </c>
      <c r="G123">
        <v>396435089.28271902</v>
      </c>
    </row>
    <row r="124" spans="6:7" x14ac:dyDescent="0.3">
      <c r="F124">
        <v>103</v>
      </c>
      <c r="G124">
        <v>160007879.80378166</v>
      </c>
    </row>
    <row r="125" spans="6:7" x14ac:dyDescent="0.3">
      <c r="F125">
        <v>104</v>
      </c>
      <c r="G125">
        <v>841253191.6675446</v>
      </c>
    </row>
    <row r="126" spans="6:7" x14ac:dyDescent="0.3">
      <c r="F126">
        <v>105</v>
      </c>
      <c r="G126">
        <v>391484064.22174966</v>
      </c>
    </row>
    <row r="127" spans="6:7" x14ac:dyDescent="0.3">
      <c r="F127">
        <v>106</v>
      </c>
      <c r="G127">
        <v>593531821.06774998</v>
      </c>
    </row>
    <row r="128" spans="6:7" x14ac:dyDescent="0.3">
      <c r="F128">
        <v>107</v>
      </c>
      <c r="G128">
        <v>318227046.50757658</v>
      </c>
    </row>
    <row r="129" spans="6:7" x14ac:dyDescent="0.3">
      <c r="F129">
        <v>108</v>
      </c>
      <c r="G129">
        <v>654805128.46768975</v>
      </c>
    </row>
  </sheetData>
  <mergeCells count="1">
    <mergeCell ref="I19:I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C3:K129"/>
  <sheetViews>
    <sheetView topLeftCell="B1" workbookViewId="0">
      <selection activeCell="D5" sqref="D5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0" customWidth="1"/>
  </cols>
  <sheetData>
    <row r="3" spans="3:10" ht="18" customHeight="1" x14ac:dyDescent="0.3">
      <c r="D3" s="37" t="str">
        <f>Mappings!B6</f>
        <v>Adopting</v>
      </c>
      <c r="E3" s="55" t="s">
        <v>112</v>
      </c>
      <c r="F3" s="55" t="s">
        <v>113</v>
      </c>
      <c r="H3" s="2" t="s">
        <v>78</v>
      </c>
      <c r="I3" s="2"/>
      <c r="J3" s="2"/>
    </row>
    <row r="5" spans="3:10" x14ac:dyDescent="0.3">
      <c r="C5" t="s">
        <v>81</v>
      </c>
      <c r="D5" s="40">
        <f>Mappings!Q6</f>
        <v>274.83358178429671</v>
      </c>
      <c r="E5" s="40">
        <f>Mappings!Q7</f>
        <v>22.104966099359416</v>
      </c>
      <c r="F5" s="40">
        <f>Mappings!Q8</f>
        <v>617.47413431540622</v>
      </c>
    </row>
    <row r="6" spans="3:10" x14ac:dyDescent="0.3">
      <c r="C6" t="s">
        <v>82</v>
      </c>
      <c r="D6" s="40">
        <f ca="1">_xlfn.NORM.INV(RAND(),Mappings!Q6,Mappings!R6)</f>
        <v>83.937205079569196</v>
      </c>
      <c r="E6" s="40">
        <f ca="1">_xlfn.NORM.INV(RAND(),Mappings!Q7,Mappings!R7)</f>
        <v>18.683100750109361</v>
      </c>
      <c r="F6" s="40">
        <f ca="1">_xlfn.NORM.INV(RAND(),Mappings!Q8,Mappings!R8)</f>
        <v>560.79407771984256</v>
      </c>
    </row>
    <row r="7" spans="3:10" x14ac:dyDescent="0.3">
      <c r="C7" t="s">
        <v>83</v>
      </c>
      <c r="D7" s="40">
        <f>Mappings!H6*Mappings!K6</f>
        <v>4.8861334846857005</v>
      </c>
      <c r="E7" s="40">
        <f>Mappings!H7*Mappings!K7</f>
        <v>4.2062556170824719</v>
      </c>
      <c r="F7" s="40">
        <f>Mappings!H8*Mappings!K8</f>
        <v>5.7475293691707012</v>
      </c>
    </row>
    <row r="8" spans="3:10" x14ac:dyDescent="0.3">
      <c r="C8" t="s">
        <v>84</v>
      </c>
      <c r="D8" s="40">
        <f>D7</f>
        <v>4.8861334846857005</v>
      </c>
      <c r="E8" s="40">
        <f>E7</f>
        <v>4.2062556170824719</v>
      </c>
      <c r="F8" s="40">
        <f>F7</f>
        <v>5.7475293691707012</v>
      </c>
    </row>
    <row r="9" spans="3:10" x14ac:dyDescent="0.3">
      <c r="C9" t="s">
        <v>85</v>
      </c>
      <c r="D9" s="40">
        <f>Mappings!W6</f>
        <v>2532.0489928615684</v>
      </c>
      <c r="E9" s="40">
        <f>Mappings!W7</f>
        <v>2532.0489928615684</v>
      </c>
      <c r="F9" s="40">
        <f>Mappings!W8</f>
        <v>2549.5329853259786</v>
      </c>
    </row>
    <row r="10" spans="3:10" x14ac:dyDescent="0.3">
      <c r="C10" t="s">
        <v>86</v>
      </c>
      <c r="D10" s="40">
        <f>D9</f>
        <v>2532.0489928615684</v>
      </c>
      <c r="E10" s="40">
        <f>E9</f>
        <v>2532.0489928615684</v>
      </c>
      <c r="F10" s="40">
        <f>F9</f>
        <v>2549.5329853259786</v>
      </c>
    </row>
    <row r="11" spans="3:10" x14ac:dyDescent="0.3">
      <c r="C11" t="s">
        <v>87</v>
      </c>
      <c r="D11" s="40">
        <f>Mappings!F6</f>
        <v>11716.61535998056</v>
      </c>
      <c r="E11" s="40">
        <f>Mappings!F7</f>
        <v>49949.781271496075</v>
      </c>
      <c r="F11" s="40">
        <f>Mappings!F8</f>
        <v>109979.17741374573</v>
      </c>
    </row>
    <row r="12" spans="3:10" x14ac:dyDescent="0.3">
      <c r="C12" t="s">
        <v>88</v>
      </c>
      <c r="D12" s="40">
        <f>Mappings!AB6*D11</f>
        <v>349.30049484868363</v>
      </c>
      <c r="E12" s="40">
        <f>Mappings!AB7*E11</f>
        <v>1489.1231622496512</v>
      </c>
      <c r="F12" s="40">
        <f>Mappings!AB8*F11</f>
        <v>3278.7438960304216</v>
      </c>
    </row>
    <row r="13" spans="3:10" x14ac:dyDescent="0.3">
      <c r="D13" s="40"/>
      <c r="E13" s="40"/>
      <c r="F13" s="40"/>
    </row>
    <row r="14" spans="3:10" x14ac:dyDescent="0.3">
      <c r="C14" t="s">
        <v>89</v>
      </c>
      <c r="D14" s="40">
        <f ca="1">D6*D8</f>
        <v>410.1283883502137</v>
      </c>
      <c r="E14" s="40">
        <f ca="1">E6*E8</f>
        <v>78.585897474665245</v>
      </c>
      <c r="F14" s="40">
        <f ca="1">F6*F8</f>
        <v>3223.1804317517917</v>
      </c>
    </row>
    <row r="15" spans="3:10" x14ac:dyDescent="0.3">
      <c r="C15" t="s">
        <v>90</v>
      </c>
      <c r="D15" s="40">
        <f>D10</f>
        <v>2532.0489928615684</v>
      </c>
      <c r="E15" s="40">
        <f>E10</f>
        <v>2532.0489928615684</v>
      </c>
      <c r="F15" s="40">
        <f>F10</f>
        <v>2549.5329853259786</v>
      </c>
    </row>
    <row r="16" spans="3:10" x14ac:dyDescent="0.3">
      <c r="C16" t="s">
        <v>87</v>
      </c>
      <c r="D16" s="40">
        <f ca="1">_xlfn.NORM.INV(RAND(),D11,D12)</f>
        <v>11443.994845737165</v>
      </c>
      <c r="E16" s="40">
        <f ca="1">_xlfn.NORM.INV(RAND(),E11,E12)</f>
        <v>50819.511943479709</v>
      </c>
      <c r="F16" s="40">
        <f t="shared" ref="F16" ca="1" si="0">_xlfn.NORM.INV(RAND(),F11,F12)</f>
        <v>112405.75087705774</v>
      </c>
    </row>
    <row r="17" spans="3:11" x14ac:dyDescent="0.3">
      <c r="D17" s="40"/>
      <c r="E17" s="40"/>
      <c r="F17" s="40"/>
    </row>
    <row r="18" spans="3:11" x14ac:dyDescent="0.3">
      <c r="C18" t="str">
        <f>[7]MC_sims_Inclusive!C18</f>
        <v>Estimated population income (USD/yr)</v>
      </c>
      <c r="D18" s="52">
        <f ca="1">(D14+D15)*D16</f>
        <v>33670262.785832107</v>
      </c>
      <c r="E18" s="52">
        <f ca="1">(E14+E15)*E16</f>
        <v>132671190.98950706</v>
      </c>
      <c r="F18" s="52">
        <f ca="1">(F14+F15)*F16</f>
        <v>648886186.24469256</v>
      </c>
      <c r="H18" s="4">
        <f ca="1">D18+E18+F18</f>
        <v>815227640.02003169</v>
      </c>
      <c r="I18" s="4"/>
      <c r="J18" s="4"/>
    </row>
    <row r="19" spans="3:11" x14ac:dyDescent="0.3">
      <c r="C19" t="str">
        <f>[7]MC_sims_Inclusive!C19</f>
        <v>SE population income (USD/yr)</v>
      </c>
      <c r="D19" t="s">
        <v>103</v>
      </c>
      <c r="E19" t="s">
        <v>103</v>
      </c>
      <c r="F19" t="s">
        <v>103</v>
      </c>
      <c r="H19">
        <f ca="1">STDEV(H22:H129)</f>
        <v>181140521.48762402</v>
      </c>
      <c r="J19" s="110" t="s">
        <v>117</v>
      </c>
    </row>
    <row r="20" spans="3:11" x14ac:dyDescent="0.3">
      <c r="C20" t="str">
        <f>[7]MC_sims_Inclusive!C20</f>
        <v>Mean population income (USD/yr)</v>
      </c>
      <c r="D20" s="4" t="s">
        <v>103</v>
      </c>
      <c r="E20" s="4" t="s">
        <v>103</v>
      </c>
      <c r="F20" s="4" t="s">
        <v>103</v>
      </c>
      <c r="G20" s="4"/>
      <c r="H20" s="4">
        <f ca="1">AVERAGE(H22:H129)</f>
        <v>824448778.08553863</v>
      </c>
      <c r="I20" s="4"/>
      <c r="J20" s="110"/>
      <c r="K20" s="56">
        <f ca="1">100*H19/H20</f>
        <v>21.971106793105129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42">
        <f ca="1">H18</f>
        <v>815227640.02003169</v>
      </c>
      <c r="I22" s="4"/>
      <c r="J22" s="4"/>
    </row>
    <row r="23" spans="3:11" x14ac:dyDescent="0.3">
      <c r="G23">
        <v>2</v>
      </c>
      <c r="H23" s="42">
        <f t="dataTable" ref="H23:H129" dt2D="0" dtr="0" r1="H21" ca="1"/>
        <v>666108402.52901709</v>
      </c>
      <c r="I23" s="4"/>
      <c r="J23" s="4"/>
    </row>
    <row r="24" spans="3:11" x14ac:dyDescent="0.3">
      <c r="G24">
        <v>3</v>
      </c>
      <c r="H24" s="42">
        <v>992808532.68071735</v>
      </c>
      <c r="I24" s="4"/>
      <c r="J24" s="4"/>
    </row>
    <row r="25" spans="3:11" x14ac:dyDescent="0.3">
      <c r="G25">
        <v>4</v>
      </c>
      <c r="H25" s="42">
        <v>709255094.54095519</v>
      </c>
      <c r="I25" s="4"/>
      <c r="J25" s="4"/>
    </row>
    <row r="26" spans="3:11" x14ac:dyDescent="0.3">
      <c r="G26">
        <v>5</v>
      </c>
      <c r="H26" s="42">
        <v>1035253487.0719799</v>
      </c>
      <c r="I26" s="4"/>
      <c r="J26" s="4"/>
    </row>
    <row r="27" spans="3:11" x14ac:dyDescent="0.3">
      <c r="G27">
        <v>6</v>
      </c>
      <c r="H27" s="42">
        <v>712341237.08373284</v>
      </c>
      <c r="I27" s="4"/>
      <c r="J27" s="4"/>
    </row>
    <row r="28" spans="3:11" x14ac:dyDescent="0.3">
      <c r="G28">
        <v>7</v>
      </c>
      <c r="H28" s="42">
        <v>828123572.61963522</v>
      </c>
      <c r="I28" s="4"/>
      <c r="J28" s="4"/>
    </row>
    <row r="29" spans="3:11" x14ac:dyDescent="0.3">
      <c r="G29">
        <v>8</v>
      </c>
      <c r="H29" s="42">
        <v>807820334.49158573</v>
      </c>
      <c r="I29" s="4"/>
      <c r="J29" s="4"/>
    </row>
    <row r="30" spans="3:11" x14ac:dyDescent="0.3">
      <c r="G30">
        <v>9</v>
      </c>
      <c r="H30" s="42">
        <v>733977575.0194242</v>
      </c>
      <c r="I30" s="4"/>
      <c r="J30" s="4"/>
    </row>
    <row r="31" spans="3:11" x14ac:dyDescent="0.3">
      <c r="G31">
        <v>10</v>
      </c>
      <c r="H31" s="42">
        <v>792744294.95722544</v>
      </c>
      <c r="I31" s="4"/>
      <c r="J31" s="4"/>
    </row>
    <row r="32" spans="3:11" x14ac:dyDescent="0.3">
      <c r="G32">
        <v>11</v>
      </c>
      <c r="H32" s="42">
        <v>1222396997.2276993</v>
      </c>
      <c r="I32" s="4"/>
      <c r="J32" s="4"/>
    </row>
    <row r="33" spans="7:10" x14ac:dyDescent="0.3">
      <c r="G33">
        <v>12</v>
      </c>
      <c r="H33" s="42">
        <v>1146507593.366621</v>
      </c>
      <c r="I33" s="4"/>
      <c r="J33" s="4"/>
    </row>
    <row r="34" spans="7:10" x14ac:dyDescent="0.3">
      <c r="G34">
        <v>13</v>
      </c>
      <c r="H34" s="42">
        <v>881757884.85348451</v>
      </c>
      <c r="I34" s="4"/>
      <c r="J34" s="4"/>
    </row>
    <row r="35" spans="7:10" x14ac:dyDescent="0.3">
      <c r="G35">
        <v>14</v>
      </c>
      <c r="H35" s="42">
        <v>776541505.79896855</v>
      </c>
      <c r="I35" s="4"/>
      <c r="J35" s="4"/>
    </row>
    <row r="36" spans="7:10" x14ac:dyDescent="0.3">
      <c r="G36">
        <v>15</v>
      </c>
      <c r="H36" s="42">
        <v>732433265.12269628</v>
      </c>
      <c r="I36" s="4"/>
      <c r="J36" s="4"/>
    </row>
    <row r="37" spans="7:10" x14ac:dyDescent="0.3">
      <c r="G37">
        <v>16</v>
      </c>
      <c r="H37" s="42">
        <v>468155313.89202154</v>
      </c>
      <c r="I37" s="4"/>
      <c r="J37" s="4"/>
    </row>
    <row r="38" spans="7:10" x14ac:dyDescent="0.3">
      <c r="G38">
        <v>17</v>
      </c>
      <c r="H38" s="42">
        <v>642146746.88316858</v>
      </c>
      <c r="I38" s="4"/>
      <c r="J38" s="4"/>
    </row>
    <row r="39" spans="7:10" x14ac:dyDescent="0.3">
      <c r="G39">
        <v>18</v>
      </c>
      <c r="H39" s="42">
        <v>936473718.20613241</v>
      </c>
      <c r="I39" s="4"/>
      <c r="J39" s="4"/>
    </row>
    <row r="40" spans="7:10" x14ac:dyDescent="0.3">
      <c r="G40">
        <v>19</v>
      </c>
      <c r="H40" s="42">
        <v>1142537499.3771775</v>
      </c>
      <c r="I40" s="4"/>
      <c r="J40" s="4"/>
    </row>
    <row r="41" spans="7:10" x14ac:dyDescent="0.3">
      <c r="G41">
        <v>20</v>
      </c>
      <c r="H41" s="42">
        <v>749183558.13774264</v>
      </c>
      <c r="I41" s="4"/>
      <c r="J41" s="4"/>
    </row>
    <row r="42" spans="7:10" x14ac:dyDescent="0.3">
      <c r="G42">
        <v>21</v>
      </c>
      <c r="H42" s="42">
        <v>681744231.09143639</v>
      </c>
      <c r="I42" s="4"/>
      <c r="J42" s="4"/>
    </row>
    <row r="43" spans="7:10" x14ac:dyDescent="0.3">
      <c r="G43">
        <v>22</v>
      </c>
      <c r="H43" s="42">
        <v>586340758.26878619</v>
      </c>
      <c r="I43" s="4"/>
      <c r="J43" s="4"/>
    </row>
    <row r="44" spans="7:10" x14ac:dyDescent="0.3">
      <c r="G44">
        <v>23</v>
      </c>
      <c r="H44" s="42">
        <v>1026215439.2124076</v>
      </c>
      <c r="I44" s="4"/>
      <c r="J44" s="4"/>
    </row>
    <row r="45" spans="7:10" x14ac:dyDescent="0.3">
      <c r="G45">
        <v>24</v>
      </c>
      <c r="H45" s="42">
        <v>946414924.55201793</v>
      </c>
      <c r="I45" s="4"/>
      <c r="J45" s="4"/>
    </row>
    <row r="46" spans="7:10" x14ac:dyDescent="0.3">
      <c r="G46">
        <v>25</v>
      </c>
      <c r="H46" s="42">
        <v>664735912.39452863</v>
      </c>
      <c r="I46" s="4"/>
      <c r="J46" s="4"/>
    </row>
    <row r="47" spans="7:10" x14ac:dyDescent="0.3">
      <c r="G47">
        <v>26</v>
      </c>
      <c r="H47" s="42">
        <v>693806963.3949939</v>
      </c>
      <c r="I47" s="4"/>
      <c r="J47" s="4"/>
    </row>
    <row r="48" spans="7:10" x14ac:dyDescent="0.3">
      <c r="G48">
        <v>27</v>
      </c>
      <c r="H48" s="42">
        <v>1013014105.0662711</v>
      </c>
      <c r="I48" s="4"/>
      <c r="J48" s="4"/>
    </row>
    <row r="49" spans="7:10" x14ac:dyDescent="0.3">
      <c r="G49">
        <v>28</v>
      </c>
      <c r="H49" s="42">
        <v>869091864.83470106</v>
      </c>
      <c r="I49" s="4"/>
      <c r="J49" s="4"/>
    </row>
    <row r="50" spans="7:10" x14ac:dyDescent="0.3">
      <c r="G50">
        <v>29</v>
      </c>
      <c r="H50" s="42">
        <v>839920097.50791776</v>
      </c>
      <c r="I50" s="4"/>
      <c r="J50" s="4"/>
    </row>
    <row r="51" spans="7:10" x14ac:dyDescent="0.3">
      <c r="G51">
        <v>30</v>
      </c>
      <c r="H51" s="42">
        <v>914008103.89211631</v>
      </c>
      <c r="I51" s="4"/>
      <c r="J51" s="4"/>
    </row>
    <row r="52" spans="7:10" x14ac:dyDescent="0.3">
      <c r="G52">
        <v>31</v>
      </c>
      <c r="H52" s="42">
        <v>997558137.38222921</v>
      </c>
      <c r="I52" s="4"/>
      <c r="J52" s="4"/>
    </row>
    <row r="53" spans="7:10" x14ac:dyDescent="0.3">
      <c r="G53">
        <v>32</v>
      </c>
      <c r="H53" s="42">
        <v>785493404.59612155</v>
      </c>
      <c r="I53" s="4"/>
      <c r="J53" s="4"/>
    </row>
    <row r="54" spans="7:10" x14ac:dyDescent="0.3">
      <c r="G54">
        <v>33</v>
      </c>
      <c r="H54" s="42">
        <v>667560016.6565429</v>
      </c>
      <c r="I54" s="4"/>
      <c r="J54" s="4"/>
    </row>
    <row r="55" spans="7:10" x14ac:dyDescent="0.3">
      <c r="G55">
        <v>34</v>
      </c>
      <c r="H55" s="42">
        <v>1088672037.9129376</v>
      </c>
      <c r="I55" s="4"/>
      <c r="J55" s="4"/>
    </row>
    <row r="56" spans="7:10" x14ac:dyDescent="0.3">
      <c r="G56">
        <v>35</v>
      </c>
      <c r="H56" s="42">
        <v>775628736.31041002</v>
      </c>
      <c r="I56" s="4"/>
      <c r="J56" s="4"/>
    </row>
    <row r="57" spans="7:10" x14ac:dyDescent="0.3">
      <c r="G57">
        <v>36</v>
      </c>
      <c r="H57" s="42">
        <v>822360217.46484339</v>
      </c>
      <c r="I57" s="4"/>
      <c r="J57" s="4"/>
    </row>
    <row r="58" spans="7:10" x14ac:dyDescent="0.3">
      <c r="G58">
        <v>37</v>
      </c>
      <c r="H58" s="42">
        <v>864850840.25229466</v>
      </c>
      <c r="I58" s="4"/>
      <c r="J58" s="4"/>
    </row>
    <row r="59" spans="7:10" x14ac:dyDescent="0.3">
      <c r="G59">
        <v>38</v>
      </c>
      <c r="H59" s="42">
        <v>619752628.62177587</v>
      </c>
      <c r="I59" s="4"/>
      <c r="J59" s="4"/>
    </row>
    <row r="60" spans="7:10" x14ac:dyDescent="0.3">
      <c r="G60">
        <v>39</v>
      </c>
      <c r="H60" s="42">
        <v>832194510.33084059</v>
      </c>
      <c r="I60" s="4"/>
      <c r="J60" s="4"/>
    </row>
    <row r="61" spans="7:10" x14ac:dyDescent="0.3">
      <c r="G61">
        <v>40</v>
      </c>
      <c r="H61" s="42">
        <v>767638118.47194481</v>
      </c>
      <c r="I61" s="4"/>
      <c r="J61" s="4"/>
    </row>
    <row r="62" spans="7:10" x14ac:dyDescent="0.3">
      <c r="G62">
        <v>41</v>
      </c>
      <c r="H62" s="42">
        <v>976798638.83908987</v>
      </c>
      <c r="I62" s="4"/>
      <c r="J62" s="4"/>
    </row>
    <row r="63" spans="7:10" x14ac:dyDescent="0.3">
      <c r="G63">
        <v>42</v>
      </c>
      <c r="H63" s="42">
        <v>739590089.63694572</v>
      </c>
      <c r="I63" s="4"/>
      <c r="J63" s="4"/>
    </row>
    <row r="64" spans="7:10" x14ac:dyDescent="0.3">
      <c r="G64">
        <v>43</v>
      </c>
      <c r="H64" s="42">
        <v>913177511.21542728</v>
      </c>
      <c r="I64" s="4"/>
      <c r="J64" s="4"/>
    </row>
    <row r="65" spans="7:10" x14ac:dyDescent="0.3">
      <c r="G65">
        <v>44</v>
      </c>
      <c r="H65" s="42">
        <v>188505666.84653494</v>
      </c>
      <c r="I65" s="4"/>
      <c r="J65" s="4"/>
    </row>
    <row r="66" spans="7:10" x14ac:dyDescent="0.3">
      <c r="G66">
        <v>45</v>
      </c>
      <c r="H66" s="42">
        <v>649516272.90122414</v>
      </c>
      <c r="I66" s="4"/>
      <c r="J66" s="4"/>
    </row>
    <row r="67" spans="7:10" x14ac:dyDescent="0.3">
      <c r="G67">
        <v>46</v>
      </c>
      <c r="H67" s="42">
        <v>914116948.49344206</v>
      </c>
      <c r="I67" s="4"/>
      <c r="J67" s="4"/>
    </row>
    <row r="68" spans="7:10" x14ac:dyDescent="0.3">
      <c r="G68">
        <v>47</v>
      </c>
      <c r="H68" s="42">
        <v>713703094.01845419</v>
      </c>
      <c r="I68" s="4"/>
      <c r="J68" s="4"/>
    </row>
    <row r="69" spans="7:10" x14ac:dyDescent="0.3">
      <c r="G69">
        <v>48</v>
      </c>
      <c r="H69" s="42">
        <v>837502878.27551889</v>
      </c>
      <c r="I69" s="4"/>
      <c r="J69" s="4"/>
    </row>
    <row r="70" spans="7:10" x14ac:dyDescent="0.3">
      <c r="G70">
        <v>49</v>
      </c>
      <c r="H70" s="42">
        <v>948689985.64512026</v>
      </c>
      <c r="I70" s="4"/>
      <c r="J70" s="4"/>
    </row>
    <row r="71" spans="7:10" x14ac:dyDescent="0.3">
      <c r="G71">
        <v>50</v>
      </c>
      <c r="H71" s="42">
        <v>889324596.05650175</v>
      </c>
      <c r="I71" s="4"/>
      <c r="J71" s="4"/>
    </row>
    <row r="72" spans="7:10" x14ac:dyDescent="0.3">
      <c r="G72">
        <v>51</v>
      </c>
      <c r="H72" s="42">
        <v>682463838.27749681</v>
      </c>
      <c r="I72" s="4"/>
      <c r="J72" s="4"/>
    </row>
    <row r="73" spans="7:10" x14ac:dyDescent="0.3">
      <c r="G73">
        <v>52</v>
      </c>
      <c r="H73" s="42">
        <v>937902001.28499293</v>
      </c>
      <c r="I73" s="4"/>
      <c r="J73" s="4"/>
    </row>
    <row r="74" spans="7:10" x14ac:dyDescent="0.3">
      <c r="G74">
        <v>53</v>
      </c>
      <c r="H74" s="42">
        <v>518080002.74174559</v>
      </c>
      <c r="I74" s="4"/>
      <c r="J74" s="4"/>
    </row>
    <row r="75" spans="7:10" x14ac:dyDescent="0.3">
      <c r="G75">
        <v>54</v>
      </c>
      <c r="H75" s="42">
        <v>998654972.48306298</v>
      </c>
      <c r="I75" s="4"/>
      <c r="J75" s="4"/>
    </row>
    <row r="76" spans="7:10" x14ac:dyDescent="0.3">
      <c r="G76">
        <v>55</v>
      </c>
      <c r="H76" s="42">
        <v>833542195.96220767</v>
      </c>
      <c r="I76" s="4"/>
      <c r="J76" s="4"/>
    </row>
    <row r="77" spans="7:10" x14ac:dyDescent="0.3">
      <c r="G77">
        <v>56</v>
      </c>
      <c r="H77" s="42">
        <v>622329065.01834309</v>
      </c>
      <c r="I77" s="4"/>
      <c r="J77" s="4"/>
    </row>
    <row r="78" spans="7:10" x14ac:dyDescent="0.3">
      <c r="G78">
        <v>57</v>
      </c>
      <c r="H78" s="42">
        <v>631171076.5001173</v>
      </c>
      <c r="I78" s="4"/>
      <c r="J78" s="4"/>
    </row>
    <row r="79" spans="7:10" x14ac:dyDescent="0.3">
      <c r="G79">
        <v>58</v>
      </c>
      <c r="H79" s="42">
        <v>739706778.22937608</v>
      </c>
      <c r="I79" s="4"/>
      <c r="J79" s="4"/>
    </row>
    <row r="80" spans="7:10" x14ac:dyDescent="0.3">
      <c r="G80">
        <v>59</v>
      </c>
      <c r="H80" s="42">
        <v>557102716.35850024</v>
      </c>
      <c r="I80" s="4"/>
      <c r="J80" s="4"/>
    </row>
    <row r="81" spans="7:10" x14ac:dyDescent="0.3">
      <c r="G81">
        <v>60</v>
      </c>
      <c r="H81" s="42">
        <v>997742120.7806474</v>
      </c>
      <c r="I81" s="4"/>
      <c r="J81" s="4"/>
    </row>
    <row r="82" spans="7:10" x14ac:dyDescent="0.3">
      <c r="G82">
        <v>61</v>
      </c>
      <c r="H82" s="42">
        <v>732909806.68975675</v>
      </c>
      <c r="I82" s="4"/>
      <c r="J82" s="4"/>
    </row>
    <row r="83" spans="7:10" x14ac:dyDescent="0.3">
      <c r="G83">
        <v>62</v>
      </c>
      <c r="H83" s="42">
        <v>910084105.13854742</v>
      </c>
      <c r="I83" s="4"/>
      <c r="J83" s="4"/>
    </row>
    <row r="84" spans="7:10" x14ac:dyDescent="0.3">
      <c r="G84">
        <v>63</v>
      </c>
      <c r="H84" s="42">
        <v>700879007.39060724</v>
      </c>
      <c r="I84" s="4"/>
      <c r="J84" s="4"/>
    </row>
    <row r="85" spans="7:10" x14ac:dyDescent="0.3">
      <c r="G85">
        <v>64</v>
      </c>
      <c r="H85" s="42">
        <v>837717478.24478006</v>
      </c>
      <c r="I85" s="4"/>
      <c r="J85" s="4"/>
    </row>
    <row r="86" spans="7:10" x14ac:dyDescent="0.3">
      <c r="G86">
        <v>65</v>
      </c>
      <c r="H86" s="42">
        <v>924182080.59923017</v>
      </c>
      <c r="I86" s="4"/>
      <c r="J86" s="4"/>
    </row>
    <row r="87" spans="7:10" x14ac:dyDescent="0.3">
      <c r="G87">
        <v>66</v>
      </c>
      <c r="H87" s="42">
        <v>905470215.97789717</v>
      </c>
      <c r="I87" s="4"/>
      <c r="J87" s="4"/>
    </row>
    <row r="88" spans="7:10" x14ac:dyDescent="0.3">
      <c r="G88">
        <v>67</v>
      </c>
      <c r="H88" s="42">
        <v>861886177.82925296</v>
      </c>
      <c r="I88" s="4"/>
      <c r="J88" s="4"/>
    </row>
    <row r="89" spans="7:10" x14ac:dyDescent="0.3">
      <c r="G89">
        <v>68</v>
      </c>
      <c r="H89" s="42">
        <v>553981280.18061888</v>
      </c>
      <c r="I89" s="4"/>
      <c r="J89" s="4"/>
    </row>
    <row r="90" spans="7:10" x14ac:dyDescent="0.3">
      <c r="G90">
        <v>69</v>
      </c>
      <c r="H90" s="42">
        <v>990261173.13744068</v>
      </c>
      <c r="I90" s="4"/>
      <c r="J90" s="4"/>
    </row>
    <row r="91" spans="7:10" x14ac:dyDescent="0.3">
      <c r="G91">
        <v>70</v>
      </c>
      <c r="H91" s="42">
        <v>867161184.87358189</v>
      </c>
      <c r="I91" s="4"/>
      <c r="J91" s="4"/>
    </row>
    <row r="92" spans="7:10" x14ac:dyDescent="0.3">
      <c r="G92">
        <v>71</v>
      </c>
      <c r="H92" s="42">
        <v>806721571.55885029</v>
      </c>
      <c r="I92" s="4"/>
      <c r="J92" s="4"/>
    </row>
    <row r="93" spans="7:10" x14ac:dyDescent="0.3">
      <c r="G93">
        <v>72</v>
      </c>
      <c r="H93" s="42">
        <v>1001490096.8371254</v>
      </c>
      <c r="I93" s="4"/>
      <c r="J93" s="4"/>
    </row>
    <row r="94" spans="7:10" x14ac:dyDescent="0.3">
      <c r="G94">
        <v>73</v>
      </c>
      <c r="H94" s="42">
        <v>949879551.80250502</v>
      </c>
      <c r="I94" s="4"/>
      <c r="J94" s="4"/>
    </row>
    <row r="95" spans="7:10" x14ac:dyDescent="0.3">
      <c r="G95">
        <v>74</v>
      </c>
      <c r="H95" s="42">
        <v>599006230.89543808</v>
      </c>
      <c r="I95" s="4"/>
      <c r="J95" s="4"/>
    </row>
    <row r="96" spans="7:10" x14ac:dyDescent="0.3">
      <c r="G96">
        <v>75</v>
      </c>
      <c r="H96" s="42">
        <v>1068299610.7495978</v>
      </c>
      <c r="I96" s="4"/>
      <c r="J96" s="4"/>
    </row>
    <row r="97" spans="7:10" x14ac:dyDescent="0.3">
      <c r="G97">
        <v>76</v>
      </c>
      <c r="H97" s="42">
        <v>679102140.08571911</v>
      </c>
      <c r="I97" s="4"/>
      <c r="J97" s="4"/>
    </row>
    <row r="98" spans="7:10" x14ac:dyDescent="0.3">
      <c r="G98">
        <v>77</v>
      </c>
      <c r="H98" s="42">
        <v>536396596.0316658</v>
      </c>
      <c r="I98" s="4"/>
      <c r="J98" s="4"/>
    </row>
    <row r="99" spans="7:10" x14ac:dyDescent="0.3">
      <c r="G99">
        <v>78</v>
      </c>
      <c r="H99" s="42">
        <v>1231928510.3551874</v>
      </c>
      <c r="I99" s="4"/>
      <c r="J99" s="4"/>
    </row>
    <row r="100" spans="7:10" x14ac:dyDescent="0.3">
      <c r="G100">
        <v>79</v>
      </c>
      <c r="H100" s="42">
        <v>780520499.59507895</v>
      </c>
      <c r="I100" s="4"/>
      <c r="J100" s="4"/>
    </row>
    <row r="101" spans="7:10" x14ac:dyDescent="0.3">
      <c r="G101">
        <v>80</v>
      </c>
      <c r="H101" s="42">
        <v>627268421.11828327</v>
      </c>
      <c r="I101" s="4"/>
      <c r="J101" s="4"/>
    </row>
    <row r="102" spans="7:10" x14ac:dyDescent="0.3">
      <c r="G102">
        <v>81</v>
      </c>
      <c r="H102" s="42">
        <v>731389217.28115964</v>
      </c>
      <c r="I102" s="4"/>
      <c r="J102" s="4"/>
    </row>
    <row r="103" spans="7:10" x14ac:dyDescent="0.3">
      <c r="G103">
        <v>82</v>
      </c>
      <c r="H103" s="42">
        <v>1188661519.13521</v>
      </c>
      <c r="I103" s="4"/>
      <c r="J103" s="4"/>
    </row>
    <row r="104" spans="7:10" x14ac:dyDescent="0.3">
      <c r="G104">
        <v>83</v>
      </c>
      <c r="H104" s="42">
        <v>690261127.34045482</v>
      </c>
      <c r="I104" s="4"/>
      <c r="J104" s="4"/>
    </row>
    <row r="105" spans="7:10" x14ac:dyDescent="0.3">
      <c r="G105">
        <v>84</v>
      </c>
      <c r="H105" s="42">
        <v>801576312.27391338</v>
      </c>
      <c r="I105" s="4"/>
      <c r="J105" s="4"/>
    </row>
    <row r="106" spans="7:10" x14ac:dyDescent="0.3">
      <c r="G106">
        <v>85</v>
      </c>
      <c r="H106" s="42">
        <v>1008564836.6953304</v>
      </c>
      <c r="I106" s="4"/>
      <c r="J106" s="4"/>
    </row>
    <row r="107" spans="7:10" x14ac:dyDescent="0.3">
      <c r="G107">
        <v>86</v>
      </c>
      <c r="H107" s="42">
        <v>738876391.34301591</v>
      </c>
      <c r="I107" s="4"/>
      <c r="J107" s="4"/>
    </row>
    <row r="108" spans="7:10" x14ac:dyDescent="0.3">
      <c r="G108">
        <v>87</v>
      </c>
      <c r="H108" s="42">
        <v>787106613.92002451</v>
      </c>
      <c r="I108" s="4"/>
      <c r="J108" s="4"/>
    </row>
    <row r="109" spans="7:10" x14ac:dyDescent="0.3">
      <c r="G109">
        <v>88</v>
      </c>
      <c r="H109" s="42">
        <v>903769080.13712072</v>
      </c>
      <c r="I109" s="4"/>
      <c r="J109" s="4"/>
    </row>
    <row r="110" spans="7:10" x14ac:dyDescent="0.3">
      <c r="G110">
        <v>89</v>
      </c>
      <c r="H110" s="42">
        <v>942689649.28606975</v>
      </c>
      <c r="I110" s="4"/>
      <c r="J110" s="4"/>
    </row>
    <row r="111" spans="7:10" x14ac:dyDescent="0.3">
      <c r="G111">
        <v>90</v>
      </c>
      <c r="H111" s="42">
        <v>706076155.52901578</v>
      </c>
      <c r="I111" s="4"/>
      <c r="J111" s="4"/>
    </row>
    <row r="112" spans="7:10" x14ac:dyDescent="0.3">
      <c r="G112">
        <v>91</v>
      </c>
      <c r="H112" s="42">
        <v>1092322841.9024675</v>
      </c>
      <c r="I112" s="4"/>
      <c r="J112" s="4"/>
    </row>
    <row r="113" spans="7:10" x14ac:dyDescent="0.3">
      <c r="G113">
        <v>92</v>
      </c>
      <c r="H113" s="42">
        <v>735288200.00816298</v>
      </c>
      <c r="I113" s="4"/>
      <c r="J113" s="4"/>
    </row>
    <row r="114" spans="7:10" x14ac:dyDescent="0.3">
      <c r="G114">
        <v>93</v>
      </c>
      <c r="H114" s="42">
        <v>707964808.70121837</v>
      </c>
      <c r="I114" s="4"/>
      <c r="J114" s="4"/>
    </row>
    <row r="115" spans="7:10" x14ac:dyDescent="0.3">
      <c r="G115">
        <v>94</v>
      </c>
      <c r="H115" s="42">
        <v>938629640.80940163</v>
      </c>
      <c r="I115" s="4"/>
      <c r="J115" s="4"/>
    </row>
    <row r="116" spans="7:10" x14ac:dyDescent="0.3">
      <c r="G116">
        <v>95</v>
      </c>
      <c r="H116" s="42">
        <v>399882092.64903539</v>
      </c>
      <c r="I116" s="4"/>
      <c r="J116" s="4"/>
    </row>
    <row r="117" spans="7:10" x14ac:dyDescent="0.3">
      <c r="G117">
        <v>96</v>
      </c>
      <c r="H117" s="42">
        <v>784036731.79044533</v>
      </c>
      <c r="I117" s="4"/>
      <c r="J117" s="4"/>
    </row>
    <row r="118" spans="7:10" x14ac:dyDescent="0.3">
      <c r="G118">
        <v>97</v>
      </c>
      <c r="H118" s="42">
        <v>745304988.92468727</v>
      </c>
      <c r="I118" s="4"/>
      <c r="J118" s="4"/>
    </row>
    <row r="119" spans="7:10" x14ac:dyDescent="0.3">
      <c r="G119">
        <v>98</v>
      </c>
      <c r="H119" s="42">
        <v>712965664.01399195</v>
      </c>
      <c r="I119" s="4"/>
      <c r="J119" s="4"/>
    </row>
    <row r="120" spans="7:10" x14ac:dyDescent="0.3">
      <c r="G120">
        <v>99</v>
      </c>
      <c r="H120" s="42">
        <v>858446685.14016438</v>
      </c>
      <c r="I120" s="4"/>
      <c r="J120" s="4"/>
    </row>
    <row r="121" spans="7:10" x14ac:dyDescent="0.3">
      <c r="G121">
        <v>100</v>
      </c>
      <c r="H121" s="42">
        <v>1030123126.657459</v>
      </c>
      <c r="I121" s="4"/>
      <c r="J121" s="4"/>
    </row>
    <row r="122" spans="7:10" x14ac:dyDescent="0.3">
      <c r="G122">
        <v>101</v>
      </c>
      <c r="H122" s="42">
        <v>1076590435.8981447</v>
      </c>
      <c r="I122" s="4"/>
      <c r="J122" s="4"/>
    </row>
    <row r="123" spans="7:10" x14ac:dyDescent="0.3">
      <c r="G123">
        <v>102</v>
      </c>
      <c r="H123" s="42">
        <v>774957469.57139659</v>
      </c>
      <c r="I123" s="4"/>
      <c r="J123" s="4"/>
    </row>
    <row r="124" spans="7:10" x14ac:dyDescent="0.3">
      <c r="G124">
        <v>103</v>
      </c>
      <c r="H124" s="42">
        <v>1082261844.0356641</v>
      </c>
      <c r="I124" s="4"/>
      <c r="J124" s="4"/>
    </row>
    <row r="125" spans="7:10" x14ac:dyDescent="0.3">
      <c r="G125">
        <v>104</v>
      </c>
      <c r="H125" s="42">
        <v>591016610.78516424</v>
      </c>
      <c r="I125" s="4"/>
      <c r="J125" s="4"/>
    </row>
    <row r="126" spans="7:10" x14ac:dyDescent="0.3">
      <c r="G126">
        <v>105</v>
      </c>
      <c r="H126" s="42">
        <v>915051675.8994664</v>
      </c>
      <c r="I126" s="4"/>
      <c r="J126" s="4"/>
    </row>
    <row r="127" spans="7:10" x14ac:dyDescent="0.3">
      <c r="G127">
        <v>106</v>
      </c>
      <c r="H127" s="42">
        <v>1147218331.3762522</v>
      </c>
      <c r="I127" s="4"/>
      <c r="J127" s="4"/>
    </row>
    <row r="128" spans="7:10" x14ac:dyDescent="0.3">
      <c r="G128">
        <v>107</v>
      </c>
      <c r="H128" s="42">
        <v>1067981348.3999748</v>
      </c>
      <c r="I128" s="4"/>
      <c r="J128" s="4"/>
    </row>
    <row r="129" spans="7:10" x14ac:dyDescent="0.3">
      <c r="G129">
        <v>108</v>
      </c>
      <c r="H129" s="42">
        <v>777893142.9826951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topLeftCell="A4" workbookViewId="0">
      <selection activeCell="D8" sqref="D8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1.109375" customWidth="1"/>
  </cols>
  <sheetData>
    <row r="3" spans="3:10" ht="18" customHeight="1" x14ac:dyDescent="0.3">
      <c r="D3" s="37" t="str">
        <f>Mappings!B6</f>
        <v>Adopting</v>
      </c>
      <c r="E3" s="55" t="s">
        <v>112</v>
      </c>
      <c r="F3" s="55" t="s">
        <v>113</v>
      </c>
      <c r="H3" s="2" t="s">
        <v>78</v>
      </c>
      <c r="I3" s="2"/>
      <c r="J3" s="2"/>
    </row>
    <row r="5" spans="3:10" x14ac:dyDescent="0.3">
      <c r="C5" t="str">
        <f>MC_Inclusive!C5</f>
        <v>Income per cow (USD/day)</v>
      </c>
      <c r="D5" s="24">
        <f>Mappings!Q10</f>
        <v>274.83358178429671</v>
      </c>
      <c r="E5" s="24">
        <f>Mappings!Q11</f>
        <v>22.104966099359416</v>
      </c>
      <c r="F5" s="50">
        <f>Mappings!Q12</f>
        <v>617.47413431540622</v>
      </c>
    </row>
    <row r="6" spans="3:10" x14ac:dyDescent="0.3">
      <c r="C6" t="str">
        <f>MC_Inclusive!C6</f>
        <v>Random value income per cow (USD/day)</v>
      </c>
      <c r="D6" s="24">
        <f ca="1">_xlfn.NORM.INV(RAND(),Mappings!Q10,Mappings!R10)</f>
        <v>656.21997657253132</v>
      </c>
      <c r="E6" s="24">
        <f ca="1">_xlfn.NORM.INV(RAND(),Mappings!Q11,Mappings!R11)</f>
        <v>27.185993112471078</v>
      </c>
      <c r="F6" s="24">
        <f ca="1">_xlfn.NORM.INV(RAND(),Mappings!Q12,Mappings!R12)</f>
        <v>918.41251086190402</v>
      </c>
    </row>
    <row r="7" spans="3:10" x14ac:dyDescent="0.3">
      <c r="C7" t="str">
        <f>MC_Inclusive!C7</f>
        <v>Average number of cows per household (head)</v>
      </c>
      <c r="D7" s="24">
        <f>Mappings!H10*Mappings!K10</f>
        <v>2.3209134052257077</v>
      </c>
      <c r="E7" s="24">
        <f>Mappings!H11*Mappings!K11</f>
        <v>3.5490281769133354</v>
      </c>
      <c r="F7" s="24">
        <f>Mappings!H12*Mappings!K12</f>
        <v>6.3222823060877706</v>
      </c>
    </row>
    <row r="8" spans="3:10" x14ac:dyDescent="0.3">
      <c r="C8" t="str">
        <f>MC_Inclusive!C8</f>
        <v>Random value cows per household (head)</v>
      </c>
      <c r="D8" s="24">
        <f ca="1">_xlfn.NORM.INV(RAND(),D7,D7*Mappings!G4)*0+D7</f>
        <v>2.3209134052257077</v>
      </c>
      <c r="E8" s="24">
        <f ca="1">_xlfn.NORM.INV(RAND(),E7,E7*Mappings!G3)*0+E7</f>
        <v>3.5490281769133354</v>
      </c>
      <c r="F8" s="24">
        <f ca="1">_xlfn.NORM.INV(RAND(),F7,F7*Mappings!G4)*0+F7</f>
        <v>6.3222823060877706</v>
      </c>
    </row>
    <row r="9" spans="3:10" x14ac:dyDescent="0.3">
      <c r="C9" t="str">
        <f>MC_Inclusive!C9</f>
        <v>Estimated non dairy income (USD/person/day)</v>
      </c>
      <c r="D9" s="24">
        <f>Mappings!W10</f>
        <v>2532.0489928615684</v>
      </c>
      <c r="E9" s="24">
        <f>Mappings!W11</f>
        <v>2532.0489928615684</v>
      </c>
      <c r="F9" s="24">
        <f>Mappings!W12</f>
        <v>2549.5329853259786</v>
      </c>
    </row>
    <row r="10" spans="3:10" x14ac:dyDescent="0.3">
      <c r="C10" t="str">
        <f>MC_Inclusive!C10</f>
        <v>Random value non dairy income (USD/person/day)</v>
      </c>
      <c r="D10" s="24">
        <f>D9</f>
        <v>2532.0489928615684</v>
      </c>
      <c r="E10" s="24">
        <f>E9</f>
        <v>2532.0489928615684</v>
      </c>
      <c r="F10" s="24">
        <f>F9</f>
        <v>2549.5329853259786</v>
      </c>
    </row>
    <row r="11" spans="3:10" x14ac:dyDescent="0.3">
      <c r="C11" t="str">
        <f>MC_Inclusive!C11</f>
        <v>Quantity households</v>
      </c>
      <c r="D11" s="24">
        <f>Mappings!F10</f>
        <v>2466.6558652590656</v>
      </c>
      <c r="E11" s="4">
        <f>Mappings!F11</f>
        <v>59199.740766217568</v>
      </c>
      <c r="F11" s="4">
        <f>Mappings!F12</f>
        <v>109979.17741374573</v>
      </c>
    </row>
    <row r="12" spans="3:10" x14ac:dyDescent="0.3">
      <c r="C12" t="str">
        <f>MC_Inclusive!C12</f>
        <v>SD quantity households</v>
      </c>
      <c r="D12" s="24">
        <f>Mappings!AB10*D11</f>
        <v>73.536946283933403</v>
      </c>
      <c r="E12" s="24">
        <f>Mappings!AB11*E11</f>
        <v>1764.8867108144016</v>
      </c>
      <c r="F12" s="4">
        <f>Mappings!AB12*F11</f>
        <v>3278.7438960304216</v>
      </c>
    </row>
    <row r="13" spans="3:10" x14ac:dyDescent="0.3">
      <c r="D13" s="24"/>
    </row>
    <row r="14" spans="3:10" x14ac:dyDescent="0.3">
      <c r="C14" t="str">
        <f>MC_Inclusive!C14</f>
        <v>Dairy Income (USD/household/year)</v>
      </c>
      <c r="D14" s="24">
        <f ca="1">D6*D8</f>
        <v>1523.0297404040878</v>
      </c>
      <c r="E14" s="24">
        <f ca="1">E6*E8</f>
        <v>96.483855573531727</v>
      </c>
      <c r="F14" s="24">
        <f ca="1">F6*F8</f>
        <v>5806.4631671118586</v>
      </c>
    </row>
    <row r="15" spans="3:10" x14ac:dyDescent="0.3">
      <c r="C15" t="str">
        <f>MC_Inclusive!C15</f>
        <v>Non dairy income (USD/household/year)</v>
      </c>
      <c r="D15" s="24">
        <f>D10</f>
        <v>2532.0489928615684</v>
      </c>
      <c r="E15" s="24">
        <f>E10</f>
        <v>2532.0489928615684</v>
      </c>
      <c r="F15" s="24">
        <f>F10</f>
        <v>2549.5329853259786</v>
      </c>
    </row>
    <row r="16" spans="3:10" x14ac:dyDescent="0.3">
      <c r="C16" t="str">
        <f>MC_Inclusive!C16</f>
        <v>Quantity households</v>
      </c>
      <c r="D16" s="24">
        <f ca="1">_xlfn.NORM.INV(RAND(),D11,D12)</f>
        <v>2339.6813071312708</v>
      </c>
      <c r="E16" s="24">
        <f ca="1">_xlfn.NORM.INV(RAND(),E11,E12)</f>
        <v>59544.500045908106</v>
      </c>
      <c r="F16" s="24">
        <f t="shared" ref="F16" ca="1" si="0">_xlfn.NORM.INV(RAND(),F11,F12)</f>
        <v>110378.8794766027</v>
      </c>
    </row>
    <row r="18" spans="3:11" x14ac:dyDescent="0.3">
      <c r="C18" t="str">
        <f>[7]MC_sims_Inclusive!C18</f>
        <v>Estimated population income (USD/yr)</v>
      </c>
      <c r="D18" s="13">
        <f ca="1">(D14+D15)*D16</f>
        <v>9487591.9111672081</v>
      </c>
      <c r="E18" s="13">
        <f ca="1">(E14+E15)*E16</f>
        <v>156514674.31431478</v>
      </c>
      <c r="F18" s="13">
        <f ca="1">(F14+F15)*F16</f>
        <v>922325492.216892</v>
      </c>
      <c r="H18" s="4">
        <f ca="1">D18+E18+F18</f>
        <v>1088327758.442374</v>
      </c>
    </row>
    <row r="19" spans="3:11" x14ac:dyDescent="0.3">
      <c r="C19" t="str">
        <f>[7]MC_sims_Inclusive!C19</f>
        <v>SE population income (USD/yr)</v>
      </c>
      <c r="D19" t="s">
        <v>103</v>
      </c>
      <c r="E19" t="s">
        <v>103</v>
      </c>
      <c r="F19" t="s">
        <v>103</v>
      </c>
      <c r="H19">
        <f ca="1">STDEV(H22:H129)</f>
        <v>198578487.90994126</v>
      </c>
      <c r="J19" s="110" t="s">
        <v>117</v>
      </c>
    </row>
    <row r="20" spans="3:11" x14ac:dyDescent="0.3">
      <c r="C20" t="str">
        <f>[7]MC_sims_Inclusive!C20</f>
        <v>Mean population income (USD/yr)</v>
      </c>
      <c r="D20" s="4" t="s">
        <v>103</v>
      </c>
      <c r="E20" s="4" t="s">
        <v>103</v>
      </c>
      <c r="F20" s="4" t="s">
        <v>103</v>
      </c>
      <c r="G20" s="4"/>
      <c r="H20" s="4">
        <f ca="1">AVERAGE(H22:H129)</f>
        <v>853896397.67206573</v>
      </c>
      <c r="I20" s="4"/>
      <c r="J20" s="110"/>
      <c r="K20" s="56">
        <f ca="1">100*H19/H20</f>
        <v>23.255571571834203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42">
        <f ca="1">H18</f>
        <v>1088327758.442374</v>
      </c>
      <c r="I22" s="4"/>
      <c r="J22" s="4"/>
      <c r="K22" s="110"/>
    </row>
    <row r="23" spans="3:11" x14ac:dyDescent="0.3">
      <c r="G23">
        <v>2</v>
      </c>
      <c r="H23" s="42">
        <f t="dataTable" ref="H23:H129" dt2D="0" dtr="0" r1="H21" ca="1"/>
        <v>687236120.63080966</v>
      </c>
      <c r="I23" s="4"/>
      <c r="J23" s="4"/>
      <c r="K23" s="110"/>
    </row>
    <row r="24" spans="3:11" x14ac:dyDescent="0.3">
      <c r="G24">
        <v>3</v>
      </c>
      <c r="H24" s="42">
        <v>1145733904.5191052</v>
      </c>
      <c r="I24" s="4"/>
      <c r="J24" s="4"/>
    </row>
    <row r="25" spans="3:11" x14ac:dyDescent="0.3">
      <c r="G25">
        <v>4</v>
      </c>
      <c r="H25" s="42">
        <v>820680395.03635073</v>
      </c>
      <c r="I25" s="4"/>
      <c r="J25" s="4"/>
    </row>
    <row r="26" spans="3:11" x14ac:dyDescent="0.3">
      <c r="G26">
        <v>5</v>
      </c>
      <c r="H26" s="42">
        <v>609102041.42172074</v>
      </c>
      <c r="I26" s="4"/>
      <c r="J26" s="4"/>
    </row>
    <row r="27" spans="3:11" x14ac:dyDescent="0.3">
      <c r="G27">
        <v>6</v>
      </c>
      <c r="H27" s="42">
        <v>1033276691.9983265</v>
      </c>
      <c r="I27" s="4"/>
      <c r="J27" s="4"/>
    </row>
    <row r="28" spans="3:11" x14ac:dyDescent="0.3">
      <c r="G28">
        <v>7</v>
      </c>
      <c r="H28" s="42">
        <v>943198515.75836515</v>
      </c>
      <c r="I28" s="4"/>
      <c r="J28" s="4"/>
    </row>
    <row r="29" spans="3:11" x14ac:dyDescent="0.3">
      <c r="G29">
        <v>8</v>
      </c>
      <c r="H29" s="42">
        <v>784608512.50416899</v>
      </c>
      <c r="I29" s="4"/>
      <c r="J29" s="4"/>
    </row>
    <row r="30" spans="3:11" x14ac:dyDescent="0.3">
      <c r="G30">
        <v>9</v>
      </c>
      <c r="H30" s="42">
        <v>550837471.94898152</v>
      </c>
      <c r="I30" s="4"/>
      <c r="J30" s="4"/>
    </row>
    <row r="31" spans="3:11" x14ac:dyDescent="0.3">
      <c r="G31">
        <v>10</v>
      </c>
      <c r="H31" s="42">
        <v>967526269.69468403</v>
      </c>
      <c r="I31" s="4"/>
      <c r="J31" s="4"/>
    </row>
    <row r="32" spans="3:11" x14ac:dyDescent="0.3">
      <c r="G32">
        <v>11</v>
      </c>
      <c r="H32" s="42">
        <v>1107122964.8915489</v>
      </c>
      <c r="I32" s="4"/>
      <c r="J32" s="4"/>
    </row>
    <row r="33" spans="7:10" x14ac:dyDescent="0.3">
      <c r="G33">
        <v>12</v>
      </c>
      <c r="H33" s="42">
        <v>824738840.53507888</v>
      </c>
      <c r="I33" s="4"/>
      <c r="J33" s="4"/>
    </row>
    <row r="34" spans="7:10" x14ac:dyDescent="0.3">
      <c r="G34">
        <v>13</v>
      </c>
      <c r="H34" s="42">
        <v>859974911.7729069</v>
      </c>
      <c r="I34" s="4"/>
      <c r="J34" s="4"/>
    </row>
    <row r="35" spans="7:10" x14ac:dyDescent="0.3">
      <c r="G35">
        <v>14</v>
      </c>
      <c r="H35" s="42">
        <v>1049191957.6271979</v>
      </c>
      <c r="I35" s="4"/>
      <c r="J35" s="4"/>
    </row>
    <row r="36" spans="7:10" x14ac:dyDescent="0.3">
      <c r="G36">
        <v>15</v>
      </c>
      <c r="H36" s="42">
        <v>931507461.69225359</v>
      </c>
      <c r="I36" s="4"/>
      <c r="J36" s="4"/>
    </row>
    <row r="37" spans="7:10" x14ac:dyDescent="0.3">
      <c r="G37">
        <v>16</v>
      </c>
      <c r="H37" s="42">
        <v>644113954.07801533</v>
      </c>
      <c r="I37" s="4"/>
      <c r="J37" s="4"/>
    </row>
    <row r="38" spans="7:10" x14ac:dyDescent="0.3">
      <c r="G38">
        <v>17</v>
      </c>
      <c r="H38" s="42">
        <v>987710907.42375469</v>
      </c>
      <c r="I38" s="4"/>
      <c r="J38" s="4"/>
    </row>
    <row r="39" spans="7:10" x14ac:dyDescent="0.3">
      <c r="G39">
        <v>18</v>
      </c>
      <c r="H39" s="42">
        <v>1087437888.0538337</v>
      </c>
      <c r="I39" s="4"/>
      <c r="J39" s="4"/>
    </row>
    <row r="40" spans="7:10" x14ac:dyDescent="0.3">
      <c r="G40">
        <v>19</v>
      </c>
      <c r="H40" s="42">
        <v>992950279.75578332</v>
      </c>
      <c r="I40" s="4"/>
      <c r="J40" s="4"/>
    </row>
    <row r="41" spans="7:10" x14ac:dyDescent="0.3">
      <c r="G41">
        <v>20</v>
      </c>
      <c r="H41" s="42">
        <v>588820929.21981978</v>
      </c>
      <c r="I41" s="4"/>
      <c r="J41" s="4"/>
    </row>
    <row r="42" spans="7:10" x14ac:dyDescent="0.3">
      <c r="G42">
        <v>21</v>
      </c>
      <c r="H42" s="42">
        <v>729809343.63825023</v>
      </c>
      <c r="I42" s="4"/>
      <c r="J42" s="4"/>
    </row>
    <row r="43" spans="7:10" x14ac:dyDescent="0.3">
      <c r="G43">
        <v>22</v>
      </c>
      <c r="H43" s="42">
        <v>1447604597.5116944</v>
      </c>
      <c r="I43" s="4"/>
      <c r="J43" s="4"/>
    </row>
    <row r="44" spans="7:10" x14ac:dyDescent="0.3">
      <c r="G44">
        <v>23</v>
      </c>
      <c r="H44" s="42">
        <v>974595131.78676426</v>
      </c>
      <c r="I44" s="4"/>
      <c r="J44" s="4"/>
    </row>
    <row r="45" spans="7:10" x14ac:dyDescent="0.3">
      <c r="G45">
        <v>24</v>
      </c>
      <c r="H45" s="42">
        <v>787700453.67726278</v>
      </c>
      <c r="I45" s="4"/>
      <c r="J45" s="4"/>
    </row>
    <row r="46" spans="7:10" x14ac:dyDescent="0.3">
      <c r="G46">
        <v>25</v>
      </c>
      <c r="H46" s="42">
        <v>430587181.06159568</v>
      </c>
      <c r="I46" s="4"/>
      <c r="J46" s="4"/>
    </row>
    <row r="47" spans="7:10" x14ac:dyDescent="0.3">
      <c r="G47">
        <v>26</v>
      </c>
      <c r="H47" s="42">
        <v>817604935.19823456</v>
      </c>
      <c r="I47" s="4"/>
      <c r="J47" s="4"/>
    </row>
    <row r="48" spans="7:10" x14ac:dyDescent="0.3">
      <c r="G48">
        <v>27</v>
      </c>
      <c r="H48" s="42">
        <v>899872001.8770231</v>
      </c>
      <c r="I48" s="4"/>
      <c r="J48" s="4"/>
    </row>
    <row r="49" spans="7:10" x14ac:dyDescent="0.3">
      <c r="G49">
        <v>28</v>
      </c>
      <c r="H49" s="42">
        <v>1056722979.4767364</v>
      </c>
      <c r="I49" s="4"/>
      <c r="J49" s="4"/>
    </row>
    <row r="50" spans="7:10" x14ac:dyDescent="0.3">
      <c r="G50">
        <v>29</v>
      </c>
      <c r="H50" s="42">
        <v>1026131495.2292987</v>
      </c>
      <c r="I50" s="4"/>
      <c r="J50" s="4"/>
    </row>
    <row r="51" spans="7:10" x14ac:dyDescent="0.3">
      <c r="G51">
        <v>30</v>
      </c>
      <c r="H51" s="42">
        <v>936227600.89097881</v>
      </c>
      <c r="I51" s="4"/>
      <c r="J51" s="4"/>
    </row>
    <row r="52" spans="7:10" x14ac:dyDescent="0.3">
      <c r="G52">
        <v>31</v>
      </c>
      <c r="H52" s="42">
        <v>704793272.04540765</v>
      </c>
      <c r="I52" s="4"/>
      <c r="J52" s="4"/>
    </row>
    <row r="53" spans="7:10" x14ac:dyDescent="0.3">
      <c r="G53">
        <v>32</v>
      </c>
      <c r="H53" s="42">
        <v>690577371.44884408</v>
      </c>
      <c r="I53" s="4"/>
      <c r="J53" s="4"/>
    </row>
    <row r="54" spans="7:10" x14ac:dyDescent="0.3">
      <c r="G54">
        <v>33</v>
      </c>
      <c r="H54" s="42">
        <v>741932090.78813398</v>
      </c>
      <c r="I54" s="4"/>
      <c r="J54" s="4"/>
    </row>
    <row r="55" spans="7:10" x14ac:dyDescent="0.3">
      <c r="G55">
        <v>34</v>
      </c>
      <c r="H55" s="42">
        <v>686066744.10609686</v>
      </c>
      <c r="I55" s="4"/>
      <c r="J55" s="4"/>
    </row>
    <row r="56" spans="7:10" x14ac:dyDescent="0.3">
      <c r="G56">
        <v>35</v>
      </c>
      <c r="H56" s="42">
        <v>1111095779.3691421</v>
      </c>
      <c r="I56" s="4"/>
      <c r="J56" s="4"/>
    </row>
    <row r="57" spans="7:10" x14ac:dyDescent="0.3">
      <c r="G57">
        <v>36</v>
      </c>
      <c r="H57" s="42">
        <v>1203608183.3954773</v>
      </c>
      <c r="I57" s="4"/>
      <c r="J57" s="4"/>
    </row>
    <row r="58" spans="7:10" x14ac:dyDescent="0.3">
      <c r="G58">
        <v>37</v>
      </c>
      <c r="H58" s="42">
        <v>741082025.60758615</v>
      </c>
      <c r="I58" s="4"/>
      <c r="J58" s="4"/>
    </row>
    <row r="59" spans="7:10" x14ac:dyDescent="0.3">
      <c r="G59">
        <v>38</v>
      </c>
      <c r="H59" s="42">
        <v>836733260.32736635</v>
      </c>
      <c r="I59" s="4"/>
      <c r="J59" s="4"/>
    </row>
    <row r="60" spans="7:10" x14ac:dyDescent="0.3">
      <c r="G60">
        <v>39</v>
      </c>
      <c r="H60" s="42">
        <v>1244707073.4326384</v>
      </c>
      <c r="I60" s="4"/>
      <c r="J60" s="4"/>
    </row>
    <row r="61" spans="7:10" x14ac:dyDescent="0.3">
      <c r="G61">
        <v>40</v>
      </c>
      <c r="H61" s="42">
        <v>891383469.7155894</v>
      </c>
      <c r="I61" s="4"/>
      <c r="J61" s="4"/>
    </row>
    <row r="62" spans="7:10" x14ac:dyDescent="0.3">
      <c r="G62">
        <v>41</v>
      </c>
      <c r="H62" s="42">
        <v>821855281.54041457</v>
      </c>
      <c r="I62" s="4"/>
      <c r="J62" s="4"/>
    </row>
    <row r="63" spans="7:10" x14ac:dyDescent="0.3">
      <c r="G63">
        <v>42</v>
      </c>
      <c r="H63" s="42">
        <v>1065389468.0709324</v>
      </c>
      <c r="I63" s="4"/>
      <c r="J63" s="4"/>
    </row>
    <row r="64" spans="7:10" x14ac:dyDescent="0.3">
      <c r="G64">
        <v>43</v>
      </c>
      <c r="H64" s="42">
        <v>995864064.71297252</v>
      </c>
      <c r="I64" s="4"/>
      <c r="J64" s="4"/>
    </row>
    <row r="65" spans="7:10" x14ac:dyDescent="0.3">
      <c r="G65">
        <v>44</v>
      </c>
      <c r="H65" s="42">
        <v>1324653224.0549333</v>
      </c>
      <c r="I65" s="4"/>
      <c r="J65" s="4"/>
    </row>
    <row r="66" spans="7:10" x14ac:dyDescent="0.3">
      <c r="G66">
        <v>45</v>
      </c>
      <c r="H66" s="42">
        <v>772323591.35554159</v>
      </c>
      <c r="I66" s="4"/>
      <c r="J66" s="4"/>
    </row>
    <row r="67" spans="7:10" x14ac:dyDescent="0.3">
      <c r="G67">
        <v>46</v>
      </c>
      <c r="H67" s="42">
        <v>1082958753.770256</v>
      </c>
      <c r="I67" s="4"/>
      <c r="J67" s="4"/>
    </row>
    <row r="68" spans="7:10" x14ac:dyDescent="0.3">
      <c r="G68">
        <v>47</v>
      </c>
      <c r="H68" s="42">
        <v>907373505.08856249</v>
      </c>
      <c r="I68" s="4"/>
      <c r="J68" s="4"/>
    </row>
    <row r="69" spans="7:10" x14ac:dyDescent="0.3">
      <c r="G69">
        <v>48</v>
      </c>
      <c r="H69" s="42">
        <v>1065197862.0450927</v>
      </c>
      <c r="I69" s="4"/>
      <c r="J69" s="4"/>
    </row>
    <row r="70" spans="7:10" x14ac:dyDescent="0.3">
      <c r="G70">
        <v>49</v>
      </c>
      <c r="H70" s="42">
        <v>919932410.64386964</v>
      </c>
      <c r="I70" s="4"/>
      <c r="J70" s="4"/>
    </row>
    <row r="71" spans="7:10" x14ac:dyDescent="0.3">
      <c r="G71">
        <v>50</v>
      </c>
      <c r="H71" s="42">
        <v>834853734.95910883</v>
      </c>
      <c r="I71" s="4"/>
      <c r="J71" s="4"/>
    </row>
    <row r="72" spans="7:10" x14ac:dyDescent="0.3">
      <c r="G72">
        <v>51</v>
      </c>
      <c r="H72" s="42">
        <v>911501974.85354686</v>
      </c>
      <c r="I72" s="4"/>
      <c r="J72" s="4"/>
    </row>
    <row r="73" spans="7:10" x14ac:dyDescent="0.3">
      <c r="G73">
        <v>52</v>
      </c>
      <c r="H73" s="42">
        <v>795278389.11282396</v>
      </c>
      <c r="I73" s="4"/>
      <c r="J73" s="4"/>
    </row>
    <row r="74" spans="7:10" x14ac:dyDescent="0.3">
      <c r="G74">
        <v>53</v>
      </c>
      <c r="H74" s="42">
        <v>829615875.65402448</v>
      </c>
      <c r="I74" s="4"/>
      <c r="J74" s="4"/>
    </row>
    <row r="75" spans="7:10" x14ac:dyDescent="0.3">
      <c r="G75">
        <v>54</v>
      </c>
      <c r="H75" s="42">
        <v>952802021.5095489</v>
      </c>
      <c r="I75" s="4"/>
      <c r="J75" s="4"/>
    </row>
    <row r="76" spans="7:10" x14ac:dyDescent="0.3">
      <c r="G76">
        <v>55</v>
      </c>
      <c r="H76" s="42">
        <v>642801975.57183254</v>
      </c>
      <c r="I76" s="4"/>
      <c r="J76" s="4"/>
    </row>
    <row r="77" spans="7:10" x14ac:dyDescent="0.3">
      <c r="G77">
        <v>56</v>
      </c>
      <c r="H77" s="42">
        <v>665433166.73833609</v>
      </c>
      <c r="I77" s="4"/>
      <c r="J77" s="4"/>
    </row>
    <row r="78" spans="7:10" x14ac:dyDescent="0.3">
      <c r="G78">
        <v>57</v>
      </c>
      <c r="H78" s="42">
        <v>970302276.98441124</v>
      </c>
      <c r="I78" s="4"/>
      <c r="J78" s="4"/>
    </row>
    <row r="79" spans="7:10" x14ac:dyDescent="0.3">
      <c r="G79">
        <v>58</v>
      </c>
      <c r="H79" s="42">
        <v>804313891.82457829</v>
      </c>
      <c r="I79" s="4"/>
      <c r="J79" s="4"/>
    </row>
    <row r="80" spans="7:10" x14ac:dyDescent="0.3">
      <c r="G80">
        <v>59</v>
      </c>
      <c r="H80" s="42">
        <v>889430739.20465529</v>
      </c>
      <c r="I80" s="4"/>
      <c r="J80" s="4"/>
    </row>
    <row r="81" spans="7:10" x14ac:dyDescent="0.3">
      <c r="G81">
        <v>60</v>
      </c>
      <c r="H81" s="42">
        <v>864883569.81027663</v>
      </c>
      <c r="I81" s="4"/>
      <c r="J81" s="4"/>
    </row>
    <row r="82" spans="7:10" x14ac:dyDescent="0.3">
      <c r="G82">
        <v>61</v>
      </c>
      <c r="H82" s="42">
        <v>817015997.65896058</v>
      </c>
      <c r="I82" s="4"/>
      <c r="J82" s="4"/>
    </row>
    <row r="83" spans="7:10" x14ac:dyDescent="0.3">
      <c r="G83">
        <v>62</v>
      </c>
      <c r="H83" s="42">
        <v>909946292.80854034</v>
      </c>
      <c r="I83" s="4"/>
      <c r="J83" s="4"/>
    </row>
    <row r="84" spans="7:10" x14ac:dyDescent="0.3">
      <c r="G84">
        <v>63</v>
      </c>
      <c r="H84" s="42">
        <v>861845709.62997055</v>
      </c>
      <c r="I84" s="4"/>
      <c r="J84" s="4"/>
    </row>
    <row r="85" spans="7:10" x14ac:dyDescent="0.3">
      <c r="G85">
        <v>64</v>
      </c>
      <c r="H85" s="42">
        <v>746913126.40038419</v>
      </c>
      <c r="I85" s="4"/>
      <c r="J85" s="4"/>
    </row>
    <row r="86" spans="7:10" x14ac:dyDescent="0.3">
      <c r="G86">
        <v>65</v>
      </c>
      <c r="H86" s="42">
        <v>987040735.79864264</v>
      </c>
      <c r="I86" s="4"/>
      <c r="J86" s="4"/>
    </row>
    <row r="87" spans="7:10" x14ac:dyDescent="0.3">
      <c r="G87">
        <v>66</v>
      </c>
      <c r="H87" s="42">
        <v>418452301.91045099</v>
      </c>
      <c r="I87" s="4"/>
      <c r="J87" s="4"/>
    </row>
    <row r="88" spans="7:10" x14ac:dyDescent="0.3">
      <c r="G88">
        <v>67</v>
      </c>
      <c r="H88" s="42">
        <v>796378572.71779871</v>
      </c>
      <c r="I88" s="4"/>
      <c r="J88" s="4"/>
    </row>
    <row r="89" spans="7:10" x14ac:dyDescent="0.3">
      <c r="G89">
        <v>68</v>
      </c>
      <c r="H89" s="42">
        <v>607856368.68448484</v>
      </c>
      <c r="I89" s="4"/>
      <c r="J89" s="4"/>
    </row>
    <row r="90" spans="7:10" x14ac:dyDescent="0.3">
      <c r="G90">
        <v>69</v>
      </c>
      <c r="H90" s="42">
        <v>817671826.49037516</v>
      </c>
      <c r="I90" s="4"/>
      <c r="J90" s="4"/>
    </row>
    <row r="91" spans="7:10" x14ac:dyDescent="0.3">
      <c r="G91">
        <v>70</v>
      </c>
      <c r="H91" s="42">
        <v>838915317.37222707</v>
      </c>
      <c r="I91" s="4"/>
      <c r="J91" s="4"/>
    </row>
    <row r="92" spans="7:10" x14ac:dyDescent="0.3">
      <c r="G92">
        <v>71</v>
      </c>
      <c r="H92" s="42">
        <v>950329823.79583406</v>
      </c>
      <c r="I92" s="4"/>
      <c r="J92" s="4"/>
    </row>
    <row r="93" spans="7:10" x14ac:dyDescent="0.3">
      <c r="G93">
        <v>72</v>
      </c>
      <c r="H93" s="42">
        <v>928905684.40508413</v>
      </c>
      <c r="I93" s="4"/>
      <c r="J93" s="4"/>
    </row>
    <row r="94" spans="7:10" x14ac:dyDescent="0.3">
      <c r="G94">
        <v>73</v>
      </c>
      <c r="H94" s="42">
        <v>941422404.36019588</v>
      </c>
      <c r="I94" s="4"/>
      <c r="J94" s="4"/>
    </row>
    <row r="95" spans="7:10" x14ac:dyDescent="0.3">
      <c r="G95">
        <v>74</v>
      </c>
      <c r="H95" s="42">
        <v>609272190.91647708</v>
      </c>
      <c r="I95" s="4"/>
      <c r="J95" s="4"/>
    </row>
    <row r="96" spans="7:10" x14ac:dyDescent="0.3">
      <c r="G96">
        <v>75</v>
      </c>
      <c r="H96" s="42">
        <v>870815852.75796366</v>
      </c>
      <c r="I96" s="4"/>
      <c r="J96" s="4"/>
    </row>
    <row r="97" spans="7:10" x14ac:dyDescent="0.3">
      <c r="G97">
        <v>76</v>
      </c>
      <c r="H97" s="42">
        <v>876098214.1479708</v>
      </c>
      <c r="I97" s="4"/>
      <c r="J97" s="4"/>
    </row>
    <row r="98" spans="7:10" x14ac:dyDescent="0.3">
      <c r="G98">
        <v>77</v>
      </c>
      <c r="H98" s="42">
        <v>579334319.83725822</v>
      </c>
      <c r="I98" s="4"/>
      <c r="J98" s="4"/>
    </row>
    <row r="99" spans="7:10" x14ac:dyDescent="0.3">
      <c r="G99">
        <v>78</v>
      </c>
      <c r="H99" s="42">
        <v>995746437.43071949</v>
      </c>
      <c r="I99" s="4"/>
      <c r="J99" s="4"/>
    </row>
    <row r="100" spans="7:10" x14ac:dyDescent="0.3">
      <c r="G100">
        <v>79</v>
      </c>
      <c r="H100" s="42">
        <v>1256717039.3076637</v>
      </c>
      <c r="I100" s="4"/>
      <c r="J100" s="4"/>
    </row>
    <row r="101" spans="7:10" x14ac:dyDescent="0.3">
      <c r="G101">
        <v>80</v>
      </c>
      <c r="H101" s="42">
        <v>824271205.63932443</v>
      </c>
      <c r="I101" s="4"/>
      <c r="J101" s="4"/>
    </row>
    <row r="102" spans="7:10" x14ac:dyDescent="0.3">
      <c r="G102">
        <v>81</v>
      </c>
      <c r="H102" s="42">
        <v>941457982.85599005</v>
      </c>
      <c r="I102" s="4"/>
      <c r="J102" s="4"/>
    </row>
    <row r="103" spans="7:10" x14ac:dyDescent="0.3">
      <c r="G103">
        <v>82</v>
      </c>
      <c r="H103" s="42">
        <v>724601180.42349386</v>
      </c>
      <c r="I103" s="4"/>
      <c r="J103" s="4"/>
    </row>
    <row r="104" spans="7:10" x14ac:dyDescent="0.3">
      <c r="G104">
        <v>83</v>
      </c>
      <c r="H104" s="42">
        <v>1003524552.3493601</v>
      </c>
      <c r="I104" s="4"/>
      <c r="J104" s="4"/>
    </row>
    <row r="105" spans="7:10" x14ac:dyDescent="0.3">
      <c r="G105">
        <v>84</v>
      </c>
      <c r="H105" s="42">
        <v>752924066.25189841</v>
      </c>
      <c r="I105" s="4"/>
      <c r="J105" s="4"/>
    </row>
    <row r="106" spans="7:10" x14ac:dyDescent="0.3">
      <c r="G106">
        <v>85</v>
      </c>
      <c r="H106" s="42">
        <v>735846851.00822294</v>
      </c>
      <c r="I106" s="4"/>
      <c r="J106" s="4"/>
    </row>
    <row r="107" spans="7:10" x14ac:dyDescent="0.3">
      <c r="G107">
        <v>86</v>
      </c>
      <c r="H107" s="42">
        <v>832541043.71392834</v>
      </c>
      <c r="I107" s="4"/>
      <c r="J107" s="4"/>
    </row>
    <row r="108" spans="7:10" x14ac:dyDescent="0.3">
      <c r="G108">
        <v>87</v>
      </c>
      <c r="H108" s="42">
        <v>572682605.97811913</v>
      </c>
      <c r="I108" s="4"/>
      <c r="J108" s="4"/>
    </row>
    <row r="109" spans="7:10" x14ac:dyDescent="0.3">
      <c r="G109">
        <v>88</v>
      </c>
      <c r="H109" s="42">
        <v>819882405.01298761</v>
      </c>
      <c r="I109" s="4"/>
      <c r="J109" s="4"/>
    </row>
    <row r="110" spans="7:10" x14ac:dyDescent="0.3">
      <c r="G110">
        <v>89</v>
      </c>
      <c r="H110" s="42">
        <v>752376116.21620548</v>
      </c>
      <c r="I110" s="4"/>
      <c r="J110" s="4"/>
    </row>
    <row r="111" spans="7:10" x14ac:dyDescent="0.3">
      <c r="G111">
        <v>90</v>
      </c>
      <c r="H111" s="42">
        <v>305156370.89836943</v>
      </c>
      <c r="I111" s="4"/>
      <c r="J111" s="4"/>
    </row>
    <row r="112" spans="7:10" x14ac:dyDescent="0.3">
      <c r="G112">
        <v>91</v>
      </c>
      <c r="H112" s="42">
        <v>648702181.60172462</v>
      </c>
      <c r="I112" s="4"/>
      <c r="J112" s="4"/>
    </row>
    <row r="113" spans="7:10" x14ac:dyDescent="0.3">
      <c r="G113">
        <v>92</v>
      </c>
      <c r="H113" s="42">
        <v>761974006.30220127</v>
      </c>
      <c r="I113" s="4"/>
      <c r="J113" s="4"/>
    </row>
    <row r="114" spans="7:10" x14ac:dyDescent="0.3">
      <c r="G114">
        <v>93</v>
      </c>
      <c r="H114" s="42">
        <v>676017539.65084863</v>
      </c>
      <c r="I114" s="4"/>
      <c r="J114" s="4"/>
    </row>
    <row r="115" spans="7:10" x14ac:dyDescent="0.3">
      <c r="G115">
        <v>94</v>
      </c>
      <c r="H115" s="42">
        <v>692514057.52917576</v>
      </c>
      <c r="I115" s="4"/>
      <c r="J115" s="4"/>
    </row>
    <row r="116" spans="7:10" x14ac:dyDescent="0.3">
      <c r="G116">
        <v>95</v>
      </c>
      <c r="H116" s="42">
        <v>521585097.98678124</v>
      </c>
      <c r="I116" s="4"/>
      <c r="J116" s="4"/>
    </row>
    <row r="117" spans="7:10" x14ac:dyDescent="0.3">
      <c r="G117">
        <v>96</v>
      </c>
      <c r="H117" s="42">
        <v>938346897.63317192</v>
      </c>
      <c r="I117" s="4"/>
      <c r="J117" s="4"/>
    </row>
    <row r="118" spans="7:10" x14ac:dyDescent="0.3">
      <c r="G118">
        <v>97</v>
      </c>
      <c r="H118" s="42">
        <v>1037106504.3856428</v>
      </c>
      <c r="I118" s="4"/>
      <c r="J118" s="4"/>
    </row>
    <row r="119" spans="7:10" x14ac:dyDescent="0.3">
      <c r="G119">
        <v>98</v>
      </c>
      <c r="H119" s="42">
        <v>648087030.73736596</v>
      </c>
      <c r="I119" s="4"/>
      <c r="J119" s="4"/>
    </row>
    <row r="120" spans="7:10" x14ac:dyDescent="0.3">
      <c r="G120">
        <v>99</v>
      </c>
      <c r="H120" s="42">
        <v>542067726.9107002</v>
      </c>
      <c r="I120" s="4"/>
      <c r="J120" s="4"/>
    </row>
    <row r="121" spans="7:10" x14ac:dyDescent="0.3">
      <c r="G121">
        <v>100</v>
      </c>
      <c r="H121" s="42">
        <v>834867138.77081394</v>
      </c>
      <c r="I121" s="4"/>
      <c r="J121" s="4"/>
    </row>
    <row r="122" spans="7:10" x14ac:dyDescent="0.3">
      <c r="G122">
        <v>101</v>
      </c>
      <c r="H122" s="42">
        <v>731410785.35290396</v>
      </c>
      <c r="I122" s="4"/>
      <c r="J122" s="4"/>
    </row>
    <row r="123" spans="7:10" x14ac:dyDescent="0.3">
      <c r="G123">
        <v>102</v>
      </c>
      <c r="H123" s="42">
        <v>887473801.35722947</v>
      </c>
      <c r="I123" s="4"/>
      <c r="J123" s="4"/>
    </row>
    <row r="124" spans="7:10" x14ac:dyDescent="0.3">
      <c r="G124">
        <v>103</v>
      </c>
      <c r="H124" s="42">
        <v>1322635438.7058852</v>
      </c>
      <c r="I124" s="4"/>
      <c r="J124" s="4"/>
    </row>
    <row r="125" spans="7:10" x14ac:dyDescent="0.3">
      <c r="G125">
        <v>104</v>
      </c>
      <c r="H125" s="42">
        <v>760217439.97305036</v>
      </c>
      <c r="I125" s="4"/>
      <c r="J125" s="4"/>
    </row>
    <row r="126" spans="7:10" x14ac:dyDescent="0.3">
      <c r="G126">
        <v>105</v>
      </c>
      <c r="H126" s="42">
        <v>1199202732.6636591</v>
      </c>
      <c r="I126" s="4"/>
      <c r="J126" s="4"/>
    </row>
    <row r="127" spans="7:10" x14ac:dyDescent="0.3">
      <c r="G127">
        <v>106</v>
      </c>
      <c r="H127" s="42">
        <v>653091880.45363533</v>
      </c>
      <c r="I127" s="4"/>
      <c r="J127" s="4"/>
    </row>
    <row r="128" spans="7:10" x14ac:dyDescent="0.3">
      <c r="G128">
        <v>107</v>
      </c>
      <c r="H128" s="42">
        <v>715742740.63858938</v>
      </c>
      <c r="I128" s="4"/>
      <c r="J128" s="4"/>
    </row>
    <row r="129" spans="7:10" x14ac:dyDescent="0.3">
      <c r="G129">
        <v>108</v>
      </c>
      <c r="H129" s="42">
        <v>794126806.05587947</v>
      </c>
      <c r="I129" s="4"/>
      <c r="J129" s="4"/>
    </row>
  </sheetData>
  <mergeCells count="2">
    <mergeCell ref="K22:K23"/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L129"/>
  <sheetViews>
    <sheetView topLeftCell="C10" workbookViewId="0">
      <selection activeCell="J20" sqref="J20:J2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9" width="18.6640625" customWidth="1"/>
    <col min="10" max="10" width="32.5546875" customWidth="1"/>
  </cols>
  <sheetData>
    <row r="3" spans="3:10" ht="18" customHeight="1" x14ac:dyDescent="0.3">
      <c r="D3" s="37" t="str">
        <f>Mappings!B6</f>
        <v>Adopting</v>
      </c>
      <c r="E3" s="55" t="s">
        <v>112</v>
      </c>
      <c r="F3" s="55" t="s">
        <v>113</v>
      </c>
      <c r="H3" s="2" t="s">
        <v>78</v>
      </c>
      <c r="I3" s="2"/>
      <c r="J3" s="2"/>
    </row>
    <row r="5" spans="3:10" x14ac:dyDescent="0.3">
      <c r="C5" t="str">
        <f>MC_Inclusive!C5</f>
        <v>Income per cow (USD/day)</v>
      </c>
      <c r="D5" s="24">
        <f>Mappings!Q14</f>
        <v>274.83358178429671</v>
      </c>
      <c r="E5" s="24">
        <f>Mappings!Q15</f>
        <v>22.104966099359416</v>
      </c>
      <c r="F5" s="50">
        <f>Mappings!Q16</f>
        <v>617.47413431540622</v>
      </c>
    </row>
    <row r="6" spans="3:10" x14ac:dyDescent="0.3">
      <c r="C6" t="str">
        <f>MC_Inclusive!C6</f>
        <v>Random value income per cow (USD/day)</v>
      </c>
      <c r="D6" s="24">
        <f ca="1">_xlfn.NORM.INV(RAND(),Mappings!Q14,Mappings!R14)</f>
        <v>136.26446487433469</v>
      </c>
      <c r="E6" s="24">
        <f ca="1">_xlfn.NORM.INV(RAND(),Mappings!Q15,Mappings!R15)</f>
        <v>45.767545548055963</v>
      </c>
      <c r="F6" s="24">
        <f ca="1">_xlfn.NORM.INV(RAND(),Mappings!Q16,Mappings!R16)</f>
        <v>522.50565173664688</v>
      </c>
    </row>
    <row r="7" spans="3:10" x14ac:dyDescent="0.3">
      <c r="C7" t="str">
        <f>MC_Inclusive!C7</f>
        <v>Average number of cows per household (head)</v>
      </c>
      <c r="D7" s="24">
        <f>Mappings!H14*Mappings!K14</f>
        <v>2.4146270400411987</v>
      </c>
      <c r="E7" s="24">
        <f>Mappings!H15*Mappings!K15</f>
        <v>8.5299171685029833</v>
      </c>
      <c r="F7" s="24">
        <f>Mappings!H16*Mappings!K16</f>
        <v>6.5775628580890331</v>
      </c>
    </row>
    <row r="8" spans="3:10" x14ac:dyDescent="0.3">
      <c r="C8" t="str">
        <f>MC_Inclusive!C8</f>
        <v>Random value cows per household (head)</v>
      </c>
      <c r="D8" s="24">
        <f ca="1">_xlfn.NORM.INV(RAND(),D7,D7*Mappings!G4)*0+D7</f>
        <v>2.4146270400411987</v>
      </c>
      <c r="E8" s="24">
        <f ca="1">_xlfn.NORM.INV(RAND(),E7,E7*Mappings!G3)*0+E7</f>
        <v>8.5299171685029833</v>
      </c>
      <c r="F8" s="24">
        <f ca="1">_xlfn.NORM.INV(RAND(),F7,F7*Mappings!G4)*0+F7</f>
        <v>6.5775628580890331</v>
      </c>
    </row>
    <row r="9" spans="3:10" x14ac:dyDescent="0.3">
      <c r="C9" t="str">
        <f>MC_Inclusive!C9</f>
        <v>Estimated non dairy income (USD/person/day)</v>
      </c>
      <c r="D9" s="24">
        <f>Mappings!W14</f>
        <v>2532.0489928615684</v>
      </c>
      <c r="E9" s="24">
        <f>Mappings!W15</f>
        <v>2532.0489928615684</v>
      </c>
      <c r="F9" s="24">
        <f>Mappings!W16</f>
        <v>2549.5329853259786</v>
      </c>
    </row>
    <row r="10" spans="3:10" x14ac:dyDescent="0.3">
      <c r="C10" t="str">
        <f>MC_Inclusive!C10</f>
        <v>Random value non dairy income (USD/person/day)</v>
      </c>
      <c r="D10" s="24">
        <f>D9</f>
        <v>2532.0489928615684</v>
      </c>
      <c r="E10" s="24">
        <f>E9</f>
        <v>2532.0489928615684</v>
      </c>
      <c r="F10" s="24">
        <f>F9</f>
        <v>2549.5329853259786</v>
      </c>
    </row>
    <row r="11" spans="3:10" x14ac:dyDescent="0.3">
      <c r="C11" t="str">
        <f>MC_Inclusive!C11</f>
        <v>Quantity households</v>
      </c>
      <c r="D11" s="24">
        <f>Mappings!F14</f>
        <v>2466.6558652590656</v>
      </c>
      <c r="E11" s="4">
        <f>Mappings!F15</f>
        <v>59199.740766217568</v>
      </c>
      <c r="F11" s="4">
        <f>Mappings!F16</f>
        <v>109979.17741374573</v>
      </c>
    </row>
    <row r="12" spans="3:10" x14ac:dyDescent="0.3">
      <c r="C12" t="str">
        <f>MC_Inclusive!C12</f>
        <v>SD quantity households</v>
      </c>
      <c r="D12" s="24">
        <f>Mappings!AB14*Mappings!F14</f>
        <v>73.536946283933403</v>
      </c>
      <c r="E12" s="24">
        <f>Mappings!AB15*Mappings!F15</f>
        <v>1764.8867108144016</v>
      </c>
      <c r="F12" s="4">
        <f>Mappings!AB16*Mappings!F16</f>
        <v>3278.7438960304216</v>
      </c>
    </row>
    <row r="13" spans="3:10" x14ac:dyDescent="0.3">
      <c r="D13" s="24"/>
    </row>
    <row r="14" spans="3:10" x14ac:dyDescent="0.3">
      <c r="C14" t="str">
        <f>MC_Inclusive!C14</f>
        <v>Dairy Income (USD/household/year)</v>
      </c>
      <c r="D14" s="24">
        <f ca="1">D6*D8</f>
        <v>329.02786148231269</v>
      </c>
      <c r="E14" s="24">
        <f ca="1">E6*E8</f>
        <v>390.39337253060484</v>
      </c>
      <c r="F14" s="24">
        <f ca="1">F6*F8</f>
        <v>3436.813768004572</v>
      </c>
    </row>
    <row r="15" spans="3:10" x14ac:dyDescent="0.3">
      <c r="C15" t="str">
        <f>MC_Inclusive!C15</f>
        <v>Non dairy income (USD/household/year)</v>
      </c>
      <c r="D15" s="24">
        <f>D10</f>
        <v>2532.0489928615684</v>
      </c>
      <c r="E15" s="24">
        <f>E10</f>
        <v>2532.0489928615684</v>
      </c>
      <c r="F15" s="24">
        <f>F10</f>
        <v>2549.5329853259786</v>
      </c>
    </row>
    <row r="16" spans="3:10" x14ac:dyDescent="0.3">
      <c r="C16" t="str">
        <f>MC_Inclusive!C16</f>
        <v>Quantity households</v>
      </c>
      <c r="D16" s="24">
        <f ca="1">_xlfn.NORM.INV(RAND(),D11,D12)</f>
        <v>2411.1329717928529</v>
      </c>
      <c r="E16" s="24">
        <f ca="1">_xlfn.NORM.INV(RAND(),E11,E12)</f>
        <v>58416.234336815338</v>
      </c>
      <c r="F16" s="24">
        <f t="shared" ref="F16" ca="1" si="0">_xlfn.NORM.INV(RAND(),F11,F12)</f>
        <v>107700.28826887957</v>
      </c>
    </row>
    <row r="18" spans="3:12" x14ac:dyDescent="0.3">
      <c r="C18" t="str">
        <f>[7]MC_sims_Inclusive!C18</f>
        <v>Estimated population income (USD/yr)</v>
      </c>
      <c r="D18" s="13">
        <f ca="1">(D14+D15)*D16</f>
        <v>6898436.7383419098</v>
      </c>
      <c r="E18" s="13">
        <f ca="1">(E14+E15)*E16</f>
        <v>170718078.05258611</v>
      </c>
      <c r="F18" s="13">
        <f ca="1">(F14+F15)*F16</f>
        <v>644731271.01117158</v>
      </c>
      <c r="H18">
        <f ca="1">D18+E18+F18</f>
        <v>822347785.80209959</v>
      </c>
    </row>
    <row r="19" spans="3:12" x14ac:dyDescent="0.3">
      <c r="C19" t="str">
        <f>[7]MC_sims_Inclusive!C19</f>
        <v>SE population income (USD/yr)</v>
      </c>
      <c r="D19" t="s">
        <v>103</v>
      </c>
      <c r="E19" t="s">
        <v>103</v>
      </c>
      <c r="F19" t="s">
        <v>103</v>
      </c>
      <c r="H19">
        <f ca="1">STDEV(H22:H129)</f>
        <v>198087457.60385841</v>
      </c>
    </row>
    <row r="20" spans="3:12" x14ac:dyDescent="0.3">
      <c r="C20" t="str">
        <f>[7]MC_sims_Inclusive!C20</f>
        <v>Mean population income (USD/yr)</v>
      </c>
      <c r="D20" s="4" t="s">
        <v>103</v>
      </c>
      <c r="E20" s="4" t="s">
        <v>103</v>
      </c>
      <c r="F20" s="4" t="s">
        <v>103</v>
      </c>
      <c r="G20" s="4"/>
      <c r="H20" s="4">
        <f ca="1">AVERAGE(H22:H129)</f>
        <v>884647154.51080489</v>
      </c>
      <c r="I20" s="4"/>
      <c r="J20" s="111" t="s">
        <v>117</v>
      </c>
      <c r="K20" s="56">
        <f ca="1">100*H19/H20</f>
        <v>22.391691036795056</v>
      </c>
    </row>
    <row r="21" spans="3:12" x14ac:dyDescent="0.3">
      <c r="H21" s="4"/>
      <c r="I21" s="4"/>
      <c r="J21" s="111"/>
    </row>
    <row r="22" spans="3:12" x14ac:dyDescent="0.3">
      <c r="D22" s="4"/>
      <c r="G22">
        <v>1</v>
      </c>
      <c r="H22" s="42">
        <f ca="1">H18</f>
        <v>822347785.80209959</v>
      </c>
      <c r="I22" s="4"/>
      <c r="J22" s="4"/>
    </row>
    <row r="23" spans="3:12" x14ac:dyDescent="0.3">
      <c r="G23">
        <v>2</v>
      </c>
      <c r="H23" s="42">
        <f t="dataTable" ref="H23:H129" dt2D="0" dtr="0" r1="H21" ca="1"/>
        <v>1245880207.0339279</v>
      </c>
      <c r="I23" s="4"/>
      <c r="J23" s="4"/>
      <c r="K23" s="110"/>
    </row>
    <row r="24" spans="3:12" x14ac:dyDescent="0.3">
      <c r="G24">
        <v>3</v>
      </c>
      <c r="H24" s="42">
        <v>1062842379.9473166</v>
      </c>
      <c r="I24" s="4"/>
      <c r="J24" s="4"/>
      <c r="K24" s="110"/>
      <c r="L24" s="56"/>
    </row>
    <row r="25" spans="3:12" x14ac:dyDescent="0.3">
      <c r="G25">
        <v>4</v>
      </c>
      <c r="H25" s="42">
        <v>779944880.0537529</v>
      </c>
      <c r="I25" s="4"/>
      <c r="J25" s="4"/>
    </row>
    <row r="26" spans="3:12" x14ac:dyDescent="0.3">
      <c r="G26">
        <v>5</v>
      </c>
      <c r="H26" s="42">
        <v>1014342975.2881474</v>
      </c>
      <c r="I26" s="4"/>
      <c r="J26" s="4"/>
    </row>
    <row r="27" spans="3:12" x14ac:dyDescent="0.3">
      <c r="G27">
        <v>6</v>
      </c>
      <c r="H27" s="42">
        <v>1089281608.4292777</v>
      </c>
      <c r="I27" s="4"/>
      <c r="J27" s="4"/>
    </row>
    <row r="28" spans="3:12" x14ac:dyDescent="0.3">
      <c r="G28">
        <v>7</v>
      </c>
      <c r="H28" s="42">
        <v>806035619.69188356</v>
      </c>
      <c r="I28" s="4"/>
      <c r="J28" s="4"/>
    </row>
    <row r="29" spans="3:12" x14ac:dyDescent="0.3">
      <c r="G29">
        <v>8</v>
      </c>
      <c r="H29" s="42">
        <v>1035157857.1803336</v>
      </c>
      <c r="I29" s="4"/>
      <c r="J29" s="4"/>
    </row>
    <row r="30" spans="3:12" x14ac:dyDescent="0.3">
      <c r="G30">
        <v>9</v>
      </c>
      <c r="H30" s="42">
        <v>1008982776.0687581</v>
      </c>
      <c r="I30" s="4"/>
      <c r="J30" s="4"/>
    </row>
    <row r="31" spans="3:12" x14ac:dyDescent="0.3">
      <c r="G31">
        <v>10</v>
      </c>
      <c r="H31" s="42">
        <v>1028079478.1129695</v>
      </c>
      <c r="I31" s="4"/>
      <c r="J31" s="4"/>
    </row>
    <row r="32" spans="3:12" x14ac:dyDescent="0.3">
      <c r="G32">
        <v>11</v>
      </c>
      <c r="H32" s="42">
        <v>959412515.36730957</v>
      </c>
      <c r="I32" s="4"/>
      <c r="J32" s="4"/>
    </row>
    <row r="33" spans="7:10" x14ac:dyDescent="0.3">
      <c r="G33">
        <v>12</v>
      </c>
      <c r="H33" s="42">
        <v>784620420.28808939</v>
      </c>
      <c r="I33" s="4"/>
      <c r="J33" s="4"/>
    </row>
    <row r="34" spans="7:10" x14ac:dyDescent="0.3">
      <c r="G34">
        <v>13</v>
      </c>
      <c r="H34" s="42">
        <v>574482901.60005534</v>
      </c>
      <c r="I34" s="4"/>
      <c r="J34" s="4"/>
    </row>
    <row r="35" spans="7:10" x14ac:dyDescent="0.3">
      <c r="G35">
        <v>14</v>
      </c>
      <c r="H35" s="42">
        <v>820944898.38713741</v>
      </c>
      <c r="I35" s="4"/>
      <c r="J35" s="4"/>
    </row>
    <row r="36" spans="7:10" x14ac:dyDescent="0.3">
      <c r="G36">
        <v>15</v>
      </c>
      <c r="H36" s="42">
        <v>680537794.48031664</v>
      </c>
      <c r="I36" s="4"/>
      <c r="J36" s="4"/>
    </row>
    <row r="37" spans="7:10" x14ac:dyDescent="0.3">
      <c r="G37">
        <v>16</v>
      </c>
      <c r="H37" s="42">
        <v>1148777496.7344921</v>
      </c>
      <c r="I37" s="4"/>
      <c r="J37" s="4"/>
    </row>
    <row r="38" spans="7:10" x14ac:dyDescent="0.3">
      <c r="G38">
        <v>17</v>
      </c>
      <c r="H38" s="42">
        <v>733004543.53591406</v>
      </c>
      <c r="I38" s="4"/>
      <c r="J38" s="4"/>
    </row>
    <row r="39" spans="7:10" x14ac:dyDescent="0.3">
      <c r="G39">
        <v>18</v>
      </c>
      <c r="H39" s="42">
        <v>1095902683.6731265</v>
      </c>
      <c r="I39" s="4"/>
      <c r="J39" s="4"/>
    </row>
    <row r="40" spans="7:10" x14ac:dyDescent="0.3">
      <c r="G40">
        <v>19</v>
      </c>
      <c r="H40" s="42">
        <v>1141189733.0971897</v>
      </c>
      <c r="I40" s="4"/>
      <c r="J40" s="4"/>
    </row>
    <row r="41" spans="7:10" x14ac:dyDescent="0.3">
      <c r="G41">
        <v>20</v>
      </c>
      <c r="H41" s="42">
        <v>1225093399.0250938</v>
      </c>
      <c r="I41" s="4"/>
      <c r="J41" s="4"/>
    </row>
    <row r="42" spans="7:10" x14ac:dyDescent="0.3">
      <c r="G42">
        <v>21</v>
      </c>
      <c r="H42" s="42">
        <v>768590073.35244465</v>
      </c>
      <c r="I42" s="4"/>
      <c r="J42" s="4"/>
    </row>
    <row r="43" spans="7:10" x14ac:dyDescent="0.3">
      <c r="G43">
        <v>22</v>
      </c>
      <c r="H43" s="42">
        <v>1000876446.2008036</v>
      </c>
      <c r="I43" s="4"/>
      <c r="J43" s="4"/>
    </row>
    <row r="44" spans="7:10" x14ac:dyDescent="0.3">
      <c r="G44">
        <v>23</v>
      </c>
      <c r="H44" s="42">
        <v>662904131.99023557</v>
      </c>
      <c r="I44" s="4"/>
      <c r="J44" s="4"/>
    </row>
    <row r="45" spans="7:10" x14ac:dyDescent="0.3">
      <c r="G45">
        <v>24</v>
      </c>
      <c r="H45" s="42">
        <v>934355661.62285113</v>
      </c>
      <c r="I45" s="4"/>
      <c r="J45" s="4"/>
    </row>
    <row r="46" spans="7:10" x14ac:dyDescent="0.3">
      <c r="G46">
        <v>25</v>
      </c>
      <c r="H46" s="42">
        <v>860620778.88797748</v>
      </c>
      <c r="I46" s="4"/>
      <c r="J46" s="4"/>
    </row>
    <row r="47" spans="7:10" x14ac:dyDescent="0.3">
      <c r="G47">
        <v>26</v>
      </c>
      <c r="H47" s="42">
        <v>847129064.80960155</v>
      </c>
      <c r="I47" s="4"/>
      <c r="J47" s="4"/>
    </row>
    <row r="48" spans="7:10" x14ac:dyDescent="0.3">
      <c r="G48">
        <v>27</v>
      </c>
      <c r="H48" s="42">
        <v>359729128.65080655</v>
      </c>
      <c r="I48" s="4"/>
      <c r="J48" s="4"/>
    </row>
    <row r="49" spans="7:10" x14ac:dyDescent="0.3">
      <c r="G49">
        <v>28</v>
      </c>
      <c r="H49" s="42">
        <v>886335537.05013311</v>
      </c>
      <c r="I49" s="4"/>
      <c r="J49" s="4"/>
    </row>
    <row r="50" spans="7:10" x14ac:dyDescent="0.3">
      <c r="G50">
        <v>29</v>
      </c>
      <c r="H50" s="42">
        <v>804838528.08588898</v>
      </c>
      <c r="I50" s="4"/>
      <c r="J50" s="4"/>
    </row>
    <row r="51" spans="7:10" x14ac:dyDescent="0.3">
      <c r="G51">
        <v>30</v>
      </c>
      <c r="H51" s="42">
        <v>745592285.81304789</v>
      </c>
      <c r="I51" s="4"/>
      <c r="J51" s="4"/>
    </row>
    <row r="52" spans="7:10" x14ac:dyDescent="0.3">
      <c r="G52">
        <v>31</v>
      </c>
      <c r="H52" s="42">
        <v>1275620900.0263934</v>
      </c>
      <c r="I52" s="4"/>
      <c r="J52" s="4"/>
    </row>
    <row r="53" spans="7:10" x14ac:dyDescent="0.3">
      <c r="G53">
        <v>32</v>
      </c>
      <c r="H53" s="42">
        <v>1192934641.3517182</v>
      </c>
      <c r="I53" s="4"/>
      <c r="J53" s="4"/>
    </row>
    <row r="54" spans="7:10" x14ac:dyDescent="0.3">
      <c r="G54">
        <v>33</v>
      </c>
      <c r="H54" s="42">
        <v>928857071.12429619</v>
      </c>
      <c r="I54" s="4"/>
      <c r="J54" s="4"/>
    </row>
    <row r="55" spans="7:10" x14ac:dyDescent="0.3">
      <c r="G55">
        <v>34</v>
      </c>
      <c r="H55" s="42">
        <v>1039670295.2178745</v>
      </c>
      <c r="I55" s="4"/>
      <c r="J55" s="4"/>
    </row>
    <row r="56" spans="7:10" x14ac:dyDescent="0.3">
      <c r="G56">
        <v>35</v>
      </c>
      <c r="H56" s="42">
        <v>879238762.25169551</v>
      </c>
      <c r="I56" s="4"/>
      <c r="J56" s="4"/>
    </row>
    <row r="57" spans="7:10" x14ac:dyDescent="0.3">
      <c r="G57">
        <v>36</v>
      </c>
      <c r="H57" s="42">
        <v>943937410.66199732</v>
      </c>
      <c r="I57" s="4"/>
      <c r="J57" s="4"/>
    </row>
    <row r="58" spans="7:10" x14ac:dyDescent="0.3">
      <c r="G58">
        <v>37</v>
      </c>
      <c r="H58" s="42">
        <v>854741196.91154587</v>
      </c>
      <c r="I58" s="4"/>
      <c r="J58" s="4"/>
    </row>
    <row r="59" spans="7:10" x14ac:dyDescent="0.3">
      <c r="G59">
        <v>38</v>
      </c>
      <c r="H59" s="42">
        <v>801424988.48446572</v>
      </c>
      <c r="I59" s="4"/>
      <c r="J59" s="4"/>
    </row>
    <row r="60" spans="7:10" x14ac:dyDescent="0.3">
      <c r="G60">
        <v>39</v>
      </c>
      <c r="H60" s="42">
        <v>986184002.02163243</v>
      </c>
      <c r="I60" s="4"/>
      <c r="J60" s="4"/>
    </row>
    <row r="61" spans="7:10" x14ac:dyDescent="0.3">
      <c r="G61">
        <v>40</v>
      </c>
      <c r="H61" s="42">
        <v>868623887.8872366</v>
      </c>
      <c r="I61" s="4"/>
      <c r="J61" s="4"/>
    </row>
    <row r="62" spans="7:10" x14ac:dyDescent="0.3">
      <c r="G62">
        <v>41</v>
      </c>
      <c r="H62" s="42">
        <v>751005314.90882778</v>
      </c>
      <c r="I62" s="4"/>
      <c r="J62" s="4"/>
    </row>
    <row r="63" spans="7:10" x14ac:dyDescent="0.3">
      <c r="G63">
        <v>42</v>
      </c>
      <c r="H63" s="42">
        <v>522501096.14665186</v>
      </c>
      <c r="I63" s="4"/>
      <c r="J63" s="4"/>
    </row>
    <row r="64" spans="7:10" x14ac:dyDescent="0.3">
      <c r="G64">
        <v>43</v>
      </c>
      <c r="H64" s="42">
        <v>680905070.16359496</v>
      </c>
      <c r="I64" s="4"/>
      <c r="J64" s="4"/>
    </row>
    <row r="65" spans="7:10" x14ac:dyDescent="0.3">
      <c r="G65">
        <v>44</v>
      </c>
      <c r="H65" s="42">
        <v>999252522.96119738</v>
      </c>
      <c r="I65" s="4"/>
      <c r="J65" s="4"/>
    </row>
    <row r="66" spans="7:10" x14ac:dyDescent="0.3">
      <c r="G66">
        <v>45</v>
      </c>
      <c r="H66" s="42">
        <v>816914627.36230588</v>
      </c>
      <c r="I66" s="4"/>
      <c r="J66" s="4"/>
    </row>
    <row r="67" spans="7:10" x14ac:dyDescent="0.3">
      <c r="G67">
        <v>46</v>
      </c>
      <c r="H67" s="42">
        <v>695340928.17038202</v>
      </c>
      <c r="I67" s="4"/>
      <c r="J67" s="4"/>
    </row>
    <row r="68" spans="7:10" x14ac:dyDescent="0.3">
      <c r="G68">
        <v>47</v>
      </c>
      <c r="H68" s="42">
        <v>701965803.23581612</v>
      </c>
      <c r="I68" s="4"/>
      <c r="J68" s="4"/>
    </row>
    <row r="69" spans="7:10" x14ac:dyDescent="0.3">
      <c r="G69">
        <v>48</v>
      </c>
      <c r="H69" s="42">
        <v>996273706.81688595</v>
      </c>
      <c r="I69" s="4"/>
      <c r="J69" s="4"/>
    </row>
    <row r="70" spans="7:10" x14ac:dyDescent="0.3">
      <c r="G70">
        <v>49</v>
      </c>
      <c r="H70" s="42">
        <v>763254902.1704818</v>
      </c>
      <c r="I70" s="4"/>
      <c r="J70" s="4"/>
    </row>
    <row r="71" spans="7:10" x14ac:dyDescent="0.3">
      <c r="G71">
        <v>50</v>
      </c>
      <c r="H71" s="42">
        <v>650860847.1465435</v>
      </c>
      <c r="I71" s="4"/>
      <c r="J71" s="4"/>
    </row>
    <row r="72" spans="7:10" x14ac:dyDescent="0.3">
      <c r="G72">
        <v>51</v>
      </c>
      <c r="H72" s="42">
        <v>1605278593.1559396</v>
      </c>
      <c r="I72" s="4"/>
      <c r="J72" s="4"/>
    </row>
    <row r="73" spans="7:10" x14ac:dyDescent="0.3">
      <c r="G73">
        <v>52</v>
      </c>
      <c r="H73" s="42">
        <v>580405335.39012957</v>
      </c>
      <c r="I73" s="4"/>
      <c r="J73" s="4"/>
    </row>
    <row r="74" spans="7:10" x14ac:dyDescent="0.3">
      <c r="G74">
        <v>53</v>
      </c>
      <c r="H74" s="42">
        <v>1136049207.4769106</v>
      </c>
      <c r="I74" s="4"/>
      <c r="J74" s="4"/>
    </row>
    <row r="75" spans="7:10" x14ac:dyDescent="0.3">
      <c r="G75">
        <v>54</v>
      </c>
      <c r="H75" s="42">
        <v>720161446.63874888</v>
      </c>
      <c r="I75" s="4"/>
      <c r="J75" s="4"/>
    </row>
    <row r="76" spans="7:10" x14ac:dyDescent="0.3">
      <c r="G76">
        <v>55</v>
      </c>
      <c r="H76" s="42">
        <v>473275239.8280375</v>
      </c>
      <c r="I76" s="4"/>
      <c r="J76" s="4"/>
    </row>
    <row r="77" spans="7:10" x14ac:dyDescent="0.3">
      <c r="G77">
        <v>56</v>
      </c>
      <c r="H77" s="42">
        <v>979035301.20068741</v>
      </c>
      <c r="I77" s="4"/>
      <c r="J77" s="4"/>
    </row>
    <row r="78" spans="7:10" x14ac:dyDescent="0.3">
      <c r="G78">
        <v>57</v>
      </c>
      <c r="H78" s="42">
        <v>1095674645.2929668</v>
      </c>
      <c r="I78" s="4"/>
      <c r="J78" s="4"/>
    </row>
    <row r="79" spans="7:10" x14ac:dyDescent="0.3">
      <c r="G79">
        <v>58</v>
      </c>
      <c r="H79" s="42">
        <v>651135769.48444366</v>
      </c>
      <c r="I79" s="4"/>
      <c r="J79" s="4"/>
    </row>
    <row r="80" spans="7:10" x14ac:dyDescent="0.3">
      <c r="G80">
        <v>59</v>
      </c>
      <c r="H80" s="42">
        <v>937917026.91610003</v>
      </c>
      <c r="I80" s="4"/>
      <c r="J80" s="4"/>
    </row>
    <row r="81" spans="7:10" x14ac:dyDescent="0.3">
      <c r="G81">
        <v>60</v>
      </c>
      <c r="H81" s="42">
        <v>964865450.42211795</v>
      </c>
      <c r="I81" s="4"/>
      <c r="J81" s="4"/>
    </row>
    <row r="82" spans="7:10" x14ac:dyDescent="0.3">
      <c r="G82">
        <v>61</v>
      </c>
      <c r="H82" s="42">
        <v>950380735.30900133</v>
      </c>
      <c r="I82" s="4"/>
      <c r="J82" s="4"/>
    </row>
    <row r="83" spans="7:10" x14ac:dyDescent="0.3">
      <c r="G83">
        <v>62</v>
      </c>
      <c r="H83" s="42">
        <v>676242292.81118083</v>
      </c>
      <c r="I83" s="4"/>
      <c r="J83" s="4"/>
    </row>
    <row r="84" spans="7:10" x14ac:dyDescent="0.3">
      <c r="G84">
        <v>63</v>
      </c>
      <c r="H84" s="42">
        <v>979376396.93666625</v>
      </c>
      <c r="I84" s="4"/>
      <c r="J84" s="4"/>
    </row>
    <row r="85" spans="7:10" x14ac:dyDescent="0.3">
      <c r="G85">
        <v>64</v>
      </c>
      <c r="H85" s="42">
        <v>916795499.96669531</v>
      </c>
      <c r="I85" s="4"/>
      <c r="J85" s="4"/>
    </row>
    <row r="86" spans="7:10" x14ac:dyDescent="0.3">
      <c r="G86">
        <v>65</v>
      </c>
      <c r="H86" s="42">
        <v>990342072.39966416</v>
      </c>
      <c r="I86" s="4"/>
      <c r="J86" s="4"/>
    </row>
    <row r="87" spans="7:10" x14ac:dyDescent="0.3">
      <c r="G87">
        <v>66</v>
      </c>
      <c r="H87" s="42">
        <v>1001486141.069798</v>
      </c>
      <c r="I87" s="4"/>
      <c r="J87" s="4"/>
    </row>
    <row r="88" spans="7:10" x14ac:dyDescent="0.3">
      <c r="G88">
        <v>67</v>
      </c>
      <c r="H88" s="42">
        <v>845248924.00455451</v>
      </c>
      <c r="I88" s="4"/>
      <c r="J88" s="4"/>
    </row>
    <row r="89" spans="7:10" x14ac:dyDescent="0.3">
      <c r="G89">
        <v>68</v>
      </c>
      <c r="H89" s="42">
        <v>926995581.54879045</v>
      </c>
      <c r="I89" s="4"/>
      <c r="J89" s="4"/>
    </row>
    <row r="90" spans="7:10" x14ac:dyDescent="0.3">
      <c r="G90">
        <v>69</v>
      </c>
      <c r="H90" s="42">
        <v>895351438.95431209</v>
      </c>
      <c r="I90" s="4"/>
      <c r="J90" s="4"/>
    </row>
    <row r="91" spans="7:10" x14ac:dyDescent="0.3">
      <c r="G91">
        <v>70</v>
      </c>
      <c r="H91" s="42">
        <v>837014406.47683811</v>
      </c>
      <c r="I91" s="4"/>
      <c r="J91" s="4"/>
    </row>
    <row r="92" spans="7:10" x14ac:dyDescent="0.3">
      <c r="G92">
        <v>71</v>
      </c>
      <c r="H92" s="42">
        <v>849078839.5449028</v>
      </c>
      <c r="I92" s="4"/>
      <c r="J92" s="4"/>
    </row>
    <row r="93" spans="7:10" x14ac:dyDescent="0.3">
      <c r="G93">
        <v>72</v>
      </c>
      <c r="H93" s="42">
        <v>774341849.71210027</v>
      </c>
      <c r="I93" s="4"/>
      <c r="J93" s="4"/>
    </row>
    <row r="94" spans="7:10" x14ac:dyDescent="0.3">
      <c r="G94">
        <v>73</v>
      </c>
      <c r="H94" s="42">
        <v>677753621.09680605</v>
      </c>
      <c r="I94" s="4"/>
      <c r="J94" s="4"/>
    </row>
    <row r="95" spans="7:10" x14ac:dyDescent="0.3">
      <c r="G95">
        <v>74</v>
      </c>
      <c r="H95" s="42">
        <v>1085202841.8617373</v>
      </c>
      <c r="I95" s="4"/>
      <c r="J95" s="4"/>
    </row>
    <row r="96" spans="7:10" x14ac:dyDescent="0.3">
      <c r="G96">
        <v>75</v>
      </c>
      <c r="H96" s="42">
        <v>745417563.80366468</v>
      </c>
      <c r="I96" s="4"/>
      <c r="J96" s="4"/>
    </row>
    <row r="97" spans="7:10" x14ac:dyDescent="0.3">
      <c r="G97">
        <v>76</v>
      </c>
      <c r="H97" s="42">
        <v>1014270602.0193386</v>
      </c>
      <c r="I97" s="4"/>
      <c r="J97" s="4"/>
    </row>
    <row r="98" spans="7:10" x14ac:dyDescent="0.3">
      <c r="G98">
        <v>77</v>
      </c>
      <c r="H98" s="42">
        <v>949153477.75478446</v>
      </c>
      <c r="I98" s="4"/>
      <c r="J98" s="4"/>
    </row>
    <row r="99" spans="7:10" x14ac:dyDescent="0.3">
      <c r="G99">
        <v>78</v>
      </c>
      <c r="H99" s="42">
        <v>781542717.88372874</v>
      </c>
      <c r="I99" s="4"/>
      <c r="J99" s="4"/>
    </row>
    <row r="100" spans="7:10" x14ac:dyDescent="0.3">
      <c r="G100">
        <v>79</v>
      </c>
      <c r="H100" s="42">
        <v>1083760264.6020703</v>
      </c>
      <c r="I100" s="4"/>
      <c r="J100" s="4"/>
    </row>
    <row r="101" spans="7:10" x14ac:dyDescent="0.3">
      <c r="G101">
        <v>80</v>
      </c>
      <c r="H101" s="42">
        <v>605288961.1356616</v>
      </c>
      <c r="I101" s="4"/>
      <c r="J101" s="4"/>
    </row>
    <row r="102" spans="7:10" x14ac:dyDescent="0.3">
      <c r="G102">
        <v>81</v>
      </c>
      <c r="H102" s="42">
        <v>879100669.46740878</v>
      </c>
      <c r="I102" s="4"/>
      <c r="J102" s="4"/>
    </row>
    <row r="103" spans="7:10" x14ac:dyDescent="0.3">
      <c r="G103">
        <v>82</v>
      </c>
      <c r="H103" s="42">
        <v>950920207.09004879</v>
      </c>
      <c r="I103" s="4"/>
      <c r="J103" s="4"/>
    </row>
    <row r="104" spans="7:10" x14ac:dyDescent="0.3">
      <c r="G104">
        <v>83</v>
      </c>
      <c r="H104" s="42">
        <v>920285271.07819963</v>
      </c>
      <c r="I104" s="4"/>
      <c r="J104" s="4"/>
    </row>
    <row r="105" spans="7:10" x14ac:dyDescent="0.3">
      <c r="G105">
        <v>84</v>
      </c>
      <c r="H105" s="42">
        <v>990152531.55440354</v>
      </c>
      <c r="I105" s="4"/>
      <c r="J105" s="4"/>
    </row>
    <row r="106" spans="7:10" x14ac:dyDescent="0.3">
      <c r="G106">
        <v>85</v>
      </c>
      <c r="H106" s="42">
        <v>643262718.51645517</v>
      </c>
      <c r="I106" s="4"/>
      <c r="J106" s="4"/>
    </row>
    <row r="107" spans="7:10" x14ac:dyDescent="0.3">
      <c r="G107">
        <v>86</v>
      </c>
      <c r="H107" s="42">
        <v>1087294105.6381869</v>
      </c>
      <c r="I107" s="4"/>
      <c r="J107" s="4"/>
    </row>
    <row r="108" spans="7:10" x14ac:dyDescent="0.3">
      <c r="G108">
        <v>87</v>
      </c>
      <c r="H108" s="42">
        <v>1227362982.9029806</v>
      </c>
      <c r="I108" s="4"/>
      <c r="J108" s="4"/>
    </row>
    <row r="109" spans="7:10" x14ac:dyDescent="0.3">
      <c r="G109">
        <v>88</v>
      </c>
      <c r="H109" s="42">
        <v>810239015.60490644</v>
      </c>
      <c r="I109" s="4"/>
      <c r="J109" s="4"/>
    </row>
    <row r="110" spans="7:10" x14ac:dyDescent="0.3">
      <c r="G110">
        <v>89</v>
      </c>
      <c r="H110" s="42">
        <v>1058647190.2120782</v>
      </c>
      <c r="I110" s="4"/>
      <c r="J110" s="4"/>
    </row>
    <row r="111" spans="7:10" x14ac:dyDescent="0.3">
      <c r="G111">
        <v>90</v>
      </c>
      <c r="H111" s="42">
        <v>655666311.00951886</v>
      </c>
      <c r="I111" s="4"/>
      <c r="J111" s="4"/>
    </row>
    <row r="112" spans="7:10" x14ac:dyDescent="0.3">
      <c r="G112">
        <v>91</v>
      </c>
      <c r="H112" s="42">
        <v>933547202.04436994</v>
      </c>
      <c r="I112" s="4"/>
      <c r="J112" s="4"/>
    </row>
    <row r="113" spans="7:10" x14ac:dyDescent="0.3">
      <c r="G113">
        <v>92</v>
      </c>
      <c r="H113" s="42">
        <v>864267331.4295764</v>
      </c>
      <c r="I113" s="4"/>
      <c r="J113" s="4"/>
    </row>
    <row r="114" spans="7:10" x14ac:dyDescent="0.3">
      <c r="G114">
        <v>93</v>
      </c>
      <c r="H114" s="42">
        <v>720122632.9735496</v>
      </c>
      <c r="I114" s="4"/>
      <c r="J114" s="4"/>
    </row>
    <row r="115" spans="7:10" x14ac:dyDescent="0.3">
      <c r="G115">
        <v>94</v>
      </c>
      <c r="H115" s="42">
        <v>895675448.67706585</v>
      </c>
      <c r="I115" s="4"/>
      <c r="J115" s="4"/>
    </row>
    <row r="116" spans="7:10" x14ac:dyDescent="0.3">
      <c r="G116">
        <v>95</v>
      </c>
      <c r="H116" s="42">
        <v>693317879.04554558</v>
      </c>
      <c r="I116" s="4"/>
      <c r="J116" s="4"/>
    </row>
    <row r="117" spans="7:10" x14ac:dyDescent="0.3">
      <c r="G117">
        <v>96</v>
      </c>
      <c r="H117" s="42">
        <v>723199945.75693452</v>
      </c>
      <c r="I117" s="4"/>
      <c r="J117" s="4"/>
    </row>
    <row r="118" spans="7:10" x14ac:dyDescent="0.3">
      <c r="G118">
        <v>97</v>
      </c>
      <c r="H118" s="42">
        <v>1121027851.7164509</v>
      </c>
      <c r="I118" s="4"/>
      <c r="J118" s="4"/>
    </row>
    <row r="119" spans="7:10" x14ac:dyDescent="0.3">
      <c r="G119">
        <v>98</v>
      </c>
      <c r="H119" s="42">
        <v>733990515.97131717</v>
      </c>
      <c r="I119" s="4"/>
      <c r="J119" s="4"/>
    </row>
    <row r="120" spans="7:10" x14ac:dyDescent="0.3">
      <c r="G120">
        <v>99</v>
      </c>
      <c r="H120" s="42">
        <v>979901905.9525044</v>
      </c>
      <c r="I120" s="4"/>
      <c r="J120" s="4"/>
    </row>
    <row r="121" spans="7:10" x14ac:dyDescent="0.3">
      <c r="G121">
        <v>100</v>
      </c>
      <c r="H121" s="42">
        <v>744702807.9902252</v>
      </c>
      <c r="I121" s="4"/>
      <c r="J121" s="4"/>
    </row>
    <row r="122" spans="7:10" x14ac:dyDescent="0.3">
      <c r="G122">
        <v>101</v>
      </c>
      <c r="H122" s="42">
        <v>887245201.1086185</v>
      </c>
      <c r="I122" s="4"/>
      <c r="J122" s="4"/>
    </row>
    <row r="123" spans="7:10" x14ac:dyDescent="0.3">
      <c r="G123">
        <v>102</v>
      </c>
      <c r="H123" s="42">
        <v>951891942.65713763</v>
      </c>
      <c r="I123" s="4"/>
      <c r="J123" s="4"/>
    </row>
    <row r="124" spans="7:10" x14ac:dyDescent="0.3">
      <c r="G124">
        <v>103</v>
      </c>
      <c r="H124" s="42">
        <v>1350342990.594223</v>
      </c>
      <c r="I124" s="4"/>
      <c r="J124" s="4"/>
    </row>
    <row r="125" spans="7:10" x14ac:dyDescent="0.3">
      <c r="G125">
        <v>104</v>
      </c>
      <c r="H125" s="42">
        <v>863189421.49367905</v>
      </c>
      <c r="I125" s="4"/>
      <c r="J125" s="4"/>
    </row>
    <row r="126" spans="7:10" x14ac:dyDescent="0.3">
      <c r="G126">
        <v>105</v>
      </c>
      <c r="H126" s="42">
        <v>665788255.3734653</v>
      </c>
      <c r="I126" s="4"/>
      <c r="J126" s="4"/>
    </row>
    <row r="127" spans="7:10" x14ac:dyDescent="0.3">
      <c r="G127">
        <v>106</v>
      </c>
      <c r="H127" s="42">
        <v>1057260152.9232191</v>
      </c>
      <c r="I127" s="4"/>
      <c r="J127" s="4"/>
    </row>
    <row r="128" spans="7:10" x14ac:dyDescent="0.3">
      <c r="G128">
        <v>107</v>
      </c>
      <c r="H128" s="42">
        <v>477445229.73881942</v>
      </c>
      <c r="I128" s="4"/>
      <c r="J128" s="4"/>
    </row>
    <row r="129" spans="7:10" x14ac:dyDescent="0.3">
      <c r="G129">
        <v>108</v>
      </c>
      <c r="H129" s="42">
        <v>649861158.66516757</v>
      </c>
      <c r="I129" s="4"/>
      <c r="J129" s="4"/>
    </row>
  </sheetData>
  <mergeCells count="2">
    <mergeCell ref="K23:K24"/>
    <mergeCell ref="J20:J2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K129"/>
  <sheetViews>
    <sheetView workbookViewId="0">
      <selection activeCell="E12" sqref="E12"/>
    </sheetView>
  </sheetViews>
  <sheetFormatPr defaultRowHeight="14.4" x14ac:dyDescent="0.3"/>
  <cols>
    <col min="3" max="3" width="48.21875" customWidth="1"/>
    <col min="4" max="4" width="20.33203125" customWidth="1"/>
    <col min="5" max="5" width="28.109375" customWidth="1"/>
    <col min="6" max="6" width="26.109375" customWidth="1"/>
    <col min="8" max="9" width="18.6640625" customWidth="1"/>
    <col min="10" max="10" width="30.33203125" customWidth="1"/>
  </cols>
  <sheetData>
    <row r="3" spans="3:10" ht="18" customHeight="1" x14ac:dyDescent="0.3">
      <c r="D3" s="37" t="str">
        <f>Mappings!B6</f>
        <v>Adopting</v>
      </c>
      <c r="E3" s="55" t="s">
        <v>112</v>
      </c>
      <c r="F3" s="55" t="s">
        <v>113</v>
      </c>
      <c r="H3" s="2" t="s">
        <v>78</v>
      </c>
      <c r="I3" s="2"/>
      <c r="J3" s="2"/>
    </row>
    <row r="5" spans="3:10" x14ac:dyDescent="0.3">
      <c r="C5" t="str">
        <f>MC_Inclusive!C5</f>
        <v>Income per cow (USD/day)</v>
      </c>
      <c r="D5" s="24">
        <f>Mappings!Q18</f>
        <v>274.83358178429671</v>
      </c>
      <c r="E5" s="24">
        <f>Mappings!Q19</f>
        <v>22.104966099359416</v>
      </c>
      <c r="F5" s="50">
        <f>Mappings!Q20</f>
        <v>617.47413431540622</v>
      </c>
    </row>
    <row r="6" spans="3:10" x14ac:dyDescent="0.3">
      <c r="C6" t="str">
        <f>MC_Inclusive!C6</f>
        <v>Random value income per cow (USD/day)</v>
      </c>
      <c r="D6" s="24">
        <f ca="1">_xlfn.NORM.INV(RAND(),Mappings!Q18,Mappings!R18)</f>
        <v>652.48609856177484</v>
      </c>
      <c r="E6" s="24">
        <f ca="1">_xlfn.NORM.INV(RAND(),Mappings!Q19,Mappings!R19)</f>
        <v>58.699020607831137</v>
      </c>
      <c r="F6" s="24">
        <f ca="1">_xlfn.NORM.INV(RAND(),Mappings!Q20,Mappings!R20)</f>
        <v>592.35774998153033</v>
      </c>
    </row>
    <row r="7" spans="3:10" x14ac:dyDescent="0.3">
      <c r="C7" t="str">
        <f>MC_Inclusive!C7</f>
        <v>Average number of cows per household (head)</v>
      </c>
      <c r="D7" s="24">
        <f>Mappings!H18*Mappings!K18</f>
        <v>5.4363131069230297</v>
      </c>
      <c r="E7" s="24">
        <f>Mappings!H19*Mappings!K19</f>
        <v>4.7136582758432626</v>
      </c>
      <c r="F7" s="24">
        <f>Mappings!H20*Mappings!K20</f>
        <v>7.3890938555060188</v>
      </c>
    </row>
    <row r="8" spans="3:10" x14ac:dyDescent="0.3">
      <c r="C8" t="str">
        <f>MC_Inclusive!C8</f>
        <v>Random value cows per household (head)</v>
      </c>
      <c r="D8" s="24">
        <f ca="1">_xlfn.NORM.INV(RAND(),D7,D7*Mappings!G4)*0+D7</f>
        <v>5.4363131069230297</v>
      </c>
      <c r="E8" s="24">
        <f ca="1">_xlfn.NORM.INV(RAND(),E7,E7*Mappings!G3)*0+E7</f>
        <v>4.7136582758432626</v>
      </c>
      <c r="F8" s="24">
        <f ca="1">_xlfn.NORM.INV(RAND(),F7,F7*Mappings!G4)*0+F7</f>
        <v>7.3890938555060188</v>
      </c>
    </row>
    <row r="9" spans="3:10" x14ac:dyDescent="0.3">
      <c r="C9" t="str">
        <f>MC_Inclusive!C9</f>
        <v>Estimated non dairy income (USD/person/day)</v>
      </c>
      <c r="D9" s="24">
        <f>Mappings!W18</f>
        <v>2532.0489928615684</v>
      </c>
      <c r="E9" s="24">
        <f>Mappings!W19</f>
        <v>2532.0489928615684</v>
      </c>
      <c r="F9" s="24">
        <f>Mappings!W20</f>
        <v>2549.5329853259786</v>
      </c>
    </row>
    <row r="10" spans="3:10" x14ac:dyDescent="0.3">
      <c r="C10" t="str">
        <f>MC_Inclusive!C10</f>
        <v>Random value non dairy income (USD/person/day)</v>
      </c>
      <c r="D10" s="24">
        <f>D9</f>
        <v>2532.0489928615684</v>
      </c>
      <c r="E10" s="24">
        <f>E9</f>
        <v>2532.0489928615684</v>
      </c>
      <c r="F10" s="24">
        <f>F9</f>
        <v>2549.5329853259786</v>
      </c>
    </row>
    <row r="11" spans="3:10" x14ac:dyDescent="0.3">
      <c r="C11" t="str">
        <f>MC_Inclusive!C11</f>
        <v>Quantity households</v>
      </c>
      <c r="D11" s="24">
        <f>Mappings!F18</f>
        <v>7091.6356126198125</v>
      </c>
      <c r="E11" s="4">
        <f>Mappings!F19</f>
        <v>54574.761018856821</v>
      </c>
      <c r="F11" s="4">
        <f>Mappings!F20</f>
        <v>109979.17741374573</v>
      </c>
    </row>
    <row r="12" spans="3:10" x14ac:dyDescent="0.3">
      <c r="C12" t="str">
        <f>MC_Inclusive!C12</f>
        <v>SD quantity households</v>
      </c>
      <c r="D12" s="24">
        <f>Mappings!AB18*Mappings!F18</f>
        <v>211.41872056630851</v>
      </c>
      <c r="E12" s="24">
        <f>Mappings!AB19*Mappings!F19</f>
        <v>1627.0049365320262</v>
      </c>
      <c r="F12" s="4">
        <f>Mappings!AB20*Mappings!F20</f>
        <v>3278.7438960304216</v>
      </c>
    </row>
    <row r="13" spans="3:10" x14ac:dyDescent="0.3">
      <c r="D13" s="24"/>
    </row>
    <row r="14" spans="3:10" x14ac:dyDescent="0.3">
      <c r="C14" t="str">
        <f>MC_Inclusive!C14</f>
        <v>Dairy Income (USD/household/year)</v>
      </c>
      <c r="D14" s="24">
        <f ca="1">D6*D8</f>
        <v>3547.1187296964486</v>
      </c>
      <c r="E14" s="24">
        <f ca="1">E6*E8</f>
        <v>276.68712427199745</v>
      </c>
      <c r="F14" s="24">
        <f ca="1">F6*F8</f>
        <v>4376.9870106498965</v>
      </c>
    </row>
    <row r="15" spans="3:10" x14ac:dyDescent="0.3">
      <c r="C15" t="str">
        <f>MC_Inclusive!C15</f>
        <v>Non dairy income (USD/household/year)</v>
      </c>
      <c r="D15" s="24">
        <f>D10</f>
        <v>2532.0489928615684</v>
      </c>
      <c r="E15" s="24">
        <f>E10</f>
        <v>2532.0489928615684</v>
      </c>
      <c r="F15" s="24">
        <f>F10</f>
        <v>2549.5329853259786</v>
      </c>
    </row>
    <row r="16" spans="3:10" x14ac:dyDescent="0.3">
      <c r="C16" t="str">
        <f>MC_Inclusive!C16</f>
        <v>Quantity households</v>
      </c>
      <c r="D16" s="24">
        <f ca="1">_xlfn.NORM.INV(RAND(),D11,D12)</f>
        <v>6847.7491066426574</v>
      </c>
      <c r="E16" s="24">
        <f ca="1">_xlfn.NORM.INV(RAND(),E11,E12)</f>
        <v>52574.293960877782</v>
      </c>
      <c r="F16" s="24">
        <f t="shared" ref="F16" ca="1" si="0">_xlfn.NORM.INV(RAND(),F11,F12)</f>
        <v>107353.94730787819</v>
      </c>
    </row>
    <row r="18" spans="3:11" x14ac:dyDescent="0.3">
      <c r="C18" s="60" t="s">
        <v>91</v>
      </c>
      <c r="D18" s="4">
        <f ca="1">(D14+D15)*D16</f>
        <v>41628615.34127754</v>
      </c>
      <c r="E18" s="4">
        <f t="shared" ref="E18:F18" ca="1" si="1">(E14+E15)*E16</f>
        <v>147667318.28071454</v>
      </c>
      <c r="F18" s="4">
        <f t="shared" ca="1" si="1"/>
        <v>743589262.67495883</v>
      </c>
      <c r="G18" s="4"/>
      <c r="H18" s="4">
        <f ca="1">SUM(D18:F18)</f>
        <v>932885196.29695094</v>
      </c>
      <c r="I18" s="4"/>
      <c r="J18" s="57"/>
      <c r="K18" s="56"/>
    </row>
    <row r="19" spans="3:11" x14ac:dyDescent="0.3">
      <c r="C19" s="60" t="s">
        <v>118</v>
      </c>
      <c r="D19" s="4"/>
      <c r="E19" s="4"/>
      <c r="F19" s="4"/>
      <c r="G19" s="4"/>
      <c r="H19" s="4">
        <f ca="1">STDEV(H22:H129)</f>
        <v>265574247.54067865</v>
      </c>
      <c r="I19" s="4"/>
      <c r="J19" s="57"/>
      <c r="K19" s="56"/>
    </row>
    <row r="20" spans="3:11" x14ac:dyDescent="0.3">
      <c r="C20" s="60" t="s">
        <v>93</v>
      </c>
      <c r="D20" s="4"/>
      <c r="E20" s="4"/>
      <c r="F20" s="4"/>
      <c r="G20" s="4"/>
      <c r="H20" s="4">
        <f ca="1">AVERAGE(H22:H129)</f>
        <v>969621593.07197058</v>
      </c>
      <c r="I20" s="4"/>
      <c r="J20" s="111" t="s">
        <v>117</v>
      </c>
      <c r="K20" s="56">
        <f ca="1">100*H19/H20</f>
        <v>27.389473320131213</v>
      </c>
    </row>
    <row r="21" spans="3:11" x14ac:dyDescent="0.3">
      <c r="H21" s="4"/>
      <c r="I21" s="4"/>
      <c r="J21" s="111"/>
    </row>
    <row r="22" spans="3:11" x14ac:dyDescent="0.3">
      <c r="D22" s="4"/>
      <c r="G22">
        <v>1</v>
      </c>
      <c r="H22" s="42">
        <f ca="1">H18</f>
        <v>932885196.29695094</v>
      </c>
      <c r="I22" s="4"/>
      <c r="J22" s="4"/>
    </row>
    <row r="23" spans="3:11" x14ac:dyDescent="0.3">
      <c r="G23">
        <v>2</v>
      </c>
      <c r="H23" s="42">
        <f t="dataTable" ref="H23:H129" dt2D="0" dtr="0" r1="H21" ca="1"/>
        <v>1084497355.1324322</v>
      </c>
      <c r="I23" s="4"/>
      <c r="J23" s="4"/>
      <c r="K23" s="111"/>
    </row>
    <row r="24" spans="3:11" x14ac:dyDescent="0.3">
      <c r="G24">
        <v>3</v>
      </c>
      <c r="H24" s="42">
        <v>1094953239.4463058</v>
      </c>
      <c r="I24" s="4"/>
      <c r="J24" s="4"/>
      <c r="K24" s="111"/>
    </row>
    <row r="25" spans="3:11" x14ac:dyDescent="0.3">
      <c r="G25">
        <v>4</v>
      </c>
      <c r="H25" s="42">
        <v>509225438.82824451</v>
      </c>
      <c r="I25" s="4"/>
      <c r="J25" s="4"/>
    </row>
    <row r="26" spans="3:11" x14ac:dyDescent="0.3">
      <c r="G26">
        <v>5</v>
      </c>
      <c r="H26" s="42">
        <v>1184382969.9907649</v>
      </c>
      <c r="I26" s="4"/>
      <c r="J26" s="4"/>
    </row>
    <row r="27" spans="3:11" x14ac:dyDescent="0.3">
      <c r="G27">
        <v>6</v>
      </c>
      <c r="H27" s="42">
        <v>822327204.28000963</v>
      </c>
      <c r="I27" s="4"/>
      <c r="J27" s="4"/>
    </row>
    <row r="28" spans="3:11" x14ac:dyDescent="0.3">
      <c r="G28">
        <v>7</v>
      </c>
      <c r="H28" s="42">
        <v>1121669390.4123716</v>
      </c>
      <c r="I28" s="4"/>
      <c r="J28" s="4"/>
    </row>
    <row r="29" spans="3:11" x14ac:dyDescent="0.3">
      <c r="G29">
        <v>8</v>
      </c>
      <c r="H29" s="42">
        <v>744664582.69310462</v>
      </c>
      <c r="I29" s="4"/>
      <c r="J29" s="4"/>
    </row>
    <row r="30" spans="3:11" x14ac:dyDescent="0.3">
      <c r="G30">
        <v>9</v>
      </c>
      <c r="H30" s="42">
        <v>1191829983.4304376</v>
      </c>
      <c r="I30" s="4"/>
      <c r="J30" s="4"/>
    </row>
    <row r="31" spans="3:11" x14ac:dyDescent="0.3">
      <c r="G31">
        <v>10</v>
      </c>
      <c r="H31" s="42">
        <v>772920713.51845586</v>
      </c>
      <c r="I31" s="4"/>
      <c r="J31" s="4"/>
    </row>
    <row r="32" spans="3:11" x14ac:dyDescent="0.3">
      <c r="G32">
        <v>11</v>
      </c>
      <c r="H32" s="42">
        <v>1139489627.2004123</v>
      </c>
      <c r="I32" s="4"/>
      <c r="J32" s="4"/>
    </row>
    <row r="33" spans="7:10" x14ac:dyDescent="0.3">
      <c r="G33">
        <v>12</v>
      </c>
      <c r="H33" s="42">
        <v>1192639166.7084608</v>
      </c>
      <c r="I33" s="4"/>
      <c r="J33" s="4"/>
    </row>
    <row r="34" spans="7:10" x14ac:dyDescent="0.3">
      <c r="G34">
        <v>13</v>
      </c>
      <c r="H34" s="42">
        <v>962524704.40298605</v>
      </c>
      <c r="I34" s="4"/>
      <c r="J34" s="4"/>
    </row>
    <row r="35" spans="7:10" x14ac:dyDescent="0.3">
      <c r="G35">
        <v>14</v>
      </c>
      <c r="H35" s="42">
        <v>486323432.03317428</v>
      </c>
      <c r="I35" s="4"/>
      <c r="J35" s="4"/>
    </row>
    <row r="36" spans="7:10" x14ac:dyDescent="0.3">
      <c r="G36">
        <v>15</v>
      </c>
      <c r="H36" s="42">
        <v>1110986327.150655</v>
      </c>
      <c r="I36" s="4"/>
      <c r="J36" s="4"/>
    </row>
    <row r="37" spans="7:10" x14ac:dyDescent="0.3">
      <c r="G37">
        <v>16</v>
      </c>
      <c r="H37" s="42">
        <v>1056359793.9292157</v>
      </c>
      <c r="I37" s="4"/>
      <c r="J37" s="4"/>
    </row>
    <row r="38" spans="7:10" x14ac:dyDescent="0.3">
      <c r="G38">
        <v>17</v>
      </c>
      <c r="H38" s="42">
        <v>960301117.2507422</v>
      </c>
      <c r="I38" s="4"/>
      <c r="J38" s="4"/>
    </row>
    <row r="39" spans="7:10" x14ac:dyDescent="0.3">
      <c r="G39">
        <v>18</v>
      </c>
      <c r="H39" s="42">
        <v>822806500.14687133</v>
      </c>
      <c r="I39" s="4"/>
      <c r="J39" s="4"/>
    </row>
    <row r="40" spans="7:10" x14ac:dyDescent="0.3">
      <c r="G40">
        <v>19</v>
      </c>
      <c r="H40" s="42">
        <v>966831764.33582187</v>
      </c>
      <c r="I40" s="4"/>
      <c r="J40" s="4"/>
    </row>
    <row r="41" spans="7:10" x14ac:dyDescent="0.3">
      <c r="G41">
        <v>20</v>
      </c>
      <c r="H41" s="42">
        <v>1370420704.6864061</v>
      </c>
      <c r="I41" s="4"/>
      <c r="J41" s="4"/>
    </row>
    <row r="42" spans="7:10" x14ac:dyDescent="0.3">
      <c r="G42">
        <v>21</v>
      </c>
      <c r="H42" s="42">
        <v>1120528768.957747</v>
      </c>
      <c r="I42" s="4"/>
      <c r="J42" s="4"/>
    </row>
    <row r="43" spans="7:10" x14ac:dyDescent="0.3">
      <c r="G43">
        <v>22</v>
      </c>
      <c r="H43" s="42">
        <v>1240740714.2571049</v>
      </c>
      <c r="I43" s="4"/>
      <c r="J43" s="4"/>
    </row>
    <row r="44" spans="7:10" x14ac:dyDescent="0.3">
      <c r="G44">
        <v>23</v>
      </c>
      <c r="H44" s="42">
        <v>1197382835.1550951</v>
      </c>
      <c r="I44" s="4"/>
      <c r="J44" s="4"/>
    </row>
    <row r="45" spans="7:10" x14ac:dyDescent="0.3">
      <c r="G45">
        <v>24</v>
      </c>
      <c r="H45" s="42">
        <v>1081260633.1715255</v>
      </c>
      <c r="I45" s="4"/>
      <c r="J45" s="4"/>
    </row>
    <row r="46" spans="7:10" x14ac:dyDescent="0.3">
      <c r="G46">
        <v>25</v>
      </c>
      <c r="H46" s="42">
        <v>1157029472.7674751</v>
      </c>
      <c r="I46" s="4"/>
      <c r="J46" s="4"/>
    </row>
    <row r="47" spans="7:10" x14ac:dyDescent="0.3">
      <c r="G47">
        <v>26</v>
      </c>
      <c r="H47" s="42">
        <v>726240452.49355316</v>
      </c>
      <c r="I47" s="4"/>
      <c r="J47" s="4"/>
    </row>
    <row r="48" spans="7:10" x14ac:dyDescent="0.3">
      <c r="G48">
        <v>27</v>
      </c>
      <c r="H48" s="42">
        <v>750282709.38862586</v>
      </c>
      <c r="I48" s="4"/>
      <c r="J48" s="4"/>
    </row>
    <row r="49" spans="7:10" x14ac:dyDescent="0.3">
      <c r="G49">
        <v>28</v>
      </c>
      <c r="H49" s="42">
        <v>1144526640.0189986</v>
      </c>
      <c r="I49" s="4"/>
      <c r="J49" s="4"/>
    </row>
    <row r="50" spans="7:10" x14ac:dyDescent="0.3">
      <c r="G50">
        <v>29</v>
      </c>
      <c r="H50" s="42">
        <v>630284316.28365541</v>
      </c>
      <c r="I50" s="4"/>
      <c r="J50" s="4"/>
    </row>
    <row r="51" spans="7:10" x14ac:dyDescent="0.3">
      <c r="G51">
        <v>30</v>
      </c>
      <c r="H51" s="42">
        <v>824853045.73056841</v>
      </c>
      <c r="I51" s="4"/>
      <c r="J51" s="4"/>
    </row>
    <row r="52" spans="7:10" x14ac:dyDescent="0.3">
      <c r="G52">
        <v>31</v>
      </c>
      <c r="H52" s="42">
        <v>870982588.62455821</v>
      </c>
      <c r="I52" s="4"/>
      <c r="J52" s="4"/>
    </row>
    <row r="53" spans="7:10" x14ac:dyDescent="0.3">
      <c r="G53">
        <v>32</v>
      </c>
      <c r="H53" s="42">
        <v>1432621306.424324</v>
      </c>
      <c r="I53" s="4"/>
      <c r="J53" s="4"/>
    </row>
    <row r="54" spans="7:10" x14ac:dyDescent="0.3">
      <c r="G54">
        <v>33</v>
      </c>
      <c r="H54" s="42">
        <v>1313796943.4958701</v>
      </c>
      <c r="I54" s="4"/>
      <c r="J54" s="4"/>
    </row>
    <row r="55" spans="7:10" x14ac:dyDescent="0.3">
      <c r="G55">
        <v>34</v>
      </c>
      <c r="H55" s="42">
        <v>987325888.89773965</v>
      </c>
      <c r="I55" s="4"/>
      <c r="J55" s="4"/>
    </row>
    <row r="56" spans="7:10" x14ac:dyDescent="0.3">
      <c r="G56">
        <v>35</v>
      </c>
      <c r="H56" s="42">
        <v>1273261163.7641482</v>
      </c>
      <c r="I56" s="4"/>
      <c r="J56" s="4"/>
    </row>
    <row r="57" spans="7:10" x14ac:dyDescent="0.3">
      <c r="G57">
        <v>36</v>
      </c>
      <c r="H57" s="42">
        <v>1287421832.8024602</v>
      </c>
      <c r="I57" s="4"/>
      <c r="J57" s="4"/>
    </row>
    <row r="58" spans="7:10" x14ac:dyDescent="0.3">
      <c r="G58">
        <v>37</v>
      </c>
      <c r="H58" s="42">
        <v>1122220673.8807375</v>
      </c>
      <c r="I58" s="4"/>
      <c r="J58" s="4"/>
    </row>
    <row r="59" spans="7:10" x14ac:dyDescent="0.3">
      <c r="G59">
        <v>38</v>
      </c>
      <c r="H59" s="42">
        <v>392322937.85007006</v>
      </c>
      <c r="I59" s="4"/>
      <c r="J59" s="4"/>
    </row>
    <row r="60" spans="7:10" x14ac:dyDescent="0.3">
      <c r="G60">
        <v>39</v>
      </c>
      <c r="H60" s="42">
        <v>1443840957.8336804</v>
      </c>
      <c r="I60" s="4"/>
      <c r="J60" s="4"/>
    </row>
    <row r="61" spans="7:10" x14ac:dyDescent="0.3">
      <c r="G61">
        <v>40</v>
      </c>
      <c r="H61" s="42">
        <v>965141265.67545795</v>
      </c>
      <c r="I61" s="4"/>
      <c r="J61" s="4"/>
    </row>
    <row r="62" spans="7:10" x14ac:dyDescent="0.3">
      <c r="G62">
        <v>41</v>
      </c>
      <c r="H62" s="42">
        <v>921116550.75044799</v>
      </c>
      <c r="I62" s="4"/>
      <c r="J62" s="4"/>
    </row>
    <row r="63" spans="7:10" x14ac:dyDescent="0.3">
      <c r="G63">
        <v>42</v>
      </c>
      <c r="H63" s="42">
        <v>986581146.14701283</v>
      </c>
      <c r="I63" s="4"/>
      <c r="J63" s="4"/>
    </row>
    <row r="64" spans="7:10" x14ac:dyDescent="0.3">
      <c r="G64">
        <v>43</v>
      </c>
      <c r="H64" s="42">
        <v>1139389621.5803618</v>
      </c>
      <c r="I64" s="4"/>
      <c r="J64" s="4"/>
    </row>
    <row r="65" spans="7:10" x14ac:dyDescent="0.3">
      <c r="G65">
        <v>44</v>
      </c>
      <c r="H65" s="42">
        <v>636358238.71261084</v>
      </c>
      <c r="I65" s="4"/>
      <c r="J65" s="4"/>
    </row>
    <row r="66" spans="7:10" x14ac:dyDescent="0.3">
      <c r="G66">
        <v>45</v>
      </c>
      <c r="H66" s="42">
        <v>1299452627.8334045</v>
      </c>
      <c r="I66" s="4"/>
      <c r="J66" s="4"/>
    </row>
    <row r="67" spans="7:10" x14ac:dyDescent="0.3">
      <c r="G67">
        <v>46</v>
      </c>
      <c r="H67" s="42">
        <v>912775398.78128433</v>
      </c>
      <c r="I67" s="4"/>
      <c r="J67" s="4"/>
    </row>
    <row r="68" spans="7:10" x14ac:dyDescent="0.3">
      <c r="G68">
        <v>47</v>
      </c>
      <c r="H68" s="42">
        <v>1506990656.21224</v>
      </c>
      <c r="I68" s="4"/>
      <c r="J68" s="4"/>
    </row>
    <row r="69" spans="7:10" x14ac:dyDescent="0.3">
      <c r="G69">
        <v>48</v>
      </c>
      <c r="H69" s="42">
        <v>1446453720.7645128</v>
      </c>
      <c r="I69" s="4"/>
      <c r="J69" s="4"/>
    </row>
    <row r="70" spans="7:10" x14ac:dyDescent="0.3">
      <c r="G70">
        <v>49</v>
      </c>
      <c r="H70" s="42">
        <v>730766589.15095747</v>
      </c>
      <c r="I70" s="4"/>
      <c r="J70" s="4"/>
    </row>
    <row r="71" spans="7:10" x14ac:dyDescent="0.3">
      <c r="G71">
        <v>50</v>
      </c>
      <c r="H71" s="42">
        <v>631929366.47747517</v>
      </c>
      <c r="I71" s="4"/>
      <c r="J71" s="4"/>
    </row>
    <row r="72" spans="7:10" x14ac:dyDescent="0.3">
      <c r="G72">
        <v>51</v>
      </c>
      <c r="H72" s="42">
        <v>669996262.15736818</v>
      </c>
      <c r="I72" s="4"/>
      <c r="J72" s="4"/>
    </row>
    <row r="73" spans="7:10" x14ac:dyDescent="0.3">
      <c r="G73">
        <v>52</v>
      </c>
      <c r="H73" s="42">
        <v>885841129.29733598</v>
      </c>
      <c r="I73" s="4"/>
      <c r="J73" s="4"/>
    </row>
    <row r="74" spans="7:10" x14ac:dyDescent="0.3">
      <c r="G74">
        <v>53</v>
      </c>
      <c r="H74" s="42">
        <v>590090577.5778358</v>
      </c>
      <c r="I74" s="4"/>
      <c r="J74" s="4"/>
    </row>
    <row r="75" spans="7:10" x14ac:dyDescent="0.3">
      <c r="G75">
        <v>54</v>
      </c>
      <c r="H75" s="42">
        <v>900568315.30110848</v>
      </c>
      <c r="I75" s="4"/>
      <c r="J75" s="4"/>
    </row>
    <row r="76" spans="7:10" x14ac:dyDescent="0.3">
      <c r="G76">
        <v>55</v>
      </c>
      <c r="H76" s="42">
        <v>941519496.77633846</v>
      </c>
      <c r="I76" s="4"/>
      <c r="J76" s="4"/>
    </row>
    <row r="77" spans="7:10" x14ac:dyDescent="0.3">
      <c r="G77">
        <v>56</v>
      </c>
      <c r="H77" s="42">
        <v>1274201465.3773623</v>
      </c>
      <c r="I77" s="4"/>
      <c r="J77" s="4"/>
    </row>
    <row r="78" spans="7:10" x14ac:dyDescent="0.3">
      <c r="G78">
        <v>57</v>
      </c>
      <c r="H78" s="42">
        <v>764125477.08622527</v>
      </c>
      <c r="I78" s="4"/>
      <c r="J78" s="4"/>
    </row>
    <row r="79" spans="7:10" x14ac:dyDescent="0.3">
      <c r="G79">
        <v>58</v>
      </c>
      <c r="H79" s="42">
        <v>888364232.30549479</v>
      </c>
      <c r="I79" s="4"/>
      <c r="J79" s="4"/>
    </row>
    <row r="80" spans="7:10" x14ac:dyDescent="0.3">
      <c r="G80">
        <v>59</v>
      </c>
      <c r="H80" s="42">
        <v>1036729501.4462662</v>
      </c>
      <c r="I80" s="4"/>
      <c r="J80" s="4"/>
    </row>
    <row r="81" spans="7:10" x14ac:dyDescent="0.3">
      <c r="G81">
        <v>60</v>
      </c>
      <c r="H81" s="42">
        <v>1064672060.5049256</v>
      </c>
      <c r="I81" s="4"/>
      <c r="J81" s="4"/>
    </row>
    <row r="82" spans="7:10" x14ac:dyDescent="0.3">
      <c r="G82">
        <v>61</v>
      </c>
      <c r="H82" s="42">
        <v>893675325.1715138</v>
      </c>
      <c r="I82" s="4"/>
      <c r="J82" s="4"/>
    </row>
    <row r="83" spans="7:10" x14ac:dyDescent="0.3">
      <c r="G83">
        <v>62</v>
      </c>
      <c r="H83" s="42">
        <v>927486237.77557123</v>
      </c>
      <c r="I83" s="4"/>
      <c r="J83" s="4"/>
    </row>
    <row r="84" spans="7:10" x14ac:dyDescent="0.3">
      <c r="G84">
        <v>63</v>
      </c>
      <c r="H84" s="42">
        <v>1215247315.4887767</v>
      </c>
      <c r="I84" s="4"/>
      <c r="J84" s="4"/>
    </row>
    <row r="85" spans="7:10" x14ac:dyDescent="0.3">
      <c r="G85">
        <v>64</v>
      </c>
      <c r="H85" s="42">
        <v>795676352.84064329</v>
      </c>
      <c r="I85" s="4"/>
      <c r="J85" s="4"/>
    </row>
    <row r="86" spans="7:10" x14ac:dyDescent="0.3">
      <c r="G86">
        <v>65</v>
      </c>
      <c r="H86" s="42">
        <v>991835241.54824591</v>
      </c>
      <c r="I86" s="4"/>
      <c r="J86" s="4"/>
    </row>
    <row r="87" spans="7:10" x14ac:dyDescent="0.3">
      <c r="G87">
        <v>66</v>
      </c>
      <c r="H87" s="42">
        <v>507615876.3955946</v>
      </c>
      <c r="I87" s="4"/>
      <c r="J87" s="4"/>
    </row>
    <row r="88" spans="7:10" x14ac:dyDescent="0.3">
      <c r="G88">
        <v>67</v>
      </c>
      <c r="H88" s="42">
        <v>1307878555.2127662</v>
      </c>
      <c r="I88" s="4"/>
      <c r="J88" s="4"/>
    </row>
    <row r="89" spans="7:10" x14ac:dyDescent="0.3">
      <c r="G89">
        <v>68</v>
      </c>
      <c r="H89" s="42">
        <v>646834998.69557822</v>
      </c>
      <c r="I89" s="4"/>
      <c r="J89" s="4"/>
    </row>
    <row r="90" spans="7:10" x14ac:dyDescent="0.3">
      <c r="G90">
        <v>69</v>
      </c>
      <c r="H90" s="42">
        <v>743846845.56069589</v>
      </c>
      <c r="I90" s="4"/>
      <c r="J90" s="4"/>
    </row>
    <row r="91" spans="7:10" x14ac:dyDescent="0.3">
      <c r="G91">
        <v>70</v>
      </c>
      <c r="H91" s="42">
        <v>896340436.99790716</v>
      </c>
      <c r="I91" s="4"/>
      <c r="J91" s="4"/>
    </row>
    <row r="92" spans="7:10" x14ac:dyDescent="0.3">
      <c r="G92">
        <v>71</v>
      </c>
      <c r="H92" s="42">
        <v>601177333.36759245</v>
      </c>
      <c r="I92" s="4"/>
      <c r="J92" s="4"/>
    </row>
    <row r="93" spans="7:10" x14ac:dyDescent="0.3">
      <c r="G93">
        <v>72</v>
      </c>
      <c r="H93" s="42">
        <v>1019746098.2350748</v>
      </c>
      <c r="I93" s="4"/>
      <c r="J93" s="4"/>
    </row>
    <row r="94" spans="7:10" x14ac:dyDescent="0.3">
      <c r="G94">
        <v>73</v>
      </c>
      <c r="H94" s="42">
        <v>893630288.51108789</v>
      </c>
      <c r="I94" s="4"/>
      <c r="J94" s="4"/>
    </row>
    <row r="95" spans="7:10" x14ac:dyDescent="0.3">
      <c r="G95">
        <v>74</v>
      </c>
      <c r="H95" s="42">
        <v>1241012907.9955959</v>
      </c>
      <c r="I95" s="4"/>
      <c r="J95" s="4"/>
    </row>
    <row r="96" spans="7:10" x14ac:dyDescent="0.3">
      <c r="G96">
        <v>75</v>
      </c>
      <c r="H96" s="42">
        <v>1355251395.2831411</v>
      </c>
      <c r="I96" s="4"/>
      <c r="J96" s="4"/>
    </row>
    <row r="97" spans="7:10" x14ac:dyDescent="0.3">
      <c r="G97">
        <v>76</v>
      </c>
      <c r="H97" s="42">
        <v>683103187.32580054</v>
      </c>
      <c r="I97" s="4"/>
      <c r="J97" s="4"/>
    </row>
    <row r="98" spans="7:10" x14ac:dyDescent="0.3">
      <c r="G98">
        <v>77</v>
      </c>
      <c r="H98" s="42">
        <v>744351280.60357165</v>
      </c>
      <c r="I98" s="4"/>
      <c r="J98" s="4"/>
    </row>
    <row r="99" spans="7:10" x14ac:dyDescent="0.3">
      <c r="G99">
        <v>78</v>
      </c>
      <c r="H99" s="42">
        <v>1185904157.8073213</v>
      </c>
      <c r="I99" s="4"/>
      <c r="J99" s="4"/>
    </row>
    <row r="100" spans="7:10" x14ac:dyDescent="0.3">
      <c r="G100">
        <v>79</v>
      </c>
      <c r="H100" s="42">
        <v>1357424881.6403246</v>
      </c>
      <c r="I100" s="4"/>
      <c r="J100" s="4"/>
    </row>
    <row r="101" spans="7:10" x14ac:dyDescent="0.3">
      <c r="G101">
        <v>80</v>
      </c>
      <c r="H101" s="42">
        <v>979318744.17546093</v>
      </c>
      <c r="I101" s="4"/>
      <c r="J101" s="4"/>
    </row>
    <row r="102" spans="7:10" x14ac:dyDescent="0.3">
      <c r="G102">
        <v>81</v>
      </c>
      <c r="H102" s="42">
        <v>986485570.85340834</v>
      </c>
      <c r="I102" s="4"/>
      <c r="J102" s="4"/>
    </row>
    <row r="103" spans="7:10" x14ac:dyDescent="0.3">
      <c r="G103">
        <v>82</v>
      </c>
      <c r="H103" s="42">
        <v>1116475166.1378913</v>
      </c>
      <c r="I103" s="4"/>
      <c r="J103" s="4"/>
    </row>
    <row r="104" spans="7:10" x14ac:dyDescent="0.3">
      <c r="G104">
        <v>83</v>
      </c>
      <c r="H104" s="42">
        <v>565062712.54298544</v>
      </c>
      <c r="I104" s="4"/>
      <c r="J104" s="4"/>
    </row>
    <row r="105" spans="7:10" x14ac:dyDescent="0.3">
      <c r="G105">
        <v>84</v>
      </c>
      <c r="H105" s="42">
        <v>904861522.93326426</v>
      </c>
      <c r="I105" s="4"/>
      <c r="J105" s="4"/>
    </row>
    <row r="106" spans="7:10" x14ac:dyDescent="0.3">
      <c r="G106">
        <v>85</v>
      </c>
      <c r="H106" s="42">
        <v>1725684139.8103724</v>
      </c>
      <c r="I106" s="4"/>
      <c r="J106" s="4"/>
    </row>
    <row r="107" spans="7:10" x14ac:dyDescent="0.3">
      <c r="G107">
        <v>86</v>
      </c>
      <c r="H107" s="42">
        <v>1310675341.1164262</v>
      </c>
      <c r="I107" s="4"/>
      <c r="J107" s="4"/>
    </row>
    <row r="108" spans="7:10" x14ac:dyDescent="0.3">
      <c r="G108">
        <v>87</v>
      </c>
      <c r="H108" s="42">
        <v>847689915.36179543</v>
      </c>
      <c r="I108" s="4"/>
      <c r="J108" s="4"/>
    </row>
    <row r="109" spans="7:10" x14ac:dyDescent="0.3">
      <c r="G109">
        <v>88</v>
      </c>
      <c r="H109" s="42">
        <v>1012802934.4740562</v>
      </c>
      <c r="I109" s="4"/>
      <c r="J109" s="4"/>
    </row>
    <row r="110" spans="7:10" x14ac:dyDescent="0.3">
      <c r="G110">
        <v>89</v>
      </c>
      <c r="H110" s="42">
        <v>1119930810.5104356</v>
      </c>
      <c r="I110" s="4"/>
      <c r="J110" s="4"/>
    </row>
    <row r="111" spans="7:10" x14ac:dyDescent="0.3">
      <c r="G111">
        <v>90</v>
      </c>
      <c r="H111" s="42">
        <v>757931919.34109139</v>
      </c>
      <c r="I111" s="4"/>
      <c r="J111" s="4"/>
    </row>
    <row r="112" spans="7:10" x14ac:dyDescent="0.3">
      <c r="G112">
        <v>91</v>
      </c>
      <c r="H112" s="42">
        <v>1283909504.8505731</v>
      </c>
      <c r="I112" s="4"/>
      <c r="J112" s="4"/>
    </row>
    <row r="113" spans="7:10" x14ac:dyDescent="0.3">
      <c r="G113">
        <v>92</v>
      </c>
      <c r="H113" s="42">
        <v>389600952.32835311</v>
      </c>
      <c r="I113" s="4"/>
      <c r="J113" s="4"/>
    </row>
    <row r="114" spans="7:10" x14ac:dyDescent="0.3">
      <c r="G114">
        <v>93</v>
      </c>
      <c r="H114" s="42">
        <v>473808437.18305635</v>
      </c>
      <c r="I114" s="4"/>
      <c r="J114" s="4"/>
    </row>
    <row r="115" spans="7:10" x14ac:dyDescent="0.3">
      <c r="G115">
        <v>94</v>
      </c>
      <c r="H115" s="42">
        <v>1012438327.2041587</v>
      </c>
      <c r="I115" s="4"/>
      <c r="J115" s="4"/>
    </row>
    <row r="116" spans="7:10" x14ac:dyDescent="0.3">
      <c r="G116">
        <v>95</v>
      </c>
      <c r="H116" s="42">
        <v>1148606747.9211063</v>
      </c>
      <c r="I116" s="4"/>
      <c r="J116" s="4"/>
    </row>
    <row r="117" spans="7:10" x14ac:dyDescent="0.3">
      <c r="G117">
        <v>96</v>
      </c>
      <c r="H117" s="42">
        <v>924948444.55523086</v>
      </c>
      <c r="I117" s="4"/>
      <c r="J117" s="4"/>
    </row>
    <row r="118" spans="7:10" x14ac:dyDescent="0.3">
      <c r="G118">
        <v>97</v>
      </c>
      <c r="H118" s="42">
        <v>691074933.53343546</v>
      </c>
      <c r="I118" s="4"/>
      <c r="J118" s="4"/>
    </row>
    <row r="119" spans="7:10" x14ac:dyDescent="0.3">
      <c r="G119">
        <v>98</v>
      </c>
      <c r="H119" s="42">
        <v>974086360.08433962</v>
      </c>
      <c r="I119" s="4"/>
      <c r="J119" s="4"/>
    </row>
    <row r="120" spans="7:10" x14ac:dyDescent="0.3">
      <c r="G120">
        <v>99</v>
      </c>
      <c r="H120" s="42">
        <v>868496771.50146222</v>
      </c>
      <c r="I120" s="4"/>
      <c r="J120" s="4"/>
    </row>
    <row r="121" spans="7:10" x14ac:dyDescent="0.3">
      <c r="G121">
        <v>100</v>
      </c>
      <c r="H121" s="42">
        <v>595792395.85057867</v>
      </c>
      <c r="I121" s="4"/>
      <c r="J121" s="4"/>
    </row>
    <row r="122" spans="7:10" x14ac:dyDescent="0.3">
      <c r="G122">
        <v>101</v>
      </c>
      <c r="H122" s="42">
        <v>543281858.20334601</v>
      </c>
      <c r="I122" s="4"/>
      <c r="J122" s="4"/>
    </row>
    <row r="123" spans="7:10" x14ac:dyDescent="0.3">
      <c r="G123">
        <v>102</v>
      </c>
      <c r="H123" s="42">
        <v>672654638.10571802</v>
      </c>
      <c r="I123" s="4"/>
      <c r="J123" s="4"/>
    </row>
    <row r="124" spans="7:10" x14ac:dyDescent="0.3">
      <c r="G124">
        <v>103</v>
      </c>
      <c r="H124" s="42">
        <v>862510784.73179245</v>
      </c>
      <c r="I124" s="4"/>
      <c r="J124" s="4"/>
    </row>
    <row r="125" spans="7:10" x14ac:dyDescent="0.3">
      <c r="G125">
        <v>104</v>
      </c>
      <c r="H125" s="42">
        <v>900574728.67031312</v>
      </c>
      <c r="I125" s="4"/>
      <c r="J125" s="4"/>
    </row>
    <row r="126" spans="7:10" x14ac:dyDescent="0.3">
      <c r="G126">
        <v>105</v>
      </c>
      <c r="H126" s="42">
        <v>1029481168.9727798</v>
      </c>
      <c r="I126" s="4"/>
      <c r="J126" s="4"/>
    </row>
    <row r="127" spans="7:10" x14ac:dyDescent="0.3">
      <c r="G127">
        <v>106</v>
      </c>
      <c r="H127" s="42">
        <v>1196091382.4000375</v>
      </c>
      <c r="I127" s="4"/>
      <c r="J127" s="4"/>
    </row>
    <row r="128" spans="7:10" x14ac:dyDescent="0.3">
      <c r="G128">
        <v>107</v>
      </c>
      <c r="H128" s="42">
        <v>851134199.04752457</v>
      </c>
      <c r="I128" s="4"/>
      <c r="J128" s="4"/>
    </row>
    <row r="129" spans="7:10" x14ac:dyDescent="0.3">
      <c r="G129">
        <v>108</v>
      </c>
      <c r="H129" s="42">
        <v>1247656129.3271763</v>
      </c>
      <c r="I129" s="4"/>
      <c r="J129" s="4"/>
    </row>
  </sheetData>
  <mergeCells count="2">
    <mergeCell ref="K23:K24"/>
    <mergeCell ref="J20:J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2021-11-25T12:34:02Z</dcterms:modified>
</cp:coreProperties>
</file>