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wkj\Documents\GitHub\Tanzania Dairy Mitigation Assessment\"/>
    </mc:Choice>
  </mc:AlternateContent>
  <xr:revisionPtr revIDLastSave="0" documentId="8_{A49E80AA-3E87-4B2E-835B-41C455C8FCF0}" xr6:coauthVersionLast="46" xr6:coauthVersionMax="46" xr10:uidLastSave="{00000000-0000-0000-0000-000000000000}"/>
  <bookViews>
    <workbookView xWindow="-108" yWindow="-108" windowWidth="23256" windowHeight="12576" tabRatio="825" xr2:uid="{6E99B3E9-72E7-4C3E-B289-D13F9FB30384}"/>
  </bookViews>
  <sheets>
    <sheet name="prod_herd_data" sheetId="1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20" i="11" l="1"/>
  <c r="M27" i="11"/>
  <c r="K27" i="11" l="1"/>
  <c r="J27" i="11"/>
  <c r="I27" i="11"/>
  <c r="H27" i="11"/>
  <c r="G27" i="11"/>
  <c r="F27" i="11"/>
  <c r="E27" i="11"/>
  <c r="D27" i="11"/>
  <c r="I26" i="11"/>
  <c r="H26" i="11"/>
  <c r="G26" i="11"/>
  <c r="F26" i="11"/>
  <c r="E26" i="11"/>
  <c r="D26" i="11"/>
  <c r="K15" i="11"/>
  <c r="J15" i="11"/>
  <c r="I15" i="11"/>
  <c r="H15" i="11"/>
  <c r="G15" i="11"/>
  <c r="F15" i="11"/>
  <c r="E15" i="11"/>
  <c r="D15" i="11"/>
  <c r="I14" i="11"/>
  <c r="H14" i="11"/>
  <c r="G14" i="11"/>
  <c r="F14" i="11"/>
  <c r="E14" i="11"/>
  <c r="D14" i="11"/>
  <c r="R19" i="11" l="1"/>
  <c r="D42" i="11" l="1"/>
  <c r="E42" i="11"/>
  <c r="F42" i="11"/>
  <c r="G42" i="11"/>
  <c r="H42" i="11"/>
  <c r="I42" i="11"/>
  <c r="K42" i="11"/>
  <c r="J42" i="11"/>
  <c r="G43" i="11" l="1"/>
  <c r="K8" i="11" l="1"/>
  <c r="E36" i="11" l="1"/>
  <c r="E45" i="11" s="1"/>
  <c r="E54" i="11" s="1"/>
  <c r="F36" i="11"/>
  <c r="G36" i="11"/>
  <c r="H36" i="11"/>
  <c r="H45" i="11" s="1"/>
  <c r="H54" i="11" s="1"/>
  <c r="I36" i="11"/>
  <c r="I45" i="11" s="1"/>
  <c r="I54" i="11" s="1"/>
  <c r="J36" i="11"/>
  <c r="J45" i="11" s="1"/>
  <c r="J54" i="11" s="1"/>
  <c r="K36" i="11"/>
  <c r="K45" i="11" s="1"/>
  <c r="K54" i="11" s="1"/>
  <c r="D36" i="11"/>
  <c r="D45" i="11" s="1"/>
  <c r="D54" i="11" s="1"/>
  <c r="G7" i="11"/>
  <c r="G6" i="11"/>
  <c r="F7" i="11"/>
  <c r="F6" i="11"/>
  <c r="E7" i="11"/>
  <c r="E6" i="11"/>
  <c r="D6" i="11"/>
  <c r="D7" i="11"/>
  <c r="K7" i="11"/>
  <c r="J7" i="11"/>
  <c r="I7" i="11"/>
  <c r="H7" i="11"/>
  <c r="F45" i="11" l="1"/>
  <c r="F54" i="11" s="1"/>
  <c r="G45" i="11"/>
  <c r="G54" i="11" s="1"/>
  <c r="G3" i="11" l="1"/>
  <c r="F3" i="11"/>
  <c r="H3" i="11"/>
  <c r="K6" i="11" l="1"/>
  <c r="J6" i="11"/>
  <c r="I6" i="11"/>
  <c r="H6" i="11"/>
  <c r="K24" i="11"/>
  <c r="J24" i="11"/>
  <c r="I24" i="11"/>
  <c r="H24" i="11"/>
  <c r="G24" i="11"/>
  <c r="F24" i="11"/>
  <c r="E24" i="11"/>
  <c r="D24" i="11"/>
  <c r="E33" i="11" l="1"/>
  <c r="F33" i="11"/>
  <c r="G33" i="11"/>
  <c r="H33" i="11"/>
  <c r="I33" i="11"/>
  <c r="J33" i="11"/>
  <c r="K33" i="11"/>
  <c r="K51" i="11" s="1"/>
  <c r="D33" i="11"/>
  <c r="J51" i="11" l="1"/>
  <c r="D51" i="11"/>
  <c r="H51" i="11"/>
  <c r="I34" i="11"/>
  <c r="I51" i="11"/>
  <c r="I52" i="11" s="1"/>
  <c r="G51" i="11"/>
  <c r="G52" i="11" s="1"/>
  <c r="F51" i="11"/>
  <c r="E34" i="11"/>
  <c r="E51" i="11"/>
  <c r="E52" i="11" s="1"/>
  <c r="H34" i="11"/>
  <c r="J34" i="11"/>
  <c r="K34" i="11"/>
  <c r="K52" i="11"/>
  <c r="K43" i="11"/>
  <c r="D34" i="11"/>
  <c r="G34" i="11"/>
  <c r="F34" i="11"/>
  <c r="E35" i="11"/>
  <c r="E44" i="11" s="1"/>
  <c r="F35" i="11"/>
  <c r="G35" i="11"/>
  <c r="H35" i="11"/>
  <c r="I35" i="11"/>
  <c r="J35" i="11"/>
  <c r="K35" i="11"/>
  <c r="K44" i="11" s="1"/>
  <c r="K53" i="11" s="1"/>
  <c r="D35" i="11"/>
  <c r="D44" i="11" s="1"/>
  <c r="D53" i="11" s="1"/>
  <c r="F43" i="11" l="1"/>
  <c r="J43" i="11"/>
  <c r="D43" i="11"/>
  <c r="J52" i="11"/>
  <c r="F52" i="11"/>
  <c r="E53" i="11"/>
  <c r="I44" i="11"/>
  <c r="H44" i="11"/>
  <c r="J44" i="11"/>
  <c r="G44" i="11"/>
  <c r="F44" i="11"/>
  <c r="E43" i="11"/>
  <c r="I43" i="11"/>
  <c r="H52" i="11"/>
  <c r="H43" i="11"/>
  <c r="F53" i="11" l="1"/>
  <c r="G53" i="11"/>
  <c r="J53" i="11"/>
  <c r="H53" i="11"/>
  <c r="I53" i="11"/>
  <c r="D52" i="11"/>
  <c r="E25" i="11" l="1"/>
  <c r="F25" i="11"/>
  <c r="G25" i="11"/>
  <c r="H25" i="11"/>
  <c r="I25" i="11"/>
  <c r="D25" i="11"/>
  <c r="K3" i="11" l="1"/>
  <c r="K9" i="11" s="1"/>
  <c r="I3" i="11"/>
  <c r="E3" i="11"/>
  <c r="J3" i="11"/>
  <c r="D3" i="11"/>
  <c r="K10" i="11" l="1"/>
  <c r="K25" i="11"/>
  <c r="J25" i="11"/>
  <c r="I8" i="11" l="1"/>
  <c r="I9" i="11" s="1"/>
  <c r="H8" i="11"/>
  <c r="E8" i="11"/>
  <c r="D8" i="11"/>
  <c r="H9" i="11" l="1"/>
  <c r="D9" i="11"/>
  <c r="D5" i="11"/>
  <c r="E5" i="11"/>
  <c r="H10" i="11"/>
  <c r="I10" i="11"/>
  <c r="D10" i="11"/>
  <c r="E10" i="11"/>
  <c r="E9" i="11"/>
  <c r="J8" i="11"/>
  <c r="J9" i="11" l="1"/>
  <c r="D16" i="11"/>
  <c r="H16" i="11"/>
  <c r="D19" i="11"/>
  <c r="J10" i="11"/>
  <c r="J16" i="11" s="1"/>
  <c r="I19" i="11"/>
  <c r="H17" i="11"/>
  <c r="H19" i="11"/>
  <c r="D17" i="11"/>
  <c r="E19" i="11"/>
  <c r="H21" i="11" l="1"/>
  <c r="H57" i="11" s="1"/>
  <c r="H20" i="11"/>
  <c r="H39" i="11" s="1"/>
  <c r="I20" i="11"/>
  <c r="I30" i="11" s="1"/>
  <c r="I31" i="11" s="1"/>
  <c r="I21" i="11"/>
  <c r="I57" i="11" s="1"/>
  <c r="I58" i="11" s="1"/>
  <c r="E21" i="11"/>
  <c r="E57" i="11" s="1"/>
  <c r="E58" i="11" s="1"/>
  <c r="E20" i="11"/>
  <c r="D21" i="11"/>
  <c r="D57" i="11" s="1"/>
  <c r="D20" i="11"/>
  <c r="D39" i="11" s="1"/>
  <c r="K19" i="11"/>
  <c r="J17" i="11"/>
  <c r="J19" i="11"/>
  <c r="G8" i="11"/>
  <c r="D58" i="11" l="1"/>
  <c r="K21" i="11"/>
  <c r="K57" i="11" s="1"/>
  <c r="K58" i="11" s="1"/>
  <c r="K20" i="11"/>
  <c r="K39" i="11" s="1"/>
  <c r="K40" i="11" s="1"/>
  <c r="J21" i="11"/>
  <c r="J57" i="11" s="1"/>
  <c r="J20" i="11"/>
  <c r="J48" i="11" s="1"/>
  <c r="G10" i="11"/>
  <c r="G9" i="11"/>
  <c r="H56" i="11"/>
  <c r="H55" i="11"/>
  <c r="H30" i="11"/>
  <c r="I48" i="11"/>
  <c r="I49" i="11" s="1"/>
  <c r="H48" i="11"/>
  <c r="D40" i="11"/>
  <c r="D56" i="11"/>
  <c r="D48" i="11"/>
  <c r="I39" i="11"/>
  <c r="I40" i="11" s="1"/>
  <c r="D30" i="11"/>
  <c r="D55" i="11"/>
  <c r="E48" i="11"/>
  <c r="E49" i="11" s="1"/>
  <c r="E30" i="11"/>
  <c r="E31" i="11" s="1"/>
  <c r="E39" i="11"/>
  <c r="E40" i="11" s="1"/>
  <c r="F8" i="11"/>
  <c r="H58" i="11"/>
  <c r="H40" i="11"/>
  <c r="D31" i="11" l="1"/>
  <c r="D49" i="11"/>
  <c r="K30" i="11"/>
  <c r="K31" i="11" s="1"/>
  <c r="J58" i="11"/>
  <c r="F9" i="11"/>
  <c r="F17" i="11" s="1"/>
  <c r="F10" i="11"/>
  <c r="F16" i="11" s="1"/>
  <c r="K48" i="11"/>
  <c r="K49" i="11" s="1"/>
  <c r="H28" i="11"/>
  <c r="H31" i="11"/>
  <c r="H29" i="11"/>
  <c r="H49" i="11"/>
  <c r="H46" i="11"/>
  <c r="H47" i="11"/>
  <c r="H37" i="11"/>
  <c r="H38" i="11"/>
  <c r="D38" i="11"/>
  <c r="J49" i="11"/>
  <c r="J55" i="11"/>
  <c r="D46" i="11"/>
  <c r="D47" i="11"/>
  <c r="J56" i="11"/>
  <c r="D37" i="11"/>
  <c r="J39" i="11"/>
  <c r="J30" i="11"/>
  <c r="D29" i="11"/>
  <c r="D28" i="11"/>
  <c r="G19" i="11"/>
  <c r="L8" i="11"/>
  <c r="F4" i="11" s="1"/>
  <c r="G21" i="11" l="1"/>
  <c r="G57" i="11" s="1"/>
  <c r="G58" i="11" s="1"/>
  <c r="G20" i="11"/>
  <c r="G30" i="11" s="1"/>
  <c r="G31" i="11" s="1"/>
  <c r="J47" i="11"/>
  <c r="J46" i="11"/>
  <c r="J40" i="11"/>
  <c r="J37" i="11"/>
  <c r="J38" i="11"/>
  <c r="J28" i="11"/>
  <c r="J31" i="11"/>
  <c r="J29" i="11"/>
  <c r="F19" i="11"/>
  <c r="K4" i="11"/>
  <c r="E4" i="11"/>
  <c r="D4" i="11"/>
  <c r="L4" i="11" s="1"/>
  <c r="J4" i="11"/>
  <c r="I4" i="11"/>
  <c r="H4" i="11"/>
  <c r="G4" i="11"/>
  <c r="F21" i="11" l="1"/>
  <c r="F57" i="11" s="1"/>
  <c r="F20" i="11"/>
  <c r="F48" i="11" s="1"/>
  <c r="G48" i="11"/>
  <c r="G49" i="11" s="1"/>
  <c r="G39" i="11"/>
  <c r="G40" i="11" s="1"/>
  <c r="L19" i="11"/>
  <c r="L21" i="11" s="1"/>
  <c r="F46" i="11" l="1"/>
  <c r="F30" i="11"/>
  <c r="F49" i="11"/>
  <c r="F47" i="11"/>
  <c r="F56" i="11"/>
  <c r="F55" i="11"/>
  <c r="L20" i="11"/>
  <c r="F39" i="11"/>
  <c r="L48" i="11"/>
  <c r="L49" i="11" s="1"/>
  <c r="L57" i="11"/>
  <c r="L58" i="11" s="1"/>
  <c r="F58" i="11"/>
  <c r="F29" i="11" l="1"/>
  <c r="F31" i="11"/>
  <c r="L30" i="11"/>
  <c r="L31" i="11" s="1"/>
  <c r="F28" i="11"/>
  <c r="F40" i="11"/>
  <c r="F38" i="11"/>
  <c r="F37" i="11"/>
  <c r="L39" i="11"/>
  <c r="L40" i="11" s="1"/>
</calcChain>
</file>

<file path=xl/sharedStrings.xml><?xml version="1.0" encoding="utf-8"?>
<sst xmlns="http://schemas.openxmlformats.org/spreadsheetml/2006/main" count="77" uniqueCount="45">
  <si>
    <t>Region</t>
  </si>
  <si>
    <t>Gilbert et al. (2018)</t>
  </si>
  <si>
    <t>Production</t>
  </si>
  <si>
    <t>Michael et al. (2018)</t>
  </si>
  <si>
    <t>Total prod (kg year) (final year of simulation)</t>
  </si>
  <si>
    <t>Supply gap as percentage of prod</t>
  </si>
  <si>
    <t>NB</t>
  </si>
  <si>
    <t>Milk yield local (kg/cow/year)</t>
  </si>
  <si>
    <t>Milk yield improved (kg/cow/year)</t>
  </si>
  <si>
    <t>Milk yield improved  (kg/cow/year)</t>
  </si>
  <si>
    <t>Milk yield local  (kg/cow/year)</t>
  </si>
  <si>
    <t>Total herd size (local and improved) (head)</t>
  </si>
  <si>
    <t>Frac cow (local) (fraction)</t>
  </si>
  <si>
    <t>Frac cow (improved) (fraction)</t>
  </si>
  <si>
    <t>% local target</t>
  </si>
  <si>
    <t>% improved target</t>
  </si>
  <si>
    <t>MRT</t>
  </si>
  <si>
    <t>MRH</t>
  </si>
  <si>
    <t xml:space="preserve">MF </t>
  </si>
  <si>
    <t xml:space="preserve">RW </t>
  </si>
  <si>
    <t xml:space="preserve">MM </t>
  </si>
  <si>
    <t>Relative change</t>
  </si>
  <si>
    <t>Target production (final year of simulation) 70%</t>
  </si>
  <si>
    <t>Target production (final year of simulation) 100%</t>
  </si>
  <si>
    <t>Total herd size absolute base year (head)</t>
  </si>
  <si>
    <t>Projected herd Improved</t>
  </si>
  <si>
    <t>Projected herd Local</t>
  </si>
  <si>
    <t>Change in production for scenario 70% PT</t>
  </si>
  <si>
    <t>Change in production for scenario 100% PT</t>
  </si>
  <si>
    <t>% herd district</t>
  </si>
  <si>
    <t>Milk yield local wgtd avg (kg/cow/year)</t>
  </si>
  <si>
    <t>Milk yield improved wgtd avg (kg/cow/year)</t>
  </si>
  <si>
    <t>GLS (2019) and typology</t>
  </si>
  <si>
    <t>LivSim</t>
  </si>
  <si>
    <t>Parameters that are specified manually (i.e. as part of a scenario definition)</t>
  </si>
  <si>
    <t>Estimated prod base</t>
  </si>
  <si>
    <t xml:space="preserve">Estimated consumption </t>
  </si>
  <si>
    <t xml:space="preserve">Frac improved </t>
  </si>
  <si>
    <t xml:space="preserve">% total herd </t>
  </si>
  <si>
    <t>Inclusive</t>
  </si>
  <si>
    <t>Status quo</t>
  </si>
  <si>
    <t>Middle road</t>
  </si>
  <si>
    <t>Inequitable</t>
  </si>
  <si>
    <t>Baseline</t>
  </si>
  <si>
    <t>Sources (color coded)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</si>
</sst>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.000_);_(* \(#,##0.000\);_(* &quot;-&quot;??_);_(@_)"/>
    <numFmt numFmtId="165" formatCode="0.000"/>
    <numFmt numFmtId="166" formatCode="0.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C0C0C0"/>
      <name val="Calibri"/>
      <family val="2"/>
      <scheme val="minor"/>
    </font>
    <font>
      <sz val="11"/>
      <color rgb="FFB88C00"/>
      <name val="Calibri"/>
      <family val="2"/>
      <scheme val="minor"/>
    </font>
    <font>
      <sz val="11"/>
      <color rgb="FFCC00CC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Alignment="1"/>
    <xf numFmtId="0" fontId="1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43" fontId="0" fillId="0" borderId="0" xfId="1" applyFont="1"/>
    <xf numFmtId="43" fontId="0" fillId="0" borderId="0" xfId="0" applyNumberFormat="1"/>
    <xf numFmtId="0" fontId="0" fillId="0" borderId="0" xfId="0" applyNumberFormat="1"/>
    <xf numFmtId="0" fontId="5" fillId="0" borderId="0" xfId="0" applyFont="1"/>
    <xf numFmtId="0" fontId="6" fillId="0" borderId="0" xfId="0" applyFont="1"/>
    <xf numFmtId="43" fontId="7" fillId="0" borderId="0" xfId="1" applyFont="1"/>
    <xf numFmtId="164" fontId="8" fillId="0" borderId="0" xfId="0" applyNumberFormat="1" applyFont="1"/>
    <xf numFmtId="164" fontId="8" fillId="0" borderId="0" xfId="1" applyNumberFormat="1" applyFont="1"/>
    <xf numFmtId="165" fontId="8" fillId="0" borderId="0" xfId="0" applyNumberFormat="1" applyFont="1"/>
    <xf numFmtId="0" fontId="8" fillId="0" borderId="0" xfId="0" applyFont="1"/>
    <xf numFmtId="165" fontId="9" fillId="0" borderId="0" xfId="0" applyNumberFormat="1" applyFont="1"/>
    <xf numFmtId="0" fontId="9" fillId="0" borderId="0" xfId="0" applyFont="1"/>
    <xf numFmtId="0" fontId="7" fillId="0" borderId="0" xfId="0" applyFont="1"/>
    <xf numFmtId="0" fontId="1" fillId="0" borderId="0" xfId="0" applyFont="1" applyAlignment="1"/>
    <xf numFmtId="2" fontId="5" fillId="0" borderId="0" xfId="0" applyNumberFormat="1" applyFont="1"/>
    <xf numFmtId="166" fontId="5" fillId="0" borderId="0" xfId="0" applyNumberFormat="1" applyFont="1"/>
    <xf numFmtId="16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C0C0C0"/>
      <color rgb="FFB88C00"/>
      <color rgb="FFCC00CC"/>
      <color rgb="FF00B0F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wkj/Documents/GitHub/sm/new%20version/livsim/examples/notebooks/sectoral%20model%20files/regional%20data%20files/regional_herd_pop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wkj/Documents/GitHub/sm/new%20version/livsim/examples/notebooks/sectoral%20model%20files/out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ufindi"/>
      <sheetName val="Mvomero"/>
      <sheetName val="Njombe"/>
      <sheetName val="Rungwe"/>
    </sheetNames>
    <sheetDataSet>
      <sheetData sheetId="0">
        <row r="3">
          <cell r="C3">
            <v>0.39429999999999998</v>
          </cell>
          <cell r="D3">
            <v>0.36459999999999998</v>
          </cell>
        </row>
        <row r="8">
          <cell r="K8">
            <v>1330580.6470453946</v>
          </cell>
        </row>
        <row r="9">
          <cell r="K9">
            <v>135988.75682193215</v>
          </cell>
        </row>
        <row r="10">
          <cell r="C10">
            <v>0.47460000000000002</v>
          </cell>
          <cell r="D10">
            <v>0.47460000000000002</v>
          </cell>
        </row>
        <row r="14">
          <cell r="G14">
            <v>0.16769999999999999</v>
          </cell>
        </row>
        <row r="19">
          <cell r="D19">
            <v>1.0324753493684273</v>
          </cell>
        </row>
        <row r="20">
          <cell r="D20">
            <v>1.0433322562243532</v>
          </cell>
          <cell r="H20">
            <v>0.18595814952960762</v>
          </cell>
        </row>
        <row r="24">
          <cell r="C24">
            <v>0.6</v>
          </cell>
        </row>
      </sheetData>
      <sheetData sheetId="1">
        <row r="3">
          <cell r="C3">
            <v>0.38590000000000002</v>
          </cell>
          <cell r="D3">
            <v>0.43519999999999998</v>
          </cell>
        </row>
        <row r="8">
          <cell r="K8">
            <v>43585.894058653299</v>
          </cell>
        </row>
        <row r="9">
          <cell r="K9">
            <v>931852.83384149941</v>
          </cell>
        </row>
        <row r="10">
          <cell r="C10">
            <v>0.46410000000000001</v>
          </cell>
          <cell r="D10">
            <v>0.46410000000000001</v>
          </cell>
        </row>
        <row r="14">
          <cell r="G14">
            <v>0.1053</v>
          </cell>
        </row>
        <row r="20">
          <cell r="D20">
            <v>1.0433322562243532</v>
          </cell>
          <cell r="H20">
            <v>0.11772536425844966</v>
          </cell>
        </row>
        <row r="24">
          <cell r="C24">
            <v>0.27</v>
          </cell>
        </row>
      </sheetData>
      <sheetData sheetId="2">
        <row r="3">
          <cell r="C3">
            <v>0.40560000000000002</v>
          </cell>
          <cell r="D3">
            <v>0.40560000000000002</v>
          </cell>
        </row>
        <row r="8">
          <cell r="K8">
            <v>523929.2537197292</v>
          </cell>
        </row>
        <row r="9">
          <cell r="K9">
            <v>63177.706938894786</v>
          </cell>
        </row>
        <row r="10">
          <cell r="C10">
            <v>0.51870000000000005</v>
          </cell>
          <cell r="D10">
            <v>0.51870000000000005</v>
          </cell>
        </row>
        <row r="14">
          <cell r="G14">
            <v>0.58220000000000005</v>
          </cell>
        </row>
        <row r="19">
          <cell r="D19">
            <v>1.0324753493684273</v>
          </cell>
        </row>
        <row r="20">
          <cell r="D20">
            <v>1.0433322562243532</v>
          </cell>
          <cell r="H20">
            <v>0.61238232797760983</v>
          </cell>
        </row>
        <row r="24">
          <cell r="C24">
            <v>0.6</v>
          </cell>
        </row>
      </sheetData>
      <sheetData sheetId="3">
        <row r="3">
          <cell r="C3">
            <v>0.44080000000000003</v>
          </cell>
          <cell r="D3">
            <v>0.44080000000000003</v>
          </cell>
        </row>
        <row r="8">
          <cell r="K8">
            <v>658752.030520448</v>
          </cell>
        </row>
        <row r="9">
          <cell r="K9">
            <v>337427.14732889878</v>
          </cell>
        </row>
        <row r="10">
          <cell r="C10">
            <v>0.52990000000000004</v>
          </cell>
          <cell r="D10">
            <v>0.55159999999999998</v>
          </cell>
        </row>
        <row r="14">
          <cell r="G14">
            <v>0.68389999999999995</v>
          </cell>
        </row>
        <row r="20">
          <cell r="D20">
            <v>1.0433322562243532</v>
          </cell>
          <cell r="H20">
            <v>0.71039006499969382</v>
          </cell>
        </row>
        <row r="24">
          <cell r="C24">
            <v>0.85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F2">
            <v>1003.584132817231</v>
          </cell>
          <cell r="G2">
            <v>278.24982301189038</v>
          </cell>
        </row>
        <row r="3">
          <cell r="F3">
            <v>2984.091332965379</v>
          </cell>
          <cell r="G3">
            <v>634.76505148766853</v>
          </cell>
        </row>
        <row r="11">
          <cell r="F11">
            <v>1567.7168798701059</v>
          </cell>
          <cell r="G11">
            <v>306.83532438478449</v>
          </cell>
        </row>
        <row r="12">
          <cell r="F12">
            <v>3375.7258302249811</v>
          </cell>
          <cell r="G12">
            <v>603.0768484941442</v>
          </cell>
        </row>
        <row r="20">
          <cell r="G20">
            <v>306.53695149364688</v>
          </cell>
        </row>
        <row r="21">
          <cell r="F21">
            <v>2943.876744419123</v>
          </cell>
          <cell r="G21">
            <v>588.51530164144606</v>
          </cell>
        </row>
        <row r="29">
          <cell r="F29">
            <v>1113.4343533545571</v>
          </cell>
          <cell r="G29">
            <v>231.5199059355032</v>
          </cell>
        </row>
        <row r="30">
          <cell r="F30">
            <v>3405.8443377352651</v>
          </cell>
          <cell r="G30">
            <v>611.79659354410956</v>
          </cell>
        </row>
        <row r="38">
          <cell r="F38">
            <v>1000.188617168488</v>
          </cell>
          <cell r="G38">
            <v>386.41939679228841</v>
          </cell>
        </row>
        <row r="39">
          <cell r="F39">
            <v>2945.8871874180982</v>
          </cell>
          <cell r="G39">
            <v>683.22956142985697</v>
          </cell>
        </row>
        <row r="47">
          <cell r="F47">
            <v>1289.6533672679809</v>
          </cell>
          <cell r="G47">
            <v>600.70724257447603</v>
          </cell>
        </row>
        <row r="48">
          <cell r="F48">
            <v>3151.3985318888272</v>
          </cell>
          <cell r="G48">
            <v>673.74005520056255</v>
          </cell>
        </row>
        <row r="56">
          <cell r="F56">
            <v>1376.5663280614981</v>
          </cell>
        </row>
        <row r="57">
          <cell r="F57">
            <v>2982.1334906731431</v>
          </cell>
        </row>
        <row r="65">
          <cell r="F65">
            <v>1445.1659459760881</v>
          </cell>
        </row>
        <row r="66">
          <cell r="F66">
            <v>2823.083365763322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2EDF7-EB0B-4047-BAA1-44147E09FA69}">
  <dimension ref="A1:V58"/>
  <sheetViews>
    <sheetView tabSelected="1" workbookViewId="0">
      <selection activeCell="I8" sqref="I8"/>
    </sheetView>
  </sheetViews>
  <sheetFormatPr defaultRowHeight="14.4" x14ac:dyDescent="0.3"/>
  <cols>
    <col min="1" max="1" width="15.21875" customWidth="1"/>
    <col min="4" max="4" width="20.88671875" customWidth="1"/>
    <col min="5" max="5" width="16.109375" customWidth="1"/>
    <col min="6" max="6" width="16.109375" bestFit="1" customWidth="1"/>
    <col min="7" max="7" width="17.44140625" customWidth="1"/>
    <col min="8" max="8" width="14.6640625" bestFit="1" customWidth="1"/>
    <col min="9" max="9" width="17.33203125" customWidth="1"/>
    <col min="10" max="10" width="17.5546875" customWidth="1"/>
    <col min="11" max="11" width="18.77734375" customWidth="1"/>
    <col min="12" max="12" width="13.6640625" bestFit="1" customWidth="1"/>
  </cols>
  <sheetData>
    <row r="1" spans="1:17" x14ac:dyDescent="0.3">
      <c r="D1" s="22" t="s">
        <v>6</v>
      </c>
      <c r="E1" s="22"/>
      <c r="F1" s="22" t="s">
        <v>18</v>
      </c>
      <c r="G1" s="22"/>
      <c r="H1" s="22" t="s">
        <v>20</v>
      </c>
      <c r="I1" s="22"/>
      <c r="J1" s="22" t="s">
        <v>19</v>
      </c>
      <c r="K1" s="22"/>
    </row>
    <row r="2" spans="1:17" x14ac:dyDescent="0.3">
      <c r="D2" s="4" t="s">
        <v>16</v>
      </c>
      <c r="E2" s="4" t="s">
        <v>17</v>
      </c>
      <c r="F2" s="4" t="s">
        <v>16</v>
      </c>
      <c r="G2" s="4" t="s">
        <v>17</v>
      </c>
      <c r="H2" s="4" t="s">
        <v>16</v>
      </c>
      <c r="I2" s="4" t="s">
        <v>17</v>
      </c>
      <c r="J2" s="4" t="s">
        <v>16</v>
      </c>
      <c r="K2" s="4" t="s">
        <v>17</v>
      </c>
      <c r="L2" s="2" t="s">
        <v>0</v>
      </c>
    </row>
    <row r="3" spans="1:17" x14ac:dyDescent="0.3">
      <c r="B3" t="s">
        <v>37</v>
      </c>
      <c r="D3" s="11">
        <f>[1]Njombe!$G$14</f>
        <v>0.58220000000000005</v>
      </c>
      <c r="E3" s="11">
        <f>[1]Njombe!$G$14</f>
        <v>0.58220000000000005</v>
      </c>
      <c r="F3" s="11">
        <f>[1]Mufindi!$G$14</f>
        <v>0.16769999999999999</v>
      </c>
      <c r="G3" s="11">
        <f>[1]Mufindi!$G$14</f>
        <v>0.16769999999999999</v>
      </c>
      <c r="H3" s="12">
        <f>[1]Mvomero!$G$14</f>
        <v>0.1053</v>
      </c>
      <c r="I3" s="12">
        <f>[1]Mvomero!$G$14</f>
        <v>0.1053</v>
      </c>
      <c r="J3" s="12">
        <f>[1]Rungwe!$G$14</f>
        <v>0.68389999999999995</v>
      </c>
      <c r="K3" s="12">
        <f>[1]Rungwe!$G$14</f>
        <v>0.68389999999999995</v>
      </c>
    </row>
    <row r="4" spans="1:17" x14ac:dyDescent="0.3">
      <c r="B4" t="s">
        <v>38</v>
      </c>
      <c r="D4">
        <f>D8/L8</f>
        <v>0.13015924266423304</v>
      </c>
      <c r="E4" s="7">
        <f>E8/L8</f>
        <v>1.5695177221061046E-2</v>
      </c>
      <c r="F4">
        <f>F8/L8</f>
        <v>0.33055487566983349</v>
      </c>
      <c r="G4">
        <f>G8/L8</f>
        <v>3.3783556602590067E-2</v>
      </c>
      <c r="H4">
        <f>H8/L8</f>
        <v>1.0828001912931132E-2</v>
      </c>
      <c r="I4">
        <f>I8/L8</f>
        <v>0.23149930695072707</v>
      </c>
      <c r="J4">
        <f>J8/L8</f>
        <v>0.16365313596696862</v>
      </c>
      <c r="K4">
        <f>K8/L8</f>
        <v>8.3826703011655512E-2</v>
      </c>
      <c r="L4">
        <f>D4*D3</f>
        <v>7.5778711079116476E-2</v>
      </c>
    </row>
    <row r="5" spans="1:17" x14ac:dyDescent="0.3">
      <c r="B5" t="s">
        <v>29</v>
      </c>
      <c r="D5">
        <f>D8/(D8+E8)</f>
        <v>0.89239148711842686</v>
      </c>
      <c r="E5">
        <f>E8/(E8+D8)</f>
        <v>0.10760851288157314</v>
      </c>
    </row>
    <row r="6" spans="1:17" x14ac:dyDescent="0.3">
      <c r="B6" t="s">
        <v>13</v>
      </c>
      <c r="D6" s="13">
        <f>[1]Njombe!$C$10</f>
        <v>0.51870000000000005</v>
      </c>
      <c r="E6" s="13">
        <f>[1]Njombe!$D$10</f>
        <v>0.51870000000000005</v>
      </c>
      <c r="F6" s="13">
        <f>[1]Mufindi!$C$10</f>
        <v>0.47460000000000002</v>
      </c>
      <c r="G6" s="13">
        <f>[1]Mufindi!$D$10</f>
        <v>0.47460000000000002</v>
      </c>
      <c r="H6" s="13">
        <f>[1]Mvomero!$C$3</f>
        <v>0.38590000000000002</v>
      </c>
      <c r="I6" s="13">
        <f>[1]Mvomero!$D$3</f>
        <v>0.43519999999999998</v>
      </c>
      <c r="J6" s="13">
        <f>[1]Rungwe!$C$3</f>
        <v>0.44080000000000003</v>
      </c>
      <c r="K6" s="13">
        <f>[1]Rungwe!$D$3</f>
        <v>0.44080000000000003</v>
      </c>
    </row>
    <row r="7" spans="1:17" x14ac:dyDescent="0.3">
      <c r="B7" t="s">
        <v>12</v>
      </c>
      <c r="D7" s="14">
        <f>[1]Njombe!$C$3</f>
        <v>0.40560000000000002</v>
      </c>
      <c r="E7" s="14">
        <f>[1]Njombe!$D$3</f>
        <v>0.40560000000000002</v>
      </c>
      <c r="F7" s="14">
        <f>[1]Mufindi!$C$3</f>
        <v>0.39429999999999998</v>
      </c>
      <c r="G7" s="14">
        <f>[1]Mufindi!$D$3</f>
        <v>0.36459999999999998</v>
      </c>
      <c r="H7" s="14">
        <f>[1]Mvomero!$C$10</f>
        <v>0.46410000000000001</v>
      </c>
      <c r="I7" s="14">
        <f>[1]Mvomero!$D$10</f>
        <v>0.46410000000000001</v>
      </c>
      <c r="J7" s="14">
        <f>[1]Rungwe!$C$10</f>
        <v>0.52990000000000004</v>
      </c>
      <c r="K7" s="14">
        <f>[1]Rungwe!$D$10</f>
        <v>0.55159999999999998</v>
      </c>
    </row>
    <row r="8" spans="1:17" x14ac:dyDescent="0.3">
      <c r="B8" t="s">
        <v>24</v>
      </c>
      <c r="D8" s="10">
        <f>[1]Njombe!$K$8</f>
        <v>523929.2537197292</v>
      </c>
      <c r="E8" s="10">
        <f>[1]Njombe!$K$9</f>
        <v>63177.706938894786</v>
      </c>
      <c r="F8" s="10">
        <f>[1]Mufindi!$K$8</f>
        <v>1330580.6470453946</v>
      </c>
      <c r="G8" s="10">
        <f>[1]Mufindi!$K$9</f>
        <v>135988.75682193215</v>
      </c>
      <c r="H8" s="10">
        <f>[1]Mvomero!$K$8</f>
        <v>43585.894058653299</v>
      </c>
      <c r="I8" s="10">
        <f>[1]Mvomero!$K$9</f>
        <v>931852.83384149941</v>
      </c>
      <c r="J8" s="10">
        <f>[1]Rungwe!$K$8</f>
        <v>658752.030520448</v>
      </c>
      <c r="K8" s="10">
        <f>[1]Rungwe!$K$9</f>
        <v>337427.14732889878</v>
      </c>
      <c r="L8" s="6">
        <f>SUM(D8:K8)</f>
        <v>4025294.2702754503</v>
      </c>
    </row>
    <row r="9" spans="1:17" x14ac:dyDescent="0.3">
      <c r="B9" t="s">
        <v>25</v>
      </c>
      <c r="D9" s="5">
        <f>D8*D3*[1]Njombe!$D$20^12</f>
        <v>507477.11569739622</v>
      </c>
      <c r="E9" s="5">
        <f>E8*E3*[1]Njombe!$D$20^12</f>
        <v>61193.835362505924</v>
      </c>
      <c r="F9" s="5">
        <f>F8*F3*[1]Mufindi!$D$20^12</f>
        <v>371232.40484762628</v>
      </c>
      <c r="G9" s="5">
        <f>G8*G3*[1]Mufindi!$D$20^12</f>
        <v>37940.904476061129</v>
      </c>
      <c r="H9" s="5">
        <f>H8*H3*[1]Mvomero!$D$20^12</f>
        <v>7635.6487800574387</v>
      </c>
      <c r="I9" s="5">
        <f>I8*I3*[1]Mvomero!$D$20^12</f>
        <v>163247.79169012548</v>
      </c>
      <c r="J9" s="5">
        <f>J8*J3*[1]Rungwe!$D$20^12</f>
        <v>749525.10562839732</v>
      </c>
      <c r="K9" s="5">
        <f>K8*K3*[1]Rungwe!$D$20^12</f>
        <v>383923.09477022727</v>
      </c>
      <c r="L9" s="6"/>
    </row>
    <row r="10" spans="1:17" x14ac:dyDescent="0.3">
      <c r="B10" t="s">
        <v>26</v>
      </c>
      <c r="D10" s="5">
        <f>D8*(1-D3)*[1]Njombe!$D$19^12</f>
        <v>321216.15729978087</v>
      </c>
      <c r="E10" s="5">
        <f>E8*(1-E3)*[1]Njombe!$D$19^12</f>
        <v>38733.665100478247</v>
      </c>
      <c r="F10" s="5">
        <f>F8*(1-F3)*[1]Mufindi!$D$19^12</f>
        <v>1625089.9170655624</v>
      </c>
      <c r="G10" s="5">
        <f>G8*(1-G3)*[1]Mufindi!$D$19^12</f>
        <v>166088.36002261739</v>
      </c>
      <c r="H10" s="5">
        <f>H8*(1-H3)*[1]Njombe!$D$19^12</f>
        <v>57224.195384828163</v>
      </c>
      <c r="I10" s="5">
        <f>I8*(1-I3)*[1]Njombe!$D$19^12</f>
        <v>1223435.4665730442</v>
      </c>
      <c r="J10" s="5">
        <f>J8*(1-J3)*[1]Njombe!$D$19^12</f>
        <v>305564.40442650521</v>
      </c>
      <c r="K10" s="5">
        <f>K8*(1-K3)*[1]Njombe!$D$19^12</f>
        <v>156516.74762874091</v>
      </c>
      <c r="L10" s="6"/>
      <c r="Q10" s="18" t="s">
        <v>44</v>
      </c>
    </row>
    <row r="11" spans="1:17" x14ac:dyDescent="0.3">
      <c r="Q11" s="14" t="s">
        <v>32</v>
      </c>
    </row>
    <row r="12" spans="1:17" x14ac:dyDescent="0.3">
      <c r="Q12" s="8" t="s">
        <v>33</v>
      </c>
    </row>
    <row r="13" spans="1:17" x14ac:dyDescent="0.3">
      <c r="A13" s="2" t="s">
        <v>43</v>
      </c>
      <c r="B13" t="s">
        <v>2</v>
      </c>
      <c r="G13" s="8"/>
      <c r="H13" s="8"/>
      <c r="I13" s="8"/>
      <c r="J13" s="8"/>
      <c r="Q13" s="17" t="s">
        <v>1</v>
      </c>
    </row>
    <row r="14" spans="1:17" x14ac:dyDescent="0.3">
      <c r="B14" t="s">
        <v>10</v>
      </c>
      <c r="D14" s="20">
        <f>[2]Sheet1!$G$47</f>
        <v>600.70724257447603</v>
      </c>
      <c r="E14" s="20">
        <f>[2]Sheet1!$G$38</f>
        <v>386.41939679228841</v>
      </c>
      <c r="F14" s="20">
        <f>[2]Sheet1!$G$11</f>
        <v>306.83532438478449</v>
      </c>
      <c r="G14" s="20">
        <f>[2]Sheet1!$G$2</f>
        <v>278.24982301189038</v>
      </c>
      <c r="H14" s="20">
        <f>[2]Sheet1!$G$29</f>
        <v>231.5199059355032</v>
      </c>
      <c r="I14" s="20">
        <f>[2]Sheet1!$G$20</f>
        <v>306.53695149364688</v>
      </c>
      <c r="J14" s="20">
        <v>446</v>
      </c>
      <c r="K14" s="20">
        <v>351</v>
      </c>
      <c r="Q14" s="16" t="s">
        <v>34</v>
      </c>
    </row>
    <row r="15" spans="1:17" x14ac:dyDescent="0.3">
      <c r="B15" t="s">
        <v>8</v>
      </c>
      <c r="D15" s="20">
        <f>[2]Sheet1!$F$47</f>
        <v>1289.6533672679809</v>
      </c>
      <c r="E15" s="20">
        <f>[2]Sheet1!$F$38</f>
        <v>1000.188617168488</v>
      </c>
      <c r="F15" s="20">
        <f>[2]Sheet1!$F$11</f>
        <v>1567.7168798701059</v>
      </c>
      <c r="G15" s="20">
        <f>[2]Sheet1!$F$2</f>
        <v>1003.584132817231</v>
      </c>
      <c r="H15" s="20">
        <f>[2]Sheet1!$F$29</f>
        <v>1113.4343533545571</v>
      </c>
      <c r="I15" s="20">
        <f>[2]Sheet1!$F$2</f>
        <v>1003.584132817231</v>
      </c>
      <c r="J15" s="20">
        <f>[2]Sheet1!$F$65</f>
        <v>1445.1659459760881</v>
      </c>
      <c r="K15" s="20">
        <f>[2]Sheet1!$F$56</f>
        <v>1376.5663280614981</v>
      </c>
      <c r="Q15" s="9" t="s">
        <v>3</v>
      </c>
    </row>
    <row r="16" spans="1:17" x14ac:dyDescent="0.3">
      <c r="B16" t="s">
        <v>30</v>
      </c>
      <c r="D16" s="21">
        <f>D14*(D10/(D10+E10))+E14*(E10/(D10+E10))</f>
        <v>577.648046161259</v>
      </c>
      <c r="E16" s="21"/>
      <c r="F16" s="21">
        <f>F14*(F10/(F10+G10))+G14*(G10/(F10+G10))</f>
        <v>304.18471215696854</v>
      </c>
      <c r="G16" s="21"/>
      <c r="H16" s="21">
        <f>H14*(H10/(H10+I10))+I14*(I10/(H10+I10))</f>
        <v>303.18493674708338</v>
      </c>
      <c r="I16" s="21"/>
      <c r="J16" s="21">
        <f>J14*(J10/(J10+K10))+K14*(K10/(J10+K10))</f>
        <v>413.82147257338761</v>
      </c>
      <c r="K16" s="21"/>
      <c r="Q16" s="9"/>
    </row>
    <row r="17" spans="1:22" x14ac:dyDescent="0.3">
      <c r="B17" t="s">
        <v>31</v>
      </c>
      <c r="D17" s="21">
        <f>D15*(D9/(D9+E9))+E15*(E9/(D9+E9))</f>
        <v>1258.5044959781383</v>
      </c>
      <c r="E17" s="21"/>
      <c r="F17" s="21">
        <f>F15*(F9/(F9+G9))+G15*(G9/(F9+G9))</f>
        <v>1515.4072443683947</v>
      </c>
      <c r="G17" s="21"/>
      <c r="H17" s="21">
        <f>H15*(H9/(H9+I9))+I15*(I9/(H9+I9))</f>
        <v>1008.4926113692017</v>
      </c>
      <c r="I17" s="21"/>
      <c r="J17" s="21">
        <f t="shared" ref="J17" si="0">J15*(J9/(J9+K9))+K15*(K9/(J9+K9))</f>
        <v>1421.9297913811431</v>
      </c>
      <c r="K17" s="21"/>
    </row>
    <row r="19" spans="1:22" x14ac:dyDescent="0.3">
      <c r="B19" s="2" t="s">
        <v>4</v>
      </c>
      <c r="D19" s="5">
        <f>(D9)*D15+(D10)*D14</f>
        <v>847426443.19251037</v>
      </c>
      <c r="E19" s="5">
        <f t="shared" ref="E19:I19" si="1">(E9)*E15+(E10)*E14</f>
        <v>76172817.074142247</v>
      </c>
      <c r="F19" s="5">
        <f t="shared" si="1"/>
        <v>1080622299.291651</v>
      </c>
      <c r="G19" s="5">
        <f t="shared" si="1"/>
        <v>84290946.497537628</v>
      </c>
      <c r="H19" s="5">
        <f t="shared" si="1"/>
        <v>21750333.994596042</v>
      </c>
      <c r="I19" s="5">
        <f t="shared" si="1"/>
        <v>538861071.73017108</v>
      </c>
      <c r="J19" s="5">
        <f>(J9)*K15+(J10)*J14</f>
        <v>1168052746.8190107</v>
      </c>
      <c r="K19" s="5">
        <f>(K9)*K15+(K10)*K14</f>
        <v>583432983.24354637</v>
      </c>
      <c r="L19">
        <f>SUM(D19:J19)</f>
        <v>3817176658.5996189</v>
      </c>
      <c r="P19" t="s">
        <v>27</v>
      </c>
      <c r="R19">
        <f>1+(V22-1)*0.7</f>
        <v>2.0989999999999998</v>
      </c>
      <c r="U19" t="s">
        <v>35</v>
      </c>
      <c r="V19">
        <v>3700</v>
      </c>
    </row>
    <row r="20" spans="1:22" x14ac:dyDescent="0.3">
      <c r="B20" s="2" t="s">
        <v>22</v>
      </c>
      <c r="D20" s="5">
        <f>D19*R19</f>
        <v>1778748104.2610791</v>
      </c>
      <c r="E20" s="5">
        <f>E19*R19</f>
        <v>159886743.03862455</v>
      </c>
      <c r="F20" s="5">
        <f>F19*R19</f>
        <v>2268226206.2131753</v>
      </c>
      <c r="G20" s="5">
        <f>G19*R19</f>
        <v>176926696.69833145</v>
      </c>
      <c r="H20" s="5">
        <f>H19*R19</f>
        <v>45653951.054657087</v>
      </c>
      <c r="I20" s="5">
        <f>I19*R19</f>
        <v>1131069389.5616291</v>
      </c>
      <c r="J20" s="5">
        <f>J19*R19</f>
        <v>2451742715.5731034</v>
      </c>
      <c r="K20" s="5">
        <f>K19*R19</f>
        <v>1224625831.8282037</v>
      </c>
      <c r="L20">
        <f>SUM(D20:J20)</f>
        <v>8012253806.4006004</v>
      </c>
      <c r="P20" t="s">
        <v>28</v>
      </c>
      <c r="R20">
        <f>1+(V22-1)</f>
        <v>2.57</v>
      </c>
      <c r="U20" t="s">
        <v>36</v>
      </c>
      <c r="V20">
        <v>9500</v>
      </c>
    </row>
    <row r="21" spans="1:22" x14ac:dyDescent="0.3">
      <c r="B21" s="2" t="s">
        <v>23</v>
      </c>
      <c r="D21" s="5">
        <f>D19*R20</f>
        <v>2177885959.0047517</v>
      </c>
      <c r="E21" s="5">
        <f>E19*R20</f>
        <v>195764139.88054556</v>
      </c>
      <c r="F21" s="5">
        <f>F19*R20</f>
        <v>2777199309.179543</v>
      </c>
      <c r="G21" s="5">
        <f>G19*R20</f>
        <v>216627732.49867168</v>
      </c>
      <c r="H21" s="5">
        <f>H19*R20</f>
        <v>55898358.366111822</v>
      </c>
      <c r="I21" s="5">
        <f>I19*R20</f>
        <v>1384872954.3465395</v>
      </c>
      <c r="J21" s="5">
        <f>J19*R20</f>
        <v>3001895559.3248572</v>
      </c>
      <c r="K21" s="5">
        <f>K19*R20</f>
        <v>1499422766.935914</v>
      </c>
      <c r="L21" s="5">
        <f t="shared" ref="L21" si="2">L19*Z20</f>
        <v>0</v>
      </c>
    </row>
    <row r="22" spans="1:22" x14ac:dyDescent="0.3">
      <c r="U22" t="s">
        <v>5</v>
      </c>
      <c r="V22" s="9">
        <v>2.57</v>
      </c>
    </row>
    <row r="24" spans="1:22" x14ac:dyDescent="0.3">
      <c r="A24" s="2" t="s">
        <v>39</v>
      </c>
      <c r="B24" t="s">
        <v>15</v>
      </c>
      <c r="D24" s="15">
        <f>[1]Njombe!$C$24</f>
        <v>0.6</v>
      </c>
      <c r="E24" s="15">
        <f>[1]Njombe!$C$24</f>
        <v>0.6</v>
      </c>
      <c r="F24" s="15">
        <f>[1]Mufindi!$C$24</f>
        <v>0.6</v>
      </c>
      <c r="G24" s="15">
        <f>[1]Mufindi!$C$24</f>
        <v>0.6</v>
      </c>
      <c r="H24" s="15">
        <f>[1]Mvomero!$C$24</f>
        <v>0.27</v>
      </c>
      <c r="I24" s="15">
        <f>[1]Mvomero!$C$24</f>
        <v>0.27</v>
      </c>
      <c r="J24" s="15">
        <f>[1]Rungwe!$C$24</f>
        <v>0.85</v>
      </c>
      <c r="K24" s="15">
        <f>[1]Rungwe!$C$24</f>
        <v>0.85</v>
      </c>
    </row>
    <row r="25" spans="1:22" x14ac:dyDescent="0.3">
      <c r="B25" t="s">
        <v>14</v>
      </c>
      <c r="D25" s="15">
        <f>1-D24</f>
        <v>0.4</v>
      </c>
      <c r="E25" s="15">
        <f t="shared" ref="E25:I25" si="3">1-E24</f>
        <v>0.4</v>
      </c>
      <c r="F25" s="15">
        <f t="shared" si="3"/>
        <v>0.4</v>
      </c>
      <c r="G25" s="15">
        <f t="shared" si="3"/>
        <v>0.4</v>
      </c>
      <c r="H25" s="15">
        <f t="shared" si="3"/>
        <v>0.73</v>
      </c>
      <c r="I25" s="15">
        <f t="shared" si="3"/>
        <v>0.73</v>
      </c>
      <c r="J25" s="15">
        <f>1-J24</f>
        <v>0.15000000000000002</v>
      </c>
      <c r="K25" s="15">
        <f>1-K24</f>
        <v>0.15000000000000002</v>
      </c>
    </row>
    <row r="26" spans="1:22" x14ac:dyDescent="0.3">
      <c r="B26" t="s">
        <v>7</v>
      </c>
      <c r="D26" s="19">
        <f>[2]Sheet1!$G$48</f>
        <v>673.74005520056255</v>
      </c>
      <c r="E26" s="19">
        <f>[2]Sheet1!$G$39</f>
        <v>683.22956142985697</v>
      </c>
      <c r="F26" s="19">
        <f>[2]Sheet1!$G$12</f>
        <v>603.0768484941442</v>
      </c>
      <c r="G26" s="19">
        <f>[2]Sheet1!$G$3</f>
        <v>634.76505148766853</v>
      </c>
      <c r="H26" s="19">
        <f>[2]Sheet1!$G$30</f>
        <v>611.79659354410956</v>
      </c>
      <c r="I26" s="19">
        <f>[2]Sheet1!$G$21</f>
        <v>588.51530164144606</v>
      </c>
      <c r="J26" s="19">
        <v>559</v>
      </c>
      <c r="K26" s="19">
        <v>499</v>
      </c>
      <c r="P26" s="3"/>
    </row>
    <row r="27" spans="1:22" x14ac:dyDescent="0.3">
      <c r="B27" t="s">
        <v>8</v>
      </c>
      <c r="D27" s="19">
        <f>[2]Sheet1!$F$48</f>
        <v>3151.3985318888272</v>
      </c>
      <c r="E27" s="19">
        <f>[2]Sheet1!$F$39</f>
        <v>2945.8871874180982</v>
      </c>
      <c r="F27" s="19">
        <f>[2]Sheet1!$F$12</f>
        <v>3375.7258302249811</v>
      </c>
      <c r="G27" s="19">
        <f>[2]Sheet1!$F$3</f>
        <v>2984.091332965379</v>
      </c>
      <c r="H27" s="19">
        <f>[2]Sheet1!$F$30</f>
        <v>3405.8443377352651</v>
      </c>
      <c r="I27" s="19">
        <f>[2]Sheet1!$F$21</f>
        <v>2943.876744419123</v>
      </c>
      <c r="J27" s="19">
        <f>[2]Sheet1!$F$66</f>
        <v>2823.083365763322</v>
      </c>
      <c r="K27" s="19">
        <f>[2]Sheet1!$F$57</f>
        <v>2982.1334906731431</v>
      </c>
      <c r="M27">
        <f>(2.57-1)*0.7</f>
        <v>1.0989999999999998</v>
      </c>
    </row>
    <row r="28" spans="1:22" x14ac:dyDescent="0.3">
      <c r="B28" t="s">
        <v>30</v>
      </c>
      <c r="D28" s="21">
        <f>D26*(D30/(D30+E30))+E26*(E30/(D30+E30))</f>
        <v>674.56609042485547</v>
      </c>
      <c r="E28" s="21"/>
      <c r="F28" s="21">
        <f>F26*(F30/(F30+G30))+G26*(G30/(F30+G30))</f>
        <v>605.62497672603388</v>
      </c>
      <c r="G28" s="21"/>
      <c r="H28" s="21">
        <f>H26*(H30/(H30+I30))+I26*(I30/(H30+I30))</f>
        <v>589.39252587542228</v>
      </c>
      <c r="I28" s="21"/>
      <c r="J28" s="21">
        <f>J26*(J30/(J30+K30))+K26*(K30/(J30+K30))</f>
        <v>539.67363750122001</v>
      </c>
      <c r="K28" s="21"/>
    </row>
    <row r="29" spans="1:22" x14ac:dyDescent="0.3">
      <c r="B29" t="s">
        <v>31</v>
      </c>
      <c r="D29" s="21">
        <f>D27*(D30/(D30+E30))+E27*(E30/(D30+E30))</f>
        <v>3133.5093387714269</v>
      </c>
      <c r="E29" s="21"/>
      <c r="F29" s="21">
        <f>F27*(F30/(F30+G30))+G27*(G30/(F30+G30))</f>
        <v>3344.2335136915035</v>
      </c>
      <c r="G29" s="21"/>
      <c r="H29" s="21">
        <f t="shared" ref="H29" si="4">H27*(H30/(H30+I30))+I27*(I30/(H30+I30))</f>
        <v>2961.2833887695697</v>
      </c>
      <c r="I29" s="21"/>
      <c r="J29" s="21">
        <f t="shared" ref="J29" si="5">J27*(J30/(J30+K30))+K27*(K30/(J30+K30))</f>
        <v>2874.3143719213795</v>
      </c>
      <c r="K29" s="21"/>
    </row>
    <row r="30" spans="1:22" x14ac:dyDescent="0.3">
      <c r="B30" t="s">
        <v>11</v>
      </c>
      <c r="D30" s="5">
        <f t="shared" ref="D30:K30" si="6">D20/(D24*(D27)*D6+(D25)*D26*D7)</f>
        <v>1631750.4941586975</v>
      </c>
      <c r="E30" s="5">
        <f t="shared" si="6"/>
        <v>155582.37393007311</v>
      </c>
      <c r="F30" s="5">
        <f t="shared" si="6"/>
        <v>2147150.5998351467</v>
      </c>
      <c r="G30" s="5">
        <f t="shared" si="6"/>
        <v>187755.69748236542</v>
      </c>
      <c r="H30" s="5">
        <f t="shared" si="6"/>
        <v>81214.912030042033</v>
      </c>
      <c r="I30" s="5">
        <f t="shared" si="6"/>
        <v>2074206.7014952498</v>
      </c>
      <c r="J30" s="5">
        <f t="shared" si="6"/>
        <v>2224438.48967316</v>
      </c>
      <c r="K30" s="5">
        <f t="shared" si="6"/>
        <v>1056957.4606247754</v>
      </c>
      <c r="L30" s="5">
        <f>SUM(D30:J30)</f>
        <v>8502099.2686047349</v>
      </c>
    </row>
    <row r="31" spans="1:22" x14ac:dyDescent="0.3">
      <c r="B31" t="s">
        <v>21</v>
      </c>
      <c r="D31" s="6">
        <f>D30/D8</f>
        <v>3.1144481484356787</v>
      </c>
      <c r="E31" s="6">
        <f>E30/E8</f>
        <v>2.4626150816228853</v>
      </c>
      <c r="F31" s="7">
        <f t="shared" ref="F31:L31" si="7">F30/F8</f>
        <v>1.6136944458067815</v>
      </c>
      <c r="G31" s="7">
        <f>G30/G8</f>
        <v>1.3806707397746012</v>
      </c>
      <c r="H31">
        <f t="shared" si="7"/>
        <v>1.8633301847783958</v>
      </c>
      <c r="I31">
        <f>I30/I8</f>
        <v>2.2258951479972162</v>
      </c>
      <c r="J31">
        <f>J30/J8</f>
        <v>3.3767463121377239</v>
      </c>
      <c r="K31">
        <f t="shared" si="7"/>
        <v>3.1324019688153077</v>
      </c>
      <c r="L31">
        <f t="shared" si="7"/>
        <v>2.1121683776979956</v>
      </c>
      <c r="O31" s="1"/>
    </row>
    <row r="32" spans="1:22" x14ac:dyDescent="0.3">
      <c r="O32" s="1"/>
    </row>
    <row r="33" spans="1:15" x14ac:dyDescent="0.3">
      <c r="A33" s="2" t="s">
        <v>42</v>
      </c>
      <c r="B33" t="s">
        <v>15</v>
      </c>
      <c r="D33" s="15">
        <f>D24</f>
        <v>0.6</v>
      </c>
      <c r="E33" s="15">
        <f t="shared" ref="E33:K33" si="8">E24</f>
        <v>0.6</v>
      </c>
      <c r="F33" s="15">
        <f t="shared" si="8"/>
        <v>0.6</v>
      </c>
      <c r="G33" s="15">
        <f t="shared" si="8"/>
        <v>0.6</v>
      </c>
      <c r="H33" s="15">
        <f t="shared" si="8"/>
        <v>0.27</v>
      </c>
      <c r="I33" s="15">
        <f t="shared" si="8"/>
        <v>0.27</v>
      </c>
      <c r="J33" s="15">
        <f t="shared" si="8"/>
        <v>0.85</v>
      </c>
      <c r="K33" s="15">
        <f t="shared" si="8"/>
        <v>0.85</v>
      </c>
      <c r="O33" s="1"/>
    </row>
    <row r="34" spans="1:15" x14ac:dyDescent="0.3">
      <c r="B34" t="s">
        <v>14</v>
      </c>
      <c r="D34" s="15">
        <f>1-D33</f>
        <v>0.4</v>
      </c>
      <c r="E34" s="15">
        <f t="shared" ref="E34:K34" si="9">1-E33</f>
        <v>0.4</v>
      </c>
      <c r="F34" s="15">
        <f t="shared" si="9"/>
        <v>0.4</v>
      </c>
      <c r="G34" s="15">
        <f t="shared" si="9"/>
        <v>0.4</v>
      </c>
      <c r="H34" s="15">
        <f t="shared" si="9"/>
        <v>0.73</v>
      </c>
      <c r="I34" s="15">
        <f t="shared" si="9"/>
        <v>0.73</v>
      </c>
      <c r="J34" s="15">
        <f t="shared" si="9"/>
        <v>0.15000000000000002</v>
      </c>
      <c r="K34" s="15">
        <f t="shared" si="9"/>
        <v>0.15000000000000002</v>
      </c>
      <c r="O34" s="1"/>
    </row>
    <row r="35" spans="1:15" x14ac:dyDescent="0.3">
      <c r="B35" t="s">
        <v>7</v>
      </c>
      <c r="D35" s="20">
        <f>D26</f>
        <v>673.74005520056255</v>
      </c>
      <c r="E35" s="20">
        <f t="shared" ref="E35:K35" si="10">E26</f>
        <v>683.22956142985697</v>
      </c>
      <c r="F35" s="20">
        <f t="shared" si="10"/>
        <v>603.0768484941442</v>
      </c>
      <c r="G35" s="20">
        <f t="shared" si="10"/>
        <v>634.76505148766853</v>
      </c>
      <c r="H35" s="20">
        <f t="shared" si="10"/>
        <v>611.79659354410956</v>
      </c>
      <c r="I35" s="20">
        <f t="shared" si="10"/>
        <v>588.51530164144606</v>
      </c>
      <c r="J35" s="20">
        <f t="shared" si="10"/>
        <v>559</v>
      </c>
      <c r="K35" s="20">
        <f t="shared" si="10"/>
        <v>499</v>
      </c>
      <c r="O35" s="1"/>
    </row>
    <row r="36" spans="1:15" x14ac:dyDescent="0.3">
      <c r="B36" t="s">
        <v>9</v>
      </c>
      <c r="D36" s="20">
        <f>D27</f>
        <v>3151.3985318888272</v>
      </c>
      <c r="E36" s="20">
        <f t="shared" ref="E36:K36" si="11">E27</f>
        <v>2945.8871874180982</v>
      </c>
      <c r="F36" s="20">
        <f t="shared" si="11"/>
        <v>3375.7258302249811</v>
      </c>
      <c r="G36" s="20">
        <f t="shared" si="11"/>
        <v>2984.091332965379</v>
      </c>
      <c r="H36" s="20">
        <f t="shared" si="11"/>
        <v>3405.8443377352651</v>
      </c>
      <c r="I36" s="20">
        <f t="shared" si="11"/>
        <v>2943.876744419123</v>
      </c>
      <c r="J36" s="20">
        <f t="shared" si="11"/>
        <v>2823.083365763322</v>
      </c>
      <c r="K36" s="20">
        <f t="shared" si="11"/>
        <v>2982.1334906731431</v>
      </c>
      <c r="O36" s="1"/>
    </row>
    <row r="37" spans="1:15" x14ac:dyDescent="0.3">
      <c r="B37" t="s">
        <v>30</v>
      </c>
      <c r="D37" s="21">
        <f>D35*(D39/(D39+E39))+E35*(E39/(D39+E39))</f>
        <v>674.56609042485547</v>
      </c>
      <c r="E37" s="21"/>
      <c r="F37" s="21">
        <f>F35*(F39/(F39+G39))+G35*(G39/(F39+G39))</f>
        <v>605.62497672603388</v>
      </c>
      <c r="G37" s="21"/>
      <c r="H37" s="21">
        <f t="shared" ref="H37" si="12">H35*(H39/(H39+I39))+I35*(I39/(H39+I39))</f>
        <v>589.39252587542228</v>
      </c>
      <c r="I37" s="21"/>
      <c r="J37" s="21">
        <f t="shared" ref="J37" si="13">J35*(J39/(J39+K39))+K35*(K39/(J39+K39))</f>
        <v>539.67363750122001</v>
      </c>
      <c r="K37" s="21"/>
      <c r="O37" s="1"/>
    </row>
    <row r="38" spans="1:15" x14ac:dyDescent="0.3">
      <c r="B38" t="s">
        <v>31</v>
      </c>
      <c r="D38" s="21">
        <f>D36*(D39/(D39+E39))+E36*(E39/(D39+E39))</f>
        <v>3133.5093387714269</v>
      </c>
      <c r="E38" s="21"/>
      <c r="F38" s="21">
        <f>F36*(F39/(F39+G39))+G36*(G39/(F39+G39))</f>
        <v>3344.2335136915035</v>
      </c>
      <c r="G38" s="21"/>
      <c r="H38" s="21">
        <f t="shared" ref="H38" si="14">H36*(H39/(H39+I39))+I36*(I39/(H39+I39))</f>
        <v>2961.2833887695697</v>
      </c>
      <c r="I38" s="21"/>
      <c r="J38" s="21">
        <f t="shared" ref="J38" si="15">J36*(J39/(J39+K39))+K36*(K39/(J39+K39))</f>
        <v>2874.3143719213795</v>
      </c>
      <c r="K38" s="21"/>
      <c r="O38" s="1"/>
    </row>
    <row r="39" spans="1:15" x14ac:dyDescent="0.3">
      <c r="B39" t="s">
        <v>11</v>
      </c>
      <c r="D39" s="5">
        <f>D20/(D33*(D36)*D6+(D34)*D35*D7)</f>
        <v>1631750.4941586975</v>
      </c>
      <c r="E39" s="5">
        <f t="shared" ref="E39:K39" si="16">E20/(E33*(E36)*E6+(E34)*E35*E7)</f>
        <v>155582.37393007311</v>
      </c>
      <c r="F39" s="5">
        <f t="shared" si="16"/>
        <v>2147150.5998351467</v>
      </c>
      <c r="G39" s="5">
        <f t="shared" si="16"/>
        <v>187755.69748236542</v>
      </c>
      <c r="H39" s="5">
        <f t="shared" si="16"/>
        <v>81214.912030042033</v>
      </c>
      <c r="I39" s="5">
        <f t="shared" si="16"/>
        <v>2074206.7014952498</v>
      </c>
      <c r="J39" s="5">
        <f t="shared" si="16"/>
        <v>2224438.48967316</v>
      </c>
      <c r="K39" s="5">
        <f t="shared" si="16"/>
        <v>1056957.4606247754</v>
      </c>
      <c r="L39" s="5">
        <f>SUM(D39:J39)</f>
        <v>8502099.2686047349</v>
      </c>
      <c r="O39" s="1"/>
    </row>
    <row r="40" spans="1:15" x14ac:dyDescent="0.3">
      <c r="B40" t="s">
        <v>21</v>
      </c>
      <c r="D40" s="6">
        <f>D39/D8</f>
        <v>3.1144481484356787</v>
      </c>
      <c r="E40" s="6">
        <f>E39/E8</f>
        <v>2.4626150816228853</v>
      </c>
      <c r="F40">
        <f>F39/F8</f>
        <v>1.6136944458067815</v>
      </c>
      <c r="G40" s="6">
        <f t="shared" ref="G40:L40" si="17">G39/G8</f>
        <v>1.3806707397746012</v>
      </c>
      <c r="H40">
        <f t="shared" si="17"/>
        <v>1.8633301847783958</v>
      </c>
      <c r="I40">
        <f t="shared" si="17"/>
        <v>2.2258951479972162</v>
      </c>
      <c r="J40" s="6">
        <f t="shared" si="17"/>
        <v>3.3767463121377239</v>
      </c>
      <c r="K40">
        <f t="shared" si="17"/>
        <v>3.1324019688153077</v>
      </c>
      <c r="L40">
        <f t="shared" si="17"/>
        <v>2.1121683776979956</v>
      </c>
      <c r="O40" s="1"/>
    </row>
    <row r="42" spans="1:15" x14ac:dyDescent="0.3">
      <c r="A42" s="2" t="s">
        <v>40</v>
      </c>
      <c r="B42" t="s">
        <v>15</v>
      </c>
      <c r="D42" s="15">
        <f>[1]Njombe!$H$20</f>
        <v>0.61238232797760983</v>
      </c>
      <c r="E42" s="15">
        <f>[1]Njombe!H20</f>
        <v>0.61238232797760983</v>
      </c>
      <c r="F42" s="15">
        <f>[1]Mufindi!$H$20</f>
        <v>0.18595814952960762</v>
      </c>
      <c r="G42" s="15">
        <f>[1]Mufindi!$H$20</f>
        <v>0.18595814952960762</v>
      </c>
      <c r="H42" s="15">
        <f>[1]Mvomero!$H$20</f>
        <v>0.11772536425844966</v>
      </c>
      <c r="I42" s="15">
        <f>[1]Mvomero!$H$20</f>
        <v>0.11772536425844966</v>
      </c>
      <c r="J42" s="15">
        <f>[1]Rungwe!$H$20</f>
        <v>0.71039006499969382</v>
      </c>
      <c r="K42" s="15">
        <f>[1]Rungwe!$H$20</f>
        <v>0.71039006499969382</v>
      </c>
    </row>
    <row r="43" spans="1:15" x14ac:dyDescent="0.3">
      <c r="B43" t="s">
        <v>14</v>
      </c>
      <c r="D43" s="15">
        <f>1-D42</f>
        <v>0.38761767202239017</v>
      </c>
      <c r="E43" s="15">
        <f t="shared" ref="E43:K43" si="18">1-E42</f>
        <v>0.38761767202239017</v>
      </c>
      <c r="F43" s="15">
        <f t="shared" si="18"/>
        <v>0.81404185047039235</v>
      </c>
      <c r="G43" s="15">
        <f t="shared" si="18"/>
        <v>0.81404185047039235</v>
      </c>
      <c r="H43" s="15">
        <f t="shared" si="18"/>
        <v>0.88227463574155029</v>
      </c>
      <c r="I43" s="15">
        <f t="shared" si="18"/>
        <v>0.88227463574155029</v>
      </c>
      <c r="J43" s="15">
        <f t="shared" si="18"/>
        <v>0.28960993500030618</v>
      </c>
      <c r="K43" s="15">
        <f t="shared" si="18"/>
        <v>0.28960993500030618</v>
      </c>
    </row>
    <row r="44" spans="1:15" x14ac:dyDescent="0.3">
      <c r="B44" t="s">
        <v>10</v>
      </c>
      <c r="D44" s="20">
        <f>D35</f>
        <v>673.74005520056255</v>
      </c>
      <c r="E44" s="20">
        <f t="shared" ref="E44:K44" si="19">E35</f>
        <v>683.22956142985697</v>
      </c>
      <c r="F44" s="20">
        <f t="shared" si="19"/>
        <v>603.0768484941442</v>
      </c>
      <c r="G44" s="20">
        <f t="shared" si="19"/>
        <v>634.76505148766853</v>
      </c>
      <c r="H44" s="20">
        <f t="shared" si="19"/>
        <v>611.79659354410956</v>
      </c>
      <c r="I44" s="20">
        <f t="shared" si="19"/>
        <v>588.51530164144606</v>
      </c>
      <c r="J44" s="20">
        <f t="shared" si="19"/>
        <v>559</v>
      </c>
      <c r="K44" s="20">
        <f t="shared" si="19"/>
        <v>499</v>
      </c>
    </row>
    <row r="45" spans="1:15" x14ac:dyDescent="0.3">
      <c r="B45" t="s">
        <v>9</v>
      </c>
      <c r="D45" s="20">
        <f>D36</f>
        <v>3151.3985318888272</v>
      </c>
      <c r="E45" s="20">
        <f t="shared" ref="E45:K45" si="20">E36</f>
        <v>2945.8871874180982</v>
      </c>
      <c r="F45" s="20">
        <f t="shared" si="20"/>
        <v>3375.7258302249811</v>
      </c>
      <c r="G45" s="20">
        <f t="shared" si="20"/>
        <v>2984.091332965379</v>
      </c>
      <c r="H45" s="20">
        <f t="shared" si="20"/>
        <v>3405.8443377352651</v>
      </c>
      <c r="I45" s="20">
        <f t="shared" si="20"/>
        <v>2943.876744419123</v>
      </c>
      <c r="J45" s="20">
        <f t="shared" si="20"/>
        <v>2823.083365763322</v>
      </c>
      <c r="K45" s="20">
        <f t="shared" si="20"/>
        <v>2982.1334906731431</v>
      </c>
    </row>
    <row r="46" spans="1:15" x14ac:dyDescent="0.3">
      <c r="B46" t="s">
        <v>30</v>
      </c>
      <c r="D46" s="21">
        <f>D44*(D48/(D48+E48))+E44*(E48/(D48+E48))</f>
        <v>674.56638129196654</v>
      </c>
      <c r="E46" s="21"/>
      <c r="F46" s="21">
        <f>F44*(F48/(F48+G48))+G44*(G48/(F48+G48))</f>
        <v>605.55566669756388</v>
      </c>
      <c r="G46" s="21"/>
      <c r="H46" s="21">
        <f t="shared" ref="H46" si="21">H44*(H48/(H48+I48))+I44*(I48/(H48+I48))</f>
        <v>589.41162507231888</v>
      </c>
      <c r="I46" s="21"/>
      <c r="J46" s="21">
        <f t="shared" ref="J46" si="22">J44*(J48/(J48+K48))+K44*(K48/(J48+K48))</f>
        <v>539.73729320057419</v>
      </c>
      <c r="K46" s="21"/>
    </row>
    <row r="47" spans="1:15" x14ac:dyDescent="0.3">
      <c r="B47" t="s">
        <v>31</v>
      </c>
      <c r="D47" s="21">
        <f>D45*(D48/(D48+E48))+E45*(E48/(D48+E48))</f>
        <v>3133.5030395510435</v>
      </c>
      <c r="E47" s="21"/>
      <c r="F47" s="21">
        <f>F45*(F48/(F48+G48))+G45*(G48/(F48+G48))</f>
        <v>3345.0901163256294</v>
      </c>
      <c r="G47" s="21"/>
      <c r="H47" s="21">
        <f t="shared" ref="H47" si="23">H45*(H48/(H48+I48))+I45*(I48/(H48+I48))</f>
        <v>2961.6623716052941</v>
      </c>
      <c r="I47" s="21"/>
      <c r="J47" s="21">
        <f t="shared" ref="J47" si="24">J45*(J48/(J48+K48))+K45*(K48/(J48+K48))</f>
        <v>2874.1456311391539</v>
      </c>
      <c r="K47" s="21"/>
    </row>
    <row r="48" spans="1:15" x14ac:dyDescent="0.3">
      <c r="B48" t="s">
        <v>11</v>
      </c>
      <c r="D48" s="6">
        <f>D20/(D42*(D45)*D6+(D43)*D44*D7)</f>
        <v>1606901.7537149016</v>
      </c>
      <c r="E48" s="6">
        <f>E20/(E42*(E45)*E6+(E43)*E44*E7)</f>
        <v>153272.21924082749</v>
      </c>
      <c r="F48" s="6">
        <f>F20/(F42*(F45)*F6+(F43)*F44*F7)</f>
        <v>4614898.3812760003</v>
      </c>
      <c r="G48" s="6">
        <f>G20/(G42*(G45)*G6+(G43)*G44*G7)</f>
        <v>391637.62594253873</v>
      </c>
      <c r="H48" s="6">
        <f>H20/(H42*(H45)*H6+(H43)*H44*J7)</f>
        <v>103581.53495077466</v>
      </c>
      <c r="I48" s="6">
        <f>I20/(I42*(I45)*I6+(I43)*I44*K7)</f>
        <v>2586866.8766975016</v>
      </c>
      <c r="J48" s="6">
        <f>J20/(J42*(J45)*J6+(J43)*J44*L7)</f>
        <v>2773401.3692633882</v>
      </c>
      <c r="K48" s="6">
        <f>K20/(K42*(K45)*K6+(K43)*K44*M7)</f>
        <v>1311408.1279335828</v>
      </c>
      <c r="L48">
        <f>SUM(D48:J48)</f>
        <v>12230559.761085933</v>
      </c>
    </row>
    <row r="49" spans="1:12" x14ac:dyDescent="0.3">
      <c r="B49" t="s">
        <v>21</v>
      </c>
      <c r="D49" s="6">
        <f>D48/D8</f>
        <v>3.0670204847437246</v>
      </c>
      <c r="E49" s="6">
        <f t="shared" ref="E49:K49" si="25">E48/E8</f>
        <v>2.4260491028753504</v>
      </c>
      <c r="F49">
        <f>F48/F8</f>
        <v>3.4683342129795434</v>
      </c>
      <c r="G49">
        <f t="shared" si="25"/>
        <v>2.8799265108023677</v>
      </c>
      <c r="H49">
        <f t="shared" si="25"/>
        <v>2.3764921470094329</v>
      </c>
      <c r="I49">
        <f t="shared" si="25"/>
        <v>2.7760465845591953</v>
      </c>
      <c r="J49">
        <f t="shared" si="25"/>
        <v>4.2100839781431239</v>
      </c>
      <c r="K49">
        <f t="shared" si="25"/>
        <v>3.8864926497906231</v>
      </c>
      <c r="L49">
        <f t="shared" ref="L49" si="26">L48/L8</f>
        <v>3.0384262465981147</v>
      </c>
    </row>
    <row r="51" spans="1:12" x14ac:dyDescent="0.3">
      <c r="A51" s="2" t="s">
        <v>41</v>
      </c>
      <c r="B51" t="s">
        <v>15</v>
      </c>
      <c r="D51" s="15">
        <f>D33</f>
        <v>0.6</v>
      </c>
      <c r="E51" s="15">
        <f t="shared" ref="E51:K51" si="27">E33</f>
        <v>0.6</v>
      </c>
      <c r="F51" s="15">
        <f t="shared" si="27"/>
        <v>0.6</v>
      </c>
      <c r="G51" s="15">
        <f t="shared" si="27"/>
        <v>0.6</v>
      </c>
      <c r="H51" s="15">
        <f t="shared" si="27"/>
        <v>0.27</v>
      </c>
      <c r="I51" s="15">
        <f t="shared" si="27"/>
        <v>0.27</v>
      </c>
      <c r="J51" s="15">
        <f t="shared" si="27"/>
        <v>0.85</v>
      </c>
      <c r="K51" s="15">
        <f t="shared" si="27"/>
        <v>0.85</v>
      </c>
    </row>
    <row r="52" spans="1:12" x14ac:dyDescent="0.3">
      <c r="B52" t="s">
        <v>14</v>
      </c>
      <c r="D52" s="15">
        <f>1-D51</f>
        <v>0.4</v>
      </c>
      <c r="E52" s="15">
        <f t="shared" ref="E52:K52" si="28">1-E51</f>
        <v>0.4</v>
      </c>
      <c r="F52" s="15">
        <f t="shared" si="28"/>
        <v>0.4</v>
      </c>
      <c r="G52" s="15">
        <f t="shared" si="28"/>
        <v>0.4</v>
      </c>
      <c r="H52" s="15">
        <f t="shared" si="28"/>
        <v>0.73</v>
      </c>
      <c r="I52" s="15">
        <f t="shared" si="28"/>
        <v>0.73</v>
      </c>
      <c r="J52" s="15">
        <f t="shared" si="28"/>
        <v>0.15000000000000002</v>
      </c>
      <c r="K52" s="15">
        <f t="shared" si="28"/>
        <v>0.15000000000000002</v>
      </c>
    </row>
    <row r="53" spans="1:12" x14ac:dyDescent="0.3">
      <c r="B53" t="s">
        <v>10</v>
      </c>
      <c r="D53" s="20">
        <f>D44</f>
        <v>673.74005520056255</v>
      </c>
      <c r="E53" s="20">
        <f t="shared" ref="E53:K53" si="29">E44</f>
        <v>683.22956142985697</v>
      </c>
      <c r="F53" s="20">
        <f t="shared" si="29"/>
        <v>603.0768484941442</v>
      </c>
      <c r="G53" s="20">
        <f t="shared" si="29"/>
        <v>634.76505148766853</v>
      </c>
      <c r="H53" s="20">
        <f t="shared" si="29"/>
        <v>611.79659354410956</v>
      </c>
      <c r="I53" s="20">
        <f t="shared" si="29"/>
        <v>588.51530164144606</v>
      </c>
      <c r="J53" s="20">
        <f t="shared" si="29"/>
        <v>559</v>
      </c>
      <c r="K53" s="20">
        <f t="shared" si="29"/>
        <v>499</v>
      </c>
    </row>
    <row r="54" spans="1:12" x14ac:dyDescent="0.3">
      <c r="B54" t="s">
        <v>9</v>
      </c>
      <c r="D54" s="20">
        <f>D45</f>
        <v>3151.3985318888272</v>
      </c>
      <c r="E54" s="20">
        <f t="shared" ref="E54:K54" si="30">E45</f>
        <v>2945.8871874180982</v>
      </c>
      <c r="F54" s="20">
        <f t="shared" si="30"/>
        <v>3375.7258302249811</v>
      </c>
      <c r="G54" s="20">
        <f t="shared" si="30"/>
        <v>2984.091332965379</v>
      </c>
      <c r="H54" s="20">
        <f t="shared" si="30"/>
        <v>3405.8443377352651</v>
      </c>
      <c r="I54" s="20">
        <f t="shared" si="30"/>
        <v>2943.876744419123</v>
      </c>
      <c r="J54" s="20">
        <f t="shared" si="30"/>
        <v>2823.083365763322</v>
      </c>
      <c r="K54" s="20">
        <f t="shared" si="30"/>
        <v>2982.1334906731431</v>
      </c>
    </row>
    <row r="55" spans="1:12" x14ac:dyDescent="0.3">
      <c r="B55" t="s">
        <v>30</v>
      </c>
      <c r="D55" s="21">
        <f>D53*(D57/(D57+E57))+E53*(E57/(D57+E57))</f>
        <v>674.56609042485536</v>
      </c>
      <c r="E55" s="21"/>
      <c r="F55" s="21">
        <f>F53*(F57/(F57+G57))+G53*(G57/(F57+G57))</f>
        <v>605.62497672603388</v>
      </c>
      <c r="G55" s="21"/>
      <c r="H55" s="21">
        <f t="shared" ref="H55" si="31">H53*(H57/(H57+I57))+I53*(I57/(H57+I57))</f>
        <v>589.39252587542239</v>
      </c>
      <c r="I55" s="21"/>
      <c r="J55" s="21">
        <f t="shared" ref="J55" si="32">J53*(J57/(J57+K57))+K53*(K57/(J57+K57))</f>
        <v>539.67363750122001</v>
      </c>
      <c r="K55" s="21"/>
    </row>
    <row r="56" spans="1:12" x14ac:dyDescent="0.3">
      <c r="B56" t="s">
        <v>31</v>
      </c>
      <c r="D56" s="21">
        <f>D54*(D57/(D57+E57))+E54*(E57/(D57+E57))</f>
        <v>3133.5093387714264</v>
      </c>
      <c r="E56" s="21"/>
      <c r="F56" s="21">
        <f>F54*(F57/(F57+G57))+G54*(G57/(F57+G57))</f>
        <v>3344.2335136915035</v>
      </c>
      <c r="G56" s="21"/>
      <c r="H56" s="21">
        <f t="shared" ref="H56" si="33">H54*(H57/(H57+I57))+I54*(I57/(H57+I57))</f>
        <v>2961.2833887695701</v>
      </c>
      <c r="I56" s="21"/>
      <c r="J56" s="21">
        <f t="shared" ref="J56" si="34">J54*(J57/(J57+K57))+K54*(K57/(J57+K57))</f>
        <v>2874.3143719213795</v>
      </c>
      <c r="K56" s="21"/>
    </row>
    <row r="57" spans="1:12" x14ac:dyDescent="0.3">
      <c r="B57" t="s">
        <v>11</v>
      </c>
      <c r="D57" s="6">
        <f t="shared" ref="D57:K57" si="35">D21/(D51*(D54)*D6+(D52)*D53*D7)</f>
        <v>1997903.1776978814</v>
      </c>
      <c r="E57" s="6">
        <f t="shared" si="35"/>
        <v>190493.90233458212</v>
      </c>
      <c r="F57" s="6">
        <f t="shared" si="35"/>
        <v>2628955.2365775732</v>
      </c>
      <c r="G57" s="6">
        <f t="shared" si="35"/>
        <v>229886.68057631212</v>
      </c>
      <c r="H57" s="6">
        <f t="shared" si="35"/>
        <v>99438.934691380666</v>
      </c>
      <c r="I57" s="6">
        <f t="shared" si="35"/>
        <v>2539643.2695773183</v>
      </c>
      <c r="J57" s="6">
        <f>J21/(J51*(J54)*J6+(J52)*J53*J7)</f>
        <v>2723585.954483097</v>
      </c>
      <c r="K57" s="6">
        <f t="shared" si="35"/>
        <v>1294130.8593643035</v>
      </c>
      <c r="L57">
        <f>SUM(D57:J57)</f>
        <v>10409907.155938145</v>
      </c>
    </row>
    <row r="58" spans="1:12" x14ac:dyDescent="0.3">
      <c r="B58" t="s">
        <v>21</v>
      </c>
      <c r="D58" s="6">
        <f>D57/D8</f>
        <v>3.8133071660217697</v>
      </c>
      <c r="E58" s="6">
        <f t="shared" ref="E58:G58" si="36">E57/E8</f>
        <v>3.015207603511584</v>
      </c>
      <c r="F58" s="6">
        <f>F57/F8</f>
        <v>1.975795486290342</v>
      </c>
      <c r="G58" s="6">
        <f t="shared" si="36"/>
        <v>1.69048299248248</v>
      </c>
      <c r="H58" s="6">
        <f>H57/H8</f>
        <v>2.2814476297667827</v>
      </c>
      <c r="I58" s="6">
        <f>I57/I8</f>
        <v>2.7253694761090257</v>
      </c>
      <c r="J58">
        <f>J57/J8</f>
        <v>4.1344630882296087</v>
      </c>
      <c r="K58" s="6">
        <f>K57/K8</f>
        <v>3.8352896902598101</v>
      </c>
      <c r="L58">
        <f>L57/L8</f>
        <v>2.5861232637845868</v>
      </c>
    </row>
  </sheetData>
  <mergeCells count="44">
    <mergeCell ref="D1:E1"/>
    <mergeCell ref="F1:G1"/>
    <mergeCell ref="H1:I1"/>
    <mergeCell ref="J1:K1"/>
    <mergeCell ref="F28:G28"/>
    <mergeCell ref="F16:G16"/>
    <mergeCell ref="F17:G17"/>
    <mergeCell ref="D16:E16"/>
    <mergeCell ref="H16:I16"/>
    <mergeCell ref="J16:K16"/>
    <mergeCell ref="H17:I17"/>
    <mergeCell ref="J17:K17"/>
    <mergeCell ref="D17:E17"/>
    <mergeCell ref="F29:G29"/>
    <mergeCell ref="H28:I28"/>
    <mergeCell ref="H29:I29"/>
    <mergeCell ref="J29:K29"/>
    <mergeCell ref="D28:E28"/>
    <mergeCell ref="D29:E29"/>
    <mergeCell ref="J28:K28"/>
    <mergeCell ref="D55:E55"/>
    <mergeCell ref="D56:E56"/>
    <mergeCell ref="H46:I46"/>
    <mergeCell ref="J46:K46"/>
    <mergeCell ref="H47:I47"/>
    <mergeCell ref="J47:K47"/>
    <mergeCell ref="D46:E46"/>
    <mergeCell ref="D47:E47"/>
    <mergeCell ref="F56:G56"/>
    <mergeCell ref="H55:I55"/>
    <mergeCell ref="J55:K55"/>
    <mergeCell ref="H56:I56"/>
    <mergeCell ref="J56:K56"/>
    <mergeCell ref="F46:G46"/>
    <mergeCell ref="F47:G47"/>
    <mergeCell ref="F55:G55"/>
    <mergeCell ref="D37:E37"/>
    <mergeCell ref="D38:E38"/>
    <mergeCell ref="H37:I37"/>
    <mergeCell ref="J37:K37"/>
    <mergeCell ref="H38:I38"/>
    <mergeCell ref="J38:K38"/>
    <mergeCell ref="F37:G37"/>
    <mergeCell ref="F38:G38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prod_herd_data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Hawkins</dc:creator>
  <cp:lastModifiedBy>James Hawkins</cp:lastModifiedBy>
  <dcterms:created xsi:type="dcterms:W3CDTF">2020-08-29T10:36:55Z</dcterms:created>
  <dcterms:modified xsi:type="dcterms:W3CDTF">2021-11-25T12:39:24Z</dcterms:modified>
</cp:coreProperties>
</file>