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28FBA4F9-AF63-40D8-83D4-A25DD5D63ACF}" xr6:coauthVersionLast="47" xr6:coauthVersionMax="47" xr10:uidLastSave="{00000000-0000-0000-0000-000000000000}"/>
  <bookViews>
    <workbookView xWindow="-108" yWindow="-108" windowWidth="23256" windowHeight="12456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High_ambition" sheetId="25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8" l="1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30" i="1" l="1"/>
  <c r="C24" i="1" l="1"/>
  <c r="C23" i="1"/>
  <c r="B11" i="1" l="1"/>
  <c r="B15" i="1" s="1"/>
  <c r="B19" i="1" s="1"/>
  <c r="B12" i="1"/>
  <c r="B16" i="1" s="1"/>
  <c r="B20" i="1" s="1"/>
  <c r="B10" i="1"/>
  <c r="B14" i="1" s="1"/>
  <c r="B18" i="1" s="1"/>
  <c r="C28" i="1" l="1"/>
  <c r="C32" i="1"/>
  <c r="C26" i="1"/>
  <c r="C25" i="1"/>
  <c r="A10" i="18" l="1"/>
  <c r="A9" i="18"/>
  <c r="F3" i="1" l="1"/>
  <c r="C33" i="1" l="1"/>
  <c r="C29" i="1"/>
  <c r="F4" i="1" l="1"/>
  <c r="C31" i="1" l="1"/>
  <c r="C27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5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E49" i="10"/>
  <c r="L35" i="4"/>
  <c r="L37" i="4"/>
  <c r="G19" i="4" s="1"/>
  <c r="B42" i="10"/>
  <c r="E42" i="10"/>
  <c r="H3" i="1"/>
  <c r="H4" i="1"/>
  <c r="E19" i="4" l="1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29" i="1" l="1"/>
  <c r="B33" i="1" s="1"/>
  <c r="B28" i="1"/>
  <c r="B32" i="1" s="1"/>
  <c r="B27" i="1"/>
  <c r="B31" i="1" s="1"/>
  <c r="I8" i="1"/>
  <c r="B26" i="1" l="1"/>
  <c r="B30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N35" i="1" l="1"/>
  <c r="L14" i="4"/>
  <c r="L15" i="10" l="1"/>
  <c r="W4" i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O8" i="1" s="1"/>
  <c r="G54" i="4"/>
  <c r="E54" i="4"/>
  <c r="E55" i="4"/>
  <c r="O11" i="1" s="1"/>
  <c r="C55" i="4"/>
  <c r="O10" i="1" s="1"/>
  <c r="O15" i="1" l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1" i="1"/>
  <c r="M4" i="1" l="1"/>
  <c r="C3" i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Z4" i="1" s="1"/>
  <c r="Z8" i="1" s="1"/>
  <c r="Z12" i="1" s="1"/>
  <c r="Z16" i="1" s="1"/>
  <c r="Z3" i="1"/>
  <c r="B11" i="26" s="1"/>
  <c r="B15" i="26" s="1"/>
  <c r="D7" i="1"/>
  <c r="G4" i="1"/>
  <c r="C6" i="1" l="1"/>
  <c r="Z7" i="1"/>
  <c r="Z6" i="1"/>
  <c r="Z10" i="1" s="1"/>
  <c r="Z14" i="1" s="1"/>
  <c r="Z11" i="1"/>
  <c r="Z15" i="1" s="1"/>
  <c r="D11" i="18"/>
  <c r="D12" i="18" s="1"/>
  <c r="D16" i="18" s="1"/>
  <c r="D16" i="1"/>
  <c r="C12" i="1"/>
  <c r="Z20" i="1"/>
  <c r="C10" i="1"/>
  <c r="P4" i="1"/>
  <c r="C11" i="1"/>
  <c r="C11" i="26"/>
  <c r="C15" i="26" s="1"/>
  <c r="C11" i="25"/>
  <c r="C7" i="1"/>
  <c r="C8" i="1"/>
  <c r="P3" i="1"/>
  <c r="D12" i="25"/>
  <c r="D16" i="25" s="1"/>
  <c r="D12" i="19" l="1"/>
  <c r="C12" i="25"/>
  <c r="C16" i="25" s="1"/>
  <c r="B12" i="25"/>
  <c r="B16" i="25" s="1"/>
  <c r="C12" i="18"/>
  <c r="C16" i="18" s="1"/>
  <c r="D30" i="1"/>
  <c r="Z19" i="1"/>
  <c r="C12" i="21" s="1"/>
  <c r="C16" i="21" s="1"/>
  <c r="C12" i="19"/>
  <c r="C16" i="19" s="1"/>
  <c r="B12" i="19"/>
  <c r="B16" i="19" s="1"/>
  <c r="Z18" i="1"/>
  <c r="B12" i="21" s="1"/>
  <c r="B16" i="21" s="1"/>
  <c r="D31" i="1"/>
  <c r="Q3" i="1"/>
  <c r="R3" i="1"/>
  <c r="R4" i="1"/>
  <c r="Q4" i="1"/>
  <c r="B12" i="18"/>
  <c r="B16" i="18" s="1"/>
  <c r="D20" i="1"/>
  <c r="C16" i="1"/>
  <c r="D11" i="19"/>
  <c r="C14" i="1"/>
  <c r="C15" i="1"/>
  <c r="D16" i="19" l="1"/>
  <c r="D12" i="21"/>
  <c r="C8" i="26"/>
  <c r="C9" i="26" s="1"/>
  <c r="C14" i="26" s="1"/>
  <c r="D32" i="1"/>
  <c r="D11" i="21"/>
  <c r="C20" i="1"/>
  <c r="C19" i="1"/>
  <c r="C18" i="1"/>
  <c r="B8" i="26"/>
  <c r="B9" i="26" s="1"/>
  <c r="B14" i="26" s="1"/>
  <c r="D16" i="21" l="1"/>
  <c r="D33" i="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O3" i="1" s="1"/>
  <c r="B59" i="10"/>
  <c r="M19" i="1"/>
  <c r="J19" i="1" s="1"/>
  <c r="M18" i="1"/>
  <c r="E59" i="10"/>
  <c r="E60" i="10"/>
  <c r="O4" i="1" s="1"/>
  <c r="T4" i="1" s="1"/>
  <c r="N4" i="1"/>
  <c r="G28" i="4"/>
  <c r="E28" i="4"/>
  <c r="M8" i="1"/>
  <c r="J8" i="1" s="1"/>
  <c r="F8" i="1" l="1"/>
  <c r="F19" i="1"/>
  <c r="T3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C3" i="26"/>
  <c r="C13" i="26" s="1"/>
  <c r="C17" i="26" s="1"/>
  <c r="B3" i="26"/>
  <c r="B13" i="26" s="1"/>
  <c r="B17" i="26" s="1"/>
  <c r="S3" i="1"/>
  <c r="U3" i="1"/>
  <c r="B2" i="26"/>
  <c r="T19" i="1" l="1"/>
  <c r="S19" i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AA19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E17" i="26"/>
  <c r="E21" i="26" s="1"/>
  <c r="AA4" i="1"/>
  <c r="B5" i="21" l="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E18" i="26"/>
  <c r="E19" i="26"/>
  <c r="U11" i="1"/>
  <c r="U15" i="1" s="1"/>
  <c r="B5" i="18"/>
  <c r="B6" i="18" s="1"/>
  <c r="B14" i="18" s="1"/>
  <c r="AA18" i="1" l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H19" i="26"/>
  <c r="AD4" i="1" s="1"/>
  <c r="U18" i="1"/>
  <c r="AA16" i="1" l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D8" i="1" s="1"/>
  <c r="AB16" i="1"/>
  <c r="AB10" i="1"/>
  <c r="AB12" i="1"/>
  <c r="AC20" i="1"/>
  <c r="AB14" i="1"/>
  <c r="F18" i="18" l="1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s="1"/>
  <c r="AD12" i="1" l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s="1"/>
</calcChain>
</file>

<file path=xl/sharedStrings.xml><?xml version="1.0" encoding="utf-8"?>
<sst xmlns="http://schemas.openxmlformats.org/spreadsheetml/2006/main" count="212" uniqueCount="142">
  <si>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</si>
  <si>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</si>
  <si>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</si>
  <si>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</si>
  <si>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</si>
  <si>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</si>
  <si>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</si>
  <si>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</si>
  <si>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</si>
  <si>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</si>
  <si>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</si>
  <si>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</si>
  <si>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</si>
  <si>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</si>
  <si>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</si>
  <si>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</si>
  <si>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</si>
  <si>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</si>
  <si>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</si>
  <si>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</si>
  <si>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</si>
  <si>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</si>
  <si>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</si>
  <si>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</si>
  <si>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 xml:space="preserve">Actual estimated no of farms 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</si>
  <si>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</si>
  <si>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</si>
  <si>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</si>
  <si>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</si>
  <si>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</si>
  <si>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</si>
  <si>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</si>
  <si>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</si>
  <si>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</si>
  <si>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</si>
  <si>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</si>
  <si>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</si>
  <si>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</si>
  <si>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</si>
  <si>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</si>
  <si>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</si>
  <si>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</si>
  <si>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</si>
  <si>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Standard deviation net income per cow per year</t>
  </si>
  <si>
    <t>Aggregated</t>
  </si>
  <si>
    <t>Aggregate absolute welfare gain/loss (fraction)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</si>
  <si>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</si>
  <si>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</si>
  <si>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</si>
  <si>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</si>
  <si>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</si>
  <si>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</si>
  <si>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</si>
  <si>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</si>
  <si>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</si>
  <si>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</si>
  <si>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 xml:space="preserve">Net income 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</si>
  <si>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</si>
  <si>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</si>
  <si>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</si>
  <si>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</si>
  <si>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Parameters (as defined in Table 1 and other sections of text) (based on TLSA, URT 2017)</t>
  </si>
  <si>
    <t>Standard error of imputed income at population level (%)</t>
  </si>
  <si>
    <t>Household income</t>
  </si>
  <si>
    <t>District aggregation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</si>
  <si>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</si>
  <si>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</si>
  <si>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</si>
  <si>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</si>
  <si>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</si>
  <si>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</si>
  <si>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</si>
  <si>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</si>
  <si>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</si>
  <si>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</si>
  <si>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</si>
  <si>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</si>
  <si>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</si>
  <si>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</si>
  <si>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</si>
  <si>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</si>
  <si>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</si>
  <si>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</si>
  <si>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Standard error animal price (fraction)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</si>
  <si>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</si>
  <si>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</si>
  <si>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</si>
  <si>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</si>
  <si>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</si>
  <si>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</si>
  <si>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</si>
  <si>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Net income from milk, cash expenses, and opportunity costs of land (USD per household)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</si>
  <si>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</si>
  <si>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</si>
  <si>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</si>
  <si>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</si>
  <si>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</si>
  <si>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income base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</si>
  <si>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</si>
  <si>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</si>
  <si>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</si>
  <si>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</si>
  <si>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</si>
  <si>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</si>
  <si>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>Ratio improved cattle for which new adopters adopt (inclusive)</t>
  </si>
  <si>
    <t>Dairy Income data</t>
  </si>
  <si>
    <t xml:space="preserve"> Dairy income by household</t>
  </si>
  <si>
    <t>Updated income from milk and opportunity costs of land per cow (USD per cow per yr)</t>
  </si>
  <si>
    <t>Change in income from cropping (USD)</t>
  </si>
  <si>
    <t>Aggregate income per household type intervention scenario (USD/yr)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</si>
  <si>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</si>
  <si>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</si>
  <si>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</si>
  <si>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</si>
  <si>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Adoption rate (% of hholds) toggle</t>
  </si>
  <si>
    <t>Total variable expenses (USD/cow/year)</t>
  </si>
  <si>
    <t>Local-owning</t>
  </si>
  <si>
    <t>Improved-owning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</si>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</sst>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0" fontId="22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8A6D93"/>
      <color rgb="FFCC00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T12">
            <v>0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tabSelected="1" zoomScaleNormal="100" workbookViewId="0">
      <selection activeCell="G2" sqref="G2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21" t="s">
        <v>106</v>
      </c>
      <c r="D1" s="125"/>
      <c r="E1" s="125"/>
      <c r="F1" s="125"/>
      <c r="G1" s="125"/>
    </row>
    <row r="2" spans="1:12" x14ac:dyDescent="0.3">
      <c r="A2" s="2" t="s">
        <v>77</v>
      </c>
      <c r="B2" s="5"/>
      <c r="C2" s="119" t="s">
        <v>124</v>
      </c>
      <c r="D2" s="119"/>
      <c r="E2" s="119" t="s">
        <v>125</v>
      </c>
      <c r="F2" s="119"/>
      <c r="G2" s="115" t="s">
        <v>126</v>
      </c>
    </row>
    <row r="3" spans="1:12" x14ac:dyDescent="0.3">
      <c r="A3" t="s">
        <v>70</v>
      </c>
      <c r="B3" s="11"/>
      <c r="C3" s="123">
        <f>G3</f>
        <v>0.55747885382429763</v>
      </c>
      <c r="D3" s="123"/>
      <c r="E3" s="123">
        <f>Dairy_Income_Baseline!B3</f>
        <v>0.48314833998105799</v>
      </c>
      <c r="F3" s="123"/>
      <c r="G3" s="51">
        <f>[1]All!$L$7*L16</f>
        <v>0.55747885382429763</v>
      </c>
      <c r="J3" s="39"/>
    </row>
    <row r="4" spans="1:12" x14ac:dyDescent="0.3">
      <c r="A4" t="s">
        <v>71</v>
      </c>
      <c r="B4" s="11"/>
      <c r="C4" s="118">
        <f>G4</f>
        <v>3007.9506358527424</v>
      </c>
      <c r="D4" s="118"/>
      <c r="E4" s="118">
        <f>[2]prod_herd_data!$J$38</f>
        <v>757.75586056583484</v>
      </c>
      <c r="F4" s="118"/>
      <c r="G4" s="50">
        <f>[2]prod_herd_data!$J$39</f>
        <v>3007.9506358527424</v>
      </c>
    </row>
    <row r="5" spans="1:12" x14ac:dyDescent="0.3">
      <c r="A5" t="s">
        <v>72</v>
      </c>
      <c r="B5" s="11"/>
      <c r="C5" s="118">
        <f>C4*C3*(12*L11-9)/(12*L11)</f>
        <v>1572.0645682830507</v>
      </c>
      <c r="D5" s="118"/>
      <c r="E5" s="118">
        <f>E4*E3</f>
        <v>366.10848614330115</v>
      </c>
      <c r="F5" s="118"/>
      <c r="G5" s="50">
        <f>G4*G3</f>
        <v>1676.868872835254</v>
      </c>
    </row>
    <row r="6" spans="1:12" x14ac:dyDescent="0.3">
      <c r="B6" s="11"/>
      <c r="C6" s="118"/>
      <c r="D6" s="118"/>
      <c r="E6" s="118"/>
      <c r="F6" s="118"/>
      <c r="G6" s="50"/>
    </row>
    <row r="7" spans="1:12" x14ac:dyDescent="0.3">
      <c r="A7" s="2" t="s">
        <v>73</v>
      </c>
      <c r="B7" s="11"/>
      <c r="C7" s="118"/>
      <c r="D7" s="118"/>
      <c r="E7" s="118"/>
      <c r="F7" s="118"/>
      <c r="G7" s="50"/>
    </row>
    <row r="8" spans="1:12" x14ac:dyDescent="0.3">
      <c r="A8" t="s">
        <v>86</v>
      </c>
      <c r="B8" s="11"/>
      <c r="C8" s="118">
        <f>(([2]concentrate_feeding!$J$23*L29)+([2]concentrate_feeding!$J$24*L30))</f>
        <v>355.53052232957771</v>
      </c>
      <c r="D8" s="118"/>
      <c r="E8" s="118">
        <f>(([2]concentrate_feeding!$J$17*L29)+([2]concentrate_feeding!$J$18*L30))</f>
        <v>86.361328970444461</v>
      </c>
      <c r="F8" s="118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18">
        <f>Dairy_Income_Baseline!D9</f>
        <v>9.9618214429084109</v>
      </c>
      <c r="D9" s="118"/>
      <c r="E9" s="118">
        <f>Dairy_Income_Baseline!B9</f>
        <v>3.7037541262095375</v>
      </c>
      <c r="F9" s="118"/>
      <c r="G9" s="50">
        <f>Dairy_Income_Baseline!D9</f>
        <v>9.9618214429084109</v>
      </c>
    </row>
    <row r="10" spans="1:12" x14ac:dyDescent="0.3">
      <c r="A10" t="s">
        <v>74</v>
      </c>
      <c r="B10" s="11"/>
      <c r="C10" s="118">
        <f>Dairy_Income_Baseline!D10</f>
        <v>8.9400961667126779</v>
      </c>
      <c r="D10" s="118"/>
      <c r="E10" s="118">
        <f>Dairy_Income_Baseline!B10</f>
        <v>9.4509588048105453</v>
      </c>
      <c r="F10" s="118"/>
      <c r="G10" s="50">
        <f>Dairy_Income_Baseline!D10</f>
        <v>8.9400961667126779</v>
      </c>
      <c r="K10" s="2" t="s">
        <v>111</v>
      </c>
    </row>
    <row r="11" spans="1:12" x14ac:dyDescent="0.3">
      <c r="A11" t="s">
        <v>75</v>
      </c>
      <c r="B11" s="20"/>
      <c r="C11" s="118">
        <f>Dairy_Income_Baseline!D11</f>
        <v>1.0217252761957345</v>
      </c>
      <c r="D11" s="118"/>
      <c r="E11" s="118">
        <f>Dairy_Income_Baseline!B11</f>
        <v>0.12771565952446681</v>
      </c>
      <c r="F11" s="118"/>
      <c r="G11" s="50">
        <f>Dairy_Income_Baseline!D11</f>
        <v>1.0217252761957345</v>
      </c>
      <c r="K11" s="54" t="s">
        <v>103</v>
      </c>
      <c r="L11" s="52">
        <v>12</v>
      </c>
    </row>
    <row r="12" spans="1:12" s="52" customFormat="1" x14ac:dyDescent="0.3">
      <c r="B12" s="48"/>
      <c r="C12" s="118"/>
      <c r="D12" s="118"/>
      <c r="E12" s="118"/>
      <c r="F12" s="118"/>
      <c r="G12" s="50"/>
      <c r="K12" s="54"/>
    </row>
    <row r="13" spans="1:12" x14ac:dyDescent="0.3">
      <c r="A13" s="2" t="s">
        <v>101</v>
      </c>
      <c r="B13" s="11"/>
      <c r="C13" s="118">
        <f>SUM(C8:C11)</f>
        <v>375.45416521539454</v>
      </c>
      <c r="D13" s="118"/>
      <c r="E13" s="118">
        <f>SUM(E8:E11)</f>
        <v>99.643757560989002</v>
      </c>
      <c r="F13" s="118"/>
      <c r="G13" s="50">
        <f>SUM(G8:G11)</f>
        <v>375.45416521539454</v>
      </c>
      <c r="K13" t="s">
        <v>82</v>
      </c>
      <c r="L13">
        <f>[1]All!$M$12</f>
        <v>397.7</v>
      </c>
    </row>
    <row r="14" spans="1:12" x14ac:dyDescent="0.3">
      <c r="B14" s="11"/>
      <c r="C14" s="119"/>
      <c r="D14" s="119"/>
      <c r="E14" s="119"/>
      <c r="F14" s="119"/>
      <c r="G14" s="1"/>
      <c r="K14" t="s">
        <v>83</v>
      </c>
      <c r="L14">
        <f>[1]All!$T$12/L13</f>
        <v>0</v>
      </c>
    </row>
    <row r="15" spans="1:12" x14ac:dyDescent="0.3">
      <c r="A15" s="2" t="s">
        <v>102</v>
      </c>
      <c r="B15" s="11"/>
      <c r="C15" s="118">
        <f>L13/L11</f>
        <v>33.141666666666666</v>
      </c>
      <c r="D15" s="118"/>
      <c r="E15" s="118">
        <v>0</v>
      </c>
      <c r="F15" s="118"/>
      <c r="G15" s="50">
        <v>0</v>
      </c>
    </row>
    <row r="16" spans="1:12" x14ac:dyDescent="0.3">
      <c r="B16" s="11"/>
      <c r="C16" s="118"/>
      <c r="D16" s="118"/>
      <c r="E16" s="118"/>
      <c r="F16" s="118"/>
      <c r="G16" s="50"/>
      <c r="K16" t="s">
        <v>118</v>
      </c>
      <c r="L16" s="21">
        <f>[3]Sheet1!$B$6</f>
        <v>1.2771565952446682</v>
      </c>
    </row>
    <row r="17" spans="1:17" x14ac:dyDescent="0.3">
      <c r="B17" s="32"/>
      <c r="C17" s="118"/>
      <c r="D17" s="118"/>
      <c r="E17" s="126"/>
      <c r="F17" s="126"/>
      <c r="G17" s="50"/>
    </row>
    <row r="18" spans="1:17" x14ac:dyDescent="0.3">
      <c r="B18" s="43"/>
      <c r="C18" s="122" t="s">
        <v>89</v>
      </c>
      <c r="D18" s="122"/>
      <c r="E18" s="122"/>
      <c r="F18" s="122"/>
      <c r="G18" s="122"/>
      <c r="K18" s="2"/>
    </row>
    <row r="19" spans="1:17" x14ac:dyDescent="0.3">
      <c r="A19" t="s">
        <v>7</v>
      </c>
      <c r="B19" s="11"/>
      <c r="C19" s="118">
        <f>L35*L16</f>
        <v>473.19051384219415</v>
      </c>
      <c r="D19" s="118"/>
      <c r="E19" s="118">
        <f>L35*L16</f>
        <v>473.19051384219415</v>
      </c>
      <c r="F19" s="118"/>
      <c r="G19" s="49">
        <f>L37*L16</f>
        <v>626.19041111347224</v>
      </c>
      <c r="K19" t="s">
        <v>87</v>
      </c>
      <c r="L19">
        <f>[4]Sheet1!$B$5</f>
        <v>28</v>
      </c>
    </row>
    <row r="20" spans="1:17" x14ac:dyDescent="0.3">
      <c r="A20" t="s">
        <v>58</v>
      </c>
      <c r="B20" s="11"/>
      <c r="C20" s="118">
        <f>(((1/1000)*(1/L23)*[2]feeding_change_data!$J$25/L32))</f>
        <v>9.0559842862320855E-2</v>
      </c>
      <c r="D20" s="118"/>
      <c r="E20" s="118">
        <f>(((1/1000)*(1/L23)*[2]feeding_change_data!$J$19/L32))</f>
        <v>4.034835691513472E-2</v>
      </c>
      <c r="F20" s="118"/>
      <c r="G20" s="49">
        <f>(((1/1000)*(1/L23)*[2]feeding_change_data!$J$22/L32))</f>
        <v>6.3518016421959617E-2</v>
      </c>
    </row>
    <row r="21" spans="1:17" x14ac:dyDescent="0.3">
      <c r="A21" t="s">
        <v>78</v>
      </c>
      <c r="B21" s="72"/>
      <c r="C21" s="118">
        <f>(((1/1000)*(1/L24)*[2]feeding_change_data_pasture!$J$25/L33))</f>
        <v>0.19419972310224459</v>
      </c>
      <c r="D21" s="118"/>
      <c r="E21" s="118">
        <f>(((1/1000)*(1/L24)*[2]feeding_change_data_pasture!$J$19/L33))</f>
        <v>0.15731868251776152</v>
      </c>
      <c r="F21" s="118"/>
      <c r="G21" s="49">
        <f>(((1/1000)*(1/L24)*[2]feeding_change_data_pasture!$J$22/L33))</f>
        <v>0.10499097189490476</v>
      </c>
      <c r="K21" t="s">
        <v>122</v>
      </c>
      <c r="L21">
        <v>0.14000000000000001</v>
      </c>
    </row>
    <row r="22" spans="1:17" s="71" customFormat="1" x14ac:dyDescent="0.3">
      <c r="A22" s="73" t="s">
        <v>98</v>
      </c>
      <c r="B22" s="92"/>
      <c r="C22" s="118">
        <f>C20+C21</f>
        <v>0.28475956596456542</v>
      </c>
      <c r="D22" s="118"/>
      <c r="E22" s="118">
        <f>E20+E21</f>
        <v>0.19766703943289624</v>
      </c>
      <c r="F22" s="118"/>
      <c r="G22" s="70">
        <f>G21+G20</f>
        <v>0.16850898831686439</v>
      </c>
    </row>
    <row r="23" spans="1:17" s="52" customFormat="1" x14ac:dyDescent="0.3">
      <c r="A23" s="54" t="s">
        <v>79</v>
      </c>
      <c r="B23" s="72"/>
      <c r="C23" s="118">
        <f>L19*(C20+C21)</f>
        <v>7.9732678470078318</v>
      </c>
      <c r="D23" s="118"/>
      <c r="E23" s="118">
        <f>L19*(E20+E21)</f>
        <v>5.5346771041210943</v>
      </c>
      <c r="F23" s="118"/>
      <c r="G23" s="50">
        <f>L19*(G20+G21)</f>
        <v>4.7182516728722028</v>
      </c>
      <c r="K23" t="s">
        <v>80</v>
      </c>
      <c r="L23">
        <f>[4]Sheet1!$B$6</f>
        <v>0.75</v>
      </c>
    </row>
    <row r="24" spans="1:17" x14ac:dyDescent="0.3">
      <c r="A24" t="s">
        <v>8</v>
      </c>
      <c r="B24" s="11"/>
      <c r="C24" s="118">
        <f>(C20+C21)*C19+C23</f>
        <v>142.71879318726073</v>
      </c>
      <c r="D24" s="118"/>
      <c r="E24" s="118">
        <f>(E20+E21)*E19+E23</f>
        <v>99.068845063038509</v>
      </c>
      <c r="F24" s="118"/>
      <c r="G24" s="49">
        <f>(G20+G21)*G19+G23</f>
        <v>110.2369643433248</v>
      </c>
      <c r="K24" t="s">
        <v>81</v>
      </c>
      <c r="L24">
        <v>0.5</v>
      </c>
    </row>
    <row r="25" spans="1:17" s="52" customFormat="1" x14ac:dyDescent="0.3">
      <c r="A25" s="54"/>
      <c r="B25" s="48"/>
      <c r="C25" s="118"/>
      <c r="D25" s="118"/>
      <c r="E25" s="118"/>
      <c r="F25" s="118"/>
      <c r="G25" s="50"/>
    </row>
    <row r="26" spans="1:17" x14ac:dyDescent="0.3">
      <c r="B26" s="11"/>
      <c r="C26" s="118"/>
      <c r="D26" s="118"/>
      <c r="E26" s="118"/>
      <c r="F26" s="118"/>
      <c r="G26" s="49"/>
      <c r="K26" s="28" t="s">
        <v>28</v>
      </c>
      <c r="L26" s="53">
        <f>7.5</f>
        <v>7.5</v>
      </c>
    </row>
    <row r="27" spans="1:17" x14ac:dyDescent="0.3">
      <c r="A27" t="s">
        <v>56</v>
      </c>
      <c r="B27" s="7"/>
      <c r="C27" s="118">
        <f>L16*(C5-C13)-C15</f>
        <v>1495.1172015495711</v>
      </c>
      <c r="D27" s="118"/>
      <c r="E27" s="118">
        <f>L16*(E5-E13)</f>
        <v>340.3171855089804</v>
      </c>
      <c r="F27" s="118"/>
      <c r="G27" s="91">
        <f>L16*(G5-G13)</f>
        <v>1662.110376985115</v>
      </c>
      <c r="H27" s="91"/>
      <c r="K27" s="28" t="s">
        <v>28</v>
      </c>
      <c r="L27" s="53">
        <f>20</f>
        <v>20</v>
      </c>
    </row>
    <row r="28" spans="1:17" x14ac:dyDescent="0.3">
      <c r="A28" t="s">
        <v>6</v>
      </c>
      <c r="B28" s="7"/>
      <c r="C28" s="118">
        <f>C27-Dairy_Income_Baseline!B28</f>
        <v>1410.3801118605588</v>
      </c>
      <c r="D28" s="118"/>
      <c r="E28" s="118">
        <f>E27-Dairy_Income_Baseline!D28</f>
        <v>-245.41979690192807</v>
      </c>
      <c r="F28" s="118"/>
      <c r="G28" s="49">
        <f>G27-Dairy_Income_Baseline!D28</f>
        <v>1076.3733945742065</v>
      </c>
    </row>
    <row r="29" spans="1:17" x14ac:dyDescent="0.3">
      <c r="C29" s="119"/>
      <c r="D29" s="119"/>
      <c r="E29" s="119"/>
      <c r="F29" s="119"/>
      <c r="K29" s="53" t="s">
        <v>30</v>
      </c>
      <c r="L29" s="21">
        <f>0.25*L16*'[1]Sensitiity analysis'!$C$4</f>
        <v>0.31928914881116705</v>
      </c>
    </row>
    <row r="30" spans="1:17" ht="15.6" x14ac:dyDescent="0.3">
      <c r="A30" s="121" t="s">
        <v>69</v>
      </c>
      <c r="B30" s="121"/>
      <c r="C30" s="121"/>
      <c r="D30" s="121"/>
      <c r="E30" s="121"/>
      <c r="F30" s="121"/>
      <c r="G30" s="121"/>
      <c r="K30" s="53" t="s">
        <v>29</v>
      </c>
      <c r="L30" s="21">
        <f>0.21*L16*'[1]Sensitiity analysis'!$C$5</f>
        <v>0.26820288500138029</v>
      </c>
    </row>
    <row r="31" spans="1:17" x14ac:dyDescent="0.3">
      <c r="A31" s="119" t="s">
        <v>67</v>
      </c>
      <c r="B31" s="119"/>
      <c r="C31" s="119"/>
      <c r="D31" s="119"/>
      <c r="E31" s="119"/>
      <c r="F31" s="119"/>
      <c r="G31" s="119"/>
    </row>
    <row r="32" spans="1:17" x14ac:dyDescent="0.3">
      <c r="A32" t="s">
        <v>17</v>
      </c>
      <c r="B32" s="11"/>
      <c r="C32" s="123">
        <f>Dairy_Income_Baseline!E36</f>
        <v>8.9400961667126785E-2</v>
      </c>
      <c r="D32" s="123"/>
      <c r="E32" s="123">
        <f>Dairy_Income_Baseline!B36</f>
        <v>0.11494409357202014</v>
      </c>
      <c r="F32" s="123"/>
      <c r="G32" s="6">
        <f>Dairy_Income_Baseline!E36</f>
        <v>8.9400961667126785E-2</v>
      </c>
      <c r="K32" t="s">
        <v>31</v>
      </c>
      <c r="L32">
        <v>13</v>
      </c>
      <c r="M32" s="119"/>
      <c r="N32" s="119"/>
      <c r="O32" s="119"/>
      <c r="P32" s="119"/>
      <c r="Q32" s="48"/>
    </row>
    <row r="33" spans="1:12" x14ac:dyDescent="0.3">
      <c r="B33" s="11"/>
      <c r="C33" s="119"/>
      <c r="D33" s="119"/>
      <c r="E33" s="119"/>
      <c r="F33" s="119"/>
      <c r="G33" s="29"/>
      <c r="K33" t="s">
        <v>59</v>
      </c>
      <c r="L33" s="54">
        <v>5</v>
      </c>
    </row>
    <row r="34" spans="1:12" x14ac:dyDescent="0.3">
      <c r="A34" t="s">
        <v>0</v>
      </c>
      <c r="B34" s="11"/>
      <c r="C34" s="123">
        <f>C8*Dairy_Income_Baseline!E38/Dairy_Income_Baseline!B8</f>
        <v>482.38923622672843</v>
      </c>
      <c r="D34" s="123"/>
      <c r="E34" s="123">
        <f>E8*Dairy_Income_Baseline!E38/Dairy_Income_Baseline!D8</f>
        <v>38.601136012683426</v>
      </c>
      <c r="F34" s="123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23">
        <f>Dairy_Income_Baseline!E39</f>
        <v>64.36869240033127</v>
      </c>
      <c r="D35" s="123"/>
      <c r="E35" s="123">
        <f>Dairy_Income_Baseline!B39</f>
        <v>22.09480909773276</v>
      </c>
      <c r="F35" s="123"/>
      <c r="G35" s="6">
        <f>Dairy_Income_Baseline!E39</f>
        <v>64.36869240033127</v>
      </c>
      <c r="K35" t="s">
        <v>34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23">
        <f>Dairy_Income_Baseline!E40</f>
        <v>10.472684081006278</v>
      </c>
      <c r="D36" s="123"/>
      <c r="E36" s="123">
        <f>Dairy_Income_Baseline!B40</f>
        <v>11.62212501672648</v>
      </c>
      <c r="F36" s="123"/>
      <c r="G36" s="6">
        <f>Dairy_Income_Baseline!E40</f>
        <v>10.472684081006278</v>
      </c>
      <c r="K36" t="s">
        <v>26</v>
      </c>
      <c r="L36" s="33">
        <f>Dairy_Income_Baseline!L37</f>
        <v>0.53119613926232334</v>
      </c>
    </row>
    <row r="37" spans="1:12" x14ac:dyDescent="0.3">
      <c r="A37" t="s">
        <v>5</v>
      </c>
      <c r="B37" s="11"/>
      <c r="C37" s="123">
        <f>Dairy_Income_Baseline!E41</f>
        <v>4.2146167643074044</v>
      </c>
      <c r="D37" s="123"/>
      <c r="E37" s="123">
        <f>Dairy_Income_Baseline!B41</f>
        <v>0.89400961667126766</v>
      </c>
      <c r="F37" s="123"/>
      <c r="G37" s="6">
        <f>Dairy_Income_Baseline!E41</f>
        <v>4.2146167643074044</v>
      </c>
      <c r="K37" t="s">
        <v>35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23">
        <f>Dairy_Income_Baseline!E42</f>
        <v>0</v>
      </c>
      <c r="D38" s="123"/>
      <c r="E38" s="123">
        <f>Dairy_Income_Baseline!B42</f>
        <v>0</v>
      </c>
      <c r="F38" s="123"/>
      <c r="G38" s="6">
        <f>Dairy_Income_Baseline!E42</f>
        <v>0</v>
      </c>
      <c r="K38" t="s">
        <v>26</v>
      </c>
      <c r="L38" s="33">
        <f>Dairy_Income_Baseline!L39</f>
        <v>0.4540244855431102</v>
      </c>
    </row>
    <row r="39" spans="1:12" x14ac:dyDescent="0.3">
      <c r="C39" s="124"/>
      <c r="D39" s="124"/>
      <c r="E39" s="124"/>
      <c r="F39" s="124"/>
    </row>
    <row r="40" spans="1:12" x14ac:dyDescent="0.3">
      <c r="B40" s="122" t="s">
        <v>68</v>
      </c>
      <c r="C40" s="122"/>
      <c r="D40" s="122"/>
      <c r="E40" s="122"/>
      <c r="F40" s="122"/>
      <c r="G40" s="122"/>
    </row>
    <row r="41" spans="1:12" x14ac:dyDescent="0.3">
      <c r="A41" t="s">
        <v>9</v>
      </c>
      <c r="C41" s="120">
        <f ca="1">_xlfn.NORM.INV(RAND(),C3,C32)</f>
        <v>0.56996971679058528</v>
      </c>
      <c r="D41" s="120"/>
      <c r="E41" s="120">
        <f ca="1">_xlfn.NORM.INV(RAND(),E3,E32)</f>
        <v>0.47716315825424183</v>
      </c>
      <c r="F41" s="120"/>
      <c r="G41" s="106">
        <f ca="1">_xlfn.NORM.INV(RAND(),G3,G32)</f>
        <v>0.42599275227820804</v>
      </c>
    </row>
    <row r="42" spans="1:12" s="108" customFormat="1" x14ac:dyDescent="0.3">
      <c r="A42" s="108" t="s">
        <v>121</v>
      </c>
      <c r="C42" s="118">
        <f>C4*L21</f>
        <v>421.11308901938395</v>
      </c>
      <c r="D42" s="118"/>
      <c r="E42" s="118">
        <f>E4*L21</f>
        <v>106.08582047921689</v>
      </c>
      <c r="F42" s="118"/>
      <c r="G42" s="105">
        <f>G4*L21</f>
        <v>421.11308901938395</v>
      </c>
    </row>
    <row r="43" spans="1:12" x14ac:dyDescent="0.3">
      <c r="C43" s="119"/>
      <c r="D43" s="119"/>
      <c r="E43" s="119"/>
      <c r="F43" s="119"/>
      <c r="G43" s="104"/>
    </row>
    <row r="44" spans="1:12" x14ac:dyDescent="0.3">
      <c r="A44" t="s">
        <v>10</v>
      </c>
      <c r="C44" s="118">
        <f ca="1">_xlfn.NORM.INV(RAND(),C8,C34)</f>
        <v>-193.80972158894247</v>
      </c>
      <c r="D44" s="118"/>
      <c r="E44" s="118">
        <f ca="1">_xlfn.NORM.INV(RAND(),E8,E34)</f>
        <v>70.962707752579092</v>
      </c>
      <c r="F44" s="118"/>
      <c r="G44" s="105">
        <f ca="1">_xlfn.NORM.INV(RAND(),G8,G34)</f>
        <v>277.98208437826202</v>
      </c>
    </row>
    <row r="45" spans="1:12" x14ac:dyDescent="0.3">
      <c r="A45" t="s">
        <v>1</v>
      </c>
      <c r="C45" s="118">
        <f ca="1">_xlfn.NORM.INV(RAND(),C9,C35)</f>
        <v>28.223900817313535</v>
      </c>
      <c r="D45" s="118"/>
      <c r="E45" s="118">
        <f ca="1">_xlfn.NORM.INV(RAND(),E9,E35)</f>
        <v>47.62030474530723</v>
      </c>
      <c r="F45" s="118"/>
      <c r="G45" s="105">
        <f ca="1">_xlfn.NORM.INV(RAND(),G9,G35)</f>
        <v>-10.638595048178042</v>
      </c>
    </row>
    <row r="46" spans="1:12" x14ac:dyDescent="0.3">
      <c r="A46" t="s">
        <v>2</v>
      </c>
      <c r="C46" s="118">
        <f ca="1">_xlfn.NORM.INV(RAND(),C10,C36)</f>
        <v>2.1043696362492819</v>
      </c>
      <c r="D46" s="118"/>
      <c r="E46" s="118">
        <f ca="1">_xlfn.NORM.INV(RAND(),E10,E36)</f>
        <v>7.8339445456346715</v>
      </c>
      <c r="F46" s="118"/>
      <c r="G46" s="105">
        <f ca="1">_xlfn.NORM.INV(RAND(),G10,G36)</f>
        <v>9.0500091767831936</v>
      </c>
    </row>
    <row r="47" spans="1:12" x14ac:dyDescent="0.3">
      <c r="A47" t="s">
        <v>12</v>
      </c>
      <c r="C47" s="118">
        <f ca="1">_xlfn.NORM.INV(RAND(),C11,C37)</f>
        <v>0.15924525486399943</v>
      </c>
      <c r="D47" s="118"/>
      <c r="E47" s="118">
        <f ca="1">_xlfn.NORM.INV(RAND(),E11,E37)</f>
        <v>-0.95120980540157407</v>
      </c>
      <c r="F47" s="118"/>
      <c r="G47" s="105">
        <f ca="1">_xlfn.NORM.INV(RAND(),G11,G37)</f>
        <v>5.1579645074916876</v>
      </c>
    </row>
    <row r="48" spans="1:12" x14ac:dyDescent="0.3">
      <c r="A48" t="s">
        <v>3</v>
      </c>
      <c r="C48" s="118">
        <v>1E-4</v>
      </c>
      <c r="D48" s="118"/>
      <c r="E48" s="118">
        <v>1E-4</v>
      </c>
      <c r="F48" s="118"/>
      <c r="G48" s="105">
        <v>1E-4</v>
      </c>
    </row>
    <row r="49" spans="1:7" x14ac:dyDescent="0.3">
      <c r="C49" s="118"/>
      <c r="D49" s="118"/>
      <c r="E49" s="118"/>
      <c r="F49" s="118"/>
      <c r="G49" s="105"/>
    </row>
    <row r="50" spans="1:7" x14ac:dyDescent="0.3">
      <c r="A50" s="2" t="s">
        <v>18</v>
      </c>
      <c r="C50" s="118">
        <f ca="1">SUM(C45:C48)</f>
        <v>30.487615708426816</v>
      </c>
      <c r="D50" s="118"/>
      <c r="E50" s="118">
        <f ca="1">SUM(E45:E48)</f>
        <v>54.503139485540331</v>
      </c>
      <c r="F50" s="118"/>
      <c r="G50" s="105">
        <f ca="1">SUM(G45:G48)</f>
        <v>3.5694786360968398</v>
      </c>
    </row>
    <row r="51" spans="1:7" x14ac:dyDescent="0.3">
      <c r="A51" s="2"/>
      <c r="C51" s="118"/>
      <c r="D51" s="118"/>
      <c r="E51" s="118"/>
      <c r="F51" s="118"/>
      <c r="G51" s="105"/>
    </row>
    <row r="52" spans="1:7" x14ac:dyDescent="0.3">
      <c r="A52" s="2" t="s">
        <v>56</v>
      </c>
      <c r="C52" s="118">
        <f ca="1">C41*C42-C50</f>
        <v>209.53409237675999</v>
      </c>
      <c r="D52" s="118"/>
      <c r="E52" s="118">
        <f ca="1">E41*E42-E50</f>
        <v>-3.8828943396846753</v>
      </c>
      <c r="F52" s="118"/>
      <c r="G52" s="105">
        <f ca="1">G41*G42-G50</f>
        <v>175.82164517564854</v>
      </c>
    </row>
    <row r="53" spans="1:7" x14ac:dyDescent="0.3">
      <c r="A53" s="2"/>
      <c r="C53" s="118"/>
      <c r="D53" s="118"/>
      <c r="E53" s="118"/>
      <c r="F53" s="118"/>
      <c r="G53" s="105"/>
    </row>
    <row r="54" spans="1:7" x14ac:dyDescent="0.3">
      <c r="A54" s="2" t="s">
        <v>13</v>
      </c>
      <c r="C54" s="118">
        <f ca="1">AVERAGE(C58:C557)</f>
        <v>217.33402724714125</v>
      </c>
      <c r="D54" s="118"/>
      <c r="E54" s="118">
        <f ca="1">AVERAGE(E58:E557)</f>
        <v>38.082313216245538</v>
      </c>
      <c r="F54" s="118"/>
      <c r="G54" s="105">
        <f ca="1">AVERAGE(G58:G557)</f>
        <v>219.1052723468585</v>
      </c>
    </row>
    <row r="55" spans="1:7" x14ac:dyDescent="0.3">
      <c r="A55" s="2" t="s">
        <v>11</v>
      </c>
      <c r="C55" s="118">
        <f ca="1">STDEVA(C58:C557)</f>
        <v>82.065549318596368</v>
      </c>
      <c r="D55" s="118"/>
      <c r="E55" s="118">
        <f t="shared" ref="E55:G55" ca="1" si="0">STDEVA(E58:E557)</f>
        <v>27.800029702308063</v>
      </c>
      <c r="F55" s="118"/>
      <c r="G55" s="105">
        <f t="shared" ca="1" si="0"/>
        <v>77.038100887606035</v>
      </c>
    </row>
    <row r="56" spans="1:7" x14ac:dyDescent="0.3">
      <c r="C56" s="119"/>
      <c r="D56" s="119"/>
      <c r="E56" s="119"/>
      <c r="F56" s="119"/>
      <c r="G56" s="104"/>
    </row>
    <row r="57" spans="1:7" x14ac:dyDescent="0.3">
      <c r="A57" s="2" t="s">
        <v>84</v>
      </c>
      <c r="C57" s="119"/>
      <c r="D57" s="119"/>
      <c r="E57" s="119"/>
      <c r="F57" s="119"/>
      <c r="G57" s="104"/>
    </row>
    <row r="58" spans="1:7" x14ac:dyDescent="0.3">
      <c r="B58">
        <v>1</v>
      </c>
      <c r="C58" s="33">
        <f ca="1">C52</f>
        <v>209.53409237675999</v>
      </c>
      <c r="D58" s="52">
        <v>1</v>
      </c>
      <c r="E58" s="33">
        <f ca="1">E52</f>
        <v>-3.8828943396846753</v>
      </c>
      <c r="F58" s="52">
        <v>1</v>
      </c>
      <c r="G58" s="105">
        <f ca="1">G52</f>
        <v>175.82164517564854</v>
      </c>
    </row>
    <row r="59" spans="1:7" x14ac:dyDescent="0.3">
      <c r="B59">
        <v>2</v>
      </c>
      <c r="C59" s="33">
        <f t="dataTable" ref="C59:C557" dt2D="0" dtr="0" r1="C57" ca="1"/>
        <v>187.96128711339242</v>
      </c>
      <c r="D59" s="52">
        <v>2</v>
      </c>
      <c r="E59" s="33">
        <f t="dataTable" ref="E59:E557" dt2D="0" dtr="0" r1="E57" ca="1"/>
        <v>49.856551097206804</v>
      </c>
      <c r="F59" s="52">
        <v>2</v>
      </c>
      <c r="G59" s="105">
        <f t="dataTable" ref="G59:G557" dt2D="0" dtr="0" r1="G57" ca="1"/>
        <v>95.912987915128014</v>
      </c>
    </row>
    <row r="60" spans="1:7" x14ac:dyDescent="0.3">
      <c r="B60">
        <v>3</v>
      </c>
      <c r="C60" s="33">
        <v>216.956309719475</v>
      </c>
      <c r="D60" s="52">
        <v>3</v>
      </c>
      <c r="E60" s="33">
        <v>50.086154716485566</v>
      </c>
      <c r="F60" s="52">
        <v>3</v>
      </c>
      <c r="G60" s="105">
        <v>209.2266750135062</v>
      </c>
    </row>
    <row r="61" spans="1:7" x14ac:dyDescent="0.3">
      <c r="B61" s="52">
        <v>4</v>
      </c>
      <c r="C61" s="33">
        <v>146.94622429678171</v>
      </c>
      <c r="D61" s="52">
        <v>4</v>
      </c>
      <c r="E61" s="33">
        <v>-45.68075822303031</v>
      </c>
      <c r="F61" s="52">
        <v>4</v>
      </c>
      <c r="G61" s="105">
        <v>118.41027942515539</v>
      </c>
    </row>
    <row r="62" spans="1:7" x14ac:dyDescent="0.3">
      <c r="B62" s="52">
        <v>5</v>
      </c>
      <c r="C62" s="33">
        <v>383.69589525566909</v>
      </c>
      <c r="D62" s="52">
        <v>5</v>
      </c>
      <c r="E62" s="33">
        <v>12.302589775906977</v>
      </c>
      <c r="F62" s="52">
        <v>5</v>
      </c>
      <c r="G62" s="105">
        <v>104.37668861863122</v>
      </c>
    </row>
    <row r="63" spans="1:7" x14ac:dyDescent="0.3">
      <c r="B63" s="52">
        <v>6</v>
      </c>
      <c r="C63" s="33">
        <v>160.08266362509545</v>
      </c>
      <c r="D63" s="52">
        <v>6</v>
      </c>
      <c r="E63" s="33">
        <v>7.6969731924173388</v>
      </c>
      <c r="F63" s="52">
        <v>6</v>
      </c>
      <c r="G63" s="105">
        <v>310.01420404618028</v>
      </c>
    </row>
    <row r="64" spans="1:7" x14ac:dyDescent="0.3">
      <c r="B64" s="52">
        <v>7</v>
      </c>
      <c r="C64" s="33">
        <v>302.05481770771775</v>
      </c>
      <c r="D64" s="52">
        <v>7</v>
      </c>
      <c r="E64" s="33">
        <v>41.226214671688794</v>
      </c>
      <c r="F64" s="52">
        <v>7</v>
      </c>
      <c r="G64" s="105">
        <v>180.50232332932055</v>
      </c>
    </row>
    <row r="65" spans="2:7" x14ac:dyDescent="0.3">
      <c r="B65" s="52">
        <v>8</v>
      </c>
      <c r="C65" s="33">
        <v>330.40937041910468</v>
      </c>
      <c r="D65" s="52">
        <v>8</v>
      </c>
      <c r="E65" s="33">
        <v>44.881115961050625</v>
      </c>
      <c r="F65" s="52">
        <v>8</v>
      </c>
      <c r="G65" s="105">
        <v>100.68000678155548</v>
      </c>
    </row>
    <row r="66" spans="2:7" x14ac:dyDescent="0.3">
      <c r="B66" s="52">
        <v>9</v>
      </c>
      <c r="C66" s="33">
        <v>103.03737546523597</v>
      </c>
      <c r="D66" s="52">
        <v>9</v>
      </c>
      <c r="E66" s="33">
        <v>25.015215916220004</v>
      </c>
      <c r="F66" s="52">
        <v>9</v>
      </c>
      <c r="G66" s="105">
        <v>289.53381109439852</v>
      </c>
    </row>
    <row r="67" spans="2:7" x14ac:dyDescent="0.3">
      <c r="B67" s="52">
        <v>10</v>
      </c>
      <c r="C67" s="33">
        <v>323.68668792313127</v>
      </c>
      <c r="D67" s="52">
        <v>10</v>
      </c>
      <c r="E67" s="33">
        <v>48.032909858123226</v>
      </c>
      <c r="F67" s="52">
        <v>10</v>
      </c>
      <c r="G67" s="105">
        <v>52.237244124406345</v>
      </c>
    </row>
    <row r="68" spans="2:7" x14ac:dyDescent="0.3">
      <c r="B68" s="52">
        <v>11</v>
      </c>
      <c r="C68" s="33">
        <v>101.36316939897682</v>
      </c>
      <c r="D68" s="52">
        <v>11</v>
      </c>
      <c r="E68" s="33">
        <v>46.701497500367964</v>
      </c>
      <c r="F68" s="52">
        <v>11</v>
      </c>
      <c r="G68" s="105">
        <v>129.6224990611658</v>
      </c>
    </row>
    <row r="69" spans="2:7" x14ac:dyDescent="0.3">
      <c r="B69" s="52">
        <v>12</v>
      </c>
      <c r="C69" s="33">
        <v>240.56972470387507</v>
      </c>
      <c r="D69" s="52">
        <v>12</v>
      </c>
      <c r="E69" s="33">
        <v>16.738302141676638</v>
      </c>
      <c r="F69" s="52">
        <v>12</v>
      </c>
      <c r="G69" s="105">
        <v>204.93781397304352</v>
      </c>
    </row>
    <row r="70" spans="2:7" x14ac:dyDescent="0.3">
      <c r="B70" s="52">
        <v>13</v>
      </c>
      <c r="C70" s="33">
        <v>217.36771701813089</v>
      </c>
      <c r="D70" s="52">
        <v>13</v>
      </c>
      <c r="E70" s="33">
        <v>38.94925690869141</v>
      </c>
      <c r="F70" s="52">
        <v>13</v>
      </c>
      <c r="G70" s="105">
        <v>276.92224857859935</v>
      </c>
    </row>
    <row r="71" spans="2:7" x14ac:dyDescent="0.3">
      <c r="B71" s="52">
        <v>14</v>
      </c>
      <c r="C71" s="33">
        <v>304.74224736160915</v>
      </c>
      <c r="D71" s="52">
        <v>14</v>
      </c>
      <c r="E71" s="33">
        <v>61.89690139903437</v>
      </c>
      <c r="F71" s="52">
        <v>14</v>
      </c>
      <c r="G71" s="105">
        <v>150.58052668432529</v>
      </c>
    </row>
    <row r="72" spans="2:7" x14ac:dyDescent="0.3">
      <c r="B72" s="52">
        <v>15</v>
      </c>
      <c r="C72" s="33">
        <v>381.86948589806218</v>
      </c>
      <c r="D72" s="52">
        <v>15</v>
      </c>
      <c r="E72" s="33">
        <v>55.770162941371829</v>
      </c>
      <c r="F72" s="52">
        <v>15</v>
      </c>
      <c r="G72" s="105">
        <v>239.48366912614125</v>
      </c>
    </row>
    <row r="73" spans="2:7" x14ac:dyDescent="0.3">
      <c r="B73" s="52">
        <v>16</v>
      </c>
      <c r="C73" s="33">
        <v>270.7874655413645</v>
      </c>
      <c r="D73" s="52">
        <v>16</v>
      </c>
      <c r="E73" s="33">
        <v>77.390984814509594</v>
      </c>
      <c r="F73" s="52">
        <v>16</v>
      </c>
      <c r="G73" s="105">
        <v>129.8604179499257</v>
      </c>
    </row>
    <row r="74" spans="2:7" x14ac:dyDescent="0.3">
      <c r="B74" s="52">
        <v>17</v>
      </c>
      <c r="C74" s="33">
        <v>102.23981965544576</v>
      </c>
      <c r="D74" s="52">
        <v>17</v>
      </c>
      <c r="E74" s="33">
        <v>26.237911459581202</v>
      </c>
      <c r="F74" s="52">
        <v>17</v>
      </c>
      <c r="G74" s="105">
        <v>221.06304898271725</v>
      </c>
    </row>
    <row r="75" spans="2:7" x14ac:dyDescent="0.3">
      <c r="B75" s="52">
        <v>18</v>
      </c>
      <c r="C75" s="33">
        <v>56.859127966365406</v>
      </c>
      <c r="D75" s="52">
        <v>18</v>
      </c>
      <c r="E75" s="33">
        <v>28.55726749874643</v>
      </c>
      <c r="F75" s="52">
        <v>18</v>
      </c>
      <c r="G75" s="105">
        <v>172.60623278766917</v>
      </c>
    </row>
    <row r="76" spans="2:7" x14ac:dyDescent="0.3">
      <c r="B76" s="52">
        <v>19</v>
      </c>
      <c r="C76" s="33">
        <v>306.38444034455017</v>
      </c>
      <c r="D76" s="52">
        <v>19</v>
      </c>
      <c r="E76" s="33">
        <v>19.551297844288534</v>
      </c>
      <c r="F76" s="52">
        <v>19</v>
      </c>
      <c r="G76" s="105">
        <v>219.54750156233268</v>
      </c>
    </row>
    <row r="77" spans="2:7" x14ac:dyDescent="0.3">
      <c r="B77" s="52">
        <v>20</v>
      </c>
      <c r="C77" s="33">
        <v>353.28215407312979</v>
      </c>
      <c r="D77" s="52">
        <v>20</v>
      </c>
      <c r="E77" s="33">
        <v>73.314142102531974</v>
      </c>
      <c r="F77" s="52">
        <v>20</v>
      </c>
      <c r="G77" s="105">
        <v>274.70970879678146</v>
      </c>
    </row>
    <row r="78" spans="2:7" x14ac:dyDescent="0.3">
      <c r="B78" s="52">
        <v>21</v>
      </c>
      <c r="C78" s="33">
        <v>362.84080131384707</v>
      </c>
      <c r="D78" s="52">
        <v>21</v>
      </c>
      <c r="E78" s="33">
        <v>121.13788464628929</v>
      </c>
      <c r="F78" s="52">
        <v>21</v>
      </c>
      <c r="G78" s="105">
        <v>333.81906108467695</v>
      </c>
    </row>
    <row r="79" spans="2:7" x14ac:dyDescent="0.3">
      <c r="B79" s="52">
        <v>22</v>
      </c>
      <c r="C79" s="33">
        <v>278.65314426058052</v>
      </c>
      <c r="D79" s="52">
        <v>22</v>
      </c>
      <c r="E79" s="33">
        <v>77.526955457557179</v>
      </c>
      <c r="F79" s="52">
        <v>22</v>
      </c>
      <c r="G79" s="105">
        <v>242.17231543263577</v>
      </c>
    </row>
    <row r="80" spans="2:7" x14ac:dyDescent="0.3">
      <c r="B80" s="52">
        <v>23</v>
      </c>
      <c r="C80" s="33">
        <v>271.67636275916487</v>
      </c>
      <c r="D80" s="52">
        <v>23</v>
      </c>
      <c r="E80" s="33">
        <v>29.037593607161234</v>
      </c>
      <c r="F80" s="52">
        <v>23</v>
      </c>
      <c r="G80" s="105">
        <v>293.16240875018411</v>
      </c>
    </row>
    <row r="81" spans="2:7" x14ac:dyDescent="0.3">
      <c r="B81" s="52">
        <v>24</v>
      </c>
      <c r="C81" s="33">
        <v>179.7985385465779</v>
      </c>
      <c r="D81" s="52">
        <v>24</v>
      </c>
      <c r="E81" s="33">
        <v>61.206808720647636</v>
      </c>
      <c r="F81" s="52">
        <v>24</v>
      </c>
      <c r="G81" s="105">
        <v>142.37361139486137</v>
      </c>
    </row>
    <row r="82" spans="2:7" x14ac:dyDescent="0.3">
      <c r="B82" s="52">
        <v>25</v>
      </c>
      <c r="C82" s="33">
        <v>290.96258803951793</v>
      </c>
      <c r="D82" s="52">
        <v>25</v>
      </c>
      <c r="E82" s="33">
        <v>35.986592956420367</v>
      </c>
      <c r="F82" s="52">
        <v>25</v>
      </c>
      <c r="G82" s="105">
        <v>222.14760177763296</v>
      </c>
    </row>
    <row r="83" spans="2:7" x14ac:dyDescent="0.3">
      <c r="B83" s="52">
        <v>26</v>
      </c>
      <c r="C83" s="33">
        <v>179.01031079290382</v>
      </c>
      <c r="D83" s="52">
        <v>26</v>
      </c>
      <c r="E83" s="33">
        <v>87.782627258737548</v>
      </c>
      <c r="F83" s="52">
        <v>26</v>
      </c>
      <c r="G83" s="105">
        <v>141.64550929917326</v>
      </c>
    </row>
    <row r="84" spans="2:7" x14ac:dyDescent="0.3">
      <c r="B84" s="52">
        <v>27</v>
      </c>
      <c r="C84" s="33">
        <v>93.420432338810684</v>
      </c>
      <c r="D84" s="52">
        <v>27</v>
      </c>
      <c r="E84" s="33">
        <v>-2.3398487198957554</v>
      </c>
      <c r="F84" s="52">
        <v>27</v>
      </c>
      <c r="G84" s="105">
        <v>116.94294570071881</v>
      </c>
    </row>
    <row r="85" spans="2:7" x14ac:dyDescent="0.3">
      <c r="B85" s="52">
        <v>28</v>
      </c>
      <c r="C85" s="33">
        <v>143.32509903145987</v>
      </c>
      <c r="D85" s="52">
        <v>28</v>
      </c>
      <c r="E85" s="33">
        <v>29.261878788290563</v>
      </c>
      <c r="F85" s="52">
        <v>28</v>
      </c>
      <c r="G85" s="105">
        <v>128.50073808534054</v>
      </c>
    </row>
    <row r="86" spans="2:7" x14ac:dyDescent="0.3">
      <c r="B86" s="52">
        <v>29</v>
      </c>
      <c r="C86" s="33">
        <v>135.4737920188667</v>
      </c>
      <c r="D86" s="52">
        <v>29</v>
      </c>
      <c r="E86" s="33">
        <v>36.131275924879276</v>
      </c>
      <c r="F86" s="52">
        <v>29</v>
      </c>
      <c r="G86" s="105">
        <v>236.7284289225318</v>
      </c>
    </row>
    <row r="87" spans="2:7" x14ac:dyDescent="0.3">
      <c r="B87" s="52">
        <v>30</v>
      </c>
      <c r="C87" s="33">
        <v>168.77120414796579</v>
      </c>
      <c r="D87" s="52">
        <v>30</v>
      </c>
      <c r="E87" s="33">
        <v>62.474641743926085</v>
      </c>
      <c r="F87" s="52">
        <v>30</v>
      </c>
      <c r="G87" s="105">
        <v>201.83926212079544</v>
      </c>
    </row>
    <row r="88" spans="2:7" x14ac:dyDescent="0.3">
      <c r="B88" s="52">
        <v>31</v>
      </c>
      <c r="C88" s="33">
        <v>259.60627910597896</v>
      </c>
      <c r="D88" s="52">
        <v>31</v>
      </c>
      <c r="E88" s="33">
        <v>40.354627320621752</v>
      </c>
      <c r="F88" s="52">
        <v>31</v>
      </c>
      <c r="G88" s="105">
        <v>308.68472929184833</v>
      </c>
    </row>
    <row r="89" spans="2:7" x14ac:dyDescent="0.3">
      <c r="B89" s="52">
        <v>32</v>
      </c>
      <c r="C89" s="33">
        <v>238.75652493446367</v>
      </c>
      <c r="D89" s="52">
        <v>32</v>
      </c>
      <c r="E89" s="33">
        <v>37.193092523876331</v>
      </c>
      <c r="F89" s="52">
        <v>32</v>
      </c>
      <c r="G89" s="105">
        <v>262.07038525355915</v>
      </c>
    </row>
    <row r="90" spans="2:7" x14ac:dyDescent="0.3">
      <c r="B90" s="52">
        <v>33</v>
      </c>
      <c r="C90" s="33">
        <v>154.12944280160272</v>
      </c>
      <c r="D90" s="52">
        <v>33</v>
      </c>
      <c r="E90" s="33">
        <v>60.324110157276905</v>
      </c>
      <c r="F90" s="52">
        <v>33</v>
      </c>
      <c r="G90" s="105">
        <v>145.99182615260065</v>
      </c>
    </row>
    <row r="91" spans="2:7" x14ac:dyDescent="0.3">
      <c r="B91" s="52">
        <v>34</v>
      </c>
      <c r="C91" s="33">
        <v>194.09596485820447</v>
      </c>
      <c r="D91" s="52">
        <v>34</v>
      </c>
      <c r="E91" s="33">
        <v>56.128397230070057</v>
      </c>
      <c r="F91" s="52">
        <v>34</v>
      </c>
      <c r="G91" s="105">
        <v>227.75161763929913</v>
      </c>
    </row>
    <row r="92" spans="2:7" x14ac:dyDescent="0.3">
      <c r="B92" s="52">
        <v>35</v>
      </c>
      <c r="C92" s="33">
        <v>176.1062714405947</v>
      </c>
      <c r="D92" s="52">
        <v>35</v>
      </c>
      <c r="E92" s="33">
        <v>52.844637460924076</v>
      </c>
      <c r="F92" s="52">
        <v>35</v>
      </c>
      <c r="G92" s="105">
        <v>186.7191878138899</v>
      </c>
    </row>
    <row r="93" spans="2:7" x14ac:dyDescent="0.3">
      <c r="B93" s="52">
        <v>36</v>
      </c>
      <c r="C93" s="33">
        <v>247.59010023793803</v>
      </c>
      <c r="D93" s="52">
        <v>36</v>
      </c>
      <c r="E93" s="33">
        <v>66.070768414622975</v>
      </c>
      <c r="F93" s="52">
        <v>36</v>
      </c>
      <c r="G93" s="105">
        <v>175.41332796419866</v>
      </c>
    </row>
    <row r="94" spans="2:7" x14ac:dyDescent="0.3">
      <c r="B94" s="52">
        <v>37</v>
      </c>
      <c r="C94" s="33">
        <v>143.55226488240211</v>
      </c>
      <c r="D94" s="52">
        <v>37</v>
      </c>
      <c r="E94" s="33">
        <v>51.377950835934342</v>
      </c>
      <c r="F94" s="52">
        <v>37</v>
      </c>
      <c r="G94" s="105">
        <v>295.09001095930228</v>
      </c>
    </row>
    <row r="95" spans="2:7" x14ac:dyDescent="0.3">
      <c r="B95" s="52">
        <v>38</v>
      </c>
      <c r="C95" s="33">
        <v>177.72934505068409</v>
      </c>
      <c r="D95" s="52">
        <v>38</v>
      </c>
      <c r="E95" s="33">
        <v>40.704067875788361</v>
      </c>
      <c r="F95" s="52">
        <v>38</v>
      </c>
      <c r="G95" s="105">
        <v>162.83721868560383</v>
      </c>
    </row>
    <row r="96" spans="2:7" x14ac:dyDescent="0.3">
      <c r="B96" s="52">
        <v>39</v>
      </c>
      <c r="C96" s="33">
        <v>315.41539860480174</v>
      </c>
      <c r="D96" s="52">
        <v>39</v>
      </c>
      <c r="E96" s="33">
        <v>44.232250558493732</v>
      </c>
      <c r="F96" s="52">
        <v>39</v>
      </c>
      <c r="G96" s="105">
        <v>253.50540040276741</v>
      </c>
    </row>
    <row r="97" spans="2:7" x14ac:dyDescent="0.3">
      <c r="B97" s="52">
        <v>40</v>
      </c>
      <c r="C97" s="33">
        <v>227.69944483244461</v>
      </c>
      <c r="D97" s="52">
        <v>40</v>
      </c>
      <c r="E97" s="33">
        <v>59.231069564019947</v>
      </c>
      <c r="F97" s="52">
        <v>40</v>
      </c>
      <c r="G97" s="105">
        <v>204.73729136522948</v>
      </c>
    </row>
    <row r="98" spans="2:7" x14ac:dyDescent="0.3">
      <c r="B98" s="52">
        <v>41</v>
      </c>
      <c r="C98" s="33">
        <v>292.78705260021758</v>
      </c>
      <c r="D98" s="52">
        <v>41</v>
      </c>
      <c r="E98" s="33">
        <v>39.428422851836096</v>
      </c>
      <c r="F98" s="52">
        <v>41</v>
      </c>
      <c r="G98" s="105">
        <v>345.33037561370804</v>
      </c>
    </row>
    <row r="99" spans="2:7" x14ac:dyDescent="0.3">
      <c r="B99" s="52">
        <v>42</v>
      </c>
      <c r="C99" s="33">
        <v>162.12936451759396</v>
      </c>
      <c r="D99" s="52">
        <v>42</v>
      </c>
      <c r="E99" s="33">
        <v>58.430704305779315</v>
      </c>
      <c r="F99" s="52">
        <v>42</v>
      </c>
      <c r="G99" s="105">
        <v>353.43319971469856</v>
      </c>
    </row>
    <row r="100" spans="2:7" x14ac:dyDescent="0.3">
      <c r="B100" s="52">
        <v>43</v>
      </c>
      <c r="C100" s="33">
        <v>144.92880060486857</v>
      </c>
      <c r="D100" s="52">
        <v>43</v>
      </c>
      <c r="E100" s="33">
        <v>58.172637610179109</v>
      </c>
      <c r="F100" s="52">
        <v>43</v>
      </c>
      <c r="G100" s="105">
        <v>268.54577410370001</v>
      </c>
    </row>
    <row r="101" spans="2:7" x14ac:dyDescent="0.3">
      <c r="B101" s="52">
        <v>44</v>
      </c>
      <c r="C101" s="33">
        <v>216.53347110081899</v>
      </c>
      <c r="D101" s="52">
        <v>44</v>
      </c>
      <c r="E101" s="33">
        <v>22.278154834810259</v>
      </c>
      <c r="F101" s="52">
        <v>44</v>
      </c>
      <c r="G101" s="105">
        <v>311.03951556244249</v>
      </c>
    </row>
    <row r="102" spans="2:7" x14ac:dyDescent="0.3">
      <c r="B102" s="52">
        <v>45</v>
      </c>
      <c r="C102" s="33">
        <v>110.09977320001381</v>
      </c>
      <c r="D102" s="52">
        <v>45</v>
      </c>
      <c r="E102" s="33">
        <v>78.471709534772344</v>
      </c>
      <c r="F102" s="52">
        <v>45</v>
      </c>
      <c r="G102" s="105">
        <v>279.36192331020732</v>
      </c>
    </row>
    <row r="103" spans="2:7" x14ac:dyDescent="0.3">
      <c r="B103" s="52">
        <v>46</v>
      </c>
      <c r="C103" s="33">
        <v>165.15468883006901</v>
      </c>
      <c r="D103" s="52">
        <v>46</v>
      </c>
      <c r="E103" s="33">
        <v>4.468185082566059</v>
      </c>
      <c r="F103" s="52">
        <v>46</v>
      </c>
      <c r="G103" s="105">
        <v>153.32173185738876</v>
      </c>
    </row>
    <row r="104" spans="2:7" x14ac:dyDescent="0.3">
      <c r="B104" s="52">
        <v>47</v>
      </c>
      <c r="C104" s="33">
        <v>311.41812933968185</v>
      </c>
      <c r="D104" s="52">
        <v>47</v>
      </c>
      <c r="E104" s="33">
        <v>24.26437928001954</v>
      </c>
      <c r="F104" s="52">
        <v>47</v>
      </c>
      <c r="G104" s="105">
        <v>168.48840610485163</v>
      </c>
    </row>
    <row r="105" spans="2:7" x14ac:dyDescent="0.3">
      <c r="B105" s="52">
        <v>48</v>
      </c>
      <c r="C105" s="33">
        <v>262.02338213702524</v>
      </c>
      <c r="D105" s="52">
        <v>48</v>
      </c>
      <c r="E105" s="33">
        <v>66.32858926970232</v>
      </c>
      <c r="F105" s="52">
        <v>48</v>
      </c>
      <c r="G105" s="105">
        <v>310.18581456224126</v>
      </c>
    </row>
    <row r="106" spans="2:7" x14ac:dyDescent="0.3">
      <c r="B106" s="52">
        <v>49</v>
      </c>
      <c r="C106" s="33">
        <v>273.03844003470181</v>
      </c>
      <c r="D106" s="52">
        <v>49</v>
      </c>
      <c r="E106" s="33">
        <v>28.495995736013739</v>
      </c>
      <c r="F106" s="52">
        <v>49</v>
      </c>
      <c r="G106" s="105">
        <v>253.7305845366929</v>
      </c>
    </row>
    <row r="107" spans="2:7" x14ac:dyDescent="0.3">
      <c r="B107" s="52">
        <v>50</v>
      </c>
      <c r="C107" s="33">
        <v>173.20586938395508</v>
      </c>
      <c r="D107" s="52">
        <v>50</v>
      </c>
      <c r="E107" s="33">
        <v>33.590186176436376</v>
      </c>
      <c r="F107" s="52">
        <v>50</v>
      </c>
      <c r="G107" s="105">
        <v>265.50500906440323</v>
      </c>
    </row>
    <row r="108" spans="2:7" x14ac:dyDescent="0.3">
      <c r="B108" s="52">
        <v>51</v>
      </c>
      <c r="C108" s="33">
        <v>213.32891414001557</v>
      </c>
      <c r="D108" s="52">
        <v>51</v>
      </c>
      <c r="E108" s="33">
        <v>29.410018035071644</v>
      </c>
      <c r="F108" s="52">
        <v>51</v>
      </c>
      <c r="G108" s="105">
        <v>352.8823846742178</v>
      </c>
    </row>
    <row r="109" spans="2:7" x14ac:dyDescent="0.3">
      <c r="B109" s="52">
        <v>52</v>
      </c>
      <c r="C109" s="33">
        <v>315.7423354943258</v>
      </c>
      <c r="D109" s="52">
        <v>52</v>
      </c>
      <c r="E109" s="33">
        <v>62.036997428964447</v>
      </c>
      <c r="F109" s="52">
        <v>52</v>
      </c>
      <c r="G109" s="105">
        <v>153.47242310280345</v>
      </c>
    </row>
    <row r="110" spans="2:7" x14ac:dyDescent="0.3">
      <c r="B110" s="52">
        <v>53</v>
      </c>
      <c r="C110" s="33">
        <v>393.0125992855169</v>
      </c>
      <c r="D110" s="52">
        <v>53</v>
      </c>
      <c r="E110" s="33">
        <v>24.884027100529266</v>
      </c>
      <c r="F110" s="52">
        <v>53</v>
      </c>
      <c r="G110" s="105">
        <v>164.19808200951775</v>
      </c>
    </row>
    <row r="111" spans="2:7" x14ac:dyDescent="0.3">
      <c r="B111" s="52">
        <v>54</v>
      </c>
      <c r="C111" s="33">
        <v>170.75030593607107</v>
      </c>
      <c r="D111" s="52">
        <v>54</v>
      </c>
      <c r="E111" s="33">
        <v>60.130620944735533</v>
      </c>
      <c r="F111" s="52">
        <v>54</v>
      </c>
      <c r="G111" s="105">
        <v>198.83269515156468</v>
      </c>
    </row>
    <row r="112" spans="2:7" x14ac:dyDescent="0.3">
      <c r="B112" s="52">
        <v>55</v>
      </c>
      <c r="C112" s="33">
        <v>208.61442044026126</v>
      </c>
      <c r="D112" s="52">
        <v>55</v>
      </c>
      <c r="E112" s="33">
        <v>22.97506006681818</v>
      </c>
      <c r="F112" s="52">
        <v>55</v>
      </c>
      <c r="G112" s="105">
        <v>271.44445340252446</v>
      </c>
    </row>
    <row r="113" spans="2:7" x14ac:dyDescent="0.3">
      <c r="B113" s="52">
        <v>56</v>
      </c>
      <c r="C113" s="33">
        <v>148.49733387179182</v>
      </c>
      <c r="D113" s="52">
        <v>56</v>
      </c>
      <c r="E113" s="33">
        <v>64.119036418701285</v>
      </c>
      <c r="F113" s="52">
        <v>56</v>
      </c>
      <c r="G113" s="105">
        <v>257.27367987028083</v>
      </c>
    </row>
    <row r="114" spans="2:7" x14ac:dyDescent="0.3">
      <c r="B114" s="52">
        <v>57</v>
      </c>
      <c r="C114" s="33">
        <v>135.43022152750709</v>
      </c>
      <c r="D114" s="52">
        <v>57</v>
      </c>
      <c r="E114" s="33">
        <v>20.903186623431644</v>
      </c>
      <c r="F114" s="52">
        <v>57</v>
      </c>
      <c r="G114" s="105">
        <v>209.43422642811188</v>
      </c>
    </row>
    <row r="115" spans="2:7" x14ac:dyDescent="0.3">
      <c r="B115" s="52">
        <v>58</v>
      </c>
      <c r="C115" s="33">
        <v>292.31762054509011</v>
      </c>
      <c r="D115" s="52">
        <v>58</v>
      </c>
      <c r="E115" s="33">
        <v>9.3800659047628372</v>
      </c>
      <c r="F115" s="52">
        <v>58</v>
      </c>
      <c r="G115" s="105">
        <v>100.96067880865019</v>
      </c>
    </row>
    <row r="116" spans="2:7" x14ac:dyDescent="0.3">
      <c r="B116" s="52">
        <v>59</v>
      </c>
      <c r="C116" s="33">
        <v>217.93252499386188</v>
      </c>
      <c r="D116" s="52">
        <v>59</v>
      </c>
      <c r="E116" s="33">
        <v>65.693818647041098</v>
      </c>
      <c r="F116" s="52">
        <v>59</v>
      </c>
      <c r="G116" s="105">
        <v>163.66645199752594</v>
      </c>
    </row>
    <row r="117" spans="2:7" x14ac:dyDescent="0.3">
      <c r="B117" s="52">
        <v>60</v>
      </c>
      <c r="C117" s="33">
        <v>160.00053823512229</v>
      </c>
      <c r="D117" s="52">
        <v>60</v>
      </c>
      <c r="E117" s="33">
        <v>46.203696099267127</v>
      </c>
      <c r="F117" s="52">
        <v>60</v>
      </c>
      <c r="G117" s="105">
        <v>387.55701201992207</v>
      </c>
    </row>
    <row r="118" spans="2:7" x14ac:dyDescent="0.3">
      <c r="B118" s="52">
        <v>61</v>
      </c>
      <c r="C118" s="33">
        <v>273.13298092300533</v>
      </c>
      <c r="D118" s="52">
        <v>61</v>
      </c>
      <c r="E118" s="33">
        <v>57.027858866248089</v>
      </c>
      <c r="F118" s="52">
        <v>61</v>
      </c>
      <c r="G118" s="105">
        <v>111.97938625404657</v>
      </c>
    </row>
    <row r="119" spans="2:7" x14ac:dyDescent="0.3">
      <c r="B119" s="52">
        <v>62</v>
      </c>
      <c r="C119" s="33">
        <v>237.15982130342397</v>
      </c>
      <c r="D119" s="52">
        <v>62</v>
      </c>
      <c r="E119" s="33">
        <v>50.494353803585895</v>
      </c>
      <c r="F119" s="52">
        <v>62</v>
      </c>
      <c r="G119" s="105">
        <v>211.45562580612989</v>
      </c>
    </row>
    <row r="120" spans="2:7" x14ac:dyDescent="0.3">
      <c r="B120" s="52">
        <v>63</v>
      </c>
      <c r="C120" s="33">
        <v>207.71064092836843</v>
      </c>
      <c r="D120" s="52">
        <v>63</v>
      </c>
      <c r="E120" s="33">
        <v>48.079994453098926</v>
      </c>
      <c r="F120" s="52">
        <v>63</v>
      </c>
      <c r="G120" s="105">
        <v>164.57034971010407</v>
      </c>
    </row>
    <row r="121" spans="2:7" x14ac:dyDescent="0.3">
      <c r="B121" s="52">
        <v>64</v>
      </c>
      <c r="C121" s="33">
        <v>224.24569624887712</v>
      </c>
      <c r="D121" s="52">
        <v>64</v>
      </c>
      <c r="E121" s="33">
        <v>12.991862265719831</v>
      </c>
      <c r="F121" s="52">
        <v>64</v>
      </c>
      <c r="G121" s="105">
        <v>269.85547177151881</v>
      </c>
    </row>
    <row r="122" spans="2:7" x14ac:dyDescent="0.3">
      <c r="B122" s="52">
        <v>65</v>
      </c>
      <c r="C122" s="33">
        <v>150.11135941764138</v>
      </c>
      <c r="D122" s="52">
        <v>65</v>
      </c>
      <c r="E122" s="33">
        <v>94.136666157062621</v>
      </c>
      <c r="F122" s="52">
        <v>65</v>
      </c>
      <c r="G122" s="105">
        <v>306.45057381264934</v>
      </c>
    </row>
    <row r="123" spans="2:7" x14ac:dyDescent="0.3">
      <c r="B123" s="52">
        <v>66</v>
      </c>
      <c r="C123" s="33">
        <v>268.48436158665237</v>
      </c>
      <c r="D123" s="52">
        <v>66</v>
      </c>
      <c r="E123" s="33">
        <v>67.319778151292056</v>
      </c>
      <c r="F123" s="52">
        <v>66</v>
      </c>
      <c r="G123" s="105">
        <v>230.96021654855105</v>
      </c>
    </row>
    <row r="124" spans="2:7" x14ac:dyDescent="0.3">
      <c r="B124" s="52">
        <v>67</v>
      </c>
      <c r="C124" s="33">
        <v>201.46856086825898</v>
      </c>
      <c r="D124" s="52">
        <v>67</v>
      </c>
      <c r="E124" s="33">
        <v>8.5616476477847172</v>
      </c>
      <c r="F124" s="52">
        <v>67</v>
      </c>
      <c r="G124" s="105">
        <v>142.00980226314539</v>
      </c>
    </row>
    <row r="125" spans="2:7" x14ac:dyDescent="0.3">
      <c r="B125" s="52">
        <v>68</v>
      </c>
      <c r="C125" s="33">
        <v>268.72768683425261</v>
      </c>
      <c r="D125" s="52">
        <v>68</v>
      </c>
      <c r="E125" s="33">
        <v>56.677081677386866</v>
      </c>
      <c r="F125" s="52">
        <v>68</v>
      </c>
      <c r="G125" s="105">
        <v>321.15708299996822</v>
      </c>
    </row>
    <row r="126" spans="2:7" x14ac:dyDescent="0.3">
      <c r="B126" s="52">
        <v>69</v>
      </c>
      <c r="C126" s="33">
        <v>348.2527874798983</v>
      </c>
      <c r="D126" s="52">
        <v>69</v>
      </c>
      <c r="E126" s="33">
        <v>-0.32960339587945953</v>
      </c>
      <c r="F126" s="52">
        <v>69</v>
      </c>
      <c r="G126" s="105">
        <v>52.787868731064862</v>
      </c>
    </row>
    <row r="127" spans="2:7" x14ac:dyDescent="0.3">
      <c r="B127" s="52">
        <v>70</v>
      </c>
      <c r="C127" s="33">
        <v>280.7499153114108</v>
      </c>
      <c r="D127" s="52">
        <v>70</v>
      </c>
      <c r="E127" s="33">
        <v>71.715509155191967</v>
      </c>
      <c r="F127" s="52">
        <v>70</v>
      </c>
      <c r="G127" s="105">
        <v>65.481293991735583</v>
      </c>
    </row>
    <row r="128" spans="2:7" x14ac:dyDescent="0.3">
      <c r="B128" s="52">
        <v>71</v>
      </c>
      <c r="C128" s="33">
        <v>176.27777405266784</v>
      </c>
      <c r="D128" s="52">
        <v>71</v>
      </c>
      <c r="E128" s="33">
        <v>18.035942061592223</v>
      </c>
      <c r="F128" s="52">
        <v>71</v>
      </c>
      <c r="G128" s="105">
        <v>149.55372741236377</v>
      </c>
    </row>
    <row r="129" spans="2:7" x14ac:dyDescent="0.3">
      <c r="B129" s="52">
        <v>72</v>
      </c>
      <c r="C129" s="33">
        <v>154.19288202217351</v>
      </c>
      <c r="D129" s="52">
        <v>72</v>
      </c>
      <c r="E129" s="33">
        <v>49.084981157920055</v>
      </c>
      <c r="F129" s="52">
        <v>72</v>
      </c>
      <c r="G129" s="105">
        <v>158.96796019797165</v>
      </c>
    </row>
    <row r="130" spans="2:7" x14ac:dyDescent="0.3">
      <c r="B130" s="52">
        <v>73</v>
      </c>
      <c r="C130" s="33">
        <v>224.74562173236581</v>
      </c>
      <c r="D130" s="52">
        <v>73</v>
      </c>
      <c r="E130" s="33">
        <v>-10.870285359510838</v>
      </c>
      <c r="F130" s="52">
        <v>73</v>
      </c>
      <c r="G130" s="105">
        <v>339.22276329717272</v>
      </c>
    </row>
    <row r="131" spans="2:7" x14ac:dyDescent="0.3">
      <c r="B131" s="52">
        <v>74</v>
      </c>
      <c r="C131" s="33">
        <v>139.34554769827236</v>
      </c>
      <c r="D131" s="52">
        <v>74</v>
      </c>
      <c r="E131" s="33">
        <v>24.912460578899445</v>
      </c>
      <c r="F131" s="52">
        <v>74</v>
      </c>
      <c r="G131" s="105">
        <v>37.71443214049259</v>
      </c>
    </row>
    <row r="132" spans="2:7" x14ac:dyDescent="0.3">
      <c r="B132" s="52">
        <v>75</v>
      </c>
      <c r="C132" s="33">
        <v>262.14839165597795</v>
      </c>
      <c r="D132" s="52">
        <v>75</v>
      </c>
      <c r="E132" s="33">
        <v>-4.3952572271025758</v>
      </c>
      <c r="F132" s="52">
        <v>75</v>
      </c>
      <c r="G132" s="105">
        <v>245.89623577806282</v>
      </c>
    </row>
    <row r="133" spans="2:7" x14ac:dyDescent="0.3">
      <c r="B133" s="52">
        <v>76</v>
      </c>
      <c r="C133" s="33">
        <v>133.36561095660005</v>
      </c>
      <c r="D133" s="52">
        <v>76</v>
      </c>
      <c r="E133" s="33">
        <v>49.721755661891251</v>
      </c>
      <c r="F133" s="52">
        <v>76</v>
      </c>
      <c r="G133" s="105">
        <v>270.64967427464325</v>
      </c>
    </row>
    <row r="134" spans="2:7" x14ac:dyDescent="0.3">
      <c r="B134" s="52">
        <v>77</v>
      </c>
      <c r="C134" s="33">
        <v>129.49202833750613</v>
      </c>
      <c r="D134" s="52">
        <v>77</v>
      </c>
      <c r="E134" s="33">
        <v>34.759485241805613</v>
      </c>
      <c r="F134" s="52">
        <v>77</v>
      </c>
      <c r="G134" s="105">
        <v>131.62213361747189</v>
      </c>
    </row>
    <row r="135" spans="2:7" x14ac:dyDescent="0.3">
      <c r="B135" s="52">
        <v>78</v>
      </c>
      <c r="C135" s="33">
        <v>285.1840247827148</v>
      </c>
      <c r="D135" s="52">
        <v>78</v>
      </c>
      <c r="E135" s="33">
        <v>-9.8172839485812133</v>
      </c>
      <c r="F135" s="52">
        <v>78</v>
      </c>
      <c r="G135" s="105">
        <v>124.79948879308432</v>
      </c>
    </row>
    <row r="136" spans="2:7" x14ac:dyDescent="0.3">
      <c r="B136" s="52">
        <v>79</v>
      </c>
      <c r="C136" s="33">
        <v>306.88685554763867</v>
      </c>
      <c r="D136" s="52">
        <v>79</v>
      </c>
      <c r="E136" s="33">
        <v>57.126066500217732</v>
      </c>
      <c r="F136" s="52">
        <v>79</v>
      </c>
      <c r="G136" s="105">
        <v>323.60628520371966</v>
      </c>
    </row>
    <row r="137" spans="2:7" x14ac:dyDescent="0.3">
      <c r="B137" s="52">
        <v>80</v>
      </c>
      <c r="C137" s="33">
        <v>260.8955311693768</v>
      </c>
      <c r="D137" s="52">
        <v>80</v>
      </c>
      <c r="E137" s="33">
        <v>66.020441101340467</v>
      </c>
      <c r="F137" s="52">
        <v>80</v>
      </c>
      <c r="G137" s="105">
        <v>180.09542976968112</v>
      </c>
    </row>
    <row r="138" spans="2:7" x14ac:dyDescent="0.3">
      <c r="B138" s="52">
        <v>81</v>
      </c>
      <c r="C138" s="33">
        <v>278.22495975713855</v>
      </c>
      <c r="D138" s="52">
        <v>81</v>
      </c>
      <c r="E138" s="33">
        <v>-24.522394441388691</v>
      </c>
      <c r="F138" s="52">
        <v>81</v>
      </c>
      <c r="G138" s="105">
        <v>334.14459378502102</v>
      </c>
    </row>
    <row r="139" spans="2:7" x14ac:dyDescent="0.3">
      <c r="B139" s="52">
        <v>82</v>
      </c>
      <c r="C139" s="33">
        <v>369.63794967227716</v>
      </c>
      <c r="D139" s="52">
        <v>82</v>
      </c>
      <c r="E139" s="33">
        <v>47.092487266156098</v>
      </c>
      <c r="F139" s="52">
        <v>82</v>
      </c>
      <c r="G139" s="105">
        <v>75.078325427603403</v>
      </c>
    </row>
    <row r="140" spans="2:7" x14ac:dyDescent="0.3">
      <c r="B140" s="52">
        <v>83</v>
      </c>
      <c r="C140" s="33">
        <v>382.83417373981928</v>
      </c>
      <c r="D140" s="52">
        <v>83</v>
      </c>
      <c r="E140" s="33">
        <v>75.139212684027925</v>
      </c>
      <c r="F140" s="52">
        <v>83</v>
      </c>
      <c r="G140" s="105">
        <v>108.68842718173683</v>
      </c>
    </row>
    <row r="141" spans="2:7" x14ac:dyDescent="0.3">
      <c r="B141" s="52">
        <v>84</v>
      </c>
      <c r="C141" s="33">
        <v>388.10832431548062</v>
      </c>
      <c r="D141" s="52">
        <v>84</v>
      </c>
      <c r="E141" s="33">
        <v>64.518753773211927</v>
      </c>
      <c r="F141" s="52">
        <v>84</v>
      </c>
      <c r="G141" s="105">
        <v>137.2671909390321</v>
      </c>
    </row>
    <row r="142" spans="2:7" x14ac:dyDescent="0.3">
      <c r="B142" s="52">
        <v>85</v>
      </c>
      <c r="C142" s="33">
        <v>171.98467582011173</v>
      </c>
      <c r="D142" s="52">
        <v>85</v>
      </c>
      <c r="E142" s="33">
        <v>35.83909812798418</v>
      </c>
      <c r="F142" s="52">
        <v>85</v>
      </c>
      <c r="G142" s="105">
        <v>99.937182677338356</v>
      </c>
    </row>
    <row r="143" spans="2:7" x14ac:dyDescent="0.3">
      <c r="B143" s="52">
        <v>86</v>
      </c>
      <c r="C143" s="33">
        <v>166.2385012567569</v>
      </c>
      <c r="D143" s="52">
        <v>86</v>
      </c>
      <c r="E143" s="33">
        <v>42.315240138170083</v>
      </c>
      <c r="F143" s="52">
        <v>86</v>
      </c>
      <c r="G143" s="105">
        <v>123.83459059533041</v>
      </c>
    </row>
    <row r="144" spans="2:7" x14ac:dyDescent="0.3">
      <c r="B144" s="52">
        <v>87</v>
      </c>
      <c r="C144" s="33">
        <v>385.88978720249935</v>
      </c>
      <c r="D144" s="52">
        <v>87</v>
      </c>
      <c r="E144" s="33">
        <v>12.116325848499553</v>
      </c>
      <c r="F144" s="52">
        <v>87</v>
      </c>
      <c r="G144" s="105">
        <v>185.16452717641414</v>
      </c>
    </row>
    <row r="145" spans="2:7" x14ac:dyDescent="0.3">
      <c r="B145" s="52">
        <v>88</v>
      </c>
      <c r="C145" s="33">
        <v>161.70420149393999</v>
      </c>
      <c r="D145" s="52">
        <v>88</v>
      </c>
      <c r="E145" s="33">
        <v>13.719831062749314</v>
      </c>
      <c r="F145" s="52">
        <v>88</v>
      </c>
      <c r="G145" s="105">
        <v>495.284348400966</v>
      </c>
    </row>
    <row r="146" spans="2:7" x14ac:dyDescent="0.3">
      <c r="B146" s="52">
        <v>89</v>
      </c>
      <c r="C146" s="33">
        <v>149.58113449419153</v>
      </c>
      <c r="D146" s="52">
        <v>89</v>
      </c>
      <c r="E146" s="33">
        <v>67.037894368633275</v>
      </c>
      <c r="F146" s="52">
        <v>89</v>
      </c>
      <c r="G146" s="105">
        <v>238.16951777045244</v>
      </c>
    </row>
    <row r="147" spans="2:7" x14ac:dyDescent="0.3">
      <c r="B147" s="52">
        <v>90</v>
      </c>
      <c r="C147" s="33">
        <v>95.174391872178376</v>
      </c>
      <c r="D147" s="52">
        <v>90</v>
      </c>
      <c r="E147" s="33">
        <v>38.216709441633199</v>
      </c>
      <c r="F147" s="52">
        <v>90</v>
      </c>
      <c r="G147" s="105">
        <v>148.50686578778749</v>
      </c>
    </row>
    <row r="148" spans="2:7" x14ac:dyDescent="0.3">
      <c r="B148" s="52">
        <v>91</v>
      </c>
      <c r="C148" s="33">
        <v>233.25230453313691</v>
      </c>
      <c r="D148" s="52">
        <v>91</v>
      </c>
      <c r="E148" s="33">
        <v>7.033310694039848</v>
      </c>
      <c r="F148" s="52">
        <v>91</v>
      </c>
      <c r="G148" s="105">
        <v>298.30827871418467</v>
      </c>
    </row>
    <row r="149" spans="2:7" x14ac:dyDescent="0.3">
      <c r="B149" s="52">
        <v>92</v>
      </c>
      <c r="C149" s="33">
        <v>205.91339891031464</v>
      </c>
      <c r="D149" s="52">
        <v>92</v>
      </c>
      <c r="E149" s="33">
        <v>14.120979911250082</v>
      </c>
      <c r="F149" s="52">
        <v>92</v>
      </c>
      <c r="G149" s="105">
        <v>231.05426845692901</v>
      </c>
    </row>
    <row r="150" spans="2:7" x14ac:dyDescent="0.3">
      <c r="B150" s="52">
        <v>93</v>
      </c>
      <c r="C150" s="33">
        <v>62.44437849979748</v>
      </c>
      <c r="D150" s="52">
        <v>93</v>
      </c>
      <c r="E150" s="33">
        <v>36.717356860897951</v>
      </c>
      <c r="F150" s="52">
        <v>93</v>
      </c>
      <c r="G150" s="105">
        <v>266.08827817252416</v>
      </c>
    </row>
    <row r="151" spans="2:7" x14ac:dyDescent="0.3">
      <c r="B151" s="52">
        <v>94</v>
      </c>
      <c r="C151" s="33">
        <v>278.75369584982036</v>
      </c>
      <c r="D151" s="52">
        <v>94</v>
      </c>
      <c r="E151" s="33">
        <v>39.486285493603198</v>
      </c>
      <c r="F151" s="52">
        <v>94</v>
      </c>
      <c r="G151" s="105">
        <v>32.456047406425256</v>
      </c>
    </row>
    <row r="152" spans="2:7" x14ac:dyDescent="0.3">
      <c r="B152" s="52">
        <v>95</v>
      </c>
      <c r="C152" s="33">
        <v>188.45283110113149</v>
      </c>
      <c r="D152" s="52">
        <v>95</v>
      </c>
      <c r="E152" s="33">
        <v>55.985444140974913</v>
      </c>
      <c r="F152" s="52">
        <v>95</v>
      </c>
      <c r="G152" s="105">
        <v>225.67242974729277</v>
      </c>
    </row>
    <row r="153" spans="2:7" x14ac:dyDescent="0.3">
      <c r="B153" s="52">
        <v>96</v>
      </c>
      <c r="C153" s="33">
        <v>211.05981801988611</v>
      </c>
      <c r="D153" s="52">
        <v>96</v>
      </c>
      <c r="E153" s="33">
        <v>41.180815174668332</v>
      </c>
      <c r="F153" s="52">
        <v>96</v>
      </c>
      <c r="G153" s="105">
        <v>178.22143874401269</v>
      </c>
    </row>
    <row r="154" spans="2:7" x14ac:dyDescent="0.3">
      <c r="B154" s="52">
        <v>97</v>
      </c>
      <c r="C154" s="33">
        <v>-33.106695731115991</v>
      </c>
      <c r="D154" s="52">
        <v>97</v>
      </c>
      <c r="E154" s="33">
        <v>21.115966852103409</v>
      </c>
      <c r="F154" s="52">
        <v>97</v>
      </c>
      <c r="G154" s="105">
        <v>249.71307766468223</v>
      </c>
    </row>
    <row r="155" spans="2:7" x14ac:dyDescent="0.3">
      <c r="B155" s="52">
        <v>98</v>
      </c>
      <c r="C155" s="33">
        <v>250.67298112075332</v>
      </c>
      <c r="D155" s="52">
        <v>98</v>
      </c>
      <c r="E155" s="33">
        <v>16.488329446735449</v>
      </c>
      <c r="F155" s="52">
        <v>98</v>
      </c>
      <c r="G155" s="105">
        <v>233.52345326106786</v>
      </c>
    </row>
    <row r="156" spans="2:7" x14ac:dyDescent="0.3">
      <c r="B156" s="52">
        <v>99</v>
      </c>
      <c r="C156" s="33">
        <v>141.51987838829754</v>
      </c>
      <c r="D156" s="52">
        <v>99</v>
      </c>
      <c r="E156" s="33">
        <v>38.684161443775594</v>
      </c>
      <c r="F156" s="52">
        <v>99</v>
      </c>
      <c r="G156" s="105">
        <v>175.47515090557908</v>
      </c>
    </row>
    <row r="157" spans="2:7" x14ac:dyDescent="0.3">
      <c r="B157" s="52">
        <v>100</v>
      </c>
      <c r="C157" s="33">
        <v>277.78013237413057</v>
      </c>
      <c r="D157" s="52">
        <v>100</v>
      </c>
      <c r="E157" s="33">
        <v>7.3643428025187134</v>
      </c>
      <c r="F157" s="52">
        <v>100</v>
      </c>
      <c r="G157" s="105">
        <v>306.11651143359478</v>
      </c>
    </row>
    <row r="158" spans="2:7" x14ac:dyDescent="0.3">
      <c r="B158" s="52">
        <v>101</v>
      </c>
      <c r="C158" s="33">
        <v>-66.644138814023364</v>
      </c>
      <c r="D158" s="52">
        <v>101</v>
      </c>
      <c r="E158" s="33">
        <v>57.525954041184143</v>
      </c>
      <c r="F158" s="52">
        <v>101</v>
      </c>
      <c r="G158" s="105">
        <v>197.63887300236624</v>
      </c>
    </row>
    <row r="159" spans="2:7" x14ac:dyDescent="0.3">
      <c r="B159" s="52">
        <v>102</v>
      </c>
      <c r="C159" s="33">
        <v>374.49169193032412</v>
      </c>
      <c r="D159" s="52">
        <v>102</v>
      </c>
      <c r="E159" s="33">
        <v>27.621309454630044</v>
      </c>
      <c r="F159" s="52">
        <v>102</v>
      </c>
      <c r="G159" s="105">
        <v>88.435379037615334</v>
      </c>
    </row>
    <row r="160" spans="2:7" x14ac:dyDescent="0.3">
      <c r="B160" s="52">
        <v>103</v>
      </c>
      <c r="C160" s="33">
        <v>314.56304654447678</v>
      </c>
      <c r="D160" s="52">
        <v>103</v>
      </c>
      <c r="E160" s="33">
        <v>20.528975968660845</v>
      </c>
      <c r="F160" s="52">
        <v>103</v>
      </c>
      <c r="G160" s="105">
        <v>292.53640500064978</v>
      </c>
    </row>
    <row r="161" spans="2:7" x14ac:dyDescent="0.3">
      <c r="B161" s="52">
        <v>104</v>
      </c>
      <c r="C161" s="33">
        <v>123.59390409565371</v>
      </c>
      <c r="D161" s="52">
        <v>104</v>
      </c>
      <c r="E161" s="33">
        <v>-13.937833052339727</v>
      </c>
      <c r="F161" s="52">
        <v>104</v>
      </c>
      <c r="G161" s="105">
        <v>243.16567123992155</v>
      </c>
    </row>
    <row r="162" spans="2:7" x14ac:dyDescent="0.3">
      <c r="B162" s="52">
        <v>105</v>
      </c>
      <c r="C162" s="33">
        <v>193.10045738980028</v>
      </c>
      <c r="D162" s="52">
        <v>105</v>
      </c>
      <c r="E162" s="33">
        <v>-12.755157123852001</v>
      </c>
      <c r="F162" s="52">
        <v>105</v>
      </c>
      <c r="G162" s="105">
        <v>315.16331521079962</v>
      </c>
    </row>
    <row r="163" spans="2:7" x14ac:dyDescent="0.3">
      <c r="B163" s="52">
        <v>106</v>
      </c>
      <c r="C163" s="33">
        <v>315.65513629581341</v>
      </c>
      <c r="D163" s="52">
        <v>106</v>
      </c>
      <c r="E163" s="33">
        <v>20.536752293283648</v>
      </c>
      <c r="F163" s="52">
        <v>106</v>
      </c>
      <c r="G163" s="105">
        <v>201.43158038594157</v>
      </c>
    </row>
    <row r="164" spans="2:7" x14ac:dyDescent="0.3">
      <c r="B164" s="52">
        <v>107</v>
      </c>
      <c r="C164" s="33">
        <v>165.52598341344435</v>
      </c>
      <c r="D164" s="52">
        <v>107</v>
      </c>
      <c r="E164" s="33">
        <v>55.022528671673143</v>
      </c>
      <c r="F164" s="52">
        <v>107</v>
      </c>
      <c r="G164" s="105">
        <v>284.40218565657108</v>
      </c>
    </row>
    <row r="165" spans="2:7" x14ac:dyDescent="0.3">
      <c r="B165" s="52">
        <v>108</v>
      </c>
      <c r="C165" s="33">
        <v>243.69114488589327</v>
      </c>
      <c r="D165" s="52">
        <v>108</v>
      </c>
      <c r="E165" s="33">
        <v>25.058943051973003</v>
      </c>
      <c r="F165" s="52">
        <v>108</v>
      </c>
      <c r="G165" s="105">
        <v>330.45904383131978</v>
      </c>
    </row>
    <row r="166" spans="2:7" x14ac:dyDescent="0.3">
      <c r="B166" s="52">
        <v>109</v>
      </c>
      <c r="C166" s="33">
        <v>194.97716536458066</v>
      </c>
      <c r="D166" s="52">
        <v>109</v>
      </c>
      <c r="E166" s="33">
        <v>19.627078675240039</v>
      </c>
      <c r="F166" s="52">
        <v>109</v>
      </c>
      <c r="G166" s="105">
        <v>202.33376048911259</v>
      </c>
    </row>
    <row r="167" spans="2:7" x14ac:dyDescent="0.3">
      <c r="B167" s="52">
        <v>110</v>
      </c>
      <c r="C167" s="33">
        <v>224.80904739031979</v>
      </c>
      <c r="D167" s="52">
        <v>110</v>
      </c>
      <c r="E167" s="33">
        <v>11.605251188067655</v>
      </c>
      <c r="F167" s="52">
        <v>110</v>
      </c>
      <c r="G167" s="105">
        <v>278.01447962197005</v>
      </c>
    </row>
    <row r="168" spans="2:7" x14ac:dyDescent="0.3">
      <c r="B168" s="52">
        <v>111</v>
      </c>
      <c r="C168" s="33">
        <v>170.16553778997434</v>
      </c>
      <c r="D168" s="52">
        <v>111</v>
      </c>
      <c r="E168" s="33">
        <v>62.748144056016102</v>
      </c>
      <c r="F168" s="52">
        <v>111</v>
      </c>
      <c r="G168" s="105">
        <v>246.76422311572031</v>
      </c>
    </row>
    <row r="169" spans="2:7" x14ac:dyDescent="0.3">
      <c r="B169" s="52">
        <v>112</v>
      </c>
      <c r="C169" s="33">
        <v>349.15175121098787</v>
      </c>
      <c r="D169" s="52">
        <v>112</v>
      </c>
      <c r="E169" s="33">
        <v>9.7297584446077465</v>
      </c>
      <c r="F169" s="52">
        <v>112</v>
      </c>
      <c r="G169" s="105">
        <v>293.73574805646547</v>
      </c>
    </row>
    <row r="170" spans="2:7" x14ac:dyDescent="0.3">
      <c r="B170" s="52">
        <v>113</v>
      </c>
      <c r="C170" s="33">
        <v>295.12471717121628</v>
      </c>
      <c r="D170" s="52">
        <v>113</v>
      </c>
      <c r="E170" s="33">
        <v>-5.0123609913018612</v>
      </c>
      <c r="F170" s="52">
        <v>113</v>
      </c>
      <c r="G170" s="105">
        <v>349.61319086502044</v>
      </c>
    </row>
    <row r="171" spans="2:7" x14ac:dyDescent="0.3">
      <c r="B171" s="52">
        <v>114</v>
      </c>
      <c r="C171" s="33">
        <v>201.02462818082935</v>
      </c>
      <c r="D171" s="52">
        <v>114</v>
      </c>
      <c r="E171" s="33">
        <v>0.45182860656412771</v>
      </c>
      <c r="F171" s="52">
        <v>114</v>
      </c>
      <c r="G171" s="105">
        <v>242.989436601096</v>
      </c>
    </row>
    <row r="172" spans="2:7" x14ac:dyDescent="0.3">
      <c r="B172" s="52">
        <v>115</v>
      </c>
      <c r="C172" s="33">
        <v>264.77144423267816</v>
      </c>
      <c r="D172" s="52">
        <v>115</v>
      </c>
      <c r="E172" s="33">
        <v>43.148938604595841</v>
      </c>
      <c r="F172" s="52">
        <v>115</v>
      </c>
      <c r="G172" s="105">
        <v>248.73961275811322</v>
      </c>
    </row>
    <row r="173" spans="2:7" x14ac:dyDescent="0.3">
      <c r="B173" s="52">
        <v>116</v>
      </c>
      <c r="C173" s="33">
        <v>231.68735158902217</v>
      </c>
      <c r="D173" s="52">
        <v>116</v>
      </c>
      <c r="E173" s="33">
        <v>49.648920106791508</v>
      </c>
      <c r="F173" s="52">
        <v>116</v>
      </c>
      <c r="G173" s="105">
        <v>236.6693067668682</v>
      </c>
    </row>
    <row r="174" spans="2:7" x14ac:dyDescent="0.3">
      <c r="B174" s="52">
        <v>117</v>
      </c>
      <c r="C174" s="33">
        <v>72.622837030357886</v>
      </c>
      <c r="D174" s="52">
        <v>117</v>
      </c>
      <c r="E174" s="33">
        <v>87.117185915906717</v>
      </c>
      <c r="F174" s="52">
        <v>117</v>
      </c>
      <c r="G174" s="105">
        <v>145.49523482140043</v>
      </c>
    </row>
    <row r="175" spans="2:7" x14ac:dyDescent="0.3">
      <c r="B175" s="52">
        <v>118</v>
      </c>
      <c r="C175" s="33">
        <v>363.95177420484532</v>
      </c>
      <c r="D175" s="52">
        <v>118</v>
      </c>
      <c r="E175" s="33">
        <v>31.410568129875166</v>
      </c>
      <c r="F175" s="52">
        <v>118</v>
      </c>
      <c r="G175" s="105">
        <v>91.860691589246287</v>
      </c>
    </row>
    <row r="176" spans="2:7" x14ac:dyDescent="0.3">
      <c r="B176" s="52">
        <v>119</v>
      </c>
      <c r="C176" s="33">
        <v>131.30383413656665</v>
      </c>
      <c r="D176" s="52">
        <v>119</v>
      </c>
      <c r="E176" s="33">
        <v>62.241720357126809</v>
      </c>
      <c r="F176" s="52">
        <v>119</v>
      </c>
      <c r="G176" s="105">
        <v>170.13609597768041</v>
      </c>
    </row>
    <row r="177" spans="2:7" x14ac:dyDescent="0.3">
      <c r="B177" s="52">
        <v>120</v>
      </c>
      <c r="C177" s="33">
        <v>118.0655671748182</v>
      </c>
      <c r="D177" s="52">
        <v>120</v>
      </c>
      <c r="E177" s="33">
        <v>89.847308129588896</v>
      </c>
      <c r="F177" s="52">
        <v>120</v>
      </c>
      <c r="G177" s="105">
        <v>242.34498208476026</v>
      </c>
    </row>
    <row r="178" spans="2:7" x14ac:dyDescent="0.3">
      <c r="B178" s="52">
        <v>121</v>
      </c>
      <c r="C178" s="33">
        <v>204.37673816976599</v>
      </c>
      <c r="D178" s="52">
        <v>121</v>
      </c>
      <c r="E178" s="33">
        <v>-2.2416949157057857</v>
      </c>
      <c r="F178" s="52">
        <v>121</v>
      </c>
      <c r="G178" s="105">
        <v>284.06003100756567</v>
      </c>
    </row>
    <row r="179" spans="2:7" x14ac:dyDescent="0.3">
      <c r="B179" s="52">
        <v>122</v>
      </c>
      <c r="C179" s="33">
        <v>309.0392581431808</v>
      </c>
      <c r="D179" s="52">
        <v>122</v>
      </c>
      <c r="E179" s="33">
        <v>1.4222040667903642</v>
      </c>
      <c r="F179" s="52">
        <v>122</v>
      </c>
      <c r="G179" s="105">
        <v>156.50461158699434</v>
      </c>
    </row>
    <row r="180" spans="2:7" x14ac:dyDescent="0.3">
      <c r="B180" s="52">
        <v>123</v>
      </c>
      <c r="C180" s="33">
        <v>290.03276288065473</v>
      </c>
      <c r="D180" s="52">
        <v>123</v>
      </c>
      <c r="E180" s="33">
        <v>41.06465078511124</v>
      </c>
      <c r="F180" s="52">
        <v>123</v>
      </c>
      <c r="G180" s="105">
        <v>167.29866432450228</v>
      </c>
    </row>
    <row r="181" spans="2:7" x14ac:dyDescent="0.3">
      <c r="B181" s="52">
        <v>124</v>
      </c>
      <c r="C181" s="33">
        <v>259.72432699546681</v>
      </c>
      <c r="D181" s="52">
        <v>124</v>
      </c>
      <c r="E181" s="33">
        <v>102.83024238446293</v>
      </c>
      <c r="F181" s="52">
        <v>124</v>
      </c>
      <c r="G181" s="105">
        <v>216.47574772940658</v>
      </c>
    </row>
    <row r="182" spans="2:7" x14ac:dyDescent="0.3">
      <c r="B182" s="52">
        <v>125</v>
      </c>
      <c r="C182" s="33">
        <v>237.86885359703771</v>
      </c>
      <c r="D182" s="52">
        <v>125</v>
      </c>
      <c r="E182" s="33">
        <v>34.707543384567117</v>
      </c>
      <c r="F182" s="52">
        <v>125</v>
      </c>
      <c r="G182" s="105">
        <v>167.1938189194185</v>
      </c>
    </row>
    <row r="183" spans="2:7" x14ac:dyDescent="0.3">
      <c r="B183" s="52">
        <v>126</v>
      </c>
      <c r="C183" s="33">
        <v>195.76333398337462</v>
      </c>
      <c r="D183" s="52">
        <v>126</v>
      </c>
      <c r="E183" s="33">
        <v>19.124356464439639</v>
      </c>
      <c r="F183" s="52">
        <v>126</v>
      </c>
      <c r="G183" s="105">
        <v>177.66360263042017</v>
      </c>
    </row>
    <row r="184" spans="2:7" x14ac:dyDescent="0.3">
      <c r="B184" s="52">
        <v>127</v>
      </c>
      <c r="C184" s="33">
        <v>119.47793833109918</v>
      </c>
      <c r="D184" s="52">
        <v>127</v>
      </c>
      <c r="E184" s="33">
        <v>55.502370695827395</v>
      </c>
      <c r="F184" s="52">
        <v>127</v>
      </c>
      <c r="G184" s="105">
        <v>360.27159824108287</v>
      </c>
    </row>
    <row r="185" spans="2:7" x14ac:dyDescent="0.3">
      <c r="B185" s="52">
        <v>128</v>
      </c>
      <c r="C185" s="33">
        <v>179.2445436373041</v>
      </c>
      <c r="D185" s="52">
        <v>128</v>
      </c>
      <c r="E185" s="33">
        <v>71.319592859841023</v>
      </c>
      <c r="F185" s="52">
        <v>128</v>
      </c>
      <c r="G185" s="105">
        <v>337.95679765575727</v>
      </c>
    </row>
    <row r="186" spans="2:7" x14ac:dyDescent="0.3">
      <c r="B186" s="52">
        <v>129</v>
      </c>
      <c r="C186" s="33">
        <v>241.89254465781769</v>
      </c>
      <c r="D186" s="52">
        <v>129</v>
      </c>
      <c r="E186" s="33">
        <v>35.995436288363997</v>
      </c>
      <c r="F186" s="52">
        <v>129</v>
      </c>
      <c r="G186" s="105">
        <v>237.7973228305967</v>
      </c>
    </row>
    <row r="187" spans="2:7" x14ac:dyDescent="0.3">
      <c r="B187" s="52">
        <v>130</v>
      </c>
      <c r="C187" s="33">
        <v>355.11891766396957</v>
      </c>
      <c r="D187" s="52">
        <v>130</v>
      </c>
      <c r="E187" s="33">
        <v>27.764566394825728</v>
      </c>
      <c r="F187" s="52">
        <v>130</v>
      </c>
      <c r="G187" s="105">
        <v>124.56175186111255</v>
      </c>
    </row>
    <row r="188" spans="2:7" x14ac:dyDescent="0.3">
      <c r="B188" s="52">
        <v>131</v>
      </c>
      <c r="C188" s="33">
        <v>211.60244061664832</v>
      </c>
      <c r="D188" s="52">
        <v>131</v>
      </c>
      <c r="E188" s="33">
        <v>76.811217533579836</v>
      </c>
      <c r="F188" s="52">
        <v>131</v>
      </c>
      <c r="G188" s="105">
        <v>108.63120440535873</v>
      </c>
    </row>
    <row r="189" spans="2:7" x14ac:dyDescent="0.3">
      <c r="B189" s="52">
        <v>132</v>
      </c>
      <c r="C189" s="33">
        <v>239.85808803096575</v>
      </c>
      <c r="D189" s="52">
        <v>132</v>
      </c>
      <c r="E189" s="33">
        <v>50.117026184173007</v>
      </c>
      <c r="F189" s="52">
        <v>132</v>
      </c>
      <c r="G189" s="105">
        <v>194.5322549422421</v>
      </c>
    </row>
    <row r="190" spans="2:7" x14ac:dyDescent="0.3">
      <c r="B190" s="52">
        <v>133</v>
      </c>
      <c r="C190" s="33">
        <v>252.29511672017264</v>
      </c>
      <c r="D190" s="52">
        <v>133</v>
      </c>
      <c r="E190" s="33">
        <v>35.115371491589769</v>
      </c>
      <c r="F190" s="52">
        <v>133</v>
      </c>
      <c r="G190" s="105">
        <v>235.70029256229174</v>
      </c>
    </row>
    <row r="191" spans="2:7" x14ac:dyDescent="0.3">
      <c r="B191" s="52">
        <v>134</v>
      </c>
      <c r="C191" s="33">
        <v>332.14756166868199</v>
      </c>
      <c r="D191" s="52">
        <v>134</v>
      </c>
      <c r="E191" s="33">
        <v>42.067160840734999</v>
      </c>
      <c r="F191" s="52">
        <v>134</v>
      </c>
      <c r="G191" s="105">
        <v>173.90059213928942</v>
      </c>
    </row>
    <row r="192" spans="2:7" x14ac:dyDescent="0.3">
      <c r="B192" s="52">
        <v>135</v>
      </c>
      <c r="C192" s="33">
        <v>189.10793272633271</v>
      </c>
      <c r="D192" s="52">
        <v>135</v>
      </c>
      <c r="E192" s="33">
        <v>5.5928523904845662</v>
      </c>
      <c r="F192" s="52">
        <v>135</v>
      </c>
      <c r="G192" s="105">
        <v>213.78780027323077</v>
      </c>
    </row>
    <row r="193" spans="2:7" x14ac:dyDescent="0.3">
      <c r="B193" s="52">
        <v>136</v>
      </c>
      <c r="C193" s="33">
        <v>173.82296087733499</v>
      </c>
      <c r="D193" s="52">
        <v>136</v>
      </c>
      <c r="E193" s="33">
        <v>85.096369170373578</v>
      </c>
      <c r="F193" s="52">
        <v>136</v>
      </c>
      <c r="G193" s="105">
        <v>73.585064009649216</v>
      </c>
    </row>
    <row r="194" spans="2:7" x14ac:dyDescent="0.3">
      <c r="B194" s="52">
        <v>137</v>
      </c>
      <c r="C194" s="33">
        <v>202.99737983983869</v>
      </c>
      <c r="D194" s="52">
        <v>137</v>
      </c>
      <c r="E194" s="33">
        <v>4.7679241226676439</v>
      </c>
      <c r="F194" s="52">
        <v>137</v>
      </c>
      <c r="G194" s="105">
        <v>117.00551505080627</v>
      </c>
    </row>
    <row r="195" spans="2:7" x14ac:dyDescent="0.3">
      <c r="B195" s="52">
        <v>138</v>
      </c>
      <c r="C195" s="33">
        <v>183.3030233246964</v>
      </c>
      <c r="D195" s="52">
        <v>138</v>
      </c>
      <c r="E195" s="33">
        <v>11.904223682572344</v>
      </c>
      <c r="F195" s="52">
        <v>138</v>
      </c>
      <c r="G195" s="105">
        <v>133.27226174018924</v>
      </c>
    </row>
    <row r="196" spans="2:7" x14ac:dyDescent="0.3">
      <c r="B196" s="52">
        <v>139</v>
      </c>
      <c r="C196" s="33">
        <v>118.92466723796915</v>
      </c>
      <c r="D196" s="52">
        <v>139</v>
      </c>
      <c r="E196" s="33">
        <v>28.223426893182307</v>
      </c>
      <c r="F196" s="52">
        <v>139</v>
      </c>
      <c r="G196" s="105">
        <v>131.54492137171587</v>
      </c>
    </row>
    <row r="197" spans="2:7" x14ac:dyDescent="0.3">
      <c r="B197" s="52">
        <v>140</v>
      </c>
      <c r="C197" s="33">
        <v>325.29263883501807</v>
      </c>
      <c r="D197" s="52">
        <v>140</v>
      </c>
      <c r="E197" s="33">
        <v>1.9122259876679131</v>
      </c>
      <c r="F197" s="52">
        <v>140</v>
      </c>
      <c r="G197" s="105">
        <v>272.87595959967939</v>
      </c>
    </row>
    <row r="198" spans="2:7" x14ac:dyDescent="0.3">
      <c r="B198" s="52">
        <v>141</v>
      </c>
      <c r="C198" s="33">
        <v>293.00348438932878</v>
      </c>
      <c r="D198" s="52">
        <v>141</v>
      </c>
      <c r="E198" s="33">
        <v>12.115226596818047</v>
      </c>
      <c r="F198" s="52">
        <v>141</v>
      </c>
      <c r="G198" s="105">
        <v>224.33960825167122</v>
      </c>
    </row>
    <row r="199" spans="2:7" x14ac:dyDescent="0.3">
      <c r="B199" s="52">
        <v>142</v>
      </c>
      <c r="C199" s="33">
        <v>179.79455892765031</v>
      </c>
      <c r="D199" s="52">
        <v>142</v>
      </c>
      <c r="E199" s="33">
        <v>35.152917203086503</v>
      </c>
      <c r="F199" s="52">
        <v>142</v>
      </c>
      <c r="G199" s="105">
        <v>301.82093661073162</v>
      </c>
    </row>
    <row r="200" spans="2:7" x14ac:dyDescent="0.3">
      <c r="B200" s="52">
        <v>143</v>
      </c>
      <c r="C200" s="33">
        <v>221.68304203035422</v>
      </c>
      <c r="D200" s="52">
        <v>143</v>
      </c>
      <c r="E200" s="33">
        <v>18.696828424809972</v>
      </c>
      <c r="F200" s="52">
        <v>143</v>
      </c>
      <c r="G200" s="105">
        <v>257.63820855758519</v>
      </c>
    </row>
    <row r="201" spans="2:7" x14ac:dyDescent="0.3">
      <c r="B201" s="52">
        <v>144</v>
      </c>
      <c r="C201" s="33">
        <v>219.3021285401839</v>
      </c>
      <c r="D201" s="52">
        <v>144</v>
      </c>
      <c r="E201" s="33">
        <v>51.787590036461879</v>
      </c>
      <c r="F201" s="52">
        <v>144</v>
      </c>
      <c r="G201" s="105">
        <v>339.01176877670434</v>
      </c>
    </row>
    <row r="202" spans="2:7" x14ac:dyDescent="0.3">
      <c r="B202" s="52">
        <v>145</v>
      </c>
      <c r="C202" s="33">
        <v>186.4259907516217</v>
      </c>
      <c r="D202" s="52">
        <v>145</v>
      </c>
      <c r="E202" s="33">
        <v>33.048044457791349</v>
      </c>
      <c r="F202" s="52">
        <v>145</v>
      </c>
      <c r="G202" s="105">
        <v>263.89254364445907</v>
      </c>
    </row>
    <row r="203" spans="2:7" x14ac:dyDescent="0.3">
      <c r="B203" s="52">
        <v>146</v>
      </c>
      <c r="C203" s="33">
        <v>128.16979603642241</v>
      </c>
      <c r="D203" s="52">
        <v>146</v>
      </c>
      <c r="E203" s="33">
        <v>60.359453996665593</v>
      </c>
      <c r="F203" s="52">
        <v>146</v>
      </c>
      <c r="G203" s="105">
        <v>217.37056491002662</v>
      </c>
    </row>
    <row r="204" spans="2:7" x14ac:dyDescent="0.3">
      <c r="B204" s="52">
        <v>147</v>
      </c>
      <c r="C204" s="33">
        <v>203.17676608525673</v>
      </c>
      <c r="D204" s="52">
        <v>147</v>
      </c>
      <c r="E204" s="33">
        <v>1.779719455678098</v>
      </c>
      <c r="F204" s="52">
        <v>147</v>
      </c>
      <c r="G204" s="105">
        <v>238.13114596062479</v>
      </c>
    </row>
    <row r="205" spans="2:7" x14ac:dyDescent="0.3">
      <c r="B205" s="52">
        <v>148</v>
      </c>
      <c r="C205" s="33">
        <v>227.97398306849783</v>
      </c>
      <c r="D205" s="52">
        <v>148</v>
      </c>
      <c r="E205" s="33">
        <v>73.900132532425786</v>
      </c>
      <c r="F205" s="52">
        <v>148</v>
      </c>
      <c r="G205" s="105">
        <v>146.66023476435231</v>
      </c>
    </row>
    <row r="206" spans="2:7" x14ac:dyDescent="0.3">
      <c r="B206" s="52">
        <v>149</v>
      </c>
      <c r="C206" s="33">
        <v>329.66951581129928</v>
      </c>
      <c r="D206" s="52">
        <v>149</v>
      </c>
      <c r="E206" s="33">
        <v>9.3309806918317264</v>
      </c>
      <c r="F206" s="52">
        <v>149</v>
      </c>
      <c r="G206" s="105">
        <v>302.55792702803546</v>
      </c>
    </row>
    <row r="207" spans="2:7" x14ac:dyDescent="0.3">
      <c r="B207" s="52">
        <v>150</v>
      </c>
      <c r="C207" s="33">
        <v>340.93388193043836</v>
      </c>
      <c r="D207" s="52">
        <v>150</v>
      </c>
      <c r="E207" s="33">
        <v>30.716104229601598</v>
      </c>
      <c r="F207" s="52">
        <v>150</v>
      </c>
      <c r="G207" s="105">
        <v>328.62484007625068</v>
      </c>
    </row>
    <row r="208" spans="2:7" x14ac:dyDescent="0.3">
      <c r="B208" s="52">
        <v>151</v>
      </c>
      <c r="C208" s="33">
        <v>199.27679096315521</v>
      </c>
      <c r="D208" s="52">
        <v>151</v>
      </c>
      <c r="E208" s="33">
        <v>0.33206798917790792</v>
      </c>
      <c r="F208" s="52">
        <v>151</v>
      </c>
      <c r="G208" s="105">
        <v>248.98773001314973</v>
      </c>
    </row>
    <row r="209" spans="2:7" x14ac:dyDescent="0.3">
      <c r="B209" s="52">
        <v>152</v>
      </c>
      <c r="C209" s="33">
        <v>88.033513872987498</v>
      </c>
      <c r="D209" s="52">
        <v>152</v>
      </c>
      <c r="E209" s="33">
        <v>66.971821275767994</v>
      </c>
      <c r="F209" s="52">
        <v>152</v>
      </c>
      <c r="G209" s="105">
        <v>267.35693909188842</v>
      </c>
    </row>
    <row r="210" spans="2:7" x14ac:dyDescent="0.3">
      <c r="B210" s="52">
        <v>153</v>
      </c>
      <c r="C210" s="33">
        <v>248.84357771507067</v>
      </c>
      <c r="D210" s="52">
        <v>153</v>
      </c>
      <c r="E210" s="33">
        <v>22.53309948780117</v>
      </c>
      <c r="F210" s="52">
        <v>153</v>
      </c>
      <c r="G210" s="105">
        <v>274.41716095030006</v>
      </c>
    </row>
    <row r="211" spans="2:7" x14ac:dyDescent="0.3">
      <c r="B211" s="52">
        <v>154</v>
      </c>
      <c r="C211" s="33">
        <v>176.38798075089352</v>
      </c>
      <c r="D211" s="52">
        <v>154</v>
      </c>
      <c r="E211" s="33">
        <v>26.084599853774908</v>
      </c>
      <c r="F211" s="52">
        <v>154</v>
      </c>
      <c r="G211" s="105">
        <v>183.21369195127548</v>
      </c>
    </row>
    <row r="212" spans="2:7" x14ac:dyDescent="0.3">
      <c r="B212" s="52">
        <v>155</v>
      </c>
      <c r="C212" s="33">
        <v>294.99697784939508</v>
      </c>
      <c r="D212" s="52">
        <v>155</v>
      </c>
      <c r="E212" s="33">
        <v>82.693279090008531</v>
      </c>
      <c r="F212" s="52">
        <v>155</v>
      </c>
      <c r="G212" s="105">
        <v>310.77963897050205</v>
      </c>
    </row>
    <row r="213" spans="2:7" x14ac:dyDescent="0.3">
      <c r="B213" s="52">
        <v>156</v>
      </c>
      <c r="C213" s="33">
        <v>193.22548088103821</v>
      </c>
      <c r="D213" s="52">
        <v>156</v>
      </c>
      <c r="E213" s="33">
        <v>41.025827146173654</v>
      </c>
      <c r="F213" s="52">
        <v>156</v>
      </c>
      <c r="G213" s="105">
        <v>223.25043944343599</v>
      </c>
    </row>
    <row r="214" spans="2:7" x14ac:dyDescent="0.3">
      <c r="B214" s="52">
        <v>157</v>
      </c>
      <c r="C214" s="33">
        <v>261.09604213975376</v>
      </c>
      <c r="D214" s="52">
        <v>157</v>
      </c>
      <c r="E214" s="33">
        <v>30.499219811576268</v>
      </c>
      <c r="F214" s="52">
        <v>157</v>
      </c>
      <c r="G214" s="105">
        <v>173.27751573229165</v>
      </c>
    </row>
    <row r="215" spans="2:7" x14ac:dyDescent="0.3">
      <c r="B215" s="52">
        <v>158</v>
      </c>
      <c r="C215" s="33">
        <v>192.75363683279224</v>
      </c>
      <c r="D215" s="52">
        <v>158</v>
      </c>
      <c r="E215" s="33">
        <v>46.3020176641093</v>
      </c>
      <c r="F215" s="52">
        <v>158</v>
      </c>
      <c r="G215" s="105">
        <v>53.091708537728891</v>
      </c>
    </row>
    <row r="216" spans="2:7" x14ac:dyDescent="0.3">
      <c r="B216" s="52">
        <v>159</v>
      </c>
      <c r="C216" s="33">
        <v>277.47359468115053</v>
      </c>
      <c r="D216" s="52">
        <v>159</v>
      </c>
      <c r="E216" s="33">
        <v>62.643732440547154</v>
      </c>
      <c r="F216" s="52">
        <v>159</v>
      </c>
      <c r="G216" s="105">
        <v>86.074542541190141</v>
      </c>
    </row>
    <row r="217" spans="2:7" x14ac:dyDescent="0.3">
      <c r="B217" s="52">
        <v>160</v>
      </c>
      <c r="C217" s="33">
        <v>162.1423464738622</v>
      </c>
      <c r="D217" s="52">
        <v>160</v>
      </c>
      <c r="E217" s="33">
        <v>33.324384543563909</v>
      </c>
      <c r="F217" s="52">
        <v>160</v>
      </c>
      <c r="G217" s="105">
        <v>190.26573504878922</v>
      </c>
    </row>
    <row r="218" spans="2:7" x14ac:dyDescent="0.3">
      <c r="B218" s="52">
        <v>161</v>
      </c>
      <c r="C218" s="33">
        <v>199.36784334032126</v>
      </c>
      <c r="D218" s="52">
        <v>161</v>
      </c>
      <c r="E218" s="33">
        <v>69.484647826062997</v>
      </c>
      <c r="F218" s="52">
        <v>161</v>
      </c>
      <c r="G218" s="105">
        <v>109.9606629022089</v>
      </c>
    </row>
    <row r="219" spans="2:7" x14ac:dyDescent="0.3">
      <c r="B219" s="52">
        <v>162</v>
      </c>
      <c r="C219" s="33">
        <v>216.16524130291725</v>
      </c>
      <c r="D219" s="52">
        <v>162</v>
      </c>
      <c r="E219" s="33">
        <v>87.120161879782714</v>
      </c>
      <c r="F219" s="52">
        <v>162</v>
      </c>
      <c r="G219" s="105">
        <v>159.95385889326798</v>
      </c>
    </row>
    <row r="220" spans="2:7" x14ac:dyDescent="0.3">
      <c r="B220" s="52">
        <v>163</v>
      </c>
      <c r="C220" s="33">
        <v>122.76670187980048</v>
      </c>
      <c r="D220" s="52">
        <v>163</v>
      </c>
      <c r="E220" s="33">
        <v>29.732643626134521</v>
      </c>
      <c r="F220" s="52">
        <v>163</v>
      </c>
      <c r="G220" s="105">
        <v>111.74316572006222</v>
      </c>
    </row>
    <row r="221" spans="2:7" x14ac:dyDescent="0.3">
      <c r="B221" s="52">
        <v>164</v>
      </c>
      <c r="C221" s="33">
        <v>227.10625185494962</v>
      </c>
      <c r="D221" s="52">
        <v>164</v>
      </c>
      <c r="E221" s="33">
        <v>12.162632486626293</v>
      </c>
      <c r="F221" s="52">
        <v>164</v>
      </c>
      <c r="G221" s="105">
        <v>294.83056461688994</v>
      </c>
    </row>
    <row r="222" spans="2:7" x14ac:dyDescent="0.3">
      <c r="B222" s="52">
        <v>165</v>
      </c>
      <c r="C222" s="33">
        <v>224.01693900368807</v>
      </c>
      <c r="D222" s="52">
        <v>165</v>
      </c>
      <c r="E222" s="33">
        <v>1.7136391824232007</v>
      </c>
      <c r="F222" s="52">
        <v>165</v>
      </c>
      <c r="G222" s="105">
        <v>207.9523128701077</v>
      </c>
    </row>
    <row r="223" spans="2:7" x14ac:dyDescent="0.3">
      <c r="B223" s="52">
        <v>166</v>
      </c>
      <c r="C223" s="33">
        <v>209.2350836572339</v>
      </c>
      <c r="D223" s="52">
        <v>166</v>
      </c>
      <c r="E223" s="33">
        <v>27.940642892218118</v>
      </c>
      <c r="F223" s="52">
        <v>166</v>
      </c>
      <c r="G223" s="105">
        <v>101.21826206055867</v>
      </c>
    </row>
    <row r="224" spans="2:7" x14ac:dyDescent="0.3">
      <c r="B224" s="52">
        <v>167</v>
      </c>
      <c r="C224" s="33">
        <v>189.80768050107139</v>
      </c>
      <c r="D224" s="52">
        <v>167</v>
      </c>
      <c r="E224" s="33">
        <v>67.462367935522508</v>
      </c>
      <c r="F224" s="52">
        <v>167</v>
      </c>
      <c r="G224" s="105">
        <v>339.2994580085757</v>
      </c>
    </row>
    <row r="225" spans="2:7" x14ac:dyDescent="0.3">
      <c r="B225" s="52">
        <v>168</v>
      </c>
      <c r="C225" s="33">
        <v>218.36832328772635</v>
      </c>
      <c r="D225" s="52">
        <v>168</v>
      </c>
      <c r="E225" s="33">
        <v>-5.537971305739724</v>
      </c>
      <c r="F225" s="52">
        <v>168</v>
      </c>
      <c r="G225" s="105">
        <v>259.53278422142409</v>
      </c>
    </row>
    <row r="226" spans="2:7" x14ac:dyDescent="0.3">
      <c r="B226" s="52">
        <v>169</v>
      </c>
      <c r="C226" s="33">
        <v>191.60723532829448</v>
      </c>
      <c r="D226" s="52">
        <v>169</v>
      </c>
      <c r="E226" s="33">
        <v>52.263390780479227</v>
      </c>
      <c r="F226" s="52">
        <v>169</v>
      </c>
      <c r="G226" s="105">
        <v>322.3889902867237</v>
      </c>
    </row>
    <row r="227" spans="2:7" x14ac:dyDescent="0.3">
      <c r="B227" s="52">
        <v>170</v>
      </c>
      <c r="C227" s="33">
        <v>121.08719218346236</v>
      </c>
      <c r="D227" s="52">
        <v>170</v>
      </c>
      <c r="E227" s="33">
        <v>4.9649486454611775</v>
      </c>
      <c r="F227" s="52">
        <v>170</v>
      </c>
      <c r="G227" s="105">
        <v>140.87307117507135</v>
      </c>
    </row>
    <row r="228" spans="2:7" x14ac:dyDescent="0.3">
      <c r="B228" s="52">
        <v>171</v>
      </c>
      <c r="C228" s="33">
        <v>56.722036861942001</v>
      </c>
      <c r="D228" s="52">
        <v>171</v>
      </c>
      <c r="E228" s="33">
        <v>66.16066965731082</v>
      </c>
      <c r="F228" s="52">
        <v>171</v>
      </c>
      <c r="G228" s="105">
        <v>323.7137321134594</v>
      </c>
    </row>
    <row r="229" spans="2:7" x14ac:dyDescent="0.3">
      <c r="B229" s="52">
        <v>172</v>
      </c>
      <c r="C229" s="33">
        <v>284.77907140722539</v>
      </c>
      <c r="D229" s="52">
        <v>172</v>
      </c>
      <c r="E229" s="33">
        <v>34.759250784794986</v>
      </c>
      <c r="F229" s="52">
        <v>172</v>
      </c>
      <c r="G229" s="105">
        <v>296.65001241541239</v>
      </c>
    </row>
    <row r="230" spans="2:7" x14ac:dyDescent="0.3">
      <c r="B230" s="52">
        <v>173</v>
      </c>
      <c r="C230" s="33">
        <v>307.2678551175747</v>
      </c>
      <c r="D230" s="52">
        <v>173</v>
      </c>
      <c r="E230" s="33">
        <v>35.517982808415212</v>
      </c>
      <c r="F230" s="52">
        <v>173</v>
      </c>
      <c r="G230" s="105">
        <v>293.30995019716244</v>
      </c>
    </row>
    <row r="231" spans="2:7" x14ac:dyDescent="0.3">
      <c r="B231" s="52">
        <v>174</v>
      </c>
      <c r="C231" s="33">
        <v>237.90093301536385</v>
      </c>
      <c r="D231" s="52">
        <v>174</v>
      </c>
      <c r="E231" s="33">
        <v>-2.3484781380990114</v>
      </c>
      <c r="F231" s="52">
        <v>174</v>
      </c>
      <c r="G231" s="105">
        <v>264.9953442600787</v>
      </c>
    </row>
    <row r="232" spans="2:7" x14ac:dyDescent="0.3">
      <c r="B232" s="52">
        <v>175</v>
      </c>
      <c r="C232" s="33">
        <v>188.50127080599736</v>
      </c>
      <c r="D232" s="52">
        <v>175</v>
      </c>
      <c r="E232" s="33">
        <v>40.141030930739021</v>
      </c>
      <c r="F232" s="52">
        <v>175</v>
      </c>
      <c r="G232" s="105">
        <v>341.87448813580806</v>
      </c>
    </row>
    <row r="233" spans="2:7" x14ac:dyDescent="0.3">
      <c r="B233" s="52">
        <v>176</v>
      </c>
      <c r="C233" s="33">
        <v>215.79041944994952</v>
      </c>
      <c r="D233" s="52">
        <v>176</v>
      </c>
      <c r="E233" s="33">
        <v>80.588491941373718</v>
      </c>
      <c r="F233" s="52">
        <v>176</v>
      </c>
      <c r="G233" s="105">
        <v>148.52924771613561</v>
      </c>
    </row>
    <row r="234" spans="2:7" x14ac:dyDescent="0.3">
      <c r="B234" s="52">
        <v>177</v>
      </c>
      <c r="C234" s="33">
        <v>59.428375875049028</v>
      </c>
      <c r="D234" s="52">
        <v>177</v>
      </c>
      <c r="E234" s="33">
        <v>57.024206984764966</v>
      </c>
      <c r="F234" s="52">
        <v>177</v>
      </c>
      <c r="G234" s="105">
        <v>227.92314473936719</v>
      </c>
    </row>
    <row r="235" spans="2:7" x14ac:dyDescent="0.3">
      <c r="B235" s="52">
        <v>178</v>
      </c>
      <c r="C235" s="33">
        <v>225.50846472635243</v>
      </c>
      <c r="D235" s="52">
        <v>178</v>
      </c>
      <c r="E235" s="33">
        <v>-9.3062277777587781</v>
      </c>
      <c r="F235" s="52">
        <v>178</v>
      </c>
      <c r="G235" s="105">
        <v>193.59954700626963</v>
      </c>
    </row>
    <row r="236" spans="2:7" x14ac:dyDescent="0.3">
      <c r="B236" s="52">
        <v>179</v>
      </c>
      <c r="C236" s="33">
        <v>222.60710589223612</v>
      </c>
      <c r="D236" s="52">
        <v>179</v>
      </c>
      <c r="E236" s="33">
        <v>-8.1080628348068444</v>
      </c>
      <c r="F236" s="52">
        <v>179</v>
      </c>
      <c r="G236" s="105">
        <v>196.89223244915564</v>
      </c>
    </row>
    <row r="237" spans="2:7" x14ac:dyDescent="0.3">
      <c r="B237" s="52">
        <v>180</v>
      </c>
      <c r="C237" s="33">
        <v>258.08111618162718</v>
      </c>
      <c r="D237" s="52">
        <v>180</v>
      </c>
      <c r="E237" s="33">
        <v>5.3980411957749652</v>
      </c>
      <c r="F237" s="52">
        <v>180</v>
      </c>
      <c r="G237" s="105">
        <v>247.92517143084498</v>
      </c>
    </row>
    <row r="238" spans="2:7" x14ac:dyDescent="0.3">
      <c r="B238" s="52">
        <v>181</v>
      </c>
      <c r="C238" s="33">
        <v>288.80723190829065</v>
      </c>
      <c r="D238" s="52">
        <v>181</v>
      </c>
      <c r="E238" s="33">
        <v>35.277177238186724</v>
      </c>
      <c r="F238" s="52">
        <v>181</v>
      </c>
      <c r="G238" s="105">
        <v>293.39898971241468</v>
      </c>
    </row>
    <row r="239" spans="2:7" x14ac:dyDescent="0.3">
      <c r="B239" s="52">
        <v>182</v>
      </c>
      <c r="C239" s="33">
        <v>93.985376651346485</v>
      </c>
      <c r="D239" s="52">
        <v>182</v>
      </c>
      <c r="E239" s="33">
        <v>22.673274742303928</v>
      </c>
      <c r="F239" s="52">
        <v>182</v>
      </c>
      <c r="G239" s="105">
        <v>206.75637241622397</v>
      </c>
    </row>
    <row r="240" spans="2:7" x14ac:dyDescent="0.3">
      <c r="B240" s="52">
        <v>183</v>
      </c>
      <c r="C240" s="33">
        <v>328.60541355773586</v>
      </c>
      <c r="D240" s="52">
        <v>183</v>
      </c>
      <c r="E240" s="33">
        <v>-1.8826380494202155</v>
      </c>
      <c r="F240" s="52">
        <v>183</v>
      </c>
      <c r="G240" s="105">
        <v>186.96101887565945</v>
      </c>
    </row>
    <row r="241" spans="2:7" x14ac:dyDescent="0.3">
      <c r="B241" s="52">
        <v>184</v>
      </c>
      <c r="C241" s="33">
        <v>112.43215284286467</v>
      </c>
      <c r="D241" s="52">
        <v>184</v>
      </c>
      <c r="E241" s="33">
        <v>24.1660179252783</v>
      </c>
      <c r="F241" s="52">
        <v>184</v>
      </c>
      <c r="G241" s="105">
        <v>254.36852324630703</v>
      </c>
    </row>
    <row r="242" spans="2:7" x14ac:dyDescent="0.3">
      <c r="B242" s="52">
        <v>185</v>
      </c>
      <c r="C242" s="33">
        <v>147.75441724905085</v>
      </c>
      <c r="D242" s="52">
        <v>185</v>
      </c>
      <c r="E242" s="33">
        <v>25.99886082058844</v>
      </c>
      <c r="F242" s="52">
        <v>185</v>
      </c>
      <c r="G242" s="105">
        <v>263.67425370546869</v>
      </c>
    </row>
    <row r="243" spans="2:7" x14ac:dyDescent="0.3">
      <c r="B243" s="52">
        <v>186</v>
      </c>
      <c r="C243" s="33">
        <v>287.51927665952957</v>
      </c>
      <c r="D243" s="52">
        <v>186</v>
      </c>
      <c r="E243" s="33">
        <v>40.73782946468787</v>
      </c>
      <c r="F243" s="52">
        <v>186</v>
      </c>
      <c r="G243" s="105">
        <v>269.14328179347518</v>
      </c>
    </row>
    <row r="244" spans="2:7" x14ac:dyDescent="0.3">
      <c r="B244" s="52">
        <v>187</v>
      </c>
      <c r="C244" s="33">
        <v>139.58356408139383</v>
      </c>
      <c r="D244" s="52">
        <v>187</v>
      </c>
      <c r="E244" s="33">
        <v>71.380833556735524</v>
      </c>
      <c r="F244" s="52">
        <v>187</v>
      </c>
      <c r="G244" s="105">
        <v>205.41558515723187</v>
      </c>
    </row>
    <row r="245" spans="2:7" x14ac:dyDescent="0.3">
      <c r="B245" s="52">
        <v>188</v>
      </c>
      <c r="C245" s="33">
        <v>288.19661261950375</v>
      </c>
      <c r="D245" s="52">
        <v>188</v>
      </c>
      <c r="E245" s="33">
        <v>28.22715888805374</v>
      </c>
      <c r="F245" s="52">
        <v>188</v>
      </c>
      <c r="G245" s="105">
        <v>326.55103870121843</v>
      </c>
    </row>
    <row r="246" spans="2:7" x14ac:dyDescent="0.3">
      <c r="B246" s="52">
        <v>189</v>
      </c>
      <c r="C246" s="33">
        <v>285.3834733790631</v>
      </c>
      <c r="D246" s="52">
        <v>189</v>
      </c>
      <c r="E246" s="33">
        <v>78.113466647798987</v>
      </c>
      <c r="F246" s="52">
        <v>189</v>
      </c>
      <c r="G246" s="105">
        <v>218.70714637774154</v>
      </c>
    </row>
    <row r="247" spans="2:7" x14ac:dyDescent="0.3">
      <c r="B247" s="52">
        <v>190</v>
      </c>
      <c r="C247" s="33">
        <v>190.17964095394765</v>
      </c>
      <c r="D247" s="52">
        <v>190</v>
      </c>
      <c r="E247" s="33">
        <v>56.266313926307184</v>
      </c>
      <c r="F247" s="52">
        <v>190</v>
      </c>
      <c r="G247" s="105">
        <v>160.94416359843035</v>
      </c>
    </row>
    <row r="248" spans="2:7" x14ac:dyDescent="0.3">
      <c r="B248" s="52">
        <v>191</v>
      </c>
      <c r="C248" s="33">
        <v>226.82500019473991</v>
      </c>
      <c r="D248" s="52">
        <v>191</v>
      </c>
      <c r="E248" s="33">
        <v>58.065376776387041</v>
      </c>
      <c r="F248" s="52">
        <v>191</v>
      </c>
      <c r="G248" s="105">
        <v>203.88698595294983</v>
      </c>
    </row>
    <row r="249" spans="2:7" x14ac:dyDescent="0.3">
      <c r="B249" s="52">
        <v>192</v>
      </c>
      <c r="C249" s="33">
        <v>186.1295324599634</v>
      </c>
      <c r="D249" s="52">
        <v>192</v>
      </c>
      <c r="E249" s="33">
        <v>95.174379288015643</v>
      </c>
      <c r="F249" s="52">
        <v>192</v>
      </c>
      <c r="G249" s="105">
        <v>298.14088382657121</v>
      </c>
    </row>
    <row r="250" spans="2:7" x14ac:dyDescent="0.3">
      <c r="B250" s="52">
        <v>193</v>
      </c>
      <c r="C250" s="33">
        <v>143.37618145126865</v>
      </c>
      <c r="D250" s="52">
        <v>193</v>
      </c>
      <c r="E250" s="33">
        <v>22.882823600537055</v>
      </c>
      <c r="F250" s="52">
        <v>193</v>
      </c>
      <c r="G250" s="105">
        <v>263.1615298439815</v>
      </c>
    </row>
    <row r="251" spans="2:7" x14ac:dyDescent="0.3">
      <c r="B251" s="52">
        <v>194</v>
      </c>
      <c r="C251" s="33">
        <v>224.50355223158172</v>
      </c>
      <c r="D251" s="52">
        <v>194</v>
      </c>
      <c r="E251" s="33">
        <v>40.263374495250645</v>
      </c>
      <c r="F251" s="52">
        <v>194</v>
      </c>
      <c r="G251" s="105">
        <v>168.022897441834</v>
      </c>
    </row>
    <row r="252" spans="2:7" x14ac:dyDescent="0.3">
      <c r="B252" s="52">
        <v>195</v>
      </c>
      <c r="C252" s="33">
        <v>125.08925219560845</v>
      </c>
      <c r="D252" s="52">
        <v>195</v>
      </c>
      <c r="E252" s="33">
        <v>7.3323755571099554</v>
      </c>
      <c r="F252" s="52">
        <v>195</v>
      </c>
      <c r="G252" s="105">
        <v>291.63446782937558</v>
      </c>
    </row>
    <row r="253" spans="2:7" x14ac:dyDescent="0.3">
      <c r="B253" s="52">
        <v>196</v>
      </c>
      <c r="C253" s="33">
        <v>176.91525597336724</v>
      </c>
      <c r="D253" s="52">
        <v>196</v>
      </c>
      <c r="E253" s="33">
        <v>54.62256214097934</v>
      </c>
      <c r="F253" s="52">
        <v>196</v>
      </c>
      <c r="G253" s="105">
        <v>271.01226470961592</v>
      </c>
    </row>
    <row r="254" spans="2:7" x14ac:dyDescent="0.3">
      <c r="B254" s="52">
        <v>197</v>
      </c>
      <c r="C254" s="33">
        <v>380.63836602995161</v>
      </c>
      <c r="D254" s="52">
        <v>197</v>
      </c>
      <c r="E254" s="33">
        <v>44.566233456353501</v>
      </c>
      <c r="F254" s="52">
        <v>197</v>
      </c>
      <c r="G254" s="105">
        <v>15.646076178227588</v>
      </c>
    </row>
    <row r="255" spans="2:7" x14ac:dyDescent="0.3">
      <c r="B255" s="52">
        <v>198</v>
      </c>
      <c r="C255" s="33">
        <v>142.83849560044456</v>
      </c>
      <c r="D255" s="52">
        <v>198</v>
      </c>
      <c r="E255" s="33">
        <v>54.635106895778193</v>
      </c>
      <c r="F255" s="52">
        <v>198</v>
      </c>
      <c r="G255" s="105">
        <v>195.83094586149389</v>
      </c>
    </row>
    <row r="256" spans="2:7" x14ac:dyDescent="0.3">
      <c r="B256" s="52">
        <v>199</v>
      </c>
      <c r="C256" s="33">
        <v>189.95927487211617</v>
      </c>
      <c r="D256" s="52">
        <v>199</v>
      </c>
      <c r="E256" s="33">
        <v>40.517381241035508</v>
      </c>
      <c r="F256" s="52">
        <v>199</v>
      </c>
      <c r="G256" s="105">
        <v>254.69279214307309</v>
      </c>
    </row>
    <row r="257" spans="2:7" x14ac:dyDescent="0.3">
      <c r="B257" s="52">
        <v>200</v>
      </c>
      <c r="C257" s="33">
        <v>258.90344763909798</v>
      </c>
      <c r="D257" s="52">
        <v>200</v>
      </c>
      <c r="E257" s="33">
        <v>37.22306105288046</v>
      </c>
      <c r="F257" s="52">
        <v>200</v>
      </c>
      <c r="G257" s="105">
        <v>246.08908660025267</v>
      </c>
    </row>
    <row r="258" spans="2:7" x14ac:dyDescent="0.3">
      <c r="B258" s="52">
        <v>201</v>
      </c>
      <c r="C258" s="33">
        <v>113.77343865158727</v>
      </c>
      <c r="D258" s="52">
        <v>201</v>
      </c>
      <c r="E258" s="33">
        <v>47.091476399016742</v>
      </c>
      <c r="F258" s="52">
        <v>201</v>
      </c>
      <c r="G258" s="105">
        <v>258.60734527450552</v>
      </c>
    </row>
    <row r="259" spans="2:7" x14ac:dyDescent="0.3">
      <c r="B259" s="52">
        <v>202</v>
      </c>
      <c r="C259" s="33">
        <v>211.96592335975814</v>
      </c>
      <c r="D259" s="52">
        <v>202</v>
      </c>
      <c r="E259" s="33">
        <v>56.099479786270741</v>
      </c>
      <c r="F259" s="52">
        <v>202</v>
      </c>
      <c r="G259" s="105">
        <v>288.31759329649628</v>
      </c>
    </row>
    <row r="260" spans="2:7" x14ac:dyDescent="0.3">
      <c r="B260" s="52">
        <v>203</v>
      </c>
      <c r="C260" s="33">
        <v>178.57513490045989</v>
      </c>
      <c r="D260" s="52">
        <v>203</v>
      </c>
      <c r="E260" s="33">
        <v>39.285883645677082</v>
      </c>
      <c r="F260" s="52">
        <v>203</v>
      </c>
      <c r="G260" s="105">
        <v>88.502126610069439</v>
      </c>
    </row>
    <row r="261" spans="2:7" x14ac:dyDescent="0.3">
      <c r="B261" s="52">
        <v>204</v>
      </c>
      <c r="C261" s="33">
        <v>249.54889364904406</v>
      </c>
      <c r="D261" s="52">
        <v>204</v>
      </c>
      <c r="E261" s="33">
        <v>26.331933759088638</v>
      </c>
      <c r="F261" s="52">
        <v>204</v>
      </c>
      <c r="G261" s="105">
        <v>184.56833361471786</v>
      </c>
    </row>
    <row r="262" spans="2:7" x14ac:dyDescent="0.3">
      <c r="B262" s="52">
        <v>205</v>
      </c>
      <c r="C262" s="33">
        <v>157.72920390660173</v>
      </c>
      <c r="D262" s="52">
        <v>205</v>
      </c>
      <c r="E262" s="33">
        <v>-29.128526286494498</v>
      </c>
      <c r="F262" s="52">
        <v>205</v>
      </c>
      <c r="G262" s="105">
        <v>219.32444470133362</v>
      </c>
    </row>
    <row r="263" spans="2:7" x14ac:dyDescent="0.3">
      <c r="B263" s="52">
        <v>206</v>
      </c>
      <c r="C263" s="33">
        <v>116.06272882188996</v>
      </c>
      <c r="D263" s="52">
        <v>206</v>
      </c>
      <c r="E263" s="33">
        <v>44.993982683973684</v>
      </c>
      <c r="F263" s="52">
        <v>206</v>
      </c>
      <c r="G263" s="105">
        <v>116.86300641921383</v>
      </c>
    </row>
    <row r="264" spans="2:7" x14ac:dyDescent="0.3">
      <c r="B264" s="52">
        <v>207</v>
      </c>
      <c r="C264" s="33">
        <v>238.62076499063437</v>
      </c>
      <c r="D264" s="52">
        <v>207</v>
      </c>
      <c r="E264" s="33">
        <v>14.226504360530765</v>
      </c>
      <c r="F264" s="52">
        <v>207</v>
      </c>
      <c r="G264" s="105">
        <v>151.31047069444753</v>
      </c>
    </row>
    <row r="265" spans="2:7" x14ac:dyDescent="0.3">
      <c r="B265" s="52">
        <v>208</v>
      </c>
      <c r="C265" s="33">
        <v>78.633919311841368</v>
      </c>
      <c r="D265" s="52">
        <v>208</v>
      </c>
      <c r="E265" s="33">
        <v>44.617923475012127</v>
      </c>
      <c r="F265" s="52">
        <v>208</v>
      </c>
      <c r="G265" s="105">
        <v>252.55719171415501</v>
      </c>
    </row>
    <row r="266" spans="2:7" x14ac:dyDescent="0.3">
      <c r="B266" s="52">
        <v>209</v>
      </c>
      <c r="C266" s="33">
        <v>275.31406754450745</v>
      </c>
      <c r="D266" s="52">
        <v>209</v>
      </c>
      <c r="E266" s="33">
        <v>2.7936420886298237</v>
      </c>
      <c r="F266" s="52">
        <v>209</v>
      </c>
      <c r="G266" s="105">
        <v>236.96840994831513</v>
      </c>
    </row>
    <row r="267" spans="2:7" x14ac:dyDescent="0.3">
      <c r="B267" s="52">
        <v>210</v>
      </c>
      <c r="C267" s="33">
        <v>283.70718545985812</v>
      </c>
      <c r="D267" s="52">
        <v>210</v>
      </c>
      <c r="E267" s="33">
        <v>82.766211023638249</v>
      </c>
      <c r="F267" s="52">
        <v>210</v>
      </c>
      <c r="G267" s="105">
        <v>197.35318375651565</v>
      </c>
    </row>
    <row r="268" spans="2:7" x14ac:dyDescent="0.3">
      <c r="B268" s="52">
        <v>211</v>
      </c>
      <c r="C268" s="33">
        <v>207.21918764306503</v>
      </c>
      <c r="D268" s="52">
        <v>211</v>
      </c>
      <c r="E268" s="33">
        <v>46.504351682704069</v>
      </c>
      <c r="F268" s="52">
        <v>211</v>
      </c>
      <c r="G268" s="105">
        <v>228.8564972716307</v>
      </c>
    </row>
    <row r="269" spans="2:7" x14ac:dyDescent="0.3">
      <c r="B269" s="52">
        <v>212</v>
      </c>
      <c r="C269" s="33">
        <v>265.05910381068878</v>
      </c>
      <c r="D269" s="52">
        <v>212</v>
      </c>
      <c r="E269" s="33">
        <v>23.350840517805118</v>
      </c>
      <c r="F269" s="52">
        <v>212</v>
      </c>
      <c r="G269" s="105">
        <v>158.72425387145768</v>
      </c>
    </row>
    <row r="270" spans="2:7" x14ac:dyDescent="0.3">
      <c r="B270" s="52">
        <v>213</v>
      </c>
      <c r="C270" s="33">
        <v>157.2027251439394</v>
      </c>
      <c r="D270" s="52">
        <v>213</v>
      </c>
      <c r="E270" s="33">
        <v>56.847366915366301</v>
      </c>
      <c r="F270" s="52">
        <v>213</v>
      </c>
      <c r="G270" s="105">
        <v>240.47835439359781</v>
      </c>
    </row>
    <row r="271" spans="2:7" x14ac:dyDescent="0.3">
      <c r="B271" s="52">
        <v>214</v>
      </c>
      <c r="C271" s="33">
        <v>197.94022732553191</v>
      </c>
      <c r="D271" s="52">
        <v>214</v>
      </c>
      <c r="E271" s="33">
        <v>28.878573248782125</v>
      </c>
      <c r="F271" s="52">
        <v>214</v>
      </c>
      <c r="G271" s="105">
        <v>270.3797433138746</v>
      </c>
    </row>
    <row r="272" spans="2:7" x14ac:dyDescent="0.3">
      <c r="B272" s="52">
        <v>215</v>
      </c>
      <c r="C272" s="33">
        <v>235.10748490175675</v>
      </c>
      <c r="D272" s="52">
        <v>215</v>
      </c>
      <c r="E272" s="33">
        <v>89.566267464813706</v>
      </c>
      <c r="F272" s="52">
        <v>215</v>
      </c>
      <c r="G272" s="105">
        <v>173.93594855003198</v>
      </c>
    </row>
    <row r="273" spans="2:7" x14ac:dyDescent="0.3">
      <c r="B273" s="52">
        <v>216</v>
      </c>
      <c r="C273" s="33">
        <v>317.70422670895817</v>
      </c>
      <c r="D273" s="52">
        <v>216</v>
      </c>
      <c r="E273" s="33">
        <v>70.301274783121357</v>
      </c>
      <c r="F273" s="52">
        <v>216</v>
      </c>
      <c r="G273" s="105">
        <v>241.58582528617657</v>
      </c>
    </row>
    <row r="274" spans="2:7" x14ac:dyDescent="0.3">
      <c r="B274" s="52">
        <v>217</v>
      </c>
      <c r="C274" s="33">
        <v>172.31004146719573</v>
      </c>
      <c r="D274" s="52">
        <v>217</v>
      </c>
      <c r="E274" s="33">
        <v>57.135191456217591</v>
      </c>
      <c r="F274" s="52">
        <v>217</v>
      </c>
      <c r="G274" s="105">
        <v>193.51718473641148</v>
      </c>
    </row>
    <row r="275" spans="2:7" x14ac:dyDescent="0.3">
      <c r="B275" s="52">
        <v>218</v>
      </c>
      <c r="C275" s="33">
        <v>259.15288967733778</v>
      </c>
      <c r="D275" s="52">
        <v>218</v>
      </c>
      <c r="E275" s="33">
        <v>95.445315685852506</v>
      </c>
      <c r="F275" s="52">
        <v>218</v>
      </c>
      <c r="G275" s="105">
        <v>44.080054951074629</v>
      </c>
    </row>
    <row r="276" spans="2:7" x14ac:dyDescent="0.3">
      <c r="B276" s="52">
        <v>219</v>
      </c>
      <c r="C276" s="33">
        <v>53.792275225709744</v>
      </c>
      <c r="D276" s="52">
        <v>219</v>
      </c>
      <c r="E276" s="33">
        <v>-22.455781188771777</v>
      </c>
      <c r="F276" s="52">
        <v>219</v>
      </c>
      <c r="G276" s="105">
        <v>341.28017880243056</v>
      </c>
    </row>
    <row r="277" spans="2:7" x14ac:dyDescent="0.3">
      <c r="B277" s="52">
        <v>220</v>
      </c>
      <c r="C277" s="33">
        <v>350.49809398270799</v>
      </c>
      <c r="D277" s="52">
        <v>220</v>
      </c>
      <c r="E277" s="33">
        <v>50.960913502138766</v>
      </c>
      <c r="F277" s="52">
        <v>220</v>
      </c>
      <c r="G277" s="105">
        <v>268.43248993615288</v>
      </c>
    </row>
    <row r="278" spans="2:7" x14ac:dyDescent="0.3">
      <c r="B278" s="52">
        <v>221</v>
      </c>
      <c r="C278" s="33">
        <v>324.38743140433206</v>
      </c>
      <c r="D278" s="52">
        <v>221</v>
      </c>
      <c r="E278" s="33">
        <v>67.169511612215004</v>
      </c>
      <c r="F278" s="52">
        <v>221</v>
      </c>
      <c r="G278" s="105">
        <v>235.03325094926916</v>
      </c>
    </row>
    <row r="279" spans="2:7" x14ac:dyDescent="0.3">
      <c r="B279" s="52">
        <v>222</v>
      </c>
      <c r="C279" s="33">
        <v>157.74366404625317</v>
      </c>
      <c r="D279" s="52">
        <v>222</v>
      </c>
      <c r="E279" s="33">
        <v>-2.0943608481381588</v>
      </c>
      <c r="F279" s="52">
        <v>222</v>
      </c>
      <c r="G279" s="105">
        <v>139.32725465617204</v>
      </c>
    </row>
    <row r="280" spans="2:7" x14ac:dyDescent="0.3">
      <c r="B280" s="52">
        <v>223</v>
      </c>
      <c r="C280" s="33">
        <v>148.15053993977097</v>
      </c>
      <c r="D280" s="52">
        <v>223</v>
      </c>
      <c r="E280" s="33">
        <v>45.502422427521282</v>
      </c>
      <c r="F280" s="52">
        <v>223</v>
      </c>
      <c r="G280" s="105">
        <v>200.80827911631442</v>
      </c>
    </row>
    <row r="281" spans="2:7" x14ac:dyDescent="0.3">
      <c r="B281" s="52">
        <v>224</v>
      </c>
      <c r="C281" s="33">
        <v>95.061775520183801</v>
      </c>
      <c r="D281" s="52">
        <v>224</v>
      </c>
      <c r="E281" s="33">
        <v>16.526429994556313</v>
      </c>
      <c r="F281" s="52">
        <v>224</v>
      </c>
      <c r="G281" s="105">
        <v>270.49200564536329</v>
      </c>
    </row>
    <row r="282" spans="2:7" x14ac:dyDescent="0.3">
      <c r="B282" s="52">
        <v>225</v>
      </c>
      <c r="C282" s="33">
        <v>163.19587033826116</v>
      </c>
      <c r="D282" s="52">
        <v>225</v>
      </c>
      <c r="E282" s="33">
        <v>-12.326090782614116</v>
      </c>
      <c r="F282" s="52">
        <v>225</v>
      </c>
      <c r="G282" s="105">
        <v>315.44632931118372</v>
      </c>
    </row>
    <row r="283" spans="2:7" x14ac:dyDescent="0.3">
      <c r="B283" s="52">
        <v>226</v>
      </c>
      <c r="C283" s="33">
        <v>90.060494131335474</v>
      </c>
      <c r="D283" s="52">
        <v>226</v>
      </c>
      <c r="E283" s="33">
        <v>61.570611080374952</v>
      </c>
      <c r="F283" s="52">
        <v>226</v>
      </c>
      <c r="G283" s="105">
        <v>251.7007955612616</v>
      </c>
    </row>
    <row r="284" spans="2:7" x14ac:dyDescent="0.3">
      <c r="B284" s="52">
        <v>227</v>
      </c>
      <c r="C284" s="33">
        <v>233.93459776028175</v>
      </c>
      <c r="D284" s="52">
        <v>227</v>
      </c>
      <c r="E284" s="33">
        <v>20.993383922812892</v>
      </c>
      <c r="F284" s="52">
        <v>227</v>
      </c>
      <c r="G284" s="105">
        <v>228.67718969747955</v>
      </c>
    </row>
    <row r="285" spans="2:7" x14ac:dyDescent="0.3">
      <c r="B285" s="52">
        <v>228</v>
      </c>
      <c r="C285" s="33">
        <v>112.14577708654988</v>
      </c>
      <c r="D285" s="52">
        <v>228</v>
      </c>
      <c r="E285" s="33">
        <v>40.032911006772288</v>
      </c>
      <c r="F285" s="52">
        <v>228</v>
      </c>
      <c r="G285" s="105">
        <v>272.64253303562163</v>
      </c>
    </row>
    <row r="286" spans="2:7" x14ac:dyDescent="0.3">
      <c r="B286" s="52">
        <v>229</v>
      </c>
      <c r="C286" s="33">
        <v>194.6683867053419</v>
      </c>
      <c r="D286" s="52">
        <v>229</v>
      </c>
      <c r="E286" s="33">
        <v>-24.728053419571431</v>
      </c>
      <c r="F286" s="52">
        <v>229</v>
      </c>
      <c r="G286" s="105">
        <v>255.83744313021739</v>
      </c>
    </row>
    <row r="287" spans="2:7" x14ac:dyDescent="0.3">
      <c r="B287" s="52">
        <v>230</v>
      </c>
      <c r="C287" s="33">
        <v>220.11837615312444</v>
      </c>
      <c r="D287" s="52">
        <v>230</v>
      </c>
      <c r="E287" s="33">
        <v>41.36314680149794</v>
      </c>
      <c r="F287" s="52">
        <v>230</v>
      </c>
      <c r="G287" s="105">
        <v>213.97924488207804</v>
      </c>
    </row>
    <row r="288" spans="2:7" x14ac:dyDescent="0.3">
      <c r="B288" s="52">
        <v>231</v>
      </c>
      <c r="C288" s="33">
        <v>161.39607536669189</v>
      </c>
      <c r="D288" s="52">
        <v>231</v>
      </c>
      <c r="E288" s="33">
        <v>58.359256712027744</v>
      </c>
      <c r="F288" s="52">
        <v>231</v>
      </c>
      <c r="G288" s="105">
        <v>227.90708187122306</v>
      </c>
    </row>
    <row r="289" spans="2:7" x14ac:dyDescent="0.3">
      <c r="B289" s="52">
        <v>232</v>
      </c>
      <c r="C289" s="33">
        <v>217.14090676532891</v>
      </c>
      <c r="D289" s="52">
        <v>232</v>
      </c>
      <c r="E289" s="33">
        <v>73.746133215222343</v>
      </c>
      <c r="F289" s="52">
        <v>232</v>
      </c>
      <c r="G289" s="105">
        <v>182.92824051620357</v>
      </c>
    </row>
    <row r="290" spans="2:7" x14ac:dyDescent="0.3">
      <c r="B290" s="52">
        <v>233</v>
      </c>
      <c r="C290" s="33">
        <v>216.53510876929627</v>
      </c>
      <c r="D290" s="52">
        <v>233</v>
      </c>
      <c r="E290" s="33">
        <v>31.782133990383787</v>
      </c>
      <c r="F290" s="52">
        <v>233</v>
      </c>
      <c r="G290" s="105">
        <v>302.12393456169241</v>
      </c>
    </row>
    <row r="291" spans="2:7" x14ac:dyDescent="0.3">
      <c r="B291" s="52">
        <v>234</v>
      </c>
      <c r="C291" s="33">
        <v>314.71865008965574</v>
      </c>
      <c r="D291" s="52">
        <v>234</v>
      </c>
      <c r="E291" s="33">
        <v>25.469703671530496</v>
      </c>
      <c r="F291" s="52">
        <v>234</v>
      </c>
      <c r="G291" s="105">
        <v>272.72325546660642</v>
      </c>
    </row>
    <row r="292" spans="2:7" x14ac:dyDescent="0.3">
      <c r="B292" s="52">
        <v>235</v>
      </c>
      <c r="C292" s="33">
        <v>321.90223190841164</v>
      </c>
      <c r="D292" s="52">
        <v>235</v>
      </c>
      <c r="E292" s="33">
        <v>-5.1025088190760073</v>
      </c>
      <c r="F292" s="52">
        <v>235</v>
      </c>
      <c r="G292" s="105">
        <v>290.19064712898364</v>
      </c>
    </row>
    <row r="293" spans="2:7" x14ac:dyDescent="0.3">
      <c r="B293" s="52">
        <v>236</v>
      </c>
      <c r="C293" s="33">
        <v>276.21113043629782</v>
      </c>
      <c r="D293" s="52">
        <v>236</v>
      </c>
      <c r="E293" s="33">
        <v>9.1978617334160546</v>
      </c>
      <c r="F293" s="52">
        <v>236</v>
      </c>
      <c r="G293" s="105">
        <v>172.30179835970452</v>
      </c>
    </row>
    <row r="294" spans="2:7" x14ac:dyDescent="0.3">
      <c r="B294" s="52">
        <v>237</v>
      </c>
      <c r="C294" s="33">
        <v>376.95361530510149</v>
      </c>
      <c r="D294" s="52">
        <v>237</v>
      </c>
      <c r="E294" s="33">
        <v>78.842577538082111</v>
      </c>
      <c r="F294" s="52">
        <v>237</v>
      </c>
      <c r="G294" s="105">
        <v>309.14183716548098</v>
      </c>
    </row>
    <row r="295" spans="2:7" x14ac:dyDescent="0.3">
      <c r="B295" s="52">
        <v>238</v>
      </c>
      <c r="C295" s="33">
        <v>327.61721267453311</v>
      </c>
      <c r="D295" s="52">
        <v>238</v>
      </c>
      <c r="E295" s="33">
        <v>32.660346411018878</v>
      </c>
      <c r="F295" s="52">
        <v>238</v>
      </c>
      <c r="G295" s="105">
        <v>258.33252446959767</v>
      </c>
    </row>
    <row r="296" spans="2:7" x14ac:dyDescent="0.3">
      <c r="B296" s="52">
        <v>239</v>
      </c>
      <c r="C296" s="33">
        <v>263.3368360471585</v>
      </c>
      <c r="D296" s="52">
        <v>239</v>
      </c>
      <c r="E296" s="33">
        <v>79.260334593631313</v>
      </c>
      <c r="F296" s="52">
        <v>239</v>
      </c>
      <c r="G296" s="105">
        <v>257.06858401533964</v>
      </c>
    </row>
    <row r="297" spans="2:7" x14ac:dyDescent="0.3">
      <c r="B297" s="52">
        <v>240</v>
      </c>
      <c r="C297" s="33">
        <v>288.37038384058923</v>
      </c>
      <c r="D297" s="52">
        <v>240</v>
      </c>
      <c r="E297" s="33">
        <v>40.388465462903305</v>
      </c>
      <c r="F297" s="52">
        <v>240</v>
      </c>
      <c r="G297" s="105">
        <v>116.03835601133623</v>
      </c>
    </row>
    <row r="298" spans="2:7" x14ac:dyDescent="0.3">
      <c r="B298" s="52">
        <v>241</v>
      </c>
      <c r="C298" s="33">
        <v>104.78665932179086</v>
      </c>
      <c r="D298" s="52">
        <v>241</v>
      </c>
      <c r="E298" s="33">
        <v>15.487521901926584</v>
      </c>
      <c r="F298" s="52">
        <v>241</v>
      </c>
      <c r="G298" s="105">
        <v>202.70903885459362</v>
      </c>
    </row>
    <row r="299" spans="2:7" x14ac:dyDescent="0.3">
      <c r="B299" s="52">
        <v>242</v>
      </c>
      <c r="C299" s="33">
        <v>58.065405198954437</v>
      </c>
      <c r="D299" s="52">
        <v>242</v>
      </c>
      <c r="E299" s="33">
        <v>38.160885581096721</v>
      </c>
      <c r="F299" s="52">
        <v>242</v>
      </c>
      <c r="G299" s="105">
        <v>326.46732659500162</v>
      </c>
    </row>
    <row r="300" spans="2:7" x14ac:dyDescent="0.3">
      <c r="B300" s="52">
        <v>243</v>
      </c>
      <c r="C300" s="33">
        <v>312.94091766016652</v>
      </c>
      <c r="D300" s="52">
        <v>243</v>
      </c>
      <c r="E300" s="33">
        <v>6.6828738064398365</v>
      </c>
      <c r="F300" s="52">
        <v>243</v>
      </c>
      <c r="G300" s="105">
        <v>141.91292495551872</v>
      </c>
    </row>
    <row r="301" spans="2:7" x14ac:dyDescent="0.3">
      <c r="B301" s="52">
        <v>244</v>
      </c>
      <c r="C301" s="33">
        <v>150.85692877024837</v>
      </c>
      <c r="D301" s="52">
        <v>244</v>
      </c>
      <c r="E301" s="33">
        <v>8.2161417798738938</v>
      </c>
      <c r="F301" s="52">
        <v>244</v>
      </c>
      <c r="G301" s="105">
        <v>213.49857492994099</v>
      </c>
    </row>
    <row r="302" spans="2:7" x14ac:dyDescent="0.3">
      <c r="B302" s="52">
        <v>245</v>
      </c>
      <c r="C302" s="33">
        <v>44.763911746193656</v>
      </c>
      <c r="D302" s="52">
        <v>245</v>
      </c>
      <c r="E302" s="33">
        <v>16.313778711168069</v>
      </c>
      <c r="F302" s="52">
        <v>245</v>
      </c>
      <c r="G302" s="105">
        <v>217.79428451629772</v>
      </c>
    </row>
    <row r="303" spans="2:7" x14ac:dyDescent="0.3">
      <c r="B303" s="52">
        <v>246</v>
      </c>
      <c r="C303" s="33">
        <v>340.85669542837968</v>
      </c>
      <c r="D303" s="52">
        <v>246</v>
      </c>
      <c r="E303" s="33">
        <v>26.371595458419705</v>
      </c>
      <c r="F303" s="52">
        <v>246</v>
      </c>
      <c r="G303" s="105">
        <v>250.13819289492199</v>
      </c>
    </row>
    <row r="304" spans="2:7" x14ac:dyDescent="0.3">
      <c r="B304" s="52">
        <v>247</v>
      </c>
      <c r="C304" s="33">
        <v>82.49058959783882</v>
      </c>
      <c r="D304" s="52">
        <v>247</v>
      </c>
      <c r="E304" s="33">
        <v>73.481787289863775</v>
      </c>
      <c r="F304" s="52">
        <v>247</v>
      </c>
      <c r="G304" s="105">
        <v>232.52834299962353</v>
      </c>
    </row>
    <row r="305" spans="2:7" x14ac:dyDescent="0.3">
      <c r="B305" s="52">
        <v>248</v>
      </c>
      <c r="C305" s="33">
        <v>205.83413953342492</v>
      </c>
      <c r="D305" s="52">
        <v>248</v>
      </c>
      <c r="E305" s="33">
        <v>16.567187377139309</v>
      </c>
      <c r="F305" s="52">
        <v>248</v>
      </c>
      <c r="G305" s="105">
        <v>178.6356425528526</v>
      </c>
    </row>
    <row r="306" spans="2:7" x14ac:dyDescent="0.3">
      <c r="B306" s="52">
        <v>249</v>
      </c>
      <c r="C306" s="33">
        <v>232.07218939130235</v>
      </c>
      <c r="D306" s="52">
        <v>249</v>
      </c>
      <c r="E306" s="33">
        <v>102.94834007135049</v>
      </c>
      <c r="F306" s="52">
        <v>249</v>
      </c>
      <c r="G306" s="105">
        <v>133.31420890849216</v>
      </c>
    </row>
    <row r="307" spans="2:7" x14ac:dyDescent="0.3">
      <c r="B307" s="52">
        <v>250</v>
      </c>
      <c r="C307" s="33">
        <v>278.08687444695607</v>
      </c>
      <c r="D307" s="52">
        <v>250</v>
      </c>
      <c r="E307" s="33">
        <v>39.397903161935801</v>
      </c>
      <c r="F307" s="52">
        <v>250</v>
      </c>
      <c r="G307" s="105">
        <v>161.95717978442138</v>
      </c>
    </row>
    <row r="308" spans="2:7" x14ac:dyDescent="0.3">
      <c r="B308" s="52">
        <v>251</v>
      </c>
      <c r="C308" s="33">
        <v>171.47288811416479</v>
      </c>
      <c r="D308" s="52">
        <v>251</v>
      </c>
      <c r="E308" s="33">
        <v>22.63978144081911</v>
      </c>
      <c r="F308" s="52">
        <v>251</v>
      </c>
      <c r="G308" s="105">
        <v>142.570639292252</v>
      </c>
    </row>
    <row r="309" spans="2:7" x14ac:dyDescent="0.3">
      <c r="B309" s="52">
        <v>252</v>
      </c>
      <c r="C309" s="33">
        <v>279.09942337982454</v>
      </c>
      <c r="D309" s="52">
        <v>252</v>
      </c>
      <c r="E309" s="33">
        <v>18.323269053516054</v>
      </c>
      <c r="F309" s="52">
        <v>252</v>
      </c>
      <c r="G309" s="105">
        <v>315.37422630922026</v>
      </c>
    </row>
    <row r="310" spans="2:7" x14ac:dyDescent="0.3">
      <c r="B310" s="52">
        <v>253</v>
      </c>
      <c r="C310" s="33">
        <v>114.49992097980915</v>
      </c>
      <c r="D310" s="52">
        <v>253</v>
      </c>
      <c r="E310" s="33">
        <v>26.99351589480446</v>
      </c>
      <c r="F310" s="52">
        <v>253</v>
      </c>
      <c r="G310" s="105">
        <v>227.53753310955247</v>
      </c>
    </row>
    <row r="311" spans="2:7" x14ac:dyDescent="0.3">
      <c r="B311" s="52">
        <v>254</v>
      </c>
      <c r="C311" s="33">
        <v>40.604559556384174</v>
      </c>
      <c r="D311" s="52">
        <v>254</v>
      </c>
      <c r="E311" s="33">
        <v>62.710295763547435</v>
      </c>
      <c r="F311" s="52">
        <v>254</v>
      </c>
      <c r="G311" s="105">
        <v>280.05703890001433</v>
      </c>
    </row>
    <row r="312" spans="2:7" x14ac:dyDescent="0.3">
      <c r="B312" s="52">
        <v>255</v>
      </c>
      <c r="C312" s="33">
        <v>313.02578013513579</v>
      </c>
      <c r="D312" s="52">
        <v>255</v>
      </c>
      <c r="E312" s="33">
        <v>73.530321078944795</v>
      </c>
      <c r="F312" s="52">
        <v>255</v>
      </c>
      <c r="G312" s="105">
        <v>297.48182420440753</v>
      </c>
    </row>
    <row r="313" spans="2:7" x14ac:dyDescent="0.3">
      <c r="B313" s="52">
        <v>256</v>
      </c>
      <c r="C313" s="33">
        <v>103.64047597051676</v>
      </c>
      <c r="D313" s="52">
        <v>256</v>
      </c>
      <c r="E313" s="33">
        <v>36.002156527313105</v>
      </c>
      <c r="F313" s="52">
        <v>256</v>
      </c>
      <c r="G313" s="105">
        <v>225.53189262953506</v>
      </c>
    </row>
    <row r="314" spans="2:7" x14ac:dyDescent="0.3">
      <c r="B314" s="52">
        <v>257</v>
      </c>
      <c r="C314" s="33">
        <v>251.26234212222727</v>
      </c>
      <c r="D314" s="52">
        <v>257</v>
      </c>
      <c r="E314" s="33">
        <v>80.341941421146558</v>
      </c>
      <c r="F314" s="52">
        <v>257</v>
      </c>
      <c r="G314" s="105">
        <v>340.68011308442038</v>
      </c>
    </row>
    <row r="315" spans="2:7" x14ac:dyDescent="0.3">
      <c r="B315" s="52">
        <v>258</v>
      </c>
      <c r="C315" s="33">
        <v>128.9592375184132</v>
      </c>
      <c r="D315" s="52">
        <v>258</v>
      </c>
      <c r="E315" s="33">
        <v>33.106040065595245</v>
      </c>
      <c r="F315" s="52">
        <v>258</v>
      </c>
      <c r="G315" s="105">
        <v>161.7030585128449</v>
      </c>
    </row>
    <row r="316" spans="2:7" x14ac:dyDescent="0.3">
      <c r="B316" s="52">
        <v>259</v>
      </c>
      <c r="C316" s="33">
        <v>103.87799069353619</v>
      </c>
      <c r="D316" s="52">
        <v>259</v>
      </c>
      <c r="E316" s="33">
        <v>40.568827654434983</v>
      </c>
      <c r="F316" s="52">
        <v>259</v>
      </c>
      <c r="G316" s="105">
        <v>337.93655589820543</v>
      </c>
    </row>
    <row r="317" spans="2:7" x14ac:dyDescent="0.3">
      <c r="B317" s="52">
        <v>260</v>
      </c>
      <c r="C317" s="33">
        <v>274.68272428981282</v>
      </c>
      <c r="D317" s="52">
        <v>260</v>
      </c>
      <c r="E317" s="33">
        <v>62.53651229490935</v>
      </c>
      <c r="F317" s="52">
        <v>260</v>
      </c>
      <c r="G317" s="105">
        <v>242.04858097178635</v>
      </c>
    </row>
    <row r="318" spans="2:7" x14ac:dyDescent="0.3">
      <c r="B318" s="52">
        <v>261</v>
      </c>
      <c r="C318" s="33">
        <v>180.48071544048372</v>
      </c>
      <c r="D318" s="52">
        <v>261</v>
      </c>
      <c r="E318" s="33">
        <v>44.654711116520282</v>
      </c>
      <c r="F318" s="52">
        <v>261</v>
      </c>
      <c r="G318" s="105">
        <v>312.16109363512618</v>
      </c>
    </row>
    <row r="319" spans="2:7" x14ac:dyDescent="0.3">
      <c r="B319" s="52">
        <v>262</v>
      </c>
      <c r="C319" s="33">
        <v>392.29016410157578</v>
      </c>
      <c r="D319" s="52">
        <v>262</v>
      </c>
      <c r="E319" s="33">
        <v>11.742779895459119</v>
      </c>
      <c r="F319" s="52">
        <v>262</v>
      </c>
      <c r="G319" s="105">
        <v>167.9291433535669</v>
      </c>
    </row>
    <row r="320" spans="2:7" x14ac:dyDescent="0.3">
      <c r="B320" s="52">
        <v>263</v>
      </c>
      <c r="C320" s="33">
        <v>244.47314218805568</v>
      </c>
      <c r="D320" s="52">
        <v>263</v>
      </c>
      <c r="E320" s="33">
        <v>78.964620583520968</v>
      </c>
      <c r="F320" s="52">
        <v>263</v>
      </c>
      <c r="G320" s="105">
        <v>83.668886206003179</v>
      </c>
    </row>
    <row r="321" spans="2:7" x14ac:dyDescent="0.3">
      <c r="B321" s="52">
        <v>264</v>
      </c>
      <c r="C321" s="33">
        <v>212.47057249884205</v>
      </c>
      <c r="D321" s="52">
        <v>264</v>
      </c>
      <c r="E321" s="33">
        <v>51.220382771661065</v>
      </c>
      <c r="F321" s="52">
        <v>264</v>
      </c>
      <c r="G321" s="105">
        <v>250.85656084704868</v>
      </c>
    </row>
    <row r="322" spans="2:7" x14ac:dyDescent="0.3">
      <c r="B322" s="52">
        <v>265</v>
      </c>
      <c r="C322" s="33">
        <v>174.49995196004335</v>
      </c>
      <c r="D322" s="52">
        <v>265</v>
      </c>
      <c r="E322" s="33">
        <v>53.990436638642535</v>
      </c>
      <c r="F322" s="52">
        <v>265</v>
      </c>
      <c r="G322" s="105">
        <v>240.8952044509526</v>
      </c>
    </row>
    <row r="323" spans="2:7" x14ac:dyDescent="0.3">
      <c r="B323" s="52">
        <v>266</v>
      </c>
      <c r="C323" s="33">
        <v>314.20130600602118</v>
      </c>
      <c r="D323" s="52">
        <v>266</v>
      </c>
      <c r="E323" s="33">
        <v>66.289154975577446</v>
      </c>
      <c r="F323" s="52">
        <v>266</v>
      </c>
      <c r="G323" s="105">
        <v>163.41649319938739</v>
      </c>
    </row>
    <row r="324" spans="2:7" x14ac:dyDescent="0.3">
      <c r="B324" s="52">
        <v>267</v>
      </c>
      <c r="C324" s="33">
        <v>336.58243920254563</v>
      </c>
      <c r="D324" s="52">
        <v>267</v>
      </c>
      <c r="E324" s="33">
        <v>73.180438338942423</v>
      </c>
      <c r="F324" s="52">
        <v>267</v>
      </c>
      <c r="G324" s="105">
        <v>281.76126111654156</v>
      </c>
    </row>
    <row r="325" spans="2:7" x14ac:dyDescent="0.3">
      <c r="B325" s="52">
        <v>268</v>
      </c>
      <c r="C325" s="33">
        <v>247.77384530971045</v>
      </c>
      <c r="D325" s="52">
        <v>268</v>
      </c>
      <c r="E325" s="33">
        <v>47.267280654620933</v>
      </c>
      <c r="F325" s="52">
        <v>268</v>
      </c>
      <c r="G325" s="105">
        <v>235.64517000769033</v>
      </c>
    </row>
    <row r="326" spans="2:7" x14ac:dyDescent="0.3">
      <c r="B326" s="52">
        <v>269</v>
      </c>
      <c r="C326" s="33">
        <v>284.33522581259888</v>
      </c>
      <c r="D326" s="52">
        <v>269</v>
      </c>
      <c r="E326" s="33">
        <v>16.694194816722707</v>
      </c>
      <c r="F326" s="52">
        <v>269</v>
      </c>
      <c r="G326" s="105">
        <v>103.50593129204715</v>
      </c>
    </row>
    <row r="327" spans="2:7" x14ac:dyDescent="0.3">
      <c r="B327" s="52">
        <v>270</v>
      </c>
      <c r="C327" s="33">
        <v>323.64107566918483</v>
      </c>
      <c r="D327" s="52">
        <v>270</v>
      </c>
      <c r="E327" s="33">
        <v>46.443214132096053</v>
      </c>
      <c r="F327" s="52">
        <v>270</v>
      </c>
      <c r="G327" s="105">
        <v>312.35765277032158</v>
      </c>
    </row>
    <row r="328" spans="2:7" x14ac:dyDescent="0.3">
      <c r="B328" s="52">
        <v>271</v>
      </c>
      <c r="C328" s="33">
        <v>132.66118695439923</v>
      </c>
      <c r="D328" s="52">
        <v>271</v>
      </c>
      <c r="E328" s="33">
        <v>40.785095154234092</v>
      </c>
      <c r="F328" s="52">
        <v>271</v>
      </c>
      <c r="G328" s="105">
        <v>238.88128952277981</v>
      </c>
    </row>
    <row r="329" spans="2:7" x14ac:dyDescent="0.3">
      <c r="B329" s="52">
        <v>272</v>
      </c>
      <c r="C329" s="33">
        <v>293.40925430676788</v>
      </c>
      <c r="D329" s="52">
        <v>272</v>
      </c>
      <c r="E329" s="33">
        <v>35.426289283460008</v>
      </c>
      <c r="F329" s="52">
        <v>272</v>
      </c>
      <c r="G329" s="105">
        <v>159.92688227765592</v>
      </c>
    </row>
    <row r="330" spans="2:7" x14ac:dyDescent="0.3">
      <c r="B330" s="52">
        <v>273</v>
      </c>
      <c r="C330" s="33">
        <v>257.58154370328504</v>
      </c>
      <c r="D330" s="52">
        <v>273</v>
      </c>
      <c r="E330" s="33">
        <v>47.556898857839741</v>
      </c>
      <c r="F330" s="52">
        <v>273</v>
      </c>
      <c r="G330" s="105">
        <v>155.91812153511967</v>
      </c>
    </row>
    <row r="331" spans="2:7" x14ac:dyDescent="0.3">
      <c r="B331" s="52">
        <v>274</v>
      </c>
      <c r="C331" s="33">
        <v>98.095339884000992</v>
      </c>
      <c r="D331" s="52">
        <v>274</v>
      </c>
      <c r="E331" s="33">
        <v>42.881320836645386</v>
      </c>
      <c r="F331" s="52">
        <v>274</v>
      </c>
      <c r="G331" s="105">
        <v>291.80382215172483</v>
      </c>
    </row>
    <row r="332" spans="2:7" x14ac:dyDescent="0.3">
      <c r="B332" s="52">
        <v>275</v>
      </c>
      <c r="C332" s="33">
        <v>209.32272261480159</v>
      </c>
      <c r="D332" s="52">
        <v>275</v>
      </c>
      <c r="E332" s="33">
        <v>41.490793265944433</v>
      </c>
      <c r="F332" s="52">
        <v>275</v>
      </c>
      <c r="G332" s="105">
        <v>264.0931144737873</v>
      </c>
    </row>
    <row r="333" spans="2:7" x14ac:dyDescent="0.3">
      <c r="B333" s="52">
        <v>276</v>
      </c>
      <c r="C333" s="33">
        <v>109.60724131430372</v>
      </c>
      <c r="D333" s="52">
        <v>276</v>
      </c>
      <c r="E333" s="33">
        <v>65.38963013683842</v>
      </c>
      <c r="F333" s="52">
        <v>276</v>
      </c>
      <c r="G333" s="105">
        <v>322.99329829541</v>
      </c>
    </row>
    <row r="334" spans="2:7" x14ac:dyDescent="0.3">
      <c r="B334" s="52">
        <v>277</v>
      </c>
      <c r="C334" s="33">
        <v>310.8151182103918</v>
      </c>
      <c r="D334" s="52">
        <v>277</v>
      </c>
      <c r="E334" s="33">
        <v>119.31565777081806</v>
      </c>
      <c r="F334" s="52">
        <v>277</v>
      </c>
      <c r="G334" s="105">
        <v>176.95034286968212</v>
      </c>
    </row>
    <row r="335" spans="2:7" x14ac:dyDescent="0.3">
      <c r="B335" s="52">
        <v>278</v>
      </c>
      <c r="C335" s="33">
        <v>300.57406053391429</v>
      </c>
      <c r="D335" s="52">
        <v>278</v>
      </c>
      <c r="E335" s="33">
        <v>0.99723725790610018</v>
      </c>
      <c r="F335" s="52">
        <v>278</v>
      </c>
      <c r="G335" s="105">
        <v>206.42378399514115</v>
      </c>
    </row>
    <row r="336" spans="2:7" x14ac:dyDescent="0.3">
      <c r="B336" s="52">
        <v>279</v>
      </c>
      <c r="C336" s="33">
        <v>222.27527596164026</v>
      </c>
      <c r="D336" s="52">
        <v>279</v>
      </c>
      <c r="E336" s="33">
        <v>61.113461380172886</v>
      </c>
      <c r="F336" s="52">
        <v>279</v>
      </c>
      <c r="G336" s="105">
        <v>256.32509902931497</v>
      </c>
    </row>
    <row r="337" spans="2:7" x14ac:dyDescent="0.3">
      <c r="B337" s="52">
        <v>280</v>
      </c>
      <c r="C337" s="33">
        <v>233.97858131925514</v>
      </c>
      <c r="D337" s="52">
        <v>280</v>
      </c>
      <c r="E337" s="33">
        <v>63.002713686959318</v>
      </c>
      <c r="F337" s="52">
        <v>280</v>
      </c>
      <c r="G337" s="105">
        <v>360.75070225951907</v>
      </c>
    </row>
    <row r="338" spans="2:7" x14ac:dyDescent="0.3">
      <c r="B338" s="52">
        <v>281</v>
      </c>
      <c r="C338" s="33">
        <v>159.43280974653069</v>
      </c>
      <c r="D338" s="52">
        <v>281</v>
      </c>
      <c r="E338" s="33">
        <v>44.2419136767586</v>
      </c>
      <c r="F338" s="52">
        <v>281</v>
      </c>
      <c r="G338" s="105">
        <v>266.4417191623761</v>
      </c>
    </row>
    <row r="339" spans="2:7" x14ac:dyDescent="0.3">
      <c r="B339" s="52">
        <v>282</v>
      </c>
      <c r="C339" s="33">
        <v>211.57227112386951</v>
      </c>
      <c r="D339" s="52">
        <v>282</v>
      </c>
      <c r="E339" s="33">
        <v>30.292722019109071</v>
      </c>
      <c r="F339" s="52">
        <v>282</v>
      </c>
      <c r="G339" s="105">
        <v>231.94088283219023</v>
      </c>
    </row>
    <row r="340" spans="2:7" x14ac:dyDescent="0.3">
      <c r="B340" s="52">
        <v>283</v>
      </c>
      <c r="C340" s="33">
        <v>196.54074747496952</v>
      </c>
      <c r="D340" s="52">
        <v>283</v>
      </c>
      <c r="E340" s="33">
        <v>54.064453018047892</v>
      </c>
      <c r="F340" s="52">
        <v>283</v>
      </c>
      <c r="G340" s="105">
        <v>142.37139228002334</v>
      </c>
    </row>
    <row r="341" spans="2:7" x14ac:dyDescent="0.3">
      <c r="B341" s="52">
        <v>284</v>
      </c>
      <c r="C341" s="33">
        <v>121.89862772732559</v>
      </c>
      <c r="D341" s="52">
        <v>284</v>
      </c>
      <c r="E341" s="33">
        <v>9.6130679840310265</v>
      </c>
      <c r="F341" s="52">
        <v>284</v>
      </c>
      <c r="G341" s="105">
        <v>278.92150973580237</v>
      </c>
    </row>
    <row r="342" spans="2:7" x14ac:dyDescent="0.3">
      <c r="B342" s="52">
        <v>285</v>
      </c>
      <c r="C342" s="33">
        <v>350.82777505324981</v>
      </c>
      <c r="D342" s="52">
        <v>285</v>
      </c>
      <c r="E342" s="33">
        <v>77.709019368069193</v>
      </c>
      <c r="F342" s="52">
        <v>285</v>
      </c>
      <c r="G342" s="105">
        <v>164.68592060809607</v>
      </c>
    </row>
    <row r="343" spans="2:7" x14ac:dyDescent="0.3">
      <c r="B343" s="52">
        <v>286</v>
      </c>
      <c r="C343" s="33">
        <v>304.06432913296908</v>
      </c>
      <c r="D343" s="52">
        <v>286</v>
      </c>
      <c r="E343" s="33">
        <v>5.7287373378062796</v>
      </c>
      <c r="F343" s="52">
        <v>286</v>
      </c>
      <c r="G343" s="105">
        <v>252.13513173285395</v>
      </c>
    </row>
    <row r="344" spans="2:7" x14ac:dyDescent="0.3">
      <c r="B344" s="52">
        <v>287</v>
      </c>
      <c r="C344" s="33">
        <v>284.08996186778387</v>
      </c>
      <c r="D344" s="52">
        <v>287</v>
      </c>
      <c r="E344" s="33">
        <v>33.187277808071315</v>
      </c>
      <c r="F344" s="52">
        <v>287</v>
      </c>
      <c r="G344" s="105">
        <v>212.14909986396557</v>
      </c>
    </row>
    <row r="345" spans="2:7" x14ac:dyDescent="0.3">
      <c r="B345" s="52">
        <v>288</v>
      </c>
      <c r="C345" s="33">
        <v>236.20825129394007</v>
      </c>
      <c r="D345" s="52">
        <v>288</v>
      </c>
      <c r="E345" s="33">
        <v>26.344694491609872</v>
      </c>
      <c r="F345" s="52">
        <v>288</v>
      </c>
      <c r="G345" s="105">
        <v>319.89227228617762</v>
      </c>
    </row>
    <row r="346" spans="2:7" x14ac:dyDescent="0.3">
      <c r="B346" s="52">
        <v>289</v>
      </c>
      <c r="C346" s="33">
        <v>281.92530396134157</v>
      </c>
      <c r="D346" s="52">
        <v>289</v>
      </c>
      <c r="E346" s="33">
        <v>75.88798557602594</v>
      </c>
      <c r="F346" s="52">
        <v>289</v>
      </c>
      <c r="G346" s="105">
        <v>259.04600184454193</v>
      </c>
    </row>
    <row r="347" spans="2:7" x14ac:dyDescent="0.3">
      <c r="B347" s="52">
        <v>290</v>
      </c>
      <c r="C347" s="33">
        <v>208.93863820449531</v>
      </c>
      <c r="D347" s="52">
        <v>290</v>
      </c>
      <c r="E347" s="33">
        <v>92.33924128358143</v>
      </c>
      <c r="F347" s="52">
        <v>290</v>
      </c>
      <c r="G347" s="105">
        <v>247.71828767847086</v>
      </c>
    </row>
    <row r="348" spans="2:7" x14ac:dyDescent="0.3">
      <c r="B348" s="52">
        <v>291</v>
      </c>
      <c r="C348" s="33">
        <v>198.1521099687032</v>
      </c>
      <c r="D348" s="52">
        <v>291</v>
      </c>
      <c r="E348" s="33">
        <v>30.828237299831301</v>
      </c>
      <c r="F348" s="52">
        <v>291</v>
      </c>
      <c r="G348" s="105">
        <v>13.947119887858065</v>
      </c>
    </row>
    <row r="349" spans="2:7" x14ac:dyDescent="0.3">
      <c r="B349" s="52">
        <v>292</v>
      </c>
      <c r="C349" s="33">
        <v>60.253795496241707</v>
      </c>
      <c r="D349" s="52">
        <v>292</v>
      </c>
      <c r="E349" s="33">
        <v>63.456443353905208</v>
      </c>
      <c r="F349" s="52">
        <v>292</v>
      </c>
      <c r="G349" s="105">
        <v>310.40887723987828</v>
      </c>
    </row>
    <row r="350" spans="2:7" x14ac:dyDescent="0.3">
      <c r="B350" s="52">
        <v>293</v>
      </c>
      <c r="C350" s="33">
        <v>186.07163213504813</v>
      </c>
      <c r="D350" s="52">
        <v>293</v>
      </c>
      <c r="E350" s="33">
        <v>42.890221167904556</v>
      </c>
      <c r="F350" s="52">
        <v>293</v>
      </c>
      <c r="G350" s="105">
        <v>229.63104787080945</v>
      </c>
    </row>
    <row r="351" spans="2:7" x14ac:dyDescent="0.3">
      <c r="B351" s="52">
        <v>294</v>
      </c>
      <c r="C351" s="33">
        <v>71.477647235094992</v>
      </c>
      <c r="D351" s="52">
        <v>294</v>
      </c>
      <c r="E351" s="33">
        <v>100.14537918332181</v>
      </c>
      <c r="F351" s="52">
        <v>294</v>
      </c>
      <c r="G351" s="105">
        <v>227.85180467994928</v>
      </c>
    </row>
    <row r="352" spans="2:7" x14ac:dyDescent="0.3">
      <c r="B352" s="52">
        <v>295</v>
      </c>
      <c r="C352" s="33">
        <v>169.34957249758611</v>
      </c>
      <c r="D352" s="52">
        <v>295</v>
      </c>
      <c r="E352" s="33">
        <v>51.913986751326895</v>
      </c>
      <c r="F352" s="52">
        <v>295</v>
      </c>
      <c r="G352" s="105">
        <v>155.1488426332279</v>
      </c>
    </row>
    <row r="353" spans="2:7" x14ac:dyDescent="0.3">
      <c r="B353" s="52">
        <v>296</v>
      </c>
      <c r="C353" s="33">
        <v>124.17811910972918</v>
      </c>
      <c r="D353" s="52">
        <v>296</v>
      </c>
      <c r="E353" s="33">
        <v>37.233555360249071</v>
      </c>
      <c r="F353" s="52">
        <v>296</v>
      </c>
      <c r="G353" s="105">
        <v>214.56209330472274</v>
      </c>
    </row>
    <row r="354" spans="2:7" x14ac:dyDescent="0.3">
      <c r="B354" s="52">
        <v>297</v>
      </c>
      <c r="C354" s="33">
        <v>249.4326992469114</v>
      </c>
      <c r="D354" s="52">
        <v>297</v>
      </c>
      <c r="E354" s="33">
        <v>30.211451471794486</v>
      </c>
      <c r="F354" s="52">
        <v>297</v>
      </c>
      <c r="G354" s="105">
        <v>142.18532140974719</v>
      </c>
    </row>
    <row r="355" spans="2:7" x14ac:dyDescent="0.3">
      <c r="B355" s="52">
        <v>298</v>
      </c>
      <c r="C355" s="33">
        <v>171.91676753922343</v>
      </c>
      <c r="D355" s="52">
        <v>298</v>
      </c>
      <c r="E355" s="33">
        <v>37.417207917187795</v>
      </c>
      <c r="F355" s="52">
        <v>298</v>
      </c>
      <c r="G355" s="105">
        <v>211.73896357371243</v>
      </c>
    </row>
    <row r="356" spans="2:7" x14ac:dyDescent="0.3">
      <c r="B356" s="52">
        <v>299</v>
      </c>
      <c r="C356" s="33">
        <v>99.64071378423715</v>
      </c>
      <c r="D356" s="52">
        <v>299</v>
      </c>
      <c r="E356" s="33">
        <v>64.210445473656506</v>
      </c>
      <c r="F356" s="52">
        <v>299</v>
      </c>
      <c r="G356" s="105">
        <v>121.67735662665052</v>
      </c>
    </row>
    <row r="357" spans="2:7" x14ac:dyDescent="0.3">
      <c r="B357" s="52">
        <v>300</v>
      </c>
      <c r="C357" s="33">
        <v>273.07113852821078</v>
      </c>
      <c r="D357" s="52">
        <v>300</v>
      </c>
      <c r="E357" s="33">
        <v>58.077084772506453</v>
      </c>
      <c r="F357" s="52">
        <v>300</v>
      </c>
      <c r="G357" s="105">
        <v>371.47004195895795</v>
      </c>
    </row>
    <row r="358" spans="2:7" x14ac:dyDescent="0.3">
      <c r="B358" s="52">
        <v>301</v>
      </c>
      <c r="C358" s="33">
        <v>281.93792668244993</v>
      </c>
      <c r="D358" s="52">
        <v>301</v>
      </c>
      <c r="E358" s="33">
        <v>49.128150761251945</v>
      </c>
      <c r="F358" s="52">
        <v>301</v>
      </c>
      <c r="G358" s="105">
        <v>258.807219434751</v>
      </c>
    </row>
    <row r="359" spans="2:7" x14ac:dyDescent="0.3">
      <c r="B359" s="52">
        <v>302</v>
      </c>
      <c r="C359" s="33">
        <v>263.29686308567921</v>
      </c>
      <c r="D359" s="52">
        <v>302</v>
      </c>
      <c r="E359" s="33">
        <v>32.583170826633889</v>
      </c>
      <c r="F359" s="52">
        <v>302</v>
      </c>
      <c r="G359" s="105">
        <v>191.65637566461885</v>
      </c>
    </row>
    <row r="360" spans="2:7" x14ac:dyDescent="0.3">
      <c r="B360" s="52">
        <v>303</v>
      </c>
      <c r="C360" s="33">
        <v>176.12380386719065</v>
      </c>
      <c r="D360" s="52">
        <v>303</v>
      </c>
      <c r="E360" s="33">
        <v>88.877824978296289</v>
      </c>
      <c r="F360" s="52">
        <v>303</v>
      </c>
      <c r="G360" s="105">
        <v>344.88253314357303</v>
      </c>
    </row>
    <row r="361" spans="2:7" x14ac:dyDescent="0.3">
      <c r="B361" s="52">
        <v>304</v>
      </c>
      <c r="C361" s="33">
        <v>186.15025530150251</v>
      </c>
      <c r="D361" s="52">
        <v>304</v>
      </c>
      <c r="E361" s="33">
        <v>53.128239260917304</v>
      </c>
      <c r="F361" s="52">
        <v>304</v>
      </c>
      <c r="G361" s="105">
        <v>152.16136709976831</v>
      </c>
    </row>
    <row r="362" spans="2:7" x14ac:dyDescent="0.3">
      <c r="B362" s="52">
        <v>305</v>
      </c>
      <c r="C362" s="33">
        <v>100.25937763092733</v>
      </c>
      <c r="D362" s="52">
        <v>305</v>
      </c>
      <c r="E362" s="33">
        <v>56.039536371801411</v>
      </c>
      <c r="F362" s="52">
        <v>305</v>
      </c>
      <c r="G362" s="105">
        <v>321.05821452753759</v>
      </c>
    </row>
    <row r="363" spans="2:7" x14ac:dyDescent="0.3">
      <c r="B363" s="52">
        <v>306</v>
      </c>
      <c r="C363" s="33">
        <v>116.32716728982319</v>
      </c>
      <c r="D363" s="52">
        <v>306</v>
      </c>
      <c r="E363" s="33">
        <v>1.2864365197804801</v>
      </c>
      <c r="F363" s="52">
        <v>306</v>
      </c>
      <c r="G363" s="105">
        <v>314.14564241128608</v>
      </c>
    </row>
    <row r="364" spans="2:7" x14ac:dyDescent="0.3">
      <c r="B364" s="52">
        <v>307</v>
      </c>
      <c r="C364" s="33">
        <v>266.21842172840041</v>
      </c>
      <c r="D364" s="52">
        <v>307</v>
      </c>
      <c r="E364" s="33">
        <v>59.44182479587851</v>
      </c>
      <c r="F364" s="52">
        <v>307</v>
      </c>
      <c r="G364" s="105">
        <v>231.42357793858949</v>
      </c>
    </row>
    <row r="365" spans="2:7" x14ac:dyDescent="0.3">
      <c r="B365" s="52">
        <v>308</v>
      </c>
      <c r="C365" s="33">
        <v>340.18560351105918</v>
      </c>
      <c r="D365" s="52">
        <v>308</v>
      </c>
      <c r="E365" s="33">
        <v>32.719866112465901</v>
      </c>
      <c r="F365" s="52">
        <v>308</v>
      </c>
      <c r="G365" s="105">
        <v>112.63461183942357</v>
      </c>
    </row>
    <row r="366" spans="2:7" x14ac:dyDescent="0.3">
      <c r="B366" s="52">
        <v>309</v>
      </c>
      <c r="C366" s="33">
        <v>142.63908974710711</v>
      </c>
      <c r="D366" s="52">
        <v>309</v>
      </c>
      <c r="E366" s="33">
        <v>48.062944229725154</v>
      </c>
      <c r="F366" s="52">
        <v>309</v>
      </c>
      <c r="G366" s="105">
        <v>253.96966799473725</v>
      </c>
    </row>
    <row r="367" spans="2:7" x14ac:dyDescent="0.3">
      <c r="B367" s="52">
        <v>310</v>
      </c>
      <c r="C367" s="33">
        <v>280.48291748893917</v>
      </c>
      <c r="D367" s="52">
        <v>310</v>
      </c>
      <c r="E367" s="33">
        <v>84.08006501056758</v>
      </c>
      <c r="F367" s="52">
        <v>310</v>
      </c>
      <c r="G367" s="105">
        <v>337.87689021158269</v>
      </c>
    </row>
    <row r="368" spans="2:7" x14ac:dyDescent="0.3">
      <c r="B368" s="52">
        <v>311</v>
      </c>
      <c r="C368" s="33">
        <v>212.56751242452381</v>
      </c>
      <c r="D368" s="52">
        <v>311</v>
      </c>
      <c r="E368" s="33">
        <v>55.02621511536227</v>
      </c>
      <c r="F368" s="52">
        <v>311</v>
      </c>
      <c r="G368" s="105">
        <v>176.51025252241129</v>
      </c>
    </row>
    <row r="369" spans="2:7" x14ac:dyDescent="0.3">
      <c r="B369" s="52">
        <v>312</v>
      </c>
      <c r="C369" s="33">
        <v>188.68953249618752</v>
      </c>
      <c r="D369" s="52">
        <v>312</v>
      </c>
      <c r="E369" s="33">
        <v>23.100434406046091</v>
      </c>
      <c r="F369" s="52">
        <v>312</v>
      </c>
      <c r="G369" s="105">
        <v>219.94144820547507</v>
      </c>
    </row>
    <row r="370" spans="2:7" x14ac:dyDescent="0.3">
      <c r="B370" s="52">
        <v>313</v>
      </c>
      <c r="C370" s="33">
        <v>259.72440216146805</v>
      </c>
      <c r="D370" s="52">
        <v>313</v>
      </c>
      <c r="E370" s="33">
        <v>59.831441792288118</v>
      </c>
      <c r="F370" s="52">
        <v>313</v>
      </c>
      <c r="G370" s="105">
        <v>191.13038446187414</v>
      </c>
    </row>
    <row r="371" spans="2:7" x14ac:dyDescent="0.3">
      <c r="B371" s="52">
        <v>314</v>
      </c>
      <c r="C371" s="33">
        <v>97.709592668036549</v>
      </c>
      <c r="D371" s="52">
        <v>314</v>
      </c>
      <c r="E371" s="33">
        <v>70.830229876894791</v>
      </c>
      <c r="F371" s="52">
        <v>314</v>
      </c>
      <c r="G371" s="105">
        <v>349.78496893397829</v>
      </c>
    </row>
    <row r="372" spans="2:7" x14ac:dyDescent="0.3">
      <c r="B372" s="52">
        <v>315</v>
      </c>
      <c r="C372" s="33">
        <v>281.75438322175501</v>
      </c>
      <c r="D372" s="52">
        <v>315</v>
      </c>
      <c r="E372" s="33">
        <v>28.498372270478587</v>
      </c>
      <c r="F372" s="52">
        <v>315</v>
      </c>
      <c r="G372" s="105">
        <v>159.80030736205401</v>
      </c>
    </row>
    <row r="373" spans="2:7" x14ac:dyDescent="0.3">
      <c r="B373" s="52">
        <v>316</v>
      </c>
      <c r="C373" s="33">
        <v>70.775836177790893</v>
      </c>
      <c r="D373" s="52">
        <v>316</v>
      </c>
      <c r="E373" s="33">
        <v>126.78978570386403</v>
      </c>
      <c r="F373" s="52">
        <v>316</v>
      </c>
      <c r="G373" s="105">
        <v>91.12949452615932</v>
      </c>
    </row>
    <row r="374" spans="2:7" x14ac:dyDescent="0.3">
      <c r="B374" s="52">
        <v>317</v>
      </c>
      <c r="C374" s="33">
        <v>305.7341588427692</v>
      </c>
      <c r="D374" s="52">
        <v>317</v>
      </c>
      <c r="E374" s="33">
        <v>69.800817491215412</v>
      </c>
      <c r="F374" s="52">
        <v>317</v>
      </c>
      <c r="G374" s="105">
        <v>234.59375670665611</v>
      </c>
    </row>
    <row r="375" spans="2:7" x14ac:dyDescent="0.3">
      <c r="B375" s="52">
        <v>318</v>
      </c>
      <c r="C375" s="33">
        <v>134.85150679243662</v>
      </c>
      <c r="D375" s="52">
        <v>318</v>
      </c>
      <c r="E375" s="33">
        <v>39.973023216191166</v>
      </c>
      <c r="F375" s="52">
        <v>318</v>
      </c>
      <c r="G375" s="105">
        <v>230.14841141182481</v>
      </c>
    </row>
    <row r="376" spans="2:7" x14ac:dyDescent="0.3">
      <c r="B376" s="52">
        <v>319</v>
      </c>
      <c r="C376" s="33">
        <v>268.46907321861477</v>
      </c>
      <c r="D376" s="52">
        <v>319</v>
      </c>
      <c r="E376" s="33">
        <v>29.490560483386947</v>
      </c>
      <c r="F376" s="52">
        <v>319</v>
      </c>
      <c r="G376" s="105">
        <v>223.91653677813423</v>
      </c>
    </row>
    <row r="377" spans="2:7" x14ac:dyDescent="0.3">
      <c r="B377" s="52">
        <v>320</v>
      </c>
      <c r="C377" s="33">
        <v>157.08945656708048</v>
      </c>
      <c r="D377" s="52">
        <v>320</v>
      </c>
      <c r="E377" s="33">
        <v>-0.787149617551826</v>
      </c>
      <c r="F377" s="52">
        <v>320</v>
      </c>
      <c r="G377" s="105">
        <v>220.95516092456901</v>
      </c>
    </row>
    <row r="378" spans="2:7" x14ac:dyDescent="0.3">
      <c r="B378" s="52">
        <v>321</v>
      </c>
      <c r="C378" s="33">
        <v>291.6084171048642</v>
      </c>
      <c r="D378" s="52">
        <v>321</v>
      </c>
      <c r="E378" s="33">
        <v>20.259097609316164</v>
      </c>
      <c r="F378" s="52">
        <v>321</v>
      </c>
      <c r="G378" s="105">
        <v>147.67430916051163</v>
      </c>
    </row>
    <row r="379" spans="2:7" x14ac:dyDescent="0.3">
      <c r="B379" s="52">
        <v>322</v>
      </c>
      <c r="C379" s="33">
        <v>219.66949719411573</v>
      </c>
      <c r="D379" s="52">
        <v>322</v>
      </c>
      <c r="E379" s="33">
        <v>42.669859961922015</v>
      </c>
      <c r="F379" s="52">
        <v>322</v>
      </c>
      <c r="G379" s="105">
        <v>89.772406402919657</v>
      </c>
    </row>
    <row r="380" spans="2:7" x14ac:dyDescent="0.3">
      <c r="B380" s="52">
        <v>323</v>
      </c>
      <c r="C380" s="33">
        <v>-14.998874783138632</v>
      </c>
      <c r="D380" s="52">
        <v>323</v>
      </c>
      <c r="E380" s="33">
        <v>32.105999943982958</v>
      </c>
      <c r="F380" s="52">
        <v>323</v>
      </c>
      <c r="G380" s="105">
        <v>212.82965970632824</v>
      </c>
    </row>
    <row r="381" spans="2:7" x14ac:dyDescent="0.3">
      <c r="B381" s="52">
        <v>324</v>
      </c>
      <c r="C381" s="33">
        <v>323.24366875160001</v>
      </c>
      <c r="D381" s="52">
        <v>324</v>
      </c>
      <c r="E381" s="33">
        <v>-4.8438426538085295</v>
      </c>
      <c r="F381" s="52">
        <v>324</v>
      </c>
      <c r="G381" s="105">
        <v>333.5281801454372</v>
      </c>
    </row>
    <row r="382" spans="2:7" x14ac:dyDescent="0.3">
      <c r="B382" s="52">
        <v>325</v>
      </c>
      <c r="C382" s="33">
        <v>303.05632039413661</v>
      </c>
      <c r="D382" s="52">
        <v>325</v>
      </c>
      <c r="E382" s="33">
        <v>29.460428922561551</v>
      </c>
      <c r="F382" s="52">
        <v>325</v>
      </c>
      <c r="G382" s="105">
        <v>232.09266369881146</v>
      </c>
    </row>
    <row r="383" spans="2:7" x14ac:dyDescent="0.3">
      <c r="B383" s="52">
        <v>326</v>
      </c>
      <c r="C383" s="33">
        <v>278.55120797404282</v>
      </c>
      <c r="D383" s="52">
        <v>326</v>
      </c>
      <c r="E383" s="33">
        <v>23.627223401880368</v>
      </c>
      <c r="F383" s="52">
        <v>326</v>
      </c>
      <c r="G383" s="105">
        <v>176.36026924936337</v>
      </c>
    </row>
    <row r="384" spans="2:7" x14ac:dyDescent="0.3">
      <c r="B384" s="52">
        <v>327</v>
      </c>
      <c r="C384" s="33">
        <v>184.80352326117651</v>
      </c>
      <c r="D384" s="52">
        <v>327</v>
      </c>
      <c r="E384" s="33">
        <v>21.419933303239059</v>
      </c>
      <c r="F384" s="52">
        <v>327</v>
      </c>
      <c r="G384" s="105">
        <v>171.98020042819704</v>
      </c>
    </row>
    <row r="385" spans="2:7" x14ac:dyDescent="0.3">
      <c r="B385" s="52">
        <v>328</v>
      </c>
      <c r="C385" s="33">
        <v>225.53208743098619</v>
      </c>
      <c r="D385" s="52">
        <v>328</v>
      </c>
      <c r="E385" s="33">
        <v>24.396588172045256</v>
      </c>
      <c r="F385" s="52">
        <v>328</v>
      </c>
      <c r="G385" s="105">
        <v>233.17911298042713</v>
      </c>
    </row>
    <row r="386" spans="2:7" x14ac:dyDescent="0.3">
      <c r="B386" s="52">
        <v>329</v>
      </c>
      <c r="C386" s="33">
        <v>316.50163055187147</v>
      </c>
      <c r="D386" s="52">
        <v>329</v>
      </c>
      <c r="E386" s="33">
        <v>59.390737773278175</v>
      </c>
      <c r="F386" s="52">
        <v>329</v>
      </c>
      <c r="G386" s="105">
        <v>311.95304988409237</v>
      </c>
    </row>
    <row r="387" spans="2:7" x14ac:dyDescent="0.3">
      <c r="B387" s="52">
        <v>330</v>
      </c>
      <c r="C387" s="33">
        <v>318.16132222890695</v>
      </c>
      <c r="D387" s="52">
        <v>330</v>
      </c>
      <c r="E387" s="33">
        <v>2.8434384351652824</v>
      </c>
      <c r="F387" s="52">
        <v>330</v>
      </c>
      <c r="G387" s="105">
        <v>230.21602627056333</v>
      </c>
    </row>
    <row r="388" spans="2:7" x14ac:dyDescent="0.3">
      <c r="B388" s="52">
        <v>331</v>
      </c>
      <c r="C388" s="33">
        <v>113.5197029749465</v>
      </c>
      <c r="D388" s="52">
        <v>331</v>
      </c>
      <c r="E388" s="33">
        <v>26.920646252047884</v>
      </c>
      <c r="F388" s="52">
        <v>331</v>
      </c>
      <c r="G388" s="105">
        <v>154.818579324403</v>
      </c>
    </row>
    <row r="389" spans="2:7" x14ac:dyDescent="0.3">
      <c r="B389" s="52">
        <v>332</v>
      </c>
      <c r="C389" s="33">
        <v>198.11171697559257</v>
      </c>
      <c r="D389" s="52">
        <v>332</v>
      </c>
      <c r="E389" s="33">
        <v>55.283221842113271</v>
      </c>
      <c r="F389" s="52">
        <v>332</v>
      </c>
      <c r="G389" s="105">
        <v>282.41779020793581</v>
      </c>
    </row>
    <row r="390" spans="2:7" x14ac:dyDescent="0.3">
      <c r="B390" s="52">
        <v>333</v>
      </c>
      <c r="C390" s="33">
        <v>203.12642255365009</v>
      </c>
      <c r="D390" s="52">
        <v>333</v>
      </c>
      <c r="E390" s="33">
        <v>77.634093917890638</v>
      </c>
      <c r="F390" s="52">
        <v>333</v>
      </c>
      <c r="G390" s="105">
        <v>162.35183045585052</v>
      </c>
    </row>
    <row r="391" spans="2:7" x14ac:dyDescent="0.3">
      <c r="B391" s="52">
        <v>334</v>
      </c>
      <c r="C391" s="33">
        <v>209.36030836670452</v>
      </c>
      <c r="D391" s="52">
        <v>334</v>
      </c>
      <c r="E391" s="33">
        <v>37.025275795619187</v>
      </c>
      <c r="F391" s="52">
        <v>334</v>
      </c>
      <c r="G391" s="105">
        <v>352.87186446901535</v>
      </c>
    </row>
    <row r="392" spans="2:7" x14ac:dyDescent="0.3">
      <c r="B392" s="52">
        <v>335</v>
      </c>
      <c r="C392" s="33">
        <v>193.28405844019841</v>
      </c>
      <c r="D392" s="52">
        <v>335</v>
      </c>
      <c r="E392" s="33">
        <v>61.273716163882</v>
      </c>
      <c r="F392" s="52">
        <v>335</v>
      </c>
      <c r="G392" s="105">
        <v>331.10165713787978</v>
      </c>
    </row>
    <row r="393" spans="2:7" x14ac:dyDescent="0.3">
      <c r="B393" s="52">
        <v>336</v>
      </c>
      <c r="C393" s="33">
        <v>113.08091300422112</v>
      </c>
      <c r="D393" s="52">
        <v>336</v>
      </c>
      <c r="E393" s="33">
        <v>28.06156030413581</v>
      </c>
      <c r="F393" s="52">
        <v>336</v>
      </c>
      <c r="G393" s="105">
        <v>265.99637143353539</v>
      </c>
    </row>
    <row r="394" spans="2:7" x14ac:dyDescent="0.3">
      <c r="B394" s="52">
        <v>337</v>
      </c>
      <c r="C394" s="33">
        <v>230.72625078867176</v>
      </c>
      <c r="D394" s="52">
        <v>337</v>
      </c>
      <c r="E394" s="33">
        <v>75.478640908445925</v>
      </c>
      <c r="F394" s="52">
        <v>337</v>
      </c>
      <c r="G394" s="105">
        <v>140.13138968298881</v>
      </c>
    </row>
    <row r="395" spans="2:7" x14ac:dyDescent="0.3">
      <c r="B395" s="52">
        <v>338</v>
      </c>
      <c r="C395" s="33">
        <v>301.48919972922795</v>
      </c>
      <c r="D395" s="52">
        <v>338</v>
      </c>
      <c r="E395" s="33">
        <v>15.098473346332167</v>
      </c>
      <c r="F395" s="52">
        <v>338</v>
      </c>
      <c r="G395" s="105">
        <v>241.5938936019619</v>
      </c>
    </row>
    <row r="396" spans="2:7" x14ac:dyDescent="0.3">
      <c r="B396" s="52">
        <v>339</v>
      </c>
      <c r="C396" s="33">
        <v>151.05749804195312</v>
      </c>
      <c r="D396" s="52">
        <v>339</v>
      </c>
      <c r="E396" s="33">
        <v>20.994349978378921</v>
      </c>
      <c r="F396" s="52">
        <v>339</v>
      </c>
      <c r="G396" s="105">
        <v>160.69471505788823</v>
      </c>
    </row>
    <row r="397" spans="2:7" x14ac:dyDescent="0.3">
      <c r="B397" s="52">
        <v>340</v>
      </c>
      <c r="C397" s="33">
        <v>166.69193818914368</v>
      </c>
      <c r="D397" s="52">
        <v>340</v>
      </c>
      <c r="E397" s="33">
        <v>21.577862244354307</v>
      </c>
      <c r="F397" s="52">
        <v>340</v>
      </c>
      <c r="G397" s="105">
        <v>235.21384848836433</v>
      </c>
    </row>
    <row r="398" spans="2:7" x14ac:dyDescent="0.3">
      <c r="B398" s="52">
        <v>341</v>
      </c>
      <c r="C398" s="33">
        <v>139.10489480518203</v>
      </c>
      <c r="D398" s="52">
        <v>341</v>
      </c>
      <c r="E398" s="33">
        <v>63.341745547927815</v>
      </c>
      <c r="F398" s="52">
        <v>341</v>
      </c>
      <c r="G398" s="105">
        <v>89.726654890960205</v>
      </c>
    </row>
    <row r="399" spans="2:7" x14ac:dyDescent="0.3">
      <c r="B399" s="52">
        <v>342</v>
      </c>
      <c r="C399" s="33">
        <v>312.31942042236432</v>
      </c>
      <c r="D399" s="52">
        <v>342</v>
      </c>
      <c r="E399" s="33">
        <v>64.80889238998391</v>
      </c>
      <c r="F399" s="52">
        <v>342</v>
      </c>
      <c r="G399" s="105">
        <v>208.9568346013827</v>
      </c>
    </row>
    <row r="400" spans="2:7" x14ac:dyDescent="0.3">
      <c r="B400" s="52">
        <v>343</v>
      </c>
      <c r="C400" s="33">
        <v>254.97276303412079</v>
      </c>
      <c r="D400" s="52">
        <v>343</v>
      </c>
      <c r="E400" s="33">
        <v>47.622713741866221</v>
      </c>
      <c r="F400" s="52">
        <v>343</v>
      </c>
      <c r="G400" s="105">
        <v>119.30657297347257</v>
      </c>
    </row>
    <row r="401" spans="2:7" x14ac:dyDescent="0.3">
      <c r="B401" s="52">
        <v>344</v>
      </c>
      <c r="C401" s="33">
        <v>113.60431547625579</v>
      </c>
      <c r="D401" s="52">
        <v>344</v>
      </c>
      <c r="E401" s="33">
        <v>29.295036564097863</v>
      </c>
      <c r="F401" s="52">
        <v>344</v>
      </c>
      <c r="G401" s="105">
        <v>308.6014974751688</v>
      </c>
    </row>
    <row r="402" spans="2:7" x14ac:dyDescent="0.3">
      <c r="B402" s="52">
        <v>345</v>
      </c>
      <c r="C402" s="33">
        <v>179.49043387742319</v>
      </c>
      <c r="D402" s="52">
        <v>345</v>
      </c>
      <c r="E402" s="33">
        <v>16.191228771164013</v>
      </c>
      <c r="F402" s="52">
        <v>345</v>
      </c>
      <c r="G402" s="105">
        <v>337.78257680703979</v>
      </c>
    </row>
    <row r="403" spans="2:7" x14ac:dyDescent="0.3">
      <c r="B403" s="52">
        <v>346</v>
      </c>
      <c r="C403" s="33">
        <v>113.94327614240264</v>
      </c>
      <c r="D403" s="52">
        <v>346</v>
      </c>
      <c r="E403" s="33">
        <v>29.785797636611292</v>
      </c>
      <c r="F403" s="52">
        <v>346</v>
      </c>
      <c r="G403" s="105">
        <v>329.26575810647535</v>
      </c>
    </row>
    <row r="404" spans="2:7" x14ac:dyDescent="0.3">
      <c r="B404" s="52">
        <v>347</v>
      </c>
      <c r="C404" s="33">
        <v>310.12766031663188</v>
      </c>
      <c r="D404" s="52">
        <v>347</v>
      </c>
      <c r="E404" s="33">
        <v>-11.1795024970857</v>
      </c>
      <c r="F404" s="52">
        <v>347</v>
      </c>
      <c r="G404" s="105">
        <v>313.12349767124249</v>
      </c>
    </row>
    <row r="405" spans="2:7" x14ac:dyDescent="0.3">
      <c r="B405" s="52">
        <v>348</v>
      </c>
      <c r="C405" s="33">
        <v>201.9959832855989</v>
      </c>
      <c r="D405" s="52">
        <v>348</v>
      </c>
      <c r="E405" s="33">
        <v>43.621947931250787</v>
      </c>
      <c r="F405" s="52">
        <v>348</v>
      </c>
      <c r="G405" s="105">
        <v>228.63169000620204</v>
      </c>
    </row>
    <row r="406" spans="2:7" x14ac:dyDescent="0.3">
      <c r="B406" s="52">
        <v>349</v>
      </c>
      <c r="C406" s="33">
        <v>133.6751856202514</v>
      </c>
      <c r="D406" s="52">
        <v>349</v>
      </c>
      <c r="E406" s="33">
        <v>12.284392281528952</v>
      </c>
      <c r="F406" s="52">
        <v>349</v>
      </c>
      <c r="G406" s="105">
        <v>263.37773602837512</v>
      </c>
    </row>
    <row r="407" spans="2:7" x14ac:dyDescent="0.3">
      <c r="B407" s="52">
        <v>350</v>
      </c>
      <c r="C407" s="33">
        <v>188.99411843364805</v>
      </c>
      <c r="D407" s="52">
        <v>350</v>
      </c>
      <c r="E407" s="33">
        <v>22.339688692044042</v>
      </c>
      <c r="F407" s="52">
        <v>350</v>
      </c>
      <c r="G407" s="105">
        <v>131.02502636095329</v>
      </c>
    </row>
    <row r="408" spans="2:7" x14ac:dyDescent="0.3">
      <c r="B408" s="52">
        <v>351</v>
      </c>
      <c r="C408" s="33">
        <v>206.68176739763402</v>
      </c>
      <c r="D408" s="52">
        <v>351</v>
      </c>
      <c r="E408" s="33">
        <v>-26.102251604147753</v>
      </c>
      <c r="F408" s="52">
        <v>351</v>
      </c>
      <c r="G408" s="105">
        <v>111.60408487547708</v>
      </c>
    </row>
    <row r="409" spans="2:7" x14ac:dyDescent="0.3">
      <c r="B409" s="52">
        <v>352</v>
      </c>
      <c r="C409" s="33">
        <v>182.40061197791152</v>
      </c>
      <c r="D409" s="52">
        <v>352</v>
      </c>
      <c r="E409" s="33">
        <v>6.9989282557443175</v>
      </c>
      <c r="F409" s="52">
        <v>352</v>
      </c>
      <c r="G409" s="105">
        <v>222.42417261179639</v>
      </c>
    </row>
    <row r="410" spans="2:7" x14ac:dyDescent="0.3">
      <c r="B410" s="52">
        <v>353</v>
      </c>
      <c r="C410" s="33">
        <v>245.06342622684326</v>
      </c>
      <c r="D410" s="52">
        <v>353</v>
      </c>
      <c r="E410" s="33">
        <v>79.35730779529257</v>
      </c>
      <c r="F410" s="52">
        <v>353</v>
      </c>
      <c r="G410" s="105">
        <v>226.55331161368304</v>
      </c>
    </row>
    <row r="411" spans="2:7" x14ac:dyDescent="0.3">
      <c r="B411" s="52">
        <v>354</v>
      </c>
      <c r="C411" s="33">
        <v>180.71482184681344</v>
      </c>
      <c r="D411" s="52">
        <v>354</v>
      </c>
      <c r="E411" s="33">
        <v>62.74331860360369</v>
      </c>
      <c r="F411" s="52">
        <v>354</v>
      </c>
      <c r="G411" s="105">
        <v>114.06607863004805</v>
      </c>
    </row>
    <row r="412" spans="2:7" x14ac:dyDescent="0.3">
      <c r="B412" s="52">
        <v>355</v>
      </c>
      <c r="C412" s="33">
        <v>191.97950221148056</v>
      </c>
      <c r="D412" s="52">
        <v>355</v>
      </c>
      <c r="E412" s="33">
        <v>50.396793900329889</v>
      </c>
      <c r="F412" s="52">
        <v>355</v>
      </c>
      <c r="G412" s="105">
        <v>409.65778362330514</v>
      </c>
    </row>
    <row r="413" spans="2:7" x14ac:dyDescent="0.3">
      <c r="B413" s="52">
        <v>356</v>
      </c>
      <c r="C413" s="33">
        <v>62.113077400490397</v>
      </c>
      <c r="D413" s="52">
        <v>356</v>
      </c>
      <c r="E413" s="33">
        <v>33.710487780821154</v>
      </c>
      <c r="F413" s="52">
        <v>356</v>
      </c>
      <c r="G413" s="105">
        <v>299.42477279925089</v>
      </c>
    </row>
    <row r="414" spans="2:7" x14ac:dyDescent="0.3">
      <c r="B414" s="52">
        <v>357</v>
      </c>
      <c r="C414" s="33">
        <v>262.4809982943251</v>
      </c>
      <c r="D414" s="52">
        <v>357</v>
      </c>
      <c r="E414" s="33">
        <v>11.343914586671257</v>
      </c>
      <c r="F414" s="52">
        <v>357</v>
      </c>
      <c r="G414" s="105">
        <v>263.4277889917289</v>
      </c>
    </row>
    <row r="415" spans="2:7" x14ac:dyDescent="0.3">
      <c r="B415" s="52">
        <v>358</v>
      </c>
      <c r="C415" s="33">
        <v>163.37651348987666</v>
      </c>
      <c r="D415" s="52">
        <v>358</v>
      </c>
      <c r="E415" s="33">
        <v>122.90683008451217</v>
      </c>
      <c r="F415" s="52">
        <v>358</v>
      </c>
      <c r="G415" s="105">
        <v>246.9032646611534</v>
      </c>
    </row>
    <row r="416" spans="2:7" x14ac:dyDescent="0.3">
      <c r="B416" s="52">
        <v>359</v>
      </c>
      <c r="C416" s="33">
        <v>171.24663596914795</v>
      </c>
      <c r="D416" s="52">
        <v>359</v>
      </c>
      <c r="E416" s="33">
        <v>40.760471847539357</v>
      </c>
      <c r="F416" s="52">
        <v>359</v>
      </c>
      <c r="G416" s="105">
        <v>216.59193116162515</v>
      </c>
    </row>
    <row r="417" spans="2:7" x14ac:dyDescent="0.3">
      <c r="B417" s="52">
        <v>360</v>
      </c>
      <c r="C417" s="33">
        <v>184.56337048205663</v>
      </c>
      <c r="D417" s="52">
        <v>360</v>
      </c>
      <c r="E417" s="33">
        <v>39.859324404857176</v>
      </c>
      <c r="F417" s="52">
        <v>360</v>
      </c>
      <c r="G417" s="105">
        <v>62.760710780728402</v>
      </c>
    </row>
    <row r="418" spans="2:7" x14ac:dyDescent="0.3">
      <c r="B418" s="52">
        <v>361</v>
      </c>
      <c r="C418" s="33">
        <v>79.17668016482267</v>
      </c>
      <c r="D418" s="52">
        <v>361</v>
      </c>
      <c r="E418" s="33">
        <v>51.982208678962316</v>
      </c>
      <c r="F418" s="52">
        <v>361</v>
      </c>
      <c r="G418" s="105">
        <v>203.99105382639536</v>
      </c>
    </row>
    <row r="419" spans="2:7" x14ac:dyDescent="0.3">
      <c r="B419" s="52">
        <v>362</v>
      </c>
      <c r="C419" s="33">
        <v>311.21256100351854</v>
      </c>
      <c r="D419" s="52">
        <v>362</v>
      </c>
      <c r="E419" s="33">
        <v>63.210369508363421</v>
      </c>
      <c r="F419" s="52">
        <v>362</v>
      </c>
      <c r="G419" s="105">
        <v>107.83460178629966</v>
      </c>
    </row>
    <row r="420" spans="2:7" x14ac:dyDescent="0.3">
      <c r="B420" s="52">
        <v>363</v>
      </c>
      <c r="C420" s="33">
        <v>157.20677577095313</v>
      </c>
      <c r="D420" s="52">
        <v>363</v>
      </c>
      <c r="E420" s="33">
        <v>-37.430300136594795</v>
      </c>
      <c r="F420" s="52">
        <v>363</v>
      </c>
      <c r="G420" s="105">
        <v>298.43956825913176</v>
      </c>
    </row>
    <row r="421" spans="2:7" x14ac:dyDescent="0.3">
      <c r="B421" s="52">
        <v>364</v>
      </c>
      <c r="C421" s="33">
        <v>326.36724794332576</v>
      </c>
      <c r="D421" s="52">
        <v>364</v>
      </c>
      <c r="E421" s="33">
        <v>36.016950249558946</v>
      </c>
      <c r="F421" s="52">
        <v>364</v>
      </c>
      <c r="G421" s="105">
        <v>155.31857637153121</v>
      </c>
    </row>
    <row r="422" spans="2:7" x14ac:dyDescent="0.3">
      <c r="B422" s="52">
        <v>365</v>
      </c>
      <c r="C422" s="33">
        <v>252.36944002263488</v>
      </c>
      <c r="D422" s="52">
        <v>365</v>
      </c>
      <c r="E422" s="33">
        <v>62.264794460962499</v>
      </c>
      <c r="F422" s="52">
        <v>365</v>
      </c>
      <c r="G422" s="105">
        <v>220.55105895260147</v>
      </c>
    </row>
    <row r="423" spans="2:7" x14ac:dyDescent="0.3">
      <c r="B423" s="52">
        <v>366</v>
      </c>
      <c r="C423" s="33">
        <v>177.56294315913198</v>
      </c>
      <c r="D423" s="52">
        <v>366</v>
      </c>
      <c r="E423" s="33">
        <v>24.558636693739849</v>
      </c>
      <c r="F423" s="52">
        <v>366</v>
      </c>
      <c r="G423" s="105">
        <v>233.83052105960044</v>
      </c>
    </row>
    <row r="424" spans="2:7" x14ac:dyDescent="0.3">
      <c r="B424" s="52">
        <v>367</v>
      </c>
      <c r="C424" s="33">
        <v>91.905364389182637</v>
      </c>
      <c r="D424" s="52">
        <v>367</v>
      </c>
      <c r="E424" s="33">
        <v>38.318159498088633</v>
      </c>
      <c r="F424" s="52">
        <v>367</v>
      </c>
      <c r="G424" s="105">
        <v>165.82929711521854</v>
      </c>
    </row>
    <row r="425" spans="2:7" x14ac:dyDescent="0.3">
      <c r="B425" s="52">
        <v>368</v>
      </c>
      <c r="C425" s="33">
        <v>227.38193407511571</v>
      </c>
      <c r="D425" s="52">
        <v>368</v>
      </c>
      <c r="E425" s="33">
        <v>8.8901249835069933</v>
      </c>
      <c r="F425" s="52">
        <v>368</v>
      </c>
      <c r="G425" s="105">
        <v>251.90849210550698</v>
      </c>
    </row>
    <row r="426" spans="2:7" x14ac:dyDescent="0.3">
      <c r="B426" s="52">
        <v>369</v>
      </c>
      <c r="C426" s="33">
        <v>289.07573345177661</v>
      </c>
      <c r="D426" s="52">
        <v>369</v>
      </c>
      <c r="E426" s="33">
        <v>46.947548609110839</v>
      </c>
      <c r="F426" s="52">
        <v>369</v>
      </c>
      <c r="G426" s="105">
        <v>169.23206601100085</v>
      </c>
    </row>
    <row r="427" spans="2:7" x14ac:dyDescent="0.3">
      <c r="B427" s="52">
        <v>370</v>
      </c>
      <c r="C427" s="33">
        <v>206.7020745061194</v>
      </c>
      <c r="D427" s="52">
        <v>370</v>
      </c>
      <c r="E427" s="33">
        <v>33.018636557896443</v>
      </c>
      <c r="F427" s="52">
        <v>370</v>
      </c>
      <c r="G427" s="105">
        <v>294.85020821653791</v>
      </c>
    </row>
    <row r="428" spans="2:7" x14ac:dyDescent="0.3">
      <c r="B428" s="52">
        <v>371</v>
      </c>
      <c r="C428" s="33">
        <v>52.702377350463323</v>
      </c>
      <c r="D428" s="52">
        <v>371</v>
      </c>
      <c r="E428" s="33">
        <v>37.24582798292608</v>
      </c>
      <c r="F428" s="52">
        <v>371</v>
      </c>
      <c r="G428" s="105">
        <v>170.69825075626491</v>
      </c>
    </row>
    <row r="429" spans="2:7" x14ac:dyDescent="0.3">
      <c r="B429" s="52">
        <v>372</v>
      </c>
      <c r="C429" s="33">
        <v>257.04038335354659</v>
      </c>
      <c r="D429" s="52">
        <v>372</v>
      </c>
      <c r="E429" s="33">
        <v>21.934308820932714</v>
      </c>
      <c r="F429" s="52">
        <v>372</v>
      </c>
      <c r="G429" s="105">
        <v>315.62359867253866</v>
      </c>
    </row>
    <row r="430" spans="2:7" x14ac:dyDescent="0.3">
      <c r="B430" s="52">
        <v>373</v>
      </c>
      <c r="C430" s="33">
        <v>256.94197010045758</v>
      </c>
      <c r="D430" s="52">
        <v>373</v>
      </c>
      <c r="E430" s="33">
        <v>28.573426724957727</v>
      </c>
      <c r="F430" s="52">
        <v>373</v>
      </c>
      <c r="G430" s="105">
        <v>262.6668328475609</v>
      </c>
    </row>
    <row r="431" spans="2:7" x14ac:dyDescent="0.3">
      <c r="B431" s="52">
        <v>374</v>
      </c>
      <c r="C431" s="33">
        <v>302.74496062070898</v>
      </c>
      <c r="D431" s="52">
        <v>374</v>
      </c>
      <c r="E431" s="33">
        <v>11.825195379140631</v>
      </c>
      <c r="F431" s="52">
        <v>374</v>
      </c>
      <c r="G431" s="105">
        <v>208.91300462891692</v>
      </c>
    </row>
    <row r="432" spans="2:7" x14ac:dyDescent="0.3">
      <c r="B432" s="52">
        <v>375</v>
      </c>
      <c r="C432" s="33">
        <v>192.38125249043051</v>
      </c>
      <c r="D432" s="52">
        <v>375</v>
      </c>
      <c r="E432" s="33">
        <v>40.747402386734279</v>
      </c>
      <c r="F432" s="52">
        <v>375</v>
      </c>
      <c r="G432" s="105">
        <v>187.46650810380333</v>
      </c>
    </row>
    <row r="433" spans="2:7" x14ac:dyDescent="0.3">
      <c r="B433" s="52">
        <v>376</v>
      </c>
      <c r="C433" s="33">
        <v>17.21024879366766</v>
      </c>
      <c r="D433" s="52">
        <v>376</v>
      </c>
      <c r="E433" s="33">
        <v>66.171137417101932</v>
      </c>
      <c r="F433" s="52">
        <v>376</v>
      </c>
      <c r="G433" s="105">
        <v>252.68907587368852</v>
      </c>
    </row>
    <row r="434" spans="2:7" x14ac:dyDescent="0.3">
      <c r="B434" s="52">
        <v>377</v>
      </c>
      <c r="C434" s="33">
        <v>279.03104910220327</v>
      </c>
      <c r="D434" s="52">
        <v>377</v>
      </c>
      <c r="E434" s="33">
        <v>81.767829457132635</v>
      </c>
      <c r="F434" s="52">
        <v>377</v>
      </c>
      <c r="G434" s="105">
        <v>125.70168142333785</v>
      </c>
    </row>
    <row r="435" spans="2:7" x14ac:dyDescent="0.3">
      <c r="B435" s="52">
        <v>378</v>
      </c>
      <c r="C435" s="33">
        <v>248.98153440351453</v>
      </c>
      <c r="D435" s="52">
        <v>378</v>
      </c>
      <c r="E435" s="33">
        <v>58.873492300132128</v>
      </c>
      <c r="F435" s="52">
        <v>378</v>
      </c>
      <c r="G435" s="105">
        <v>213.74180107029622</v>
      </c>
    </row>
    <row r="436" spans="2:7" x14ac:dyDescent="0.3">
      <c r="B436" s="52">
        <v>379</v>
      </c>
      <c r="C436" s="33">
        <v>208.79647032807588</v>
      </c>
      <c r="D436" s="52">
        <v>379</v>
      </c>
      <c r="E436" s="33">
        <v>15.167625874967015</v>
      </c>
      <c r="F436" s="52">
        <v>379</v>
      </c>
      <c r="G436" s="105">
        <v>227.04019474180012</v>
      </c>
    </row>
    <row r="437" spans="2:7" x14ac:dyDescent="0.3">
      <c r="B437" s="52">
        <v>380</v>
      </c>
      <c r="C437" s="33">
        <v>371.07384365899935</v>
      </c>
      <c r="D437" s="52">
        <v>380</v>
      </c>
      <c r="E437" s="33">
        <v>38.080776951377857</v>
      </c>
      <c r="F437" s="52">
        <v>380</v>
      </c>
      <c r="G437" s="105">
        <v>0.19061493379302874</v>
      </c>
    </row>
    <row r="438" spans="2:7" x14ac:dyDescent="0.3">
      <c r="B438" s="52">
        <v>381</v>
      </c>
      <c r="C438" s="33">
        <v>211.85587905509954</v>
      </c>
      <c r="D438" s="52">
        <v>381</v>
      </c>
      <c r="E438" s="33">
        <v>48.129537590983077</v>
      </c>
      <c r="F438" s="52">
        <v>381</v>
      </c>
      <c r="G438" s="105">
        <v>99.561347471283028</v>
      </c>
    </row>
    <row r="439" spans="2:7" x14ac:dyDescent="0.3">
      <c r="B439" s="52">
        <v>382</v>
      </c>
      <c r="C439" s="33">
        <v>312.50147145502478</v>
      </c>
      <c r="D439" s="52">
        <v>382</v>
      </c>
      <c r="E439" s="33">
        <v>96.062030853178484</v>
      </c>
      <c r="F439" s="52">
        <v>382</v>
      </c>
      <c r="G439" s="105">
        <v>251.48740752364805</v>
      </c>
    </row>
    <row r="440" spans="2:7" x14ac:dyDescent="0.3">
      <c r="B440" s="52">
        <v>383</v>
      </c>
      <c r="C440" s="33">
        <v>103.42644008601125</v>
      </c>
      <c r="D440" s="52">
        <v>383</v>
      </c>
      <c r="E440" s="33">
        <v>20.280371022114764</v>
      </c>
      <c r="F440" s="52">
        <v>383</v>
      </c>
      <c r="G440" s="105">
        <v>363.65699715385341</v>
      </c>
    </row>
    <row r="441" spans="2:7" x14ac:dyDescent="0.3">
      <c r="B441" s="52">
        <v>384</v>
      </c>
      <c r="C441" s="33">
        <v>318.24868859724717</v>
      </c>
      <c r="D441" s="52">
        <v>384</v>
      </c>
      <c r="E441" s="33">
        <v>70.444303971897853</v>
      </c>
      <c r="F441" s="52">
        <v>384</v>
      </c>
      <c r="G441" s="105">
        <v>224.12074413701097</v>
      </c>
    </row>
    <row r="442" spans="2:7" x14ac:dyDescent="0.3">
      <c r="B442" s="52">
        <v>385</v>
      </c>
      <c r="C442" s="33">
        <v>276.98979601661324</v>
      </c>
      <c r="D442" s="52">
        <v>385</v>
      </c>
      <c r="E442" s="33">
        <v>36.926654195638342</v>
      </c>
      <c r="F442" s="52">
        <v>385</v>
      </c>
      <c r="G442" s="105">
        <v>306.60647819839392</v>
      </c>
    </row>
    <row r="443" spans="2:7" x14ac:dyDescent="0.3">
      <c r="B443" s="52">
        <v>386</v>
      </c>
      <c r="C443" s="33">
        <v>239.01169451143309</v>
      </c>
      <c r="D443" s="52">
        <v>386</v>
      </c>
      <c r="E443" s="33">
        <v>32.05495991357364</v>
      </c>
      <c r="F443" s="52">
        <v>386</v>
      </c>
      <c r="G443" s="105">
        <v>202.55136933387536</v>
      </c>
    </row>
    <row r="444" spans="2:7" x14ac:dyDescent="0.3">
      <c r="B444" s="52">
        <v>387</v>
      </c>
      <c r="C444" s="33">
        <v>188.84184037647503</v>
      </c>
      <c r="D444" s="52">
        <v>387</v>
      </c>
      <c r="E444" s="33">
        <v>50.658272277689584</v>
      </c>
      <c r="F444" s="52">
        <v>387</v>
      </c>
      <c r="G444" s="105">
        <v>173.85835299622116</v>
      </c>
    </row>
    <row r="445" spans="2:7" x14ac:dyDescent="0.3">
      <c r="B445" s="52">
        <v>388</v>
      </c>
      <c r="C445" s="33">
        <v>202.8960303137099</v>
      </c>
      <c r="D445" s="52">
        <v>388</v>
      </c>
      <c r="E445" s="33">
        <v>30.35158731418246</v>
      </c>
      <c r="F445" s="52">
        <v>388</v>
      </c>
      <c r="G445" s="105">
        <v>198.9996978734286</v>
      </c>
    </row>
    <row r="446" spans="2:7" x14ac:dyDescent="0.3">
      <c r="B446" s="52">
        <v>389</v>
      </c>
      <c r="C446" s="33">
        <v>289.7789182524233</v>
      </c>
      <c r="D446" s="52">
        <v>389</v>
      </c>
      <c r="E446" s="33">
        <v>19.056135101344694</v>
      </c>
      <c r="F446" s="52">
        <v>389</v>
      </c>
      <c r="G446" s="105">
        <v>238.91567707491427</v>
      </c>
    </row>
    <row r="447" spans="2:7" x14ac:dyDescent="0.3">
      <c r="B447" s="52">
        <v>390</v>
      </c>
      <c r="C447" s="33">
        <v>234.08580966869994</v>
      </c>
      <c r="D447" s="52">
        <v>390</v>
      </c>
      <c r="E447" s="33">
        <v>72.950822394641349</v>
      </c>
      <c r="F447" s="52">
        <v>390</v>
      </c>
      <c r="G447" s="105">
        <v>102.40935085347652</v>
      </c>
    </row>
    <row r="448" spans="2:7" x14ac:dyDescent="0.3">
      <c r="B448" s="52">
        <v>391</v>
      </c>
      <c r="C448" s="33">
        <v>303.81022446748614</v>
      </c>
      <c r="D448" s="52">
        <v>391</v>
      </c>
      <c r="E448" s="33">
        <v>50.784493582110436</v>
      </c>
      <c r="F448" s="52">
        <v>391</v>
      </c>
      <c r="G448" s="105">
        <v>278.87918849254413</v>
      </c>
    </row>
    <row r="449" spans="2:7" x14ac:dyDescent="0.3">
      <c r="B449" s="52">
        <v>392</v>
      </c>
      <c r="C449" s="33">
        <v>215.48249214615379</v>
      </c>
      <c r="D449" s="52">
        <v>392</v>
      </c>
      <c r="E449" s="33">
        <v>61.048757565217485</v>
      </c>
      <c r="F449" s="52">
        <v>392</v>
      </c>
      <c r="G449" s="105">
        <v>282.43196893932264</v>
      </c>
    </row>
    <row r="450" spans="2:7" x14ac:dyDescent="0.3">
      <c r="B450" s="52">
        <v>393</v>
      </c>
      <c r="C450" s="33">
        <v>276.85535311077746</v>
      </c>
      <c r="D450" s="52">
        <v>393</v>
      </c>
      <c r="E450" s="33">
        <v>1.2251270149751932</v>
      </c>
      <c r="F450" s="52">
        <v>393</v>
      </c>
      <c r="G450" s="105">
        <v>384.1828022539936</v>
      </c>
    </row>
    <row r="451" spans="2:7" x14ac:dyDescent="0.3">
      <c r="B451" s="52">
        <v>394</v>
      </c>
      <c r="C451" s="33">
        <v>223.84185759551158</v>
      </c>
      <c r="D451" s="52">
        <v>394</v>
      </c>
      <c r="E451" s="33">
        <v>46.97511009062751</v>
      </c>
      <c r="F451" s="52">
        <v>394</v>
      </c>
      <c r="G451" s="105">
        <v>169.6161551303783</v>
      </c>
    </row>
    <row r="452" spans="2:7" x14ac:dyDescent="0.3">
      <c r="B452" s="52">
        <v>395</v>
      </c>
      <c r="C452" s="33">
        <v>212.42490510009017</v>
      </c>
      <c r="D452" s="52">
        <v>395</v>
      </c>
      <c r="E452" s="33">
        <v>22.436741466804165</v>
      </c>
      <c r="F452" s="52">
        <v>395</v>
      </c>
      <c r="G452" s="105">
        <v>274.18281687722282</v>
      </c>
    </row>
    <row r="453" spans="2:7" x14ac:dyDescent="0.3">
      <c r="B453" s="52">
        <v>396</v>
      </c>
      <c r="C453" s="33">
        <v>239.85380304721471</v>
      </c>
      <c r="D453" s="52">
        <v>396</v>
      </c>
      <c r="E453" s="33">
        <v>53.1617275477875</v>
      </c>
      <c r="F453" s="52">
        <v>396</v>
      </c>
      <c r="G453" s="105">
        <v>261.75107672854006</v>
      </c>
    </row>
    <row r="454" spans="2:7" x14ac:dyDescent="0.3">
      <c r="B454" s="52">
        <v>397</v>
      </c>
      <c r="C454" s="33">
        <v>162.15690331264634</v>
      </c>
      <c r="D454" s="52">
        <v>397</v>
      </c>
      <c r="E454" s="33">
        <v>83.414353521591039</v>
      </c>
      <c r="F454" s="52">
        <v>397</v>
      </c>
      <c r="G454" s="105">
        <v>220.26526629989377</v>
      </c>
    </row>
    <row r="455" spans="2:7" x14ac:dyDescent="0.3">
      <c r="B455" s="52">
        <v>398</v>
      </c>
      <c r="C455" s="33">
        <v>293.98052268547218</v>
      </c>
      <c r="D455" s="52">
        <v>398</v>
      </c>
      <c r="E455" s="33">
        <v>-33.802984614038159</v>
      </c>
      <c r="F455" s="52">
        <v>398</v>
      </c>
      <c r="G455" s="105">
        <v>144.30658952787817</v>
      </c>
    </row>
    <row r="456" spans="2:7" x14ac:dyDescent="0.3">
      <c r="B456" s="52">
        <v>399</v>
      </c>
      <c r="C456" s="33">
        <v>148.87971400069486</v>
      </c>
      <c r="D456" s="52">
        <v>399</v>
      </c>
      <c r="E456" s="33">
        <v>51.998857430784128</v>
      </c>
      <c r="F456" s="52">
        <v>399</v>
      </c>
      <c r="G456" s="105">
        <v>329.0127093821946</v>
      </c>
    </row>
    <row r="457" spans="2:7" x14ac:dyDescent="0.3">
      <c r="B457" s="52">
        <v>400</v>
      </c>
      <c r="C457" s="33">
        <v>317.6160173081214</v>
      </c>
      <c r="D457" s="52">
        <v>400</v>
      </c>
      <c r="E457" s="33">
        <v>19.892808284888041</v>
      </c>
      <c r="F457" s="52">
        <v>400</v>
      </c>
      <c r="G457" s="105">
        <v>220.99320249567938</v>
      </c>
    </row>
    <row r="458" spans="2:7" x14ac:dyDescent="0.3">
      <c r="B458" s="52">
        <v>401</v>
      </c>
      <c r="C458" s="33">
        <v>201.96359396537275</v>
      </c>
      <c r="D458" s="52">
        <v>401</v>
      </c>
      <c r="E458" s="33">
        <v>-20.859604209659317</v>
      </c>
      <c r="F458" s="52">
        <v>401</v>
      </c>
      <c r="G458" s="105">
        <v>153.7618978100368</v>
      </c>
    </row>
    <row r="459" spans="2:7" x14ac:dyDescent="0.3">
      <c r="B459" s="52">
        <v>402</v>
      </c>
      <c r="C459" s="33">
        <v>227.835123331825</v>
      </c>
      <c r="D459" s="52">
        <v>402</v>
      </c>
      <c r="E459" s="33">
        <v>6.6171505691697519</v>
      </c>
      <c r="F459" s="52">
        <v>402</v>
      </c>
      <c r="G459" s="105">
        <v>114.66185316108313</v>
      </c>
    </row>
    <row r="460" spans="2:7" x14ac:dyDescent="0.3">
      <c r="B460" s="52">
        <v>403</v>
      </c>
      <c r="C460" s="33">
        <v>307.22410319506258</v>
      </c>
      <c r="D460" s="52">
        <v>403</v>
      </c>
      <c r="E460" s="33">
        <v>10.286610181161677</v>
      </c>
      <c r="F460" s="52">
        <v>403</v>
      </c>
      <c r="G460" s="105">
        <v>282.60110310219511</v>
      </c>
    </row>
    <row r="461" spans="2:7" x14ac:dyDescent="0.3">
      <c r="B461" s="52">
        <v>404</v>
      </c>
      <c r="C461" s="33">
        <v>235.66305720818519</v>
      </c>
      <c r="D461" s="52">
        <v>404</v>
      </c>
      <c r="E461" s="33">
        <v>61.934288812534547</v>
      </c>
      <c r="F461" s="52">
        <v>404</v>
      </c>
      <c r="G461" s="105">
        <v>163.89691735720118</v>
      </c>
    </row>
    <row r="462" spans="2:7" x14ac:dyDescent="0.3">
      <c r="B462" s="52">
        <v>405</v>
      </c>
      <c r="C462" s="33">
        <v>82.877068862495904</v>
      </c>
      <c r="D462" s="52">
        <v>405</v>
      </c>
      <c r="E462" s="33">
        <v>54.475865712871119</v>
      </c>
      <c r="F462" s="52">
        <v>405</v>
      </c>
      <c r="G462" s="105">
        <v>202.59532815734946</v>
      </c>
    </row>
    <row r="463" spans="2:7" x14ac:dyDescent="0.3">
      <c r="B463" s="52">
        <v>406</v>
      </c>
      <c r="C463" s="33">
        <v>159.40307961606698</v>
      </c>
      <c r="D463" s="52">
        <v>406</v>
      </c>
      <c r="E463" s="33">
        <v>-10.003600077867127</v>
      </c>
      <c r="F463" s="52">
        <v>406</v>
      </c>
      <c r="G463" s="105">
        <v>247.68898320314344</v>
      </c>
    </row>
    <row r="464" spans="2:7" x14ac:dyDescent="0.3">
      <c r="B464" s="52">
        <v>407</v>
      </c>
      <c r="C464" s="33">
        <v>224.08609253587906</v>
      </c>
      <c r="D464" s="52">
        <v>407</v>
      </c>
      <c r="E464" s="33">
        <v>53.42971307052256</v>
      </c>
      <c r="F464" s="52">
        <v>407</v>
      </c>
      <c r="G464" s="105">
        <v>310.02945292594632</v>
      </c>
    </row>
    <row r="465" spans="2:7" x14ac:dyDescent="0.3">
      <c r="B465" s="52">
        <v>408</v>
      </c>
      <c r="C465" s="33">
        <v>189.42745337081669</v>
      </c>
      <c r="D465" s="52">
        <v>408</v>
      </c>
      <c r="E465" s="33">
        <v>53.709462662146741</v>
      </c>
      <c r="F465" s="52">
        <v>408</v>
      </c>
      <c r="G465" s="105">
        <v>271.53266520620144</v>
      </c>
    </row>
    <row r="466" spans="2:7" x14ac:dyDescent="0.3">
      <c r="B466" s="52">
        <v>409</v>
      </c>
      <c r="C466" s="33">
        <v>276.58889893139821</v>
      </c>
      <c r="D466" s="52">
        <v>409</v>
      </c>
      <c r="E466" s="33">
        <v>50.170766368942338</v>
      </c>
      <c r="F466" s="52">
        <v>409</v>
      </c>
      <c r="G466" s="105">
        <v>201.24094835105655</v>
      </c>
    </row>
    <row r="467" spans="2:7" x14ac:dyDescent="0.3">
      <c r="B467" s="52">
        <v>410</v>
      </c>
      <c r="C467" s="33">
        <v>367.08101217676221</v>
      </c>
      <c r="D467" s="52">
        <v>410</v>
      </c>
      <c r="E467" s="33">
        <v>33.036272943508919</v>
      </c>
      <c r="F467" s="52">
        <v>410</v>
      </c>
      <c r="G467" s="105">
        <v>194.70394368000902</v>
      </c>
    </row>
    <row r="468" spans="2:7" x14ac:dyDescent="0.3">
      <c r="B468" s="52">
        <v>411</v>
      </c>
      <c r="C468" s="33">
        <v>230.10033354286296</v>
      </c>
      <c r="D468" s="52">
        <v>411</v>
      </c>
      <c r="E468" s="33">
        <v>75.638949466303714</v>
      </c>
      <c r="F468" s="52">
        <v>411</v>
      </c>
      <c r="G468" s="105">
        <v>251.03639355529882</v>
      </c>
    </row>
    <row r="469" spans="2:7" x14ac:dyDescent="0.3">
      <c r="B469" s="52">
        <v>412</v>
      </c>
      <c r="C469" s="33">
        <v>104.81493805997046</v>
      </c>
      <c r="D469" s="52">
        <v>412</v>
      </c>
      <c r="E469" s="33">
        <v>35.314422340512721</v>
      </c>
      <c r="F469" s="52">
        <v>412</v>
      </c>
      <c r="G469" s="105">
        <v>244.18177777313898</v>
      </c>
    </row>
    <row r="470" spans="2:7" x14ac:dyDescent="0.3">
      <c r="B470" s="52">
        <v>413</v>
      </c>
      <c r="C470" s="33">
        <v>210.83098227740376</v>
      </c>
      <c r="D470" s="52">
        <v>413</v>
      </c>
      <c r="E470" s="33">
        <v>22.244333449747188</v>
      </c>
      <c r="F470" s="52">
        <v>413</v>
      </c>
      <c r="G470" s="105">
        <v>260.29626334860859</v>
      </c>
    </row>
    <row r="471" spans="2:7" x14ac:dyDescent="0.3">
      <c r="B471" s="52">
        <v>414</v>
      </c>
      <c r="C471" s="33">
        <v>116.33004716636663</v>
      </c>
      <c r="D471" s="52">
        <v>414</v>
      </c>
      <c r="E471" s="33">
        <v>22.73496952584987</v>
      </c>
      <c r="F471" s="52">
        <v>414</v>
      </c>
      <c r="G471" s="105">
        <v>200.52456107232027</v>
      </c>
    </row>
    <row r="472" spans="2:7" x14ac:dyDescent="0.3">
      <c r="B472" s="52">
        <v>415</v>
      </c>
      <c r="C472" s="33">
        <v>215.00885565704661</v>
      </c>
      <c r="D472" s="52">
        <v>415</v>
      </c>
      <c r="E472" s="33">
        <v>-5.0554237806449862</v>
      </c>
      <c r="F472" s="52">
        <v>415</v>
      </c>
      <c r="G472" s="105">
        <v>218.20631982205114</v>
      </c>
    </row>
    <row r="473" spans="2:7" x14ac:dyDescent="0.3">
      <c r="B473" s="52">
        <v>416</v>
      </c>
      <c r="C473" s="33">
        <v>167.10077855654146</v>
      </c>
      <c r="D473" s="52">
        <v>416</v>
      </c>
      <c r="E473" s="33">
        <v>4.3334431908183575</v>
      </c>
      <c r="F473" s="52">
        <v>416</v>
      </c>
      <c r="G473" s="105">
        <v>316.18003934807223</v>
      </c>
    </row>
    <row r="474" spans="2:7" x14ac:dyDescent="0.3">
      <c r="B474" s="52">
        <v>417</v>
      </c>
      <c r="C474" s="33">
        <v>283.60535982398005</v>
      </c>
      <c r="D474" s="52">
        <v>417</v>
      </c>
      <c r="E474" s="33">
        <v>-7.8671889356886737</v>
      </c>
      <c r="F474" s="52">
        <v>417</v>
      </c>
      <c r="G474" s="105">
        <v>245.34012115533454</v>
      </c>
    </row>
    <row r="475" spans="2:7" x14ac:dyDescent="0.3">
      <c r="B475" s="52">
        <v>418</v>
      </c>
      <c r="C475" s="33">
        <v>302.3881300660795</v>
      </c>
      <c r="D475" s="52">
        <v>418</v>
      </c>
      <c r="E475" s="33">
        <v>48.005027787005289</v>
      </c>
      <c r="F475" s="52">
        <v>418</v>
      </c>
      <c r="G475" s="105">
        <v>83.355202787924441</v>
      </c>
    </row>
    <row r="476" spans="2:7" x14ac:dyDescent="0.3">
      <c r="B476" s="52">
        <v>419</v>
      </c>
      <c r="C476" s="33">
        <v>253.88653943427767</v>
      </c>
      <c r="D476" s="52">
        <v>419</v>
      </c>
      <c r="E476" s="33">
        <v>46.938039928176593</v>
      </c>
      <c r="F476" s="52">
        <v>419</v>
      </c>
      <c r="G476" s="105">
        <v>211.10700596155755</v>
      </c>
    </row>
    <row r="477" spans="2:7" x14ac:dyDescent="0.3">
      <c r="B477" s="52">
        <v>420</v>
      </c>
      <c r="C477" s="33">
        <v>147.78080942490277</v>
      </c>
      <c r="D477" s="52">
        <v>420</v>
      </c>
      <c r="E477" s="33">
        <v>25.909962771033086</v>
      </c>
      <c r="F477" s="52">
        <v>420</v>
      </c>
      <c r="G477" s="105">
        <v>290.80470278344848</v>
      </c>
    </row>
    <row r="478" spans="2:7" x14ac:dyDescent="0.3">
      <c r="B478" s="52">
        <v>421</v>
      </c>
      <c r="C478" s="33">
        <v>203.02482802227573</v>
      </c>
      <c r="D478" s="52">
        <v>421</v>
      </c>
      <c r="E478" s="33">
        <v>45.829324344158508</v>
      </c>
      <c r="F478" s="52">
        <v>421</v>
      </c>
      <c r="G478" s="105">
        <v>403.27414991216727</v>
      </c>
    </row>
    <row r="479" spans="2:7" x14ac:dyDescent="0.3">
      <c r="B479" s="52">
        <v>422</v>
      </c>
      <c r="C479" s="33">
        <v>208.24933190506428</v>
      </c>
      <c r="D479" s="52">
        <v>422</v>
      </c>
      <c r="E479" s="33">
        <v>62.58655103262425</v>
      </c>
      <c r="F479" s="52">
        <v>422</v>
      </c>
      <c r="G479" s="105">
        <v>256.87790897170021</v>
      </c>
    </row>
    <row r="480" spans="2:7" x14ac:dyDescent="0.3">
      <c r="B480" s="52">
        <v>423</v>
      </c>
      <c r="C480" s="33">
        <v>343.93903132943507</v>
      </c>
      <c r="D480" s="52">
        <v>423</v>
      </c>
      <c r="E480" s="33">
        <v>46.494980543633552</v>
      </c>
      <c r="F480" s="52">
        <v>423</v>
      </c>
      <c r="G480" s="105">
        <v>187.97022485580197</v>
      </c>
    </row>
    <row r="481" spans="2:7" x14ac:dyDescent="0.3">
      <c r="B481" s="52">
        <v>424</v>
      </c>
      <c r="C481" s="33">
        <v>217.23140573535628</v>
      </c>
      <c r="D481" s="52">
        <v>424</v>
      </c>
      <c r="E481" s="33">
        <v>39.123377146418179</v>
      </c>
      <c r="F481" s="52">
        <v>424</v>
      </c>
      <c r="G481" s="105">
        <v>237.4240342676332</v>
      </c>
    </row>
    <row r="482" spans="2:7" x14ac:dyDescent="0.3">
      <c r="B482" s="52">
        <v>425</v>
      </c>
      <c r="C482" s="33">
        <v>181.38041378613187</v>
      </c>
      <c r="D482" s="52">
        <v>425</v>
      </c>
      <c r="E482" s="33">
        <v>19.48699234791923</v>
      </c>
      <c r="F482" s="52">
        <v>425</v>
      </c>
      <c r="G482" s="105">
        <v>217.47505860715086</v>
      </c>
    </row>
    <row r="483" spans="2:7" x14ac:dyDescent="0.3">
      <c r="B483" s="52">
        <v>426</v>
      </c>
      <c r="C483" s="33">
        <v>124.42790436345405</v>
      </c>
      <c r="D483" s="52">
        <v>426</v>
      </c>
      <c r="E483" s="33">
        <v>34.58710243146173</v>
      </c>
      <c r="F483" s="52">
        <v>426</v>
      </c>
      <c r="G483" s="105">
        <v>155.6913837792298</v>
      </c>
    </row>
    <row r="484" spans="2:7" x14ac:dyDescent="0.3">
      <c r="B484" s="52">
        <v>427</v>
      </c>
      <c r="C484" s="33">
        <v>248.79523256837876</v>
      </c>
      <c r="D484" s="52">
        <v>427</v>
      </c>
      <c r="E484" s="33">
        <v>61.635285418558219</v>
      </c>
      <c r="F484" s="52">
        <v>427</v>
      </c>
      <c r="G484" s="105">
        <v>121.78017181255333</v>
      </c>
    </row>
    <row r="485" spans="2:7" x14ac:dyDescent="0.3">
      <c r="B485" s="52">
        <v>428</v>
      </c>
      <c r="C485" s="33">
        <v>256.84118021704535</v>
      </c>
      <c r="D485" s="52">
        <v>428</v>
      </c>
      <c r="E485" s="33">
        <v>53.952475620821872</v>
      </c>
      <c r="F485" s="52">
        <v>428</v>
      </c>
      <c r="G485" s="105">
        <v>177.20507107462916</v>
      </c>
    </row>
    <row r="486" spans="2:7" x14ac:dyDescent="0.3">
      <c r="B486" s="52">
        <v>429</v>
      </c>
      <c r="C486" s="33">
        <v>149.24988356190232</v>
      </c>
      <c r="D486" s="52">
        <v>429</v>
      </c>
      <c r="E486" s="33">
        <v>17.755157150829458</v>
      </c>
      <c r="F486" s="52">
        <v>429</v>
      </c>
      <c r="G486" s="105">
        <v>334.1667098647622</v>
      </c>
    </row>
    <row r="487" spans="2:7" x14ac:dyDescent="0.3">
      <c r="B487" s="52">
        <v>430</v>
      </c>
      <c r="C487" s="33">
        <v>275.32528055989212</v>
      </c>
      <c r="D487" s="52">
        <v>430</v>
      </c>
      <c r="E487" s="33">
        <v>40.929424789999516</v>
      </c>
      <c r="F487" s="52">
        <v>430</v>
      </c>
      <c r="G487" s="105">
        <v>75.624460429641644</v>
      </c>
    </row>
    <row r="488" spans="2:7" x14ac:dyDescent="0.3">
      <c r="B488" s="52">
        <v>431</v>
      </c>
      <c r="C488" s="33">
        <v>259.31779991394842</v>
      </c>
      <c r="D488" s="52">
        <v>431</v>
      </c>
      <c r="E488" s="33">
        <v>41.617298522162855</v>
      </c>
      <c r="F488" s="52">
        <v>431</v>
      </c>
      <c r="G488" s="105">
        <v>179.73383532242693</v>
      </c>
    </row>
    <row r="489" spans="2:7" x14ac:dyDescent="0.3">
      <c r="B489" s="52">
        <v>432</v>
      </c>
      <c r="C489" s="33">
        <v>162.43929947766503</v>
      </c>
      <c r="D489" s="52">
        <v>432</v>
      </c>
      <c r="E489" s="33">
        <v>27.849129135313291</v>
      </c>
      <c r="F489" s="52">
        <v>432</v>
      </c>
      <c r="G489" s="105">
        <v>234.76729271250665</v>
      </c>
    </row>
    <row r="490" spans="2:7" x14ac:dyDescent="0.3">
      <c r="B490" s="52">
        <v>433</v>
      </c>
      <c r="C490" s="33">
        <v>246.27765960046619</v>
      </c>
      <c r="D490" s="52">
        <v>433</v>
      </c>
      <c r="E490" s="33">
        <v>44.39541902617686</v>
      </c>
      <c r="F490" s="52">
        <v>433</v>
      </c>
      <c r="G490" s="105">
        <v>181.40385863369559</v>
      </c>
    </row>
    <row r="491" spans="2:7" x14ac:dyDescent="0.3">
      <c r="B491" s="52">
        <v>434</v>
      </c>
      <c r="C491" s="33">
        <v>218.01452232177002</v>
      </c>
      <c r="D491" s="52">
        <v>434</v>
      </c>
      <c r="E491" s="33">
        <v>31.181477733318989</v>
      </c>
      <c r="F491" s="52">
        <v>434</v>
      </c>
      <c r="G491" s="105">
        <v>224.61762842182497</v>
      </c>
    </row>
    <row r="492" spans="2:7" x14ac:dyDescent="0.3">
      <c r="B492" s="52">
        <v>435</v>
      </c>
      <c r="C492" s="33">
        <v>92.950605856178612</v>
      </c>
      <c r="D492" s="52">
        <v>435</v>
      </c>
      <c r="E492" s="33">
        <v>45.324372011468043</v>
      </c>
      <c r="F492" s="52">
        <v>435</v>
      </c>
      <c r="G492" s="105">
        <v>211.31279008048341</v>
      </c>
    </row>
    <row r="493" spans="2:7" x14ac:dyDescent="0.3">
      <c r="B493" s="52">
        <v>436</v>
      </c>
      <c r="C493" s="33">
        <v>198.38565117832189</v>
      </c>
      <c r="D493" s="52">
        <v>436</v>
      </c>
      <c r="E493" s="33">
        <v>51.111650976362796</v>
      </c>
      <c r="F493" s="52">
        <v>436</v>
      </c>
      <c r="G493" s="105">
        <v>69.624515717365142</v>
      </c>
    </row>
    <row r="494" spans="2:7" x14ac:dyDescent="0.3">
      <c r="B494" s="52">
        <v>437</v>
      </c>
      <c r="C494" s="33">
        <v>150.08899376485118</v>
      </c>
      <c r="D494" s="52">
        <v>437</v>
      </c>
      <c r="E494" s="33">
        <v>19.323847860907062</v>
      </c>
      <c r="F494" s="52">
        <v>437</v>
      </c>
      <c r="G494" s="105">
        <v>272.78598684654753</v>
      </c>
    </row>
    <row r="495" spans="2:7" x14ac:dyDescent="0.3">
      <c r="B495" s="52">
        <v>438</v>
      </c>
      <c r="C495" s="33">
        <v>139.56990566163392</v>
      </c>
      <c r="D495" s="52">
        <v>438</v>
      </c>
      <c r="E495" s="33">
        <v>17.856911737855238</v>
      </c>
      <c r="F495" s="52">
        <v>438</v>
      </c>
      <c r="G495" s="105">
        <v>66.191556991648383</v>
      </c>
    </row>
    <row r="496" spans="2:7" x14ac:dyDescent="0.3">
      <c r="B496" s="52">
        <v>439</v>
      </c>
      <c r="C496" s="33">
        <v>244.1789892026207</v>
      </c>
      <c r="D496" s="52">
        <v>439</v>
      </c>
      <c r="E496" s="33">
        <v>-6.4576322648603792</v>
      </c>
      <c r="F496" s="52">
        <v>439</v>
      </c>
      <c r="G496" s="105">
        <v>255.73512442431419</v>
      </c>
    </row>
    <row r="497" spans="2:7" x14ac:dyDescent="0.3">
      <c r="B497" s="52">
        <v>440</v>
      </c>
      <c r="C497" s="33">
        <v>391.99828784502455</v>
      </c>
      <c r="D497" s="52">
        <v>440</v>
      </c>
      <c r="E497" s="33">
        <v>31.249080191049558</v>
      </c>
      <c r="F497" s="52">
        <v>440</v>
      </c>
      <c r="G497" s="105">
        <v>206.37602283277309</v>
      </c>
    </row>
    <row r="498" spans="2:7" x14ac:dyDescent="0.3">
      <c r="B498" s="52">
        <v>441</v>
      </c>
      <c r="C498" s="33">
        <v>145.46929596491844</v>
      </c>
      <c r="D498" s="52">
        <v>441</v>
      </c>
      <c r="E498" s="33">
        <v>32.768413157742643</v>
      </c>
      <c r="F498" s="52">
        <v>441</v>
      </c>
      <c r="G498" s="105">
        <v>3.9237071401020103</v>
      </c>
    </row>
    <row r="499" spans="2:7" x14ac:dyDescent="0.3">
      <c r="B499" s="52">
        <v>442</v>
      </c>
      <c r="C499" s="33">
        <v>326.80825742273259</v>
      </c>
      <c r="D499" s="52">
        <v>442</v>
      </c>
      <c r="E499" s="33">
        <v>81.450954092226482</v>
      </c>
      <c r="F499" s="52">
        <v>442</v>
      </c>
      <c r="G499" s="105">
        <v>213.46507571172114</v>
      </c>
    </row>
    <row r="500" spans="2:7" x14ac:dyDescent="0.3">
      <c r="B500" s="52">
        <v>443</v>
      </c>
      <c r="C500" s="33">
        <v>169.67412472137582</v>
      </c>
      <c r="D500" s="52">
        <v>443</v>
      </c>
      <c r="E500" s="33">
        <v>40.207083272970117</v>
      </c>
      <c r="F500" s="52">
        <v>443</v>
      </c>
      <c r="G500" s="105">
        <v>286.93002656990114</v>
      </c>
    </row>
    <row r="501" spans="2:7" x14ac:dyDescent="0.3">
      <c r="B501" s="52">
        <v>444</v>
      </c>
      <c r="C501" s="33">
        <v>214.98403176828347</v>
      </c>
      <c r="D501" s="52">
        <v>444</v>
      </c>
      <c r="E501" s="33">
        <v>78.893034150824448</v>
      </c>
      <c r="F501" s="52">
        <v>444</v>
      </c>
      <c r="G501" s="105">
        <v>106.36100833871231</v>
      </c>
    </row>
    <row r="502" spans="2:7" x14ac:dyDescent="0.3">
      <c r="B502" s="52">
        <v>445</v>
      </c>
      <c r="C502" s="33">
        <v>459.02707064502511</v>
      </c>
      <c r="D502" s="52">
        <v>445</v>
      </c>
      <c r="E502" s="33">
        <v>52.097457011877012</v>
      </c>
      <c r="F502" s="52">
        <v>445</v>
      </c>
      <c r="G502" s="105">
        <v>134.85756727513615</v>
      </c>
    </row>
    <row r="503" spans="2:7" x14ac:dyDescent="0.3">
      <c r="B503" s="52">
        <v>446</v>
      </c>
      <c r="C503" s="33">
        <v>334.16869295678362</v>
      </c>
      <c r="D503" s="52">
        <v>446</v>
      </c>
      <c r="E503" s="33">
        <v>30.09000959878319</v>
      </c>
      <c r="F503" s="52">
        <v>446</v>
      </c>
      <c r="G503" s="105">
        <v>186.3038157110098</v>
      </c>
    </row>
    <row r="504" spans="2:7" x14ac:dyDescent="0.3">
      <c r="B504" s="52">
        <v>447</v>
      </c>
      <c r="C504" s="33">
        <v>343.72001804075506</v>
      </c>
      <c r="D504" s="52">
        <v>447</v>
      </c>
      <c r="E504" s="33">
        <v>77.616106155371611</v>
      </c>
      <c r="F504" s="52">
        <v>447</v>
      </c>
      <c r="G504" s="105">
        <v>288.29147451769302</v>
      </c>
    </row>
    <row r="505" spans="2:7" x14ac:dyDescent="0.3">
      <c r="B505" s="52">
        <v>448</v>
      </c>
      <c r="C505" s="33">
        <v>180.13598485486909</v>
      </c>
      <c r="D505" s="52">
        <v>448</v>
      </c>
      <c r="E505" s="33">
        <v>70.28609673315205</v>
      </c>
      <c r="F505" s="52">
        <v>448</v>
      </c>
      <c r="G505" s="105">
        <v>264.94800582991712</v>
      </c>
    </row>
    <row r="506" spans="2:7" x14ac:dyDescent="0.3">
      <c r="B506" s="52">
        <v>449</v>
      </c>
      <c r="C506" s="33">
        <v>333.18664960051473</v>
      </c>
      <c r="D506" s="52">
        <v>449</v>
      </c>
      <c r="E506" s="33">
        <v>57.28972608644969</v>
      </c>
      <c r="F506" s="52">
        <v>449</v>
      </c>
      <c r="G506" s="105">
        <v>119.44953807174701</v>
      </c>
    </row>
    <row r="507" spans="2:7" x14ac:dyDescent="0.3">
      <c r="B507" s="52">
        <v>450</v>
      </c>
      <c r="C507" s="33">
        <v>116.88237951764529</v>
      </c>
      <c r="D507" s="52">
        <v>450</v>
      </c>
      <c r="E507" s="33">
        <v>0.49460304351372031</v>
      </c>
      <c r="F507" s="52">
        <v>450</v>
      </c>
      <c r="G507" s="105">
        <v>217.1162883819589</v>
      </c>
    </row>
    <row r="508" spans="2:7" x14ac:dyDescent="0.3">
      <c r="B508" s="52">
        <v>451</v>
      </c>
      <c r="C508" s="33">
        <v>245.33650366766801</v>
      </c>
      <c r="D508" s="52">
        <v>451</v>
      </c>
      <c r="E508" s="33">
        <v>24.209831951056284</v>
      </c>
      <c r="F508" s="52">
        <v>451</v>
      </c>
      <c r="G508" s="105">
        <v>157.23752473838897</v>
      </c>
    </row>
    <row r="509" spans="2:7" x14ac:dyDescent="0.3">
      <c r="B509" s="52">
        <v>452</v>
      </c>
      <c r="C509" s="33">
        <v>132.283403344828</v>
      </c>
      <c r="D509" s="52">
        <v>452</v>
      </c>
      <c r="E509" s="33">
        <v>39.432458571360044</v>
      </c>
      <c r="F509" s="52">
        <v>452</v>
      </c>
      <c r="G509" s="105">
        <v>302.39960846339272</v>
      </c>
    </row>
    <row r="510" spans="2:7" x14ac:dyDescent="0.3">
      <c r="B510" s="52">
        <v>453</v>
      </c>
      <c r="C510" s="33">
        <v>133.90093578646</v>
      </c>
      <c r="D510" s="52">
        <v>453</v>
      </c>
      <c r="E510" s="33">
        <v>28.902722798082948</v>
      </c>
      <c r="F510" s="52">
        <v>453</v>
      </c>
      <c r="G510" s="105">
        <v>294.75945662923175</v>
      </c>
    </row>
    <row r="511" spans="2:7" x14ac:dyDescent="0.3">
      <c r="B511" s="52">
        <v>454</v>
      </c>
      <c r="C511" s="33">
        <v>113.72062859244224</v>
      </c>
      <c r="D511" s="52">
        <v>454</v>
      </c>
      <c r="E511" s="33">
        <v>-4.1817757955152928</v>
      </c>
      <c r="F511" s="52">
        <v>454</v>
      </c>
      <c r="G511" s="105">
        <v>279.26626107884573</v>
      </c>
    </row>
    <row r="512" spans="2:7" x14ac:dyDescent="0.3">
      <c r="B512" s="52">
        <v>455</v>
      </c>
      <c r="C512" s="33">
        <v>290.44714980584649</v>
      </c>
      <c r="D512" s="52">
        <v>455</v>
      </c>
      <c r="E512" s="33">
        <v>-16.031963770716786</v>
      </c>
      <c r="F512" s="52">
        <v>455</v>
      </c>
      <c r="G512" s="105">
        <v>150.68123529939828</v>
      </c>
    </row>
    <row r="513" spans="2:7" x14ac:dyDescent="0.3">
      <c r="B513" s="52">
        <v>456</v>
      </c>
      <c r="C513" s="33">
        <v>142.16134423178468</v>
      </c>
      <c r="D513" s="52">
        <v>456</v>
      </c>
      <c r="E513" s="33">
        <v>66.246816515788765</v>
      </c>
      <c r="F513" s="52">
        <v>456</v>
      </c>
      <c r="G513" s="105">
        <v>167.08293421539395</v>
      </c>
    </row>
    <row r="514" spans="2:7" x14ac:dyDescent="0.3">
      <c r="B514" s="52">
        <v>457</v>
      </c>
      <c r="C514" s="33">
        <v>325.70432792884236</v>
      </c>
      <c r="D514" s="52">
        <v>457</v>
      </c>
      <c r="E514" s="33">
        <v>-24.322282839240572</v>
      </c>
      <c r="F514" s="52">
        <v>457</v>
      </c>
      <c r="G514" s="105">
        <v>241.44164735852314</v>
      </c>
    </row>
    <row r="515" spans="2:7" x14ac:dyDescent="0.3">
      <c r="B515" s="52">
        <v>458</v>
      </c>
      <c r="C515" s="33">
        <v>268.0688273063754</v>
      </c>
      <c r="D515" s="52">
        <v>458</v>
      </c>
      <c r="E515" s="33">
        <v>110.84484394333722</v>
      </c>
      <c r="F515" s="52">
        <v>458</v>
      </c>
      <c r="G515" s="105">
        <v>277.39640729080338</v>
      </c>
    </row>
    <row r="516" spans="2:7" x14ac:dyDescent="0.3">
      <c r="B516" s="52">
        <v>459</v>
      </c>
      <c r="C516" s="33">
        <v>316.99100756098898</v>
      </c>
      <c r="D516" s="52">
        <v>459</v>
      </c>
      <c r="E516" s="33">
        <v>37.920975472385251</v>
      </c>
      <c r="F516" s="52">
        <v>459</v>
      </c>
      <c r="G516" s="105">
        <v>120.71995374888647</v>
      </c>
    </row>
    <row r="517" spans="2:7" x14ac:dyDescent="0.3">
      <c r="B517" s="52">
        <v>460</v>
      </c>
      <c r="C517" s="33">
        <v>216.30935275732094</v>
      </c>
      <c r="D517" s="52">
        <v>460</v>
      </c>
      <c r="E517" s="33">
        <v>6.4572701372829968</v>
      </c>
      <c r="F517" s="52">
        <v>460</v>
      </c>
      <c r="G517" s="105">
        <v>210.11174036444493</v>
      </c>
    </row>
    <row r="518" spans="2:7" x14ac:dyDescent="0.3">
      <c r="B518" s="52">
        <v>461</v>
      </c>
      <c r="C518" s="33">
        <v>154.04673376306212</v>
      </c>
      <c r="D518" s="52">
        <v>461</v>
      </c>
      <c r="E518" s="33">
        <v>-7.3112296175432121</v>
      </c>
      <c r="F518" s="52">
        <v>461</v>
      </c>
      <c r="G518" s="105">
        <v>318.75730794005057</v>
      </c>
    </row>
    <row r="519" spans="2:7" x14ac:dyDescent="0.3">
      <c r="B519" s="52">
        <v>462</v>
      </c>
      <c r="C519" s="33">
        <v>148.99324623350134</v>
      </c>
      <c r="D519" s="52">
        <v>462</v>
      </c>
      <c r="E519" s="33">
        <v>-4.0465277034424645</v>
      </c>
      <c r="F519" s="52">
        <v>462</v>
      </c>
      <c r="G519" s="105">
        <v>264.2236377028259</v>
      </c>
    </row>
    <row r="520" spans="2:7" x14ac:dyDescent="0.3">
      <c r="B520" s="52">
        <v>463</v>
      </c>
      <c r="C520" s="33">
        <v>266.92151675226609</v>
      </c>
      <c r="D520" s="52">
        <v>463</v>
      </c>
      <c r="E520" s="33">
        <v>24.735692130309957</v>
      </c>
      <c r="F520" s="52">
        <v>463</v>
      </c>
      <c r="G520" s="105">
        <v>240.5443781911159</v>
      </c>
    </row>
    <row r="521" spans="2:7" x14ac:dyDescent="0.3">
      <c r="B521" s="52">
        <v>464</v>
      </c>
      <c r="C521" s="33">
        <v>107.1874796567912</v>
      </c>
      <c r="D521" s="52">
        <v>464</v>
      </c>
      <c r="E521" s="33">
        <v>-3.2582104519814905</v>
      </c>
      <c r="F521" s="52">
        <v>464</v>
      </c>
      <c r="G521" s="105">
        <v>371.70558389238153</v>
      </c>
    </row>
    <row r="522" spans="2:7" x14ac:dyDescent="0.3">
      <c r="B522" s="52">
        <v>465</v>
      </c>
      <c r="C522" s="33">
        <v>184.30297375325094</v>
      </c>
      <c r="D522" s="52">
        <v>465</v>
      </c>
      <c r="E522" s="33">
        <v>16.517714136441207</v>
      </c>
      <c r="F522" s="52">
        <v>465</v>
      </c>
      <c r="G522" s="105">
        <v>240.71738941193621</v>
      </c>
    </row>
    <row r="523" spans="2:7" x14ac:dyDescent="0.3">
      <c r="B523" s="52">
        <v>466</v>
      </c>
      <c r="C523" s="33">
        <v>233.13563540555074</v>
      </c>
      <c r="D523" s="52">
        <v>466</v>
      </c>
      <c r="E523" s="33">
        <v>56.527548872348945</v>
      </c>
      <c r="F523" s="52">
        <v>466</v>
      </c>
      <c r="G523" s="105">
        <v>207.06141459308878</v>
      </c>
    </row>
    <row r="524" spans="2:7" x14ac:dyDescent="0.3">
      <c r="B524" s="52">
        <v>467</v>
      </c>
      <c r="C524" s="33">
        <v>165.39097933479857</v>
      </c>
      <c r="D524" s="52">
        <v>467</v>
      </c>
      <c r="E524" s="33">
        <v>20.267693211658919</v>
      </c>
      <c r="F524" s="52">
        <v>467</v>
      </c>
      <c r="G524" s="105">
        <v>158.40317785844451</v>
      </c>
    </row>
    <row r="525" spans="2:7" x14ac:dyDescent="0.3">
      <c r="B525" s="52">
        <v>468</v>
      </c>
      <c r="C525" s="33">
        <v>77.470815161176461</v>
      </c>
      <c r="D525" s="52">
        <v>468</v>
      </c>
      <c r="E525" s="33">
        <v>55.211554212582641</v>
      </c>
      <c r="F525" s="52">
        <v>468</v>
      </c>
      <c r="G525" s="105">
        <v>237.40777972962121</v>
      </c>
    </row>
    <row r="526" spans="2:7" x14ac:dyDescent="0.3">
      <c r="B526" s="52">
        <v>469</v>
      </c>
      <c r="C526" s="33">
        <v>270.26715768383139</v>
      </c>
      <c r="D526" s="52">
        <v>469</v>
      </c>
      <c r="E526" s="33">
        <v>29.207869018122292</v>
      </c>
      <c r="F526" s="52">
        <v>469</v>
      </c>
      <c r="G526" s="105">
        <v>137.15913723002885</v>
      </c>
    </row>
    <row r="527" spans="2:7" x14ac:dyDescent="0.3">
      <c r="B527" s="52">
        <v>470</v>
      </c>
      <c r="C527" s="33">
        <v>249.86999881467335</v>
      </c>
      <c r="D527" s="52">
        <v>470</v>
      </c>
      <c r="E527" s="33">
        <v>8.9440542647856063</v>
      </c>
      <c r="F527" s="52">
        <v>470</v>
      </c>
      <c r="G527" s="105">
        <v>284.79381915562806</v>
      </c>
    </row>
    <row r="528" spans="2:7" x14ac:dyDescent="0.3">
      <c r="B528" s="52">
        <v>471</v>
      </c>
      <c r="C528" s="33">
        <v>287.76919098137569</v>
      </c>
      <c r="D528" s="52">
        <v>471</v>
      </c>
      <c r="E528" s="33">
        <v>45.093198818473013</v>
      </c>
      <c r="F528" s="52">
        <v>471</v>
      </c>
      <c r="G528" s="105">
        <v>185.66466772580173</v>
      </c>
    </row>
    <row r="529" spans="2:7" x14ac:dyDescent="0.3">
      <c r="B529" s="52">
        <v>472</v>
      </c>
      <c r="C529" s="33">
        <v>133.93834061825027</v>
      </c>
      <c r="D529" s="52">
        <v>472</v>
      </c>
      <c r="E529" s="33">
        <v>71.503389223212636</v>
      </c>
      <c r="F529" s="52">
        <v>472</v>
      </c>
      <c r="G529" s="105">
        <v>232.20725749147056</v>
      </c>
    </row>
    <row r="530" spans="2:7" x14ac:dyDescent="0.3">
      <c r="B530" s="52">
        <v>473</v>
      </c>
      <c r="C530" s="33">
        <v>315.80857271927357</v>
      </c>
      <c r="D530" s="52">
        <v>473</v>
      </c>
      <c r="E530" s="33">
        <v>12.822119508705413</v>
      </c>
      <c r="F530" s="52">
        <v>473</v>
      </c>
      <c r="G530" s="105">
        <v>206.86149367804302</v>
      </c>
    </row>
    <row r="531" spans="2:7" x14ac:dyDescent="0.3">
      <c r="B531" s="52">
        <v>474</v>
      </c>
      <c r="C531" s="33">
        <v>244.42338567699974</v>
      </c>
      <c r="D531" s="52">
        <v>474</v>
      </c>
      <c r="E531" s="33">
        <v>11.723254311333164</v>
      </c>
      <c r="F531" s="52">
        <v>474</v>
      </c>
      <c r="G531" s="105">
        <v>96.746362538985125</v>
      </c>
    </row>
    <row r="532" spans="2:7" x14ac:dyDescent="0.3">
      <c r="B532" s="52">
        <v>475</v>
      </c>
      <c r="C532" s="33">
        <v>113.50901697784155</v>
      </c>
      <c r="D532" s="52">
        <v>475</v>
      </c>
      <c r="E532" s="33">
        <v>53.158446568198073</v>
      </c>
      <c r="F532" s="52">
        <v>475</v>
      </c>
      <c r="G532" s="105">
        <v>61.75462460130224</v>
      </c>
    </row>
    <row r="533" spans="2:7" x14ac:dyDescent="0.3">
      <c r="B533" s="52">
        <v>476</v>
      </c>
      <c r="C533" s="33">
        <v>150.40612609892884</v>
      </c>
      <c r="D533" s="52">
        <v>476</v>
      </c>
      <c r="E533" s="33">
        <v>49.977588295197165</v>
      </c>
      <c r="F533" s="52">
        <v>476</v>
      </c>
      <c r="G533" s="105">
        <v>163.12996855664778</v>
      </c>
    </row>
    <row r="534" spans="2:7" x14ac:dyDescent="0.3">
      <c r="B534" s="52">
        <v>477</v>
      </c>
      <c r="C534" s="33">
        <v>320.77324878679508</v>
      </c>
      <c r="D534" s="52">
        <v>477</v>
      </c>
      <c r="E534" s="33">
        <v>-24.543697425089853</v>
      </c>
      <c r="F534" s="52">
        <v>477</v>
      </c>
      <c r="G534" s="105">
        <v>298.92295868956785</v>
      </c>
    </row>
    <row r="535" spans="2:7" x14ac:dyDescent="0.3">
      <c r="B535" s="52">
        <v>478</v>
      </c>
      <c r="C535" s="33">
        <v>155.33146836827848</v>
      </c>
      <c r="D535" s="52">
        <v>478</v>
      </c>
      <c r="E535" s="33">
        <v>33.064874858285677</v>
      </c>
      <c r="F535" s="52">
        <v>478</v>
      </c>
      <c r="G535" s="105">
        <v>191.33774936522568</v>
      </c>
    </row>
    <row r="536" spans="2:7" x14ac:dyDescent="0.3">
      <c r="B536" s="52">
        <v>479</v>
      </c>
      <c r="C536" s="33">
        <v>228.18149532460177</v>
      </c>
      <c r="D536" s="52">
        <v>479</v>
      </c>
      <c r="E536" s="33">
        <v>18.860653754632246</v>
      </c>
      <c r="F536" s="52">
        <v>479</v>
      </c>
      <c r="G536" s="105">
        <v>217.79395020607024</v>
      </c>
    </row>
    <row r="537" spans="2:7" x14ac:dyDescent="0.3">
      <c r="B537" s="52">
        <v>480</v>
      </c>
      <c r="C537" s="33">
        <v>318.69980430196279</v>
      </c>
      <c r="D537" s="52">
        <v>480</v>
      </c>
      <c r="E537" s="33">
        <v>10.696953744319046</v>
      </c>
      <c r="F537" s="52">
        <v>480</v>
      </c>
      <c r="G537" s="105">
        <v>173.08674729317883</v>
      </c>
    </row>
    <row r="538" spans="2:7" x14ac:dyDescent="0.3">
      <c r="B538" s="52">
        <v>481</v>
      </c>
      <c r="C538" s="33">
        <v>214.7014551337794</v>
      </c>
      <c r="D538" s="52">
        <v>481</v>
      </c>
      <c r="E538" s="33">
        <v>5.3642696944110746</v>
      </c>
      <c r="F538" s="52">
        <v>481</v>
      </c>
      <c r="G538" s="105">
        <v>166.44037977741479</v>
      </c>
    </row>
    <row r="539" spans="2:7" x14ac:dyDescent="0.3">
      <c r="B539" s="52">
        <v>482</v>
      </c>
      <c r="C539" s="33">
        <v>336.35041869345577</v>
      </c>
      <c r="D539" s="52">
        <v>482</v>
      </c>
      <c r="E539" s="33">
        <v>11.108597350824141</v>
      </c>
      <c r="F539" s="52">
        <v>482</v>
      </c>
      <c r="G539" s="105">
        <v>179.71926077870444</v>
      </c>
    </row>
    <row r="540" spans="2:7" x14ac:dyDescent="0.3">
      <c r="B540" s="52">
        <v>483</v>
      </c>
      <c r="C540" s="33">
        <v>303.01859609586165</v>
      </c>
      <c r="D540" s="52">
        <v>483</v>
      </c>
      <c r="E540" s="33">
        <v>17.717294564078017</v>
      </c>
      <c r="F540" s="52">
        <v>483</v>
      </c>
      <c r="G540" s="105">
        <v>342.63230409369032</v>
      </c>
    </row>
    <row r="541" spans="2:7" x14ac:dyDescent="0.3">
      <c r="B541" s="52">
        <v>484</v>
      </c>
      <c r="C541" s="33">
        <v>128.90338025009032</v>
      </c>
      <c r="D541" s="52">
        <v>484</v>
      </c>
      <c r="E541" s="33">
        <v>-10.089625611735812</v>
      </c>
      <c r="F541" s="52">
        <v>484</v>
      </c>
      <c r="G541" s="105">
        <v>267.38655351025784</v>
      </c>
    </row>
    <row r="542" spans="2:7" x14ac:dyDescent="0.3">
      <c r="B542" s="52">
        <v>485</v>
      </c>
      <c r="C542" s="33">
        <v>157.18373190200896</v>
      </c>
      <c r="D542" s="52">
        <v>485</v>
      </c>
      <c r="E542" s="33">
        <v>12.773386141044575</v>
      </c>
      <c r="F542" s="52">
        <v>485</v>
      </c>
      <c r="G542" s="105">
        <v>246.57450440266828</v>
      </c>
    </row>
    <row r="543" spans="2:7" x14ac:dyDescent="0.3">
      <c r="B543" s="52">
        <v>486</v>
      </c>
      <c r="C543" s="33">
        <v>269.44925856517779</v>
      </c>
      <c r="D543" s="52">
        <v>486</v>
      </c>
      <c r="E543" s="33">
        <v>24.945765596888236</v>
      </c>
      <c r="F543" s="52">
        <v>486</v>
      </c>
      <c r="G543" s="105">
        <v>114.88010363507767</v>
      </c>
    </row>
    <row r="544" spans="2:7" x14ac:dyDescent="0.3">
      <c r="B544" s="52">
        <v>487</v>
      </c>
      <c r="C544" s="33">
        <v>136.63790648576054</v>
      </c>
      <c r="D544" s="52">
        <v>487</v>
      </c>
      <c r="E544" s="33">
        <v>21.413343577252245</v>
      </c>
      <c r="F544" s="52">
        <v>487</v>
      </c>
      <c r="G544" s="105">
        <v>221.40953887234764</v>
      </c>
    </row>
    <row r="545" spans="2:7" x14ac:dyDescent="0.3">
      <c r="B545" s="52">
        <v>488</v>
      </c>
      <c r="C545" s="33">
        <v>451.18429132434187</v>
      </c>
      <c r="D545" s="52">
        <v>488</v>
      </c>
      <c r="E545" s="33">
        <v>65.266742122111054</v>
      </c>
      <c r="F545" s="52">
        <v>488</v>
      </c>
      <c r="G545" s="105">
        <v>251.25215556771724</v>
      </c>
    </row>
    <row r="546" spans="2:7" x14ac:dyDescent="0.3">
      <c r="B546" s="52">
        <v>489</v>
      </c>
      <c r="C546" s="33">
        <v>237.32489856655113</v>
      </c>
      <c r="D546" s="52">
        <v>489</v>
      </c>
      <c r="E546" s="33">
        <v>37.62905072902312</v>
      </c>
      <c r="F546" s="52">
        <v>489</v>
      </c>
      <c r="G546" s="105">
        <v>165.46294779024953</v>
      </c>
    </row>
    <row r="547" spans="2:7" x14ac:dyDescent="0.3">
      <c r="B547" s="52">
        <v>490</v>
      </c>
      <c r="C547" s="33">
        <v>233.96710658356716</v>
      </c>
      <c r="D547" s="52">
        <v>490</v>
      </c>
      <c r="E547" s="33">
        <v>15.222052347904665</v>
      </c>
      <c r="F547" s="52">
        <v>490</v>
      </c>
      <c r="G547" s="105">
        <v>211.14615028048414</v>
      </c>
    </row>
    <row r="548" spans="2:7" x14ac:dyDescent="0.3">
      <c r="B548" s="52">
        <v>491</v>
      </c>
      <c r="C548" s="33">
        <v>431.71073198676135</v>
      </c>
      <c r="D548" s="52">
        <v>491</v>
      </c>
      <c r="E548" s="33">
        <v>10.598484129850284</v>
      </c>
      <c r="F548" s="52">
        <v>491</v>
      </c>
      <c r="G548" s="105">
        <v>166.90617818535975</v>
      </c>
    </row>
    <row r="549" spans="2:7" x14ac:dyDescent="0.3">
      <c r="B549" s="52">
        <v>492</v>
      </c>
      <c r="C549" s="33">
        <v>334.94262721794996</v>
      </c>
      <c r="D549" s="52">
        <v>492</v>
      </c>
      <c r="E549" s="33">
        <v>69.124736084934881</v>
      </c>
      <c r="F549" s="52">
        <v>492</v>
      </c>
      <c r="G549" s="105">
        <v>280.81490398774559</v>
      </c>
    </row>
    <row r="550" spans="2:7" x14ac:dyDescent="0.3">
      <c r="B550" s="52">
        <v>493</v>
      </c>
      <c r="C550" s="33">
        <v>246.87806775018936</v>
      </c>
      <c r="D550" s="52">
        <v>493</v>
      </c>
      <c r="E550" s="33">
        <v>43.671915859705884</v>
      </c>
      <c r="F550" s="52">
        <v>493</v>
      </c>
      <c r="G550" s="105">
        <v>281.95308203238665</v>
      </c>
    </row>
    <row r="551" spans="2:7" x14ac:dyDescent="0.3">
      <c r="B551" s="52">
        <v>494</v>
      </c>
      <c r="C551" s="33">
        <v>152.82406338770215</v>
      </c>
      <c r="D551" s="52">
        <v>494</v>
      </c>
      <c r="E551" s="33">
        <v>67.350463184225191</v>
      </c>
      <c r="F551" s="52">
        <v>494</v>
      </c>
      <c r="G551" s="105">
        <v>215.12342421074302</v>
      </c>
    </row>
    <row r="552" spans="2:7" x14ac:dyDescent="0.3">
      <c r="B552" s="52">
        <v>495</v>
      </c>
      <c r="C552" s="33">
        <v>361.4881662212598</v>
      </c>
      <c r="D552" s="52">
        <v>495</v>
      </c>
      <c r="E552" s="33">
        <v>47.842157164673608</v>
      </c>
      <c r="F552" s="52">
        <v>495</v>
      </c>
      <c r="G552" s="105">
        <v>352.23605184680321</v>
      </c>
    </row>
    <row r="553" spans="2:7" x14ac:dyDescent="0.3">
      <c r="B553" s="52">
        <v>496</v>
      </c>
      <c r="C553" s="33">
        <v>128.36563150167737</v>
      </c>
      <c r="D553" s="52">
        <v>496</v>
      </c>
      <c r="E553" s="33">
        <v>50.422369194643323</v>
      </c>
      <c r="F553" s="52">
        <v>496</v>
      </c>
      <c r="G553" s="105">
        <v>179.47122109487262</v>
      </c>
    </row>
    <row r="554" spans="2:7" x14ac:dyDescent="0.3">
      <c r="B554" s="52">
        <v>497</v>
      </c>
      <c r="C554" s="33">
        <v>226.28563851060292</v>
      </c>
      <c r="D554" s="52">
        <v>497</v>
      </c>
      <c r="E554" s="33">
        <v>52.233863123086664</v>
      </c>
      <c r="F554" s="52">
        <v>497</v>
      </c>
      <c r="G554" s="105">
        <v>190.23027680078258</v>
      </c>
    </row>
    <row r="555" spans="2:7" x14ac:dyDescent="0.3">
      <c r="B555" s="52">
        <v>498</v>
      </c>
      <c r="C555" s="33">
        <v>287.65037172223754</v>
      </c>
      <c r="D555" s="52">
        <v>498</v>
      </c>
      <c r="E555" s="33">
        <v>21.767792951198537</v>
      </c>
      <c r="F555" s="52">
        <v>498</v>
      </c>
      <c r="G555" s="105">
        <v>208.89046972764083</v>
      </c>
    </row>
    <row r="556" spans="2:7" x14ac:dyDescent="0.3">
      <c r="B556" s="52">
        <v>499</v>
      </c>
      <c r="C556" s="33">
        <v>206.54049264843786</v>
      </c>
      <c r="D556" s="52">
        <v>499</v>
      </c>
      <c r="E556" s="33">
        <v>88.913240374435262</v>
      </c>
      <c r="F556" s="52">
        <v>499</v>
      </c>
      <c r="G556" s="105">
        <v>397.7881487575192</v>
      </c>
    </row>
    <row r="557" spans="2:7" x14ac:dyDescent="0.3">
      <c r="B557" s="52">
        <v>500</v>
      </c>
      <c r="C557" s="33">
        <v>156.42783799281128</v>
      </c>
      <c r="D557" s="52">
        <v>500</v>
      </c>
      <c r="E557" s="33">
        <v>45.729382132568531</v>
      </c>
      <c r="F557" s="52">
        <v>500</v>
      </c>
      <c r="G557" s="105">
        <v>85.378681532258</v>
      </c>
    </row>
    <row r="558" spans="2:7" x14ac:dyDescent="0.3">
      <c r="C558" s="33"/>
      <c r="E558" s="33"/>
      <c r="G558" s="105"/>
    </row>
    <row r="559" spans="2:7" x14ac:dyDescent="0.3">
      <c r="C559" s="33"/>
      <c r="E559" s="33"/>
      <c r="G559" s="105"/>
    </row>
    <row r="560" spans="2:7" x14ac:dyDescent="0.3">
      <c r="C560" s="33"/>
      <c r="E560" s="33"/>
      <c r="G560" s="105"/>
    </row>
    <row r="561" spans="3:7" x14ac:dyDescent="0.3">
      <c r="C561" s="33"/>
      <c r="E561" s="33"/>
      <c r="G561" s="105"/>
    </row>
    <row r="562" spans="3:7" x14ac:dyDescent="0.3">
      <c r="C562" s="33"/>
      <c r="E562" s="33"/>
      <c r="G562" s="105"/>
    </row>
    <row r="563" spans="3:7" x14ac:dyDescent="0.3">
      <c r="C563" s="33"/>
      <c r="E563" s="33"/>
      <c r="G563" s="105"/>
    </row>
    <row r="564" spans="3:7" x14ac:dyDescent="0.3">
      <c r="C564" s="33"/>
      <c r="E564" s="33"/>
      <c r="G564" s="105"/>
    </row>
    <row r="565" spans="3:7" x14ac:dyDescent="0.3">
      <c r="C565" s="33"/>
      <c r="E565" s="33"/>
      <c r="G565" s="105"/>
    </row>
    <row r="566" spans="3:7" x14ac:dyDescent="0.3">
      <c r="C566" s="33"/>
      <c r="E566" s="33"/>
      <c r="G566" s="105"/>
    </row>
    <row r="567" spans="3:7" x14ac:dyDescent="0.3">
      <c r="C567" s="33"/>
      <c r="E567" s="33"/>
      <c r="G567" s="105"/>
    </row>
    <row r="568" spans="3:7" x14ac:dyDescent="0.3">
      <c r="C568" s="33"/>
      <c r="E568" s="33"/>
      <c r="G568" s="105"/>
    </row>
    <row r="569" spans="3:7" x14ac:dyDescent="0.3">
      <c r="C569" s="33"/>
      <c r="E569" s="33"/>
      <c r="G569" s="105"/>
    </row>
    <row r="570" spans="3:7" x14ac:dyDescent="0.3">
      <c r="C570" s="33"/>
      <c r="E570" s="33"/>
      <c r="G570" s="105"/>
    </row>
    <row r="571" spans="3:7" x14ac:dyDescent="0.3">
      <c r="C571" s="33"/>
      <c r="E571" s="33"/>
      <c r="G571" s="105"/>
    </row>
    <row r="572" spans="3:7" x14ac:dyDescent="0.3">
      <c r="C572" s="33"/>
      <c r="E572" s="33"/>
      <c r="G572" s="105"/>
    </row>
    <row r="573" spans="3:7" x14ac:dyDescent="0.3">
      <c r="C573" s="33"/>
      <c r="E573" s="33"/>
      <c r="G573" s="105"/>
    </row>
    <row r="574" spans="3:7" x14ac:dyDescent="0.3">
      <c r="C574" s="33"/>
      <c r="E574" s="33"/>
      <c r="G574" s="105"/>
    </row>
    <row r="575" spans="3:7" x14ac:dyDescent="0.3">
      <c r="C575" s="33"/>
      <c r="E575" s="33"/>
      <c r="G575" s="105"/>
    </row>
    <row r="576" spans="3:7" x14ac:dyDescent="0.3">
      <c r="C576" s="33"/>
      <c r="E576" s="33"/>
      <c r="G576" s="105"/>
    </row>
    <row r="577" spans="3:7" x14ac:dyDescent="0.3">
      <c r="C577" s="33"/>
      <c r="E577" s="33"/>
      <c r="G577" s="105"/>
    </row>
    <row r="578" spans="3:7" x14ac:dyDescent="0.3">
      <c r="C578" s="33"/>
      <c r="E578" s="33"/>
      <c r="G578" s="105"/>
    </row>
    <row r="579" spans="3:7" x14ac:dyDescent="0.3">
      <c r="C579" s="33"/>
      <c r="E579" s="33"/>
      <c r="G579" s="105"/>
    </row>
    <row r="580" spans="3:7" x14ac:dyDescent="0.3">
      <c r="C580" s="33"/>
      <c r="E580" s="33"/>
      <c r="G580" s="105"/>
    </row>
    <row r="581" spans="3:7" x14ac:dyDescent="0.3">
      <c r="C581" s="33"/>
      <c r="E581" s="33"/>
      <c r="G581" s="105"/>
    </row>
    <row r="582" spans="3:7" x14ac:dyDescent="0.3">
      <c r="C582" s="33"/>
      <c r="E582" s="33"/>
      <c r="G582" s="105"/>
    </row>
    <row r="583" spans="3:7" x14ac:dyDescent="0.3">
      <c r="C583" s="33"/>
      <c r="E583" s="33"/>
      <c r="G583" s="105"/>
    </row>
    <row r="584" spans="3:7" x14ac:dyDescent="0.3">
      <c r="C584" s="33"/>
      <c r="E584" s="33"/>
      <c r="G584" s="105"/>
    </row>
    <row r="585" spans="3:7" x14ac:dyDescent="0.3">
      <c r="C585" s="33"/>
      <c r="E585" s="33"/>
      <c r="G585" s="105"/>
    </row>
    <row r="586" spans="3:7" x14ac:dyDescent="0.3">
      <c r="C586" s="33"/>
      <c r="E586" s="33"/>
      <c r="G586" s="105"/>
    </row>
    <row r="587" spans="3:7" x14ac:dyDescent="0.3">
      <c r="C587" s="33"/>
      <c r="E587" s="33"/>
      <c r="G587" s="105"/>
    </row>
    <row r="588" spans="3:7" x14ac:dyDescent="0.3">
      <c r="C588" s="33"/>
      <c r="E588" s="33"/>
      <c r="G588" s="105"/>
    </row>
    <row r="589" spans="3:7" x14ac:dyDescent="0.3">
      <c r="C589" s="33"/>
      <c r="E589" s="33"/>
      <c r="G589" s="105"/>
    </row>
    <row r="590" spans="3:7" x14ac:dyDescent="0.3">
      <c r="C590" s="33"/>
      <c r="E590" s="33"/>
      <c r="G590" s="105"/>
    </row>
    <row r="591" spans="3:7" x14ac:dyDescent="0.3">
      <c r="C591" s="33"/>
      <c r="E591" s="33"/>
      <c r="G591" s="105"/>
    </row>
    <row r="592" spans="3:7" x14ac:dyDescent="0.3">
      <c r="C592" s="33"/>
      <c r="E592" s="33"/>
      <c r="G592" s="105"/>
    </row>
    <row r="593" spans="3:7" x14ac:dyDescent="0.3">
      <c r="C593" s="33"/>
      <c r="E593" s="33"/>
      <c r="G593" s="105"/>
    </row>
    <row r="594" spans="3:7" x14ac:dyDescent="0.3">
      <c r="C594" s="33"/>
      <c r="E594" s="33"/>
      <c r="G594" s="105"/>
    </row>
    <row r="595" spans="3:7" x14ac:dyDescent="0.3">
      <c r="C595" s="33"/>
      <c r="E595" s="33"/>
      <c r="G595" s="105"/>
    </row>
    <row r="596" spans="3:7" x14ac:dyDescent="0.3">
      <c r="C596" s="33"/>
      <c r="E596" s="33"/>
      <c r="G596" s="105"/>
    </row>
    <row r="597" spans="3:7" x14ac:dyDescent="0.3">
      <c r="C597" s="33"/>
      <c r="E597" s="33"/>
      <c r="G597" s="105"/>
    </row>
    <row r="598" spans="3:7" x14ac:dyDescent="0.3">
      <c r="C598" s="33"/>
      <c r="E598" s="33"/>
      <c r="G598" s="105"/>
    </row>
    <row r="599" spans="3:7" x14ac:dyDescent="0.3">
      <c r="C599" s="33"/>
      <c r="E599" s="33"/>
      <c r="G599" s="105"/>
    </row>
    <row r="600" spans="3:7" x14ac:dyDescent="0.3">
      <c r="C600" s="33"/>
      <c r="E600" s="33"/>
      <c r="G600" s="105"/>
    </row>
    <row r="601" spans="3:7" x14ac:dyDescent="0.3">
      <c r="C601" s="33"/>
      <c r="E601" s="33"/>
      <c r="G601" s="105"/>
    </row>
    <row r="602" spans="3:7" x14ac:dyDescent="0.3">
      <c r="C602" s="33"/>
      <c r="E602" s="33"/>
      <c r="G602" s="105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673"/>
  <sheetViews>
    <sheetView topLeftCell="A4" zoomScaleNormal="100" workbookViewId="0">
      <selection activeCell="H18" sqref="H18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2" t="s">
        <v>106</v>
      </c>
      <c r="C1" s="122"/>
      <c r="D1" s="122"/>
      <c r="E1" s="122"/>
    </row>
    <row r="2" spans="1:12" x14ac:dyDescent="0.3">
      <c r="A2" s="2" t="s">
        <v>77</v>
      </c>
      <c r="B2" s="128" t="s">
        <v>116</v>
      </c>
      <c r="C2" s="128"/>
      <c r="D2" s="128" t="s">
        <v>117</v>
      </c>
      <c r="E2" s="128"/>
    </row>
    <row r="3" spans="1:12" x14ac:dyDescent="0.3">
      <c r="A3" t="s">
        <v>15</v>
      </c>
      <c r="B3" s="123">
        <f>[1]All!$L$12*L17</f>
        <v>0.48314833998105799</v>
      </c>
      <c r="C3" s="123"/>
      <c r="D3" s="123">
        <f>[1]All!$L$13*L17</f>
        <v>0.5946441107459175</v>
      </c>
      <c r="E3" s="123"/>
    </row>
    <row r="4" spans="1:12" x14ac:dyDescent="0.3">
      <c r="A4" t="s">
        <v>16</v>
      </c>
      <c r="B4" s="123">
        <f>[2]prod_herd_data!J17</f>
        <v>367.30829304581511</v>
      </c>
      <c r="C4" s="123"/>
      <c r="D4" s="123">
        <f>[2]prod_herd_data!J18</f>
        <v>1424.0802472278533</v>
      </c>
      <c r="E4" s="123"/>
      <c r="K4" s="56"/>
    </row>
    <row r="5" spans="1:12" ht="15.6" x14ac:dyDescent="0.3">
      <c r="A5" t="s">
        <v>4</v>
      </c>
      <c r="B5" s="123">
        <f>B4*B3</f>
        <v>177.46439204636155</v>
      </c>
      <c r="C5" s="123"/>
      <c r="D5" s="123">
        <f>D4*D3</f>
        <v>846.82093224363314</v>
      </c>
      <c r="E5" s="123"/>
      <c r="K5" s="55"/>
    </row>
    <row r="6" spans="1:12" s="56" customFormat="1" ht="15.6" x14ac:dyDescent="0.3">
      <c r="B6" s="119"/>
      <c r="C6" s="119"/>
      <c r="D6" s="123"/>
      <c r="E6" s="123"/>
      <c r="K6" s="55"/>
    </row>
    <row r="7" spans="1:12" x14ac:dyDescent="0.3">
      <c r="A7" s="2" t="s">
        <v>73</v>
      </c>
      <c r="B7" s="123"/>
      <c r="C7" s="123"/>
      <c r="D7" s="123"/>
      <c r="E7" s="123"/>
    </row>
    <row r="8" spans="1:12" x14ac:dyDescent="0.3">
      <c r="A8" s="56" t="s">
        <v>32</v>
      </c>
      <c r="B8" s="123">
        <f xml:space="preserve"> (([2]FEEDING_base!$J$17*L30)+([2]FEEDING_base!$J$18*L31))</f>
        <v>79.444873766804676</v>
      </c>
      <c r="C8" s="123"/>
      <c r="D8" s="123">
        <f>(([2]FEEDING_base!$J$23*L30)+([2]FEEDING_base!$J$24*L31))</f>
        <v>241.16030694690787</v>
      </c>
      <c r="E8" s="123"/>
    </row>
    <row r="9" spans="1:12" x14ac:dyDescent="0.3">
      <c r="A9" s="56" t="s">
        <v>1</v>
      </c>
      <c r="B9" s="123">
        <f>[1]All!$P$12*L17</f>
        <v>3.7037541262095375</v>
      </c>
      <c r="C9" s="123"/>
      <c r="D9" s="123">
        <f>[1]All!$P$13*L17</f>
        <v>9.9618214429084109</v>
      </c>
      <c r="E9" s="123"/>
    </row>
    <row r="10" spans="1:12" x14ac:dyDescent="0.3">
      <c r="A10" s="56" t="s">
        <v>74</v>
      </c>
      <c r="B10" s="123">
        <f>[1]All!$Q$12*L17</f>
        <v>9.4509588048105453</v>
      </c>
      <c r="C10" s="123"/>
      <c r="D10" s="123">
        <f>[1]All!$Q$13*L17</f>
        <v>8.9400961667126779</v>
      </c>
      <c r="E10" s="123"/>
      <c r="K10" s="2" t="str">
        <f>Dairy_Income_Roadmap!K10</f>
        <v>Basic income parameters</v>
      </c>
      <c r="L10" s="2"/>
    </row>
    <row r="11" spans="1:12" x14ac:dyDescent="0.3">
      <c r="A11" s="56" t="s">
        <v>75</v>
      </c>
      <c r="B11" s="123">
        <f>[1]All!$R$12*L17</f>
        <v>0.12771565952446681</v>
      </c>
      <c r="C11" s="123"/>
      <c r="D11" s="123">
        <f>[1]All!$R$13*L17</f>
        <v>1.0217252761957345</v>
      </c>
      <c r="E11" s="123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76</v>
      </c>
      <c r="B12" s="123">
        <f>0*L17</f>
        <v>0</v>
      </c>
      <c r="C12" s="123"/>
      <c r="D12" s="123">
        <f>0*L17</f>
        <v>0</v>
      </c>
      <c r="E12" s="123"/>
      <c r="K12" s="54"/>
      <c r="L12" s="54"/>
    </row>
    <row r="13" spans="1:12" s="56" customFormat="1" x14ac:dyDescent="0.3">
      <c r="B13" s="119"/>
      <c r="C13" s="119"/>
      <c r="D13" s="123"/>
      <c r="E13" s="123"/>
      <c r="K13" s="54"/>
      <c r="L13" s="54"/>
    </row>
    <row r="14" spans="1:12" x14ac:dyDescent="0.3">
      <c r="A14" s="2" t="s">
        <v>115</v>
      </c>
      <c r="B14" s="123">
        <f>SUM(B8:B12)</f>
        <v>92.727302357349217</v>
      </c>
      <c r="C14" s="123"/>
      <c r="D14" s="123">
        <f>SUM(D8:D12)</f>
        <v>261.08394983272473</v>
      </c>
      <c r="E14" s="123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19"/>
      <c r="C15" s="119"/>
      <c r="D15" s="123"/>
      <c r="E15" s="123"/>
      <c r="K15" s="54" t="str">
        <f>Dairy_Income_Roadmap!K14</f>
        <v>Standard error animal price (fraction)</v>
      </c>
      <c r="L15" s="54">
        <f>Dairy_Income_Roadmap!L14</f>
        <v>0</v>
      </c>
    </row>
    <row r="16" spans="1:12" x14ac:dyDescent="0.3">
      <c r="B16" s="119"/>
      <c r="C16" s="119"/>
      <c r="D16" s="123"/>
      <c r="E16" s="123"/>
      <c r="K16" s="54"/>
      <c r="L16" s="54"/>
    </row>
    <row r="17" spans="1:12" x14ac:dyDescent="0.3">
      <c r="A17" s="56"/>
      <c r="B17" s="123"/>
      <c r="C17" s="123"/>
      <c r="D17" s="123"/>
      <c r="E17" s="123"/>
      <c r="K17" s="54" t="str">
        <f>Dairy_Income_Roadmap!K16</f>
        <v>Price deflator</v>
      </c>
      <c r="L17" s="62">
        <f>Dairy_Income_Roadmap!L16</f>
        <v>1.2771565952446682</v>
      </c>
    </row>
    <row r="18" spans="1:12" x14ac:dyDescent="0.3">
      <c r="B18" s="74" t="s">
        <v>90</v>
      </c>
      <c r="C18" s="74"/>
      <c r="D18" s="127"/>
      <c r="E18" s="127"/>
      <c r="K18" s="54"/>
      <c r="L18" s="54"/>
    </row>
    <row r="19" spans="1:12" x14ac:dyDescent="0.3">
      <c r="A19" t="s">
        <v>7</v>
      </c>
      <c r="B19" s="123">
        <f>L36*L17</f>
        <v>473.19051384219415</v>
      </c>
      <c r="C19" s="123"/>
      <c r="D19" s="123">
        <f>L38*L17</f>
        <v>626.19041111347224</v>
      </c>
      <c r="E19" s="123"/>
      <c r="K19" s="2"/>
      <c r="L19" s="54"/>
    </row>
    <row r="20" spans="1:12" x14ac:dyDescent="0.3">
      <c r="A20" t="s">
        <v>92</v>
      </c>
      <c r="B20" s="123">
        <f>( [5]Sheet1!$QH$65*[2]feeding_change_data!$J$4+      [5]Sheet1!$QH$56*[2]feeding_change_data!$K$4)/([2]feeding_change_data!$J$4+[2]feeding_change_data!$K$4)</f>
        <v>146.80537326217234</v>
      </c>
      <c r="C20" s="123"/>
      <c r="D20" s="123">
        <f>( [5]Sheet1!$QG$65*[2]feeding_change_data!$J$4+      [5]Sheet1!$QG$56*[2]feeding_change_data!$K$4)/([2]feeding_change_data!$J$4+[2]feeding_change_data!$K$4)</f>
        <v>410.46318105569441</v>
      </c>
      <c r="E20" s="123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93</v>
      </c>
      <c r="B21" s="123">
        <f>(((1/1000)*(1/L23)/L33))*B20</f>
        <v>1.5056961360222804E-2</v>
      </c>
      <c r="C21" s="123"/>
      <c r="D21" s="123">
        <f>(((1/1000)*(1/L23)/L33))*D20</f>
        <v>4.2098787800584042E-2</v>
      </c>
      <c r="E21" s="123"/>
      <c r="K21" s="54"/>
      <c r="L21" s="54"/>
    </row>
    <row r="22" spans="1:12" x14ac:dyDescent="0.3">
      <c r="A22" t="s">
        <v>94</v>
      </c>
      <c r="B22" s="123">
        <f>( [5]Sheet1!$QP$65*[2]feeding_change_data_pasture!$J$4+      [5]Sheet1!$QP$56*[2]feeding_change_data_pasture!$K$4)/([2]feeding_change_data_pasture!$J$4+[2]feeding_change_data_pasture!$K$4)</f>
        <v>96.509350562910655</v>
      </c>
      <c r="C22" s="123"/>
      <c r="D22" s="123">
        <f>( [5]Sheet1!$QO$65*[2]feeding_change_data_pasture!$J$4+      [5]Sheet1!$QO$56*[2]feeding_change_data_pasture!$K$4)/([2]feeding_change_data_pasture!$J$4+[2]feeding_change_data_pasture!$K$4)</f>
        <v>300.37899968817578</v>
      </c>
      <c r="E22" s="123"/>
      <c r="K22" s="54"/>
      <c r="L22" s="54"/>
    </row>
    <row r="23" spans="1:12" x14ac:dyDescent="0.3">
      <c r="A23" t="s">
        <v>95</v>
      </c>
      <c r="B23" s="123">
        <f>(((1/1000)*(1/L25)/L34))*B22</f>
        <v>3.8603740225164267E-2</v>
      </c>
      <c r="C23" s="123"/>
      <c r="D23" s="123">
        <f>(((1/1000)*(1/L25)/L34))*D22</f>
        <v>0.12015159987527031</v>
      </c>
      <c r="E23" s="123"/>
      <c r="K23" s="54" t="str">
        <f>Dairy_Income_Roadmap!K23</f>
        <v>Use efficiency napier</v>
      </c>
      <c r="L23" s="54">
        <f>Dairy_Income_Roadmap!L23</f>
        <v>0.75</v>
      </c>
    </row>
    <row r="24" spans="1:12" s="71" customFormat="1" x14ac:dyDescent="0.3">
      <c r="A24" s="71" t="s">
        <v>98</v>
      </c>
      <c r="B24" s="123">
        <f>B21+B23</f>
        <v>5.366070158538707E-2</v>
      </c>
      <c r="C24" s="123"/>
      <c r="D24" s="123">
        <f>D21+D23</f>
        <v>0.16225038767585437</v>
      </c>
      <c r="E24" s="123"/>
      <c r="K24" s="54"/>
      <c r="L24" s="54"/>
    </row>
    <row r="25" spans="1:12" x14ac:dyDescent="0.3">
      <c r="A25" t="s">
        <v>85</v>
      </c>
      <c r="B25" s="123">
        <f>(B21+B23)*L17*L20</f>
        <v>1.9189273301865273</v>
      </c>
      <c r="C25" s="123"/>
      <c r="D25" s="123">
        <f>(D21+D23)*L17*L20</f>
        <v>5.8021362756342052</v>
      </c>
      <c r="E25" s="123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23">
        <f>(B21+B23)*B19+B25</f>
        <v>27.310662286508478</v>
      </c>
      <c r="C26" s="123"/>
      <c r="D26" s="123">
        <f>(D21+D23)*D19+D25</f>
        <v>107.40177323769771</v>
      </c>
      <c r="E26" s="123"/>
      <c r="K26" s="54"/>
      <c r="L26" s="54"/>
    </row>
    <row r="27" spans="1:12" x14ac:dyDescent="0.3">
      <c r="B27" s="119"/>
      <c r="C27" s="119"/>
      <c r="D27" s="123"/>
      <c r="E27" s="123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56</v>
      </c>
      <c r="B28" s="123">
        <f>B5-B14</f>
        <v>84.737089689012336</v>
      </c>
      <c r="C28" s="123"/>
      <c r="D28" s="123">
        <f>D5-D14</f>
        <v>585.73698241090847</v>
      </c>
      <c r="E28" s="123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29"/>
      <c r="C29" s="129"/>
      <c r="D29" s="57"/>
      <c r="E29" s="57"/>
      <c r="K29" s="54"/>
      <c r="L29" s="54"/>
    </row>
    <row r="30" spans="1:12" x14ac:dyDescent="0.3">
      <c r="B30" s="119"/>
      <c r="C30" s="119"/>
      <c r="D30" s="21"/>
      <c r="E30" s="21"/>
      <c r="K30" s="54" t="str">
        <f>Dairy_Income_Roadmap!K29</f>
        <v>Market price Sunflower cake (USD/kg)</v>
      </c>
      <c r="L30" s="62">
        <f>Dairy_Income_Roadmap!L29</f>
        <v>0.31928914881116705</v>
      </c>
    </row>
    <row r="31" spans="1:12" x14ac:dyDescent="0.3">
      <c r="B31" s="119"/>
      <c r="C31" s="119"/>
      <c r="D31" s="21"/>
      <c r="E31" s="21"/>
      <c r="K31" s="54" t="str">
        <f>Dairy_Income_Roadmap!K30</f>
        <v>Market price Maize bran (USD/kg)</v>
      </c>
      <c r="L31" s="62">
        <f>Dairy_Income_Roadmap!L30</f>
        <v>0.26820288500138029</v>
      </c>
    </row>
    <row r="32" spans="1:12" x14ac:dyDescent="0.3">
      <c r="B32" s="119"/>
      <c r="C32" s="119"/>
      <c r="D32" s="21"/>
      <c r="E32" s="21"/>
      <c r="K32" s="54"/>
      <c r="L32" s="54"/>
    </row>
    <row r="33" spans="1:12" x14ac:dyDescent="0.3">
      <c r="B33" s="119"/>
      <c r="C33" s="119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2" t="s">
        <v>69</v>
      </c>
      <c r="B34" s="119"/>
      <c r="C34" s="119"/>
      <c r="D34" s="119"/>
      <c r="E34" s="119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19" t="s">
        <v>67</v>
      </c>
      <c r="B35" s="119"/>
      <c r="C35" s="119"/>
      <c r="D35" s="119"/>
      <c r="E35" s="119"/>
      <c r="F35" s="58"/>
      <c r="G35" s="58"/>
      <c r="K35" s="54"/>
      <c r="L35" s="54"/>
    </row>
    <row r="36" spans="1:12" x14ac:dyDescent="0.3">
      <c r="A36" t="s">
        <v>17</v>
      </c>
      <c r="B36" s="123">
        <f>[1]All!$S$12*L17</f>
        <v>0.11494409357202014</v>
      </c>
      <c r="C36" s="123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2">
        <f>[1]All!$N$12*L17</f>
        <v>370.50312828047828</v>
      </c>
    </row>
    <row r="37" spans="1:12" x14ac:dyDescent="0.3">
      <c r="B37" s="119"/>
      <c r="C37" s="119"/>
      <c r="D37" s="21"/>
      <c r="E37" s="57"/>
      <c r="K37" s="54" t="str">
        <f>Dairy_Income_Roadmap!K36</f>
        <v>SE (fraction)</v>
      </c>
      <c r="L37" s="62">
        <f>[1]All!$U$12*L17/L36</f>
        <v>0.53119613926232334</v>
      </c>
    </row>
    <row r="38" spans="1:12" x14ac:dyDescent="0.3">
      <c r="A38" t="s">
        <v>0</v>
      </c>
      <c r="B38" s="123">
        <f>[1]All!$V$12*L17</f>
        <v>169.09553321039408</v>
      </c>
      <c r="C38" s="123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2">
        <f>[1]All!$N$13*L17</f>
        <v>490.30041691442807</v>
      </c>
    </row>
    <row r="39" spans="1:12" x14ac:dyDescent="0.3">
      <c r="A39" t="s">
        <v>1</v>
      </c>
      <c r="B39" s="123">
        <f>[1]All!$W$12*L17</f>
        <v>22.09480909773276</v>
      </c>
      <c r="C39" s="123"/>
      <c r="D39" s="21"/>
      <c r="E39" s="57">
        <f>[1]All!$W$13*L17</f>
        <v>64.36869240033127</v>
      </c>
      <c r="K39" s="54" t="str">
        <f>Dairy_Income_Roadmap!K38</f>
        <v>SE (fraction)</v>
      </c>
      <c r="L39" s="62">
        <f>[1]All!$U$13*L17/L38</f>
        <v>0.4540244855431102</v>
      </c>
    </row>
    <row r="40" spans="1:12" x14ac:dyDescent="0.3">
      <c r="A40" t="s">
        <v>2</v>
      </c>
      <c r="B40" s="123">
        <f>[1]All!$X$12*L17</f>
        <v>11.62212501672648</v>
      </c>
      <c r="C40" s="123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23">
        <f>[1]All!$Y$12*L17</f>
        <v>0.89400961667126766</v>
      </c>
      <c r="C41" s="123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23">
        <f>B12*L17</f>
        <v>0</v>
      </c>
      <c r="C42" s="123"/>
      <c r="D42" s="57"/>
      <c r="E42" s="57">
        <f>D12*L17</f>
        <v>0</v>
      </c>
      <c r="K42" s="54"/>
      <c r="L42" s="54"/>
    </row>
    <row r="43" spans="1:12" x14ac:dyDescent="0.3">
      <c r="B43" s="119"/>
      <c r="C43" s="119"/>
      <c r="D43" s="21"/>
      <c r="E43" s="21"/>
      <c r="K43" s="54"/>
      <c r="L43" s="54"/>
    </row>
    <row r="44" spans="1:12" s="58" customFormat="1" x14ac:dyDescent="0.3">
      <c r="B44" s="119"/>
      <c r="C44" s="119"/>
      <c r="D44" s="21"/>
      <c r="E44" s="21"/>
      <c r="K44" s="54"/>
      <c r="L44" s="54"/>
    </row>
    <row r="45" spans="1:12" x14ac:dyDescent="0.3">
      <c r="B45" s="127" t="s">
        <v>68</v>
      </c>
      <c r="C45" s="127"/>
      <c r="D45" s="127"/>
      <c r="E45" s="127"/>
      <c r="K45" s="54"/>
      <c r="L45" s="54"/>
    </row>
    <row r="46" spans="1:12" x14ac:dyDescent="0.3">
      <c r="A46" t="s">
        <v>9</v>
      </c>
      <c r="B46" s="123">
        <f ca="1">_xlfn.NORM.INV(RAND(),B3,B36)</f>
        <v>0.51897304454103577</v>
      </c>
      <c r="C46" s="123"/>
      <c r="D46" s="57"/>
      <c r="E46" s="57">
        <f ca="1">_xlfn.NORM.INV(RAND(),D3,E36)</f>
        <v>0.64901060977093161</v>
      </c>
      <c r="K46" s="54"/>
      <c r="L46" s="54"/>
    </row>
    <row r="47" spans="1:12" s="108" customFormat="1" x14ac:dyDescent="0.3">
      <c r="A47" s="108" t="s">
        <v>121</v>
      </c>
      <c r="B47" s="123">
        <f>Dairy_Income_Baseline!B4*Dairy_Income_Roadmap!L21</f>
        <v>51.423161026414121</v>
      </c>
      <c r="C47" s="123"/>
      <c r="D47" s="107"/>
      <c r="E47" s="107">
        <f>D4*Dairy_Income_Roadmap!L21</f>
        <v>199.3712346118995</v>
      </c>
      <c r="K47" s="54"/>
      <c r="L47" s="54"/>
    </row>
    <row r="48" spans="1:12" x14ac:dyDescent="0.3">
      <c r="B48" s="119"/>
      <c r="C48" s="119"/>
      <c r="D48" s="57"/>
      <c r="E48" s="57"/>
      <c r="K48" s="54"/>
      <c r="L48" s="54"/>
    </row>
    <row r="49" spans="1:12" x14ac:dyDescent="0.3">
      <c r="A49" t="s">
        <v>10</v>
      </c>
      <c r="B49" s="123">
        <f ca="1">_xlfn.NORM.INV(RAND(),B8,B38)</f>
        <v>-135.25713657138112</v>
      </c>
      <c r="C49" s="123"/>
      <c r="D49" s="57"/>
      <c r="E49" s="57">
        <f ca="1">_xlfn.NORM.INV(RAND(),D8,E38)</f>
        <v>361.18748284366222</v>
      </c>
      <c r="K49" s="54"/>
      <c r="L49" s="54"/>
    </row>
    <row r="50" spans="1:12" x14ac:dyDescent="0.3">
      <c r="A50" t="s">
        <v>1</v>
      </c>
      <c r="B50" s="123">
        <f ca="1">_xlfn.NORM.INV(RAND(),B9,B39)</f>
        <v>18.35892724151168</v>
      </c>
      <c r="C50" s="123"/>
      <c r="D50" s="57"/>
      <c r="E50" s="57">
        <f ca="1">_xlfn.NORM.INV(RAND(),D9,E39)</f>
        <v>-42.804742655375271</v>
      </c>
      <c r="K50" s="54"/>
      <c r="L50" s="54"/>
    </row>
    <row r="51" spans="1:12" x14ac:dyDescent="0.3">
      <c r="A51" t="s">
        <v>2</v>
      </c>
      <c r="B51" s="123">
        <f ca="1">_xlfn.NORM.INV(RAND(),B10,B40)</f>
        <v>33.899623796487489</v>
      </c>
      <c r="C51" s="123"/>
      <c r="D51" s="57"/>
      <c r="E51" s="57">
        <f ca="1">_xlfn.NORM.INV(RAND(),D10,E40)</f>
        <v>10.830548794888333</v>
      </c>
      <c r="K51" s="54"/>
      <c r="L51" s="54"/>
    </row>
    <row r="52" spans="1:12" x14ac:dyDescent="0.3">
      <c r="A52" t="s">
        <v>12</v>
      </c>
      <c r="B52" s="123">
        <f ca="1">_xlfn.NORM.INV(RAND(),B11,B41)</f>
        <v>1.1934157479328533</v>
      </c>
      <c r="C52" s="123"/>
      <c r="D52" s="57"/>
      <c r="E52" s="57">
        <f ca="1">_xlfn.NORM.INV(RAND(),D11,E41)</f>
        <v>1.8400024519814226</v>
      </c>
      <c r="K52" s="54"/>
      <c r="L52" s="54"/>
    </row>
    <row r="53" spans="1:12" x14ac:dyDescent="0.3">
      <c r="A53" t="s">
        <v>3</v>
      </c>
      <c r="B53" s="123">
        <v>1E-4</v>
      </c>
      <c r="C53" s="123"/>
      <c r="D53" s="57"/>
      <c r="E53" s="57">
        <v>1E-4</v>
      </c>
      <c r="K53" s="54"/>
      <c r="L53" s="54"/>
    </row>
    <row r="54" spans="1:12" x14ac:dyDescent="0.3">
      <c r="B54" s="119"/>
      <c r="C54" s="119"/>
      <c r="D54" s="57"/>
      <c r="E54" s="57"/>
      <c r="K54" s="54"/>
      <c r="L54" s="54"/>
    </row>
    <row r="55" spans="1:12" x14ac:dyDescent="0.3">
      <c r="A55" s="2" t="s">
        <v>88</v>
      </c>
      <c r="B55" s="123">
        <f ca="1">SUM(B49:B53)</f>
        <v>-81.805069785449092</v>
      </c>
      <c r="C55" s="123"/>
      <c r="D55" s="57"/>
      <c r="E55" s="57">
        <f ca="1">SUM(E49:E53)</f>
        <v>331.0533914351567</v>
      </c>
      <c r="K55" s="54"/>
      <c r="L55" s="54"/>
    </row>
    <row r="56" spans="1:12" x14ac:dyDescent="0.3">
      <c r="A56" s="2"/>
      <c r="B56" s="119"/>
      <c r="C56" s="119"/>
      <c r="D56" s="57"/>
      <c r="E56" s="57"/>
      <c r="K56" s="54"/>
      <c r="L56" s="54"/>
    </row>
    <row r="57" spans="1:12" x14ac:dyDescent="0.3">
      <c r="A57" s="2" t="s">
        <v>56</v>
      </c>
      <c r="B57" s="123">
        <f ca="1">B46*B47-B55</f>
        <v>108.49230422325115</v>
      </c>
      <c r="C57" s="123"/>
      <c r="D57" s="57"/>
      <c r="E57" s="57">
        <f ca="1">E46*E47-E55</f>
        <v>-201.65934488890434</v>
      </c>
      <c r="K57" s="54"/>
      <c r="L57" s="54"/>
    </row>
    <row r="58" spans="1:12" x14ac:dyDescent="0.3">
      <c r="A58" s="2"/>
      <c r="B58" s="119"/>
      <c r="C58" s="119"/>
      <c r="D58" s="57"/>
      <c r="E58" s="57"/>
      <c r="K58" s="54"/>
      <c r="L58" s="54"/>
    </row>
    <row r="59" spans="1:12" x14ac:dyDescent="0.3">
      <c r="A59" s="2" t="s">
        <v>13</v>
      </c>
      <c r="B59" s="123">
        <f ca="1">AVERAGE(C63:C562)</f>
        <v>-77.780779786079023</v>
      </c>
      <c r="C59" s="123"/>
      <c r="D59" s="57"/>
      <c r="E59" s="57">
        <f ca="1">AVERAGE(E63:E562)</f>
        <v>-148.6019716560466</v>
      </c>
      <c r="K59" s="54"/>
      <c r="L59" s="54"/>
    </row>
    <row r="60" spans="1:12" x14ac:dyDescent="0.3">
      <c r="A60" s="2" t="s">
        <v>11</v>
      </c>
      <c r="B60" s="123">
        <f ca="1">STDEVA(C63:C562)</f>
        <v>173.86409898595343</v>
      </c>
      <c r="C60" s="123"/>
      <c r="D60" s="57"/>
      <c r="E60" s="57">
        <f t="shared" ref="E60" ca="1" si="0">STDEVA(E63:E562)</f>
        <v>132.705441246524</v>
      </c>
      <c r="K60" s="54"/>
      <c r="L60" s="54"/>
    </row>
    <row r="61" spans="1:12" x14ac:dyDescent="0.3">
      <c r="B61" s="119"/>
      <c r="C61" s="119"/>
      <c r="K61" s="54"/>
      <c r="L61" s="54"/>
    </row>
    <row r="62" spans="1:12" x14ac:dyDescent="0.3">
      <c r="A62" s="2" t="s">
        <v>84</v>
      </c>
      <c r="B62" s="119"/>
      <c r="C62" s="119"/>
      <c r="K62" s="54"/>
      <c r="L62" s="54"/>
    </row>
    <row r="63" spans="1:12" x14ac:dyDescent="0.3">
      <c r="B63">
        <v>1</v>
      </c>
      <c r="C63" s="33">
        <f ca="1">B57</f>
        <v>108.49230422325115</v>
      </c>
      <c r="D63">
        <f>B63</f>
        <v>1</v>
      </c>
      <c r="E63" s="33">
        <f ca="1">E57</f>
        <v>-201.65934488890434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70.902276670275285</v>
      </c>
      <c r="D64" s="56">
        <f>B64</f>
        <v>2</v>
      </c>
      <c r="E64" s="33">
        <f t="dataTable" ref="E64:E562" dt2D="0" dtr="0" r1="E62" ca="1"/>
        <v>-311.99172815434952</v>
      </c>
      <c r="K64" s="54"/>
      <c r="L64" s="54"/>
    </row>
    <row r="65" spans="2:12" x14ac:dyDescent="0.3">
      <c r="B65" s="56">
        <v>3</v>
      </c>
      <c r="C65" s="33">
        <v>80.769637957799574</v>
      </c>
      <c r="D65" s="56">
        <f t="shared" ref="D65:D128" si="1">B65</f>
        <v>3</v>
      </c>
      <c r="E65" s="33">
        <v>-297.32746773202746</v>
      </c>
      <c r="K65" s="54"/>
      <c r="L65" s="54"/>
    </row>
    <row r="66" spans="2:12" x14ac:dyDescent="0.3">
      <c r="B66" s="56">
        <v>4</v>
      </c>
      <c r="C66" s="33">
        <v>90.472180393308619</v>
      </c>
      <c r="D66" s="56">
        <f t="shared" si="1"/>
        <v>4</v>
      </c>
      <c r="E66" s="33">
        <v>-23.193084005057443</v>
      </c>
      <c r="K66" s="54"/>
      <c r="L66" s="54"/>
    </row>
    <row r="67" spans="2:12" x14ac:dyDescent="0.3">
      <c r="B67" s="56">
        <v>5</v>
      </c>
      <c r="C67" s="33">
        <v>-109.33791233628152</v>
      </c>
      <c r="D67" s="56">
        <f t="shared" si="1"/>
        <v>5</v>
      </c>
      <c r="E67" s="33">
        <v>-164.20181177924923</v>
      </c>
      <c r="K67" s="54"/>
      <c r="L67" s="54"/>
    </row>
    <row r="68" spans="2:12" x14ac:dyDescent="0.3">
      <c r="B68" s="56">
        <v>6</v>
      </c>
      <c r="C68" s="33">
        <v>-163.76891878531234</v>
      </c>
      <c r="D68" s="56">
        <f t="shared" si="1"/>
        <v>6</v>
      </c>
      <c r="E68" s="33">
        <v>-357.06075700267212</v>
      </c>
      <c r="K68" s="54"/>
      <c r="L68" s="54"/>
    </row>
    <row r="69" spans="2:12" x14ac:dyDescent="0.3">
      <c r="B69" s="56">
        <v>7</v>
      </c>
      <c r="C69" s="33">
        <v>-14.529094422214861</v>
      </c>
      <c r="D69" s="56">
        <f t="shared" si="1"/>
        <v>7</v>
      </c>
      <c r="E69" s="33">
        <v>-49.820499110432365</v>
      </c>
      <c r="K69" s="54"/>
      <c r="L69" s="54"/>
    </row>
    <row r="70" spans="2:12" x14ac:dyDescent="0.3">
      <c r="B70" s="56">
        <v>8</v>
      </c>
      <c r="C70" s="33">
        <v>-118.30556270797035</v>
      </c>
      <c r="D70" s="56">
        <f t="shared" si="1"/>
        <v>8</v>
      </c>
      <c r="E70" s="33">
        <v>-238.14636048542411</v>
      </c>
      <c r="K70" s="54"/>
      <c r="L70" s="54"/>
    </row>
    <row r="71" spans="2:12" x14ac:dyDescent="0.3">
      <c r="B71" s="56">
        <v>9</v>
      </c>
      <c r="C71" s="33">
        <v>37.775284704710863</v>
      </c>
      <c r="D71" s="56">
        <f t="shared" si="1"/>
        <v>9</v>
      </c>
      <c r="E71" s="33">
        <v>-297.04639597146678</v>
      </c>
      <c r="K71" s="54"/>
      <c r="L71" s="54"/>
    </row>
    <row r="72" spans="2:12" x14ac:dyDescent="0.3">
      <c r="B72" s="56">
        <v>10</v>
      </c>
      <c r="C72" s="33">
        <v>104.29781152060902</v>
      </c>
      <c r="D72" s="56">
        <f t="shared" si="1"/>
        <v>10</v>
      </c>
      <c r="E72" s="33">
        <v>-321.42562846420782</v>
      </c>
      <c r="K72" s="54"/>
      <c r="L72" s="54"/>
    </row>
    <row r="73" spans="2:12" x14ac:dyDescent="0.3">
      <c r="B73" s="56">
        <v>11</v>
      </c>
      <c r="C73" s="33">
        <v>-185.92427188358204</v>
      </c>
      <c r="D73" s="56">
        <f t="shared" si="1"/>
        <v>11</v>
      </c>
      <c r="E73" s="33">
        <v>-148.47322217256362</v>
      </c>
      <c r="K73" s="54"/>
      <c r="L73" s="54"/>
    </row>
    <row r="74" spans="2:12" x14ac:dyDescent="0.3">
      <c r="B74" s="56">
        <v>12</v>
      </c>
      <c r="C74" s="33">
        <v>-111.66418557823823</v>
      </c>
      <c r="D74" s="56">
        <f t="shared" si="1"/>
        <v>12</v>
      </c>
      <c r="E74" s="33">
        <v>53.35408903216387</v>
      </c>
      <c r="K74" s="54"/>
      <c r="L74" s="54"/>
    </row>
    <row r="75" spans="2:12" x14ac:dyDescent="0.3">
      <c r="B75" s="56">
        <v>13</v>
      </c>
      <c r="C75" s="33">
        <v>-231.86584001190977</v>
      </c>
      <c r="D75" s="56">
        <f t="shared" si="1"/>
        <v>13</v>
      </c>
      <c r="E75" s="33">
        <v>-288.98226040986367</v>
      </c>
      <c r="K75" s="54"/>
      <c r="L75" s="54"/>
    </row>
    <row r="76" spans="2:12" x14ac:dyDescent="0.3">
      <c r="B76" s="56">
        <v>14</v>
      </c>
      <c r="C76" s="33">
        <v>-44.145054658557761</v>
      </c>
      <c r="D76" s="56">
        <f t="shared" si="1"/>
        <v>14</v>
      </c>
      <c r="E76" s="33">
        <v>-274.61653466164876</v>
      </c>
      <c r="K76" s="54"/>
      <c r="L76" s="54"/>
    </row>
    <row r="77" spans="2:12" x14ac:dyDescent="0.3">
      <c r="B77" s="56">
        <v>15</v>
      </c>
      <c r="C77" s="33">
        <v>-41.250548825198393</v>
      </c>
      <c r="D77" s="56">
        <f t="shared" si="1"/>
        <v>15</v>
      </c>
      <c r="E77" s="33">
        <v>-75.113498379970935</v>
      </c>
      <c r="K77" s="54"/>
      <c r="L77" s="54"/>
    </row>
    <row r="78" spans="2:12" x14ac:dyDescent="0.3">
      <c r="B78" s="56">
        <v>16</v>
      </c>
      <c r="C78" s="33">
        <v>-157.77554098013673</v>
      </c>
      <c r="D78" s="56">
        <f t="shared" si="1"/>
        <v>16</v>
      </c>
      <c r="E78" s="33">
        <v>-97.361665435494174</v>
      </c>
      <c r="K78" s="54"/>
      <c r="L78" s="54"/>
    </row>
    <row r="79" spans="2:12" x14ac:dyDescent="0.3">
      <c r="B79" s="56">
        <v>17</v>
      </c>
      <c r="C79" s="33">
        <v>-238.09142847377848</v>
      </c>
      <c r="D79" s="56">
        <f t="shared" si="1"/>
        <v>17</v>
      </c>
      <c r="E79" s="33">
        <v>-209.49196292827935</v>
      </c>
      <c r="K79" s="54"/>
      <c r="L79" s="54"/>
    </row>
    <row r="80" spans="2:12" x14ac:dyDescent="0.3">
      <c r="B80" s="56">
        <v>18</v>
      </c>
      <c r="C80" s="33">
        <v>139.83949017019771</v>
      </c>
      <c r="D80" s="56">
        <f t="shared" si="1"/>
        <v>18</v>
      </c>
      <c r="E80" s="33">
        <v>-212.63008138628763</v>
      </c>
      <c r="K80" s="54"/>
      <c r="L80" s="54"/>
    </row>
    <row r="81" spans="2:12" x14ac:dyDescent="0.3">
      <c r="B81" s="56">
        <v>19</v>
      </c>
      <c r="C81" s="33">
        <v>86.485252198439341</v>
      </c>
      <c r="D81" s="56">
        <f t="shared" si="1"/>
        <v>19</v>
      </c>
      <c r="E81" s="33">
        <v>-296.90506989976001</v>
      </c>
      <c r="K81" s="54"/>
      <c r="L81" s="54"/>
    </row>
    <row r="82" spans="2:12" x14ac:dyDescent="0.3">
      <c r="B82" s="56">
        <v>20</v>
      </c>
      <c r="C82" s="33">
        <v>254.42006741819992</v>
      </c>
      <c r="D82" s="56">
        <f t="shared" si="1"/>
        <v>20</v>
      </c>
      <c r="E82" s="33">
        <v>-167.02309161856257</v>
      </c>
      <c r="K82" s="54"/>
      <c r="L82" s="54"/>
    </row>
    <row r="83" spans="2:12" x14ac:dyDescent="0.3">
      <c r="B83" s="56">
        <v>21</v>
      </c>
      <c r="C83" s="33">
        <v>17.140208095934717</v>
      </c>
      <c r="D83" s="56">
        <f t="shared" si="1"/>
        <v>21</v>
      </c>
      <c r="E83" s="33">
        <v>-101.29441844350013</v>
      </c>
      <c r="K83" s="54"/>
      <c r="L83" s="54"/>
    </row>
    <row r="84" spans="2:12" x14ac:dyDescent="0.3">
      <c r="B84" s="56">
        <v>22</v>
      </c>
      <c r="C84" s="33">
        <v>-313.89463417199642</v>
      </c>
      <c r="D84" s="56">
        <f t="shared" si="1"/>
        <v>22</v>
      </c>
      <c r="E84" s="33">
        <v>-256.67297106170474</v>
      </c>
      <c r="K84" s="54"/>
      <c r="L84" s="54"/>
    </row>
    <row r="85" spans="2:12" x14ac:dyDescent="0.3">
      <c r="B85" s="56">
        <v>23</v>
      </c>
      <c r="C85" s="33">
        <v>-227.7812273366942</v>
      </c>
      <c r="D85" s="56">
        <f t="shared" si="1"/>
        <v>23</v>
      </c>
      <c r="E85" s="33">
        <v>-110.08080923453423</v>
      </c>
      <c r="K85" s="54"/>
      <c r="L85" s="54"/>
    </row>
    <row r="86" spans="2:12" x14ac:dyDescent="0.3">
      <c r="B86" s="56">
        <v>24</v>
      </c>
      <c r="C86" s="33">
        <v>-239.42357870929698</v>
      </c>
      <c r="D86" s="56">
        <f t="shared" si="1"/>
        <v>24</v>
      </c>
      <c r="E86" s="33">
        <v>-104.81584548820624</v>
      </c>
      <c r="K86" s="54"/>
      <c r="L86" s="54"/>
    </row>
    <row r="87" spans="2:12" x14ac:dyDescent="0.3">
      <c r="B87" s="56">
        <v>25</v>
      </c>
      <c r="C87" s="33">
        <v>-211.02206617518823</v>
      </c>
      <c r="D87" s="56">
        <f t="shared" si="1"/>
        <v>25</v>
      </c>
      <c r="E87" s="33">
        <v>-165.61143231836127</v>
      </c>
      <c r="K87" s="54"/>
      <c r="L87" s="54"/>
    </row>
    <row r="88" spans="2:12" x14ac:dyDescent="0.3">
      <c r="B88" s="56">
        <v>26</v>
      </c>
      <c r="C88" s="33">
        <v>-272.76804225443385</v>
      </c>
      <c r="D88" s="56">
        <f t="shared" si="1"/>
        <v>26</v>
      </c>
      <c r="E88" s="33">
        <v>-154.35170042412688</v>
      </c>
      <c r="K88" s="54"/>
      <c r="L88" s="54"/>
    </row>
    <row r="89" spans="2:12" x14ac:dyDescent="0.3">
      <c r="B89" s="56">
        <v>27</v>
      </c>
      <c r="C89" s="33">
        <v>-245.11232913373527</v>
      </c>
      <c r="D89" s="56">
        <f t="shared" si="1"/>
        <v>27</v>
      </c>
      <c r="E89" s="33">
        <v>62.037237189413624</v>
      </c>
      <c r="K89" s="54"/>
      <c r="L89" s="54"/>
    </row>
    <row r="90" spans="2:12" x14ac:dyDescent="0.3">
      <c r="B90" s="56">
        <v>28</v>
      </c>
      <c r="C90" s="33">
        <v>90.431784940707445</v>
      </c>
      <c r="D90" s="56">
        <f t="shared" si="1"/>
        <v>28</v>
      </c>
      <c r="E90" s="33">
        <v>-53.312606259334146</v>
      </c>
      <c r="K90" s="54"/>
      <c r="L90" s="54"/>
    </row>
    <row r="91" spans="2:12" x14ac:dyDescent="0.3">
      <c r="B91" s="56">
        <v>29</v>
      </c>
      <c r="C91" s="33">
        <v>-184.28276895258091</v>
      </c>
      <c r="D91" s="56">
        <f t="shared" si="1"/>
        <v>29</v>
      </c>
      <c r="E91" s="33">
        <v>99.535517158287021</v>
      </c>
      <c r="K91" s="54"/>
      <c r="L91" s="54"/>
    </row>
    <row r="92" spans="2:12" x14ac:dyDescent="0.3">
      <c r="B92" s="56">
        <v>30</v>
      </c>
      <c r="C92" s="33">
        <v>-186.72009646980129</v>
      </c>
      <c r="D92" s="56">
        <f t="shared" si="1"/>
        <v>30</v>
      </c>
      <c r="E92" s="33">
        <v>50.206964234307577</v>
      </c>
      <c r="K92" s="54"/>
      <c r="L92" s="54"/>
    </row>
    <row r="93" spans="2:12" x14ac:dyDescent="0.3">
      <c r="B93" s="56">
        <v>31</v>
      </c>
      <c r="C93" s="33">
        <v>121.19430805614522</v>
      </c>
      <c r="D93" s="56">
        <f t="shared" si="1"/>
        <v>31</v>
      </c>
      <c r="E93" s="33">
        <v>-25.914986565123883</v>
      </c>
      <c r="K93" s="54"/>
      <c r="L93" s="54"/>
    </row>
    <row r="94" spans="2:12" x14ac:dyDescent="0.3">
      <c r="B94" s="56">
        <v>32</v>
      </c>
      <c r="C94" s="33">
        <v>165.74732093937996</v>
      </c>
      <c r="D94" s="56">
        <f t="shared" si="1"/>
        <v>32</v>
      </c>
      <c r="E94" s="33">
        <v>-38.354081039504578</v>
      </c>
      <c r="K94" s="54"/>
      <c r="L94" s="54"/>
    </row>
    <row r="95" spans="2:12" x14ac:dyDescent="0.3">
      <c r="B95" s="56">
        <v>33</v>
      </c>
      <c r="C95" s="33">
        <v>-175.81179652795493</v>
      </c>
      <c r="D95" s="56">
        <f t="shared" si="1"/>
        <v>33</v>
      </c>
      <c r="E95" s="33">
        <v>-103.40373799020706</v>
      </c>
      <c r="K95" s="54"/>
      <c r="L95" s="54"/>
    </row>
    <row r="96" spans="2:12" x14ac:dyDescent="0.3">
      <c r="B96" s="56">
        <v>34</v>
      </c>
      <c r="C96" s="33">
        <v>288.52737190696365</v>
      </c>
      <c r="D96" s="56">
        <f t="shared" si="1"/>
        <v>34</v>
      </c>
      <c r="E96" s="33">
        <v>18.217546554739073</v>
      </c>
      <c r="K96" s="54"/>
      <c r="L96" s="54"/>
    </row>
    <row r="97" spans="2:12" x14ac:dyDescent="0.3">
      <c r="B97" s="56">
        <v>35</v>
      </c>
      <c r="C97" s="33">
        <v>-210.22349331199743</v>
      </c>
      <c r="D97" s="56">
        <f t="shared" si="1"/>
        <v>35</v>
      </c>
      <c r="E97" s="33">
        <v>-68.185691135381347</v>
      </c>
      <c r="K97" s="54"/>
      <c r="L97" s="54"/>
    </row>
    <row r="98" spans="2:12" x14ac:dyDescent="0.3">
      <c r="B98" s="56">
        <v>36</v>
      </c>
      <c r="C98" s="33">
        <v>-263.9311806714295</v>
      </c>
      <c r="D98" s="56">
        <f t="shared" si="1"/>
        <v>36</v>
      </c>
      <c r="E98" s="33">
        <v>-60.298569644472167</v>
      </c>
      <c r="K98" s="54"/>
      <c r="L98" s="54"/>
    </row>
    <row r="99" spans="2:12" x14ac:dyDescent="0.3">
      <c r="B99" s="56">
        <v>37</v>
      </c>
      <c r="C99" s="33">
        <v>-177.4343063923387</v>
      </c>
      <c r="D99" s="56">
        <f t="shared" si="1"/>
        <v>37</v>
      </c>
      <c r="E99" s="33">
        <v>-320.75773214468984</v>
      </c>
      <c r="K99" s="54"/>
      <c r="L99" s="54"/>
    </row>
    <row r="100" spans="2:12" x14ac:dyDescent="0.3">
      <c r="B100" s="56">
        <v>38</v>
      </c>
      <c r="C100" s="33">
        <v>147.60315076658725</v>
      </c>
      <c r="D100" s="56">
        <f t="shared" si="1"/>
        <v>38</v>
      </c>
      <c r="E100" s="33">
        <v>-111.62146855596011</v>
      </c>
      <c r="K100" s="54"/>
      <c r="L100" s="54"/>
    </row>
    <row r="101" spans="2:12" x14ac:dyDescent="0.3">
      <c r="B101" s="56">
        <v>39</v>
      </c>
      <c r="C101" s="33">
        <v>-455.73638305171244</v>
      </c>
      <c r="D101" s="56">
        <f t="shared" si="1"/>
        <v>39</v>
      </c>
      <c r="E101" s="33">
        <v>-351.2857724880954</v>
      </c>
      <c r="K101" s="54"/>
      <c r="L101" s="54"/>
    </row>
    <row r="102" spans="2:12" x14ac:dyDescent="0.3">
      <c r="B102" s="56">
        <v>40</v>
      </c>
      <c r="C102" s="33">
        <v>-133.92893836785825</v>
      </c>
      <c r="D102" s="56">
        <f t="shared" si="1"/>
        <v>40</v>
      </c>
      <c r="E102" s="33">
        <v>-346.54556264384007</v>
      </c>
      <c r="K102" s="54"/>
      <c r="L102" s="54"/>
    </row>
    <row r="103" spans="2:12" x14ac:dyDescent="0.3">
      <c r="B103" s="56">
        <v>41</v>
      </c>
      <c r="C103" s="33">
        <v>-44.105551276594937</v>
      </c>
      <c r="D103" s="56">
        <f t="shared" si="1"/>
        <v>41</v>
      </c>
      <c r="E103" s="33">
        <v>-105.9903786911222</v>
      </c>
      <c r="K103" s="54"/>
      <c r="L103" s="54"/>
    </row>
    <row r="104" spans="2:12" x14ac:dyDescent="0.3">
      <c r="B104" s="56">
        <v>42</v>
      </c>
      <c r="C104" s="33">
        <v>-87.938656030334997</v>
      </c>
      <c r="D104" s="56">
        <f t="shared" si="1"/>
        <v>42</v>
      </c>
      <c r="E104" s="33">
        <v>-71.171640879850486</v>
      </c>
      <c r="K104" s="54"/>
      <c r="L104" s="54"/>
    </row>
    <row r="105" spans="2:12" x14ac:dyDescent="0.3">
      <c r="B105" s="56">
        <v>43</v>
      </c>
      <c r="C105" s="33">
        <v>-285.5986313418199</v>
      </c>
      <c r="D105" s="56">
        <f t="shared" si="1"/>
        <v>43</v>
      </c>
      <c r="E105" s="33">
        <v>-177.57535118734285</v>
      </c>
      <c r="K105" s="54"/>
      <c r="L105" s="54"/>
    </row>
    <row r="106" spans="2:12" x14ac:dyDescent="0.3">
      <c r="B106" s="56">
        <v>44</v>
      </c>
      <c r="C106" s="33">
        <v>0.24561156199785117</v>
      </c>
      <c r="D106" s="56">
        <f t="shared" si="1"/>
        <v>44</v>
      </c>
      <c r="E106" s="33">
        <v>-31.456747042319165</v>
      </c>
      <c r="K106" s="54"/>
      <c r="L106" s="54"/>
    </row>
    <row r="107" spans="2:12" x14ac:dyDescent="0.3">
      <c r="B107" s="56">
        <v>45</v>
      </c>
      <c r="C107" s="33">
        <v>-25.215173884921569</v>
      </c>
      <c r="D107" s="56">
        <f t="shared" si="1"/>
        <v>45</v>
      </c>
      <c r="E107" s="33">
        <v>-38.4289699499503</v>
      </c>
      <c r="K107" s="54"/>
      <c r="L107" s="54"/>
    </row>
    <row r="108" spans="2:12" x14ac:dyDescent="0.3">
      <c r="B108" s="56">
        <v>46</v>
      </c>
      <c r="C108" s="33">
        <v>62.790283521049531</v>
      </c>
      <c r="D108" s="56">
        <f t="shared" si="1"/>
        <v>46</v>
      </c>
      <c r="E108" s="33">
        <v>-226.55520417579771</v>
      </c>
      <c r="K108" s="54"/>
      <c r="L108" s="54"/>
    </row>
    <row r="109" spans="2:12" x14ac:dyDescent="0.3">
      <c r="B109" s="56">
        <v>47</v>
      </c>
      <c r="C109" s="33">
        <v>-154.61526261365279</v>
      </c>
      <c r="D109" s="56">
        <f t="shared" si="1"/>
        <v>47</v>
      </c>
      <c r="E109" s="33">
        <v>-76.653191053664273</v>
      </c>
      <c r="K109" s="54"/>
      <c r="L109" s="54"/>
    </row>
    <row r="110" spans="2:12" x14ac:dyDescent="0.3">
      <c r="B110" s="56">
        <v>48</v>
      </c>
      <c r="C110" s="33">
        <v>103.86814486971771</v>
      </c>
      <c r="D110" s="56">
        <f t="shared" si="1"/>
        <v>48</v>
      </c>
      <c r="E110" s="33">
        <v>167.69497590034055</v>
      </c>
      <c r="K110" s="54"/>
      <c r="L110" s="54"/>
    </row>
    <row r="111" spans="2:12" x14ac:dyDescent="0.3">
      <c r="B111" s="56">
        <v>49</v>
      </c>
      <c r="C111" s="33">
        <v>-15.552016194059384</v>
      </c>
      <c r="D111" s="56">
        <f t="shared" si="1"/>
        <v>49</v>
      </c>
      <c r="E111" s="33">
        <v>-155.92354846184659</v>
      </c>
      <c r="K111" s="54"/>
      <c r="L111" s="54"/>
    </row>
    <row r="112" spans="2:12" x14ac:dyDescent="0.3">
      <c r="B112" s="56">
        <v>50</v>
      </c>
      <c r="C112" s="33">
        <v>-121.31541046728674</v>
      </c>
      <c r="D112" s="56">
        <f t="shared" si="1"/>
        <v>50</v>
      </c>
      <c r="E112" s="33">
        <v>-129.60296165942594</v>
      </c>
      <c r="K112" s="54"/>
      <c r="L112" s="54"/>
    </row>
    <row r="113" spans="2:12" x14ac:dyDescent="0.3">
      <c r="B113" s="56">
        <v>51</v>
      </c>
      <c r="C113" s="33">
        <v>-225.49835693830113</v>
      </c>
      <c r="D113" s="56">
        <f t="shared" si="1"/>
        <v>51</v>
      </c>
      <c r="E113" s="33">
        <v>-299.68759946745502</v>
      </c>
      <c r="K113" s="54"/>
      <c r="L113" s="54"/>
    </row>
    <row r="114" spans="2:12" x14ac:dyDescent="0.3">
      <c r="B114" s="56">
        <v>52</v>
      </c>
      <c r="C114" s="33">
        <v>-184.17082382022261</v>
      </c>
      <c r="D114" s="56">
        <f t="shared" si="1"/>
        <v>52</v>
      </c>
      <c r="E114" s="33">
        <v>-158.68556155947186</v>
      </c>
      <c r="K114" s="54"/>
      <c r="L114" s="54"/>
    </row>
    <row r="115" spans="2:12" x14ac:dyDescent="0.3">
      <c r="B115" s="56">
        <v>53</v>
      </c>
      <c r="C115" s="33">
        <v>-300.77160862162611</v>
      </c>
      <c r="D115" s="56">
        <f t="shared" si="1"/>
        <v>53</v>
      </c>
      <c r="E115" s="33">
        <v>-177.73438780115333</v>
      </c>
      <c r="K115" s="54"/>
      <c r="L115" s="54"/>
    </row>
    <row r="116" spans="2:12" x14ac:dyDescent="0.3">
      <c r="B116" s="56">
        <v>54</v>
      </c>
      <c r="C116" s="33">
        <v>74.321490691257708</v>
      </c>
      <c r="D116" s="56">
        <f t="shared" si="1"/>
        <v>54</v>
      </c>
      <c r="E116" s="33">
        <v>-198.28497249104282</v>
      </c>
      <c r="K116" s="54"/>
      <c r="L116" s="54"/>
    </row>
    <row r="117" spans="2:12" x14ac:dyDescent="0.3">
      <c r="B117" s="56">
        <v>55</v>
      </c>
      <c r="C117" s="33">
        <v>-312.04489270591682</v>
      </c>
      <c r="D117" s="56">
        <f t="shared" si="1"/>
        <v>55</v>
      </c>
      <c r="E117" s="33">
        <v>45.041759969895594</v>
      </c>
      <c r="K117" s="54"/>
      <c r="L117" s="54"/>
    </row>
    <row r="118" spans="2:12" x14ac:dyDescent="0.3">
      <c r="B118" s="56">
        <v>56</v>
      </c>
      <c r="C118" s="33">
        <v>-112.92659389187331</v>
      </c>
      <c r="D118" s="56">
        <f t="shared" si="1"/>
        <v>56</v>
      </c>
      <c r="E118" s="33">
        <v>-139.1860282477333</v>
      </c>
      <c r="K118" s="54"/>
      <c r="L118" s="54"/>
    </row>
    <row r="119" spans="2:12" x14ac:dyDescent="0.3">
      <c r="B119" s="56">
        <v>57</v>
      </c>
      <c r="C119" s="33">
        <v>29.603350077645711</v>
      </c>
      <c r="D119" s="56">
        <f t="shared" si="1"/>
        <v>57</v>
      </c>
      <c r="E119" s="33">
        <v>-45.549199814462042</v>
      </c>
      <c r="K119" s="54"/>
      <c r="L119" s="54"/>
    </row>
    <row r="120" spans="2:12" x14ac:dyDescent="0.3">
      <c r="B120" s="56">
        <v>58</v>
      </c>
      <c r="C120" s="33">
        <v>-418.76619896226703</v>
      </c>
      <c r="D120" s="56">
        <f t="shared" si="1"/>
        <v>58</v>
      </c>
      <c r="E120" s="33">
        <v>192.08677963980767</v>
      </c>
      <c r="K120" s="54"/>
      <c r="L120" s="54"/>
    </row>
    <row r="121" spans="2:12" x14ac:dyDescent="0.3">
      <c r="B121" s="56">
        <v>59</v>
      </c>
      <c r="C121" s="33">
        <v>43.357322868863172</v>
      </c>
      <c r="D121" s="56">
        <f t="shared" si="1"/>
        <v>59</v>
      </c>
      <c r="E121" s="33">
        <v>-56.512360369591278</v>
      </c>
      <c r="K121" s="54"/>
      <c r="L121" s="54"/>
    </row>
    <row r="122" spans="2:12" x14ac:dyDescent="0.3">
      <c r="B122" s="56">
        <v>60</v>
      </c>
      <c r="C122" s="33">
        <v>-158.43019770666368</v>
      </c>
      <c r="D122" s="56">
        <f t="shared" si="1"/>
        <v>60</v>
      </c>
      <c r="E122" s="33">
        <v>-385.01157978191873</v>
      </c>
      <c r="K122" s="54"/>
      <c r="L122" s="54"/>
    </row>
    <row r="123" spans="2:12" x14ac:dyDescent="0.3">
      <c r="B123" s="56">
        <v>61</v>
      </c>
      <c r="C123" s="33">
        <v>421.03938040370315</v>
      </c>
      <c r="D123" s="56">
        <f t="shared" si="1"/>
        <v>61</v>
      </c>
      <c r="E123" s="33">
        <v>-169.95108898479782</v>
      </c>
      <c r="K123" s="54"/>
      <c r="L123" s="54"/>
    </row>
    <row r="124" spans="2:12" x14ac:dyDescent="0.3">
      <c r="B124" s="56">
        <v>62</v>
      </c>
      <c r="C124" s="33">
        <v>103.41332562947599</v>
      </c>
      <c r="D124" s="56">
        <f t="shared" si="1"/>
        <v>62</v>
      </c>
      <c r="E124" s="33">
        <v>-150.91376961076776</v>
      </c>
      <c r="K124" s="54"/>
      <c r="L124" s="54"/>
    </row>
    <row r="125" spans="2:12" x14ac:dyDescent="0.3">
      <c r="B125" s="56">
        <v>63</v>
      </c>
      <c r="C125" s="33">
        <v>-162.54433217930386</v>
      </c>
      <c r="D125" s="56">
        <f t="shared" si="1"/>
        <v>63</v>
      </c>
      <c r="E125" s="33">
        <v>320.43827119367063</v>
      </c>
      <c r="K125" s="54"/>
      <c r="L125" s="54"/>
    </row>
    <row r="126" spans="2:12" x14ac:dyDescent="0.3">
      <c r="B126" s="56">
        <v>64</v>
      </c>
      <c r="C126" s="33">
        <v>-215.85177300956101</v>
      </c>
      <c r="D126" s="56">
        <f t="shared" si="1"/>
        <v>64</v>
      </c>
      <c r="E126" s="33">
        <v>-270.34500353818351</v>
      </c>
      <c r="K126" s="54"/>
      <c r="L126" s="54"/>
    </row>
    <row r="127" spans="2:12" x14ac:dyDescent="0.3">
      <c r="B127" s="56">
        <v>65</v>
      </c>
      <c r="C127" s="33">
        <v>195.0633944282178</v>
      </c>
      <c r="D127" s="56">
        <f t="shared" si="1"/>
        <v>65</v>
      </c>
      <c r="E127" s="33">
        <v>-252.37871405114379</v>
      </c>
      <c r="K127" s="54"/>
      <c r="L127" s="54"/>
    </row>
    <row r="128" spans="2:12" x14ac:dyDescent="0.3">
      <c r="B128" s="56">
        <v>66</v>
      </c>
      <c r="C128" s="33">
        <v>70.380870306967608</v>
      </c>
      <c r="D128" s="56">
        <f t="shared" si="1"/>
        <v>66</v>
      </c>
      <c r="E128" s="33">
        <v>-193.04639649320683</v>
      </c>
      <c r="K128" s="54"/>
      <c r="L128" s="54"/>
    </row>
    <row r="129" spans="2:12" x14ac:dyDescent="0.3">
      <c r="B129" s="56">
        <v>67</v>
      </c>
      <c r="C129" s="33">
        <v>-251.06820974866127</v>
      </c>
      <c r="D129" s="56">
        <f t="shared" ref="D129:D192" si="2">B129</f>
        <v>67</v>
      </c>
      <c r="E129" s="33">
        <v>-408.36548344019661</v>
      </c>
      <c r="K129" s="54"/>
      <c r="L129" s="54"/>
    </row>
    <row r="130" spans="2:12" x14ac:dyDescent="0.3">
      <c r="B130" s="56">
        <v>68</v>
      </c>
      <c r="C130" s="33">
        <v>-71.065704484569238</v>
      </c>
      <c r="D130" s="56">
        <f t="shared" si="2"/>
        <v>68</v>
      </c>
      <c r="E130" s="33">
        <v>80.074129514876546</v>
      </c>
      <c r="K130" s="54"/>
      <c r="L130" s="54"/>
    </row>
    <row r="131" spans="2:12" x14ac:dyDescent="0.3">
      <c r="B131" s="56">
        <v>69</v>
      </c>
      <c r="C131" s="33">
        <v>18.136323013729939</v>
      </c>
      <c r="D131" s="56">
        <f t="shared" si="2"/>
        <v>69</v>
      </c>
      <c r="E131" s="33">
        <v>-110.44157352484153</v>
      </c>
      <c r="K131" s="54"/>
      <c r="L131" s="54"/>
    </row>
    <row r="132" spans="2:12" x14ac:dyDescent="0.3">
      <c r="B132" s="56">
        <v>70</v>
      </c>
      <c r="C132" s="33">
        <v>-138.45469057486483</v>
      </c>
      <c r="D132" s="56">
        <f t="shared" si="2"/>
        <v>70</v>
      </c>
      <c r="E132" s="33">
        <v>182.81832563500168</v>
      </c>
      <c r="K132" s="54"/>
      <c r="L132" s="54"/>
    </row>
    <row r="133" spans="2:12" x14ac:dyDescent="0.3">
      <c r="B133" s="56">
        <v>71</v>
      </c>
      <c r="C133" s="33">
        <v>-91.139366166515117</v>
      </c>
      <c r="D133" s="56">
        <f t="shared" si="2"/>
        <v>71</v>
      </c>
      <c r="E133" s="33">
        <v>-329.28008046555857</v>
      </c>
      <c r="K133" s="54"/>
      <c r="L133" s="54"/>
    </row>
    <row r="134" spans="2:12" x14ac:dyDescent="0.3">
      <c r="B134" s="56">
        <v>72</v>
      </c>
      <c r="C134" s="33">
        <v>-70.063038066881205</v>
      </c>
      <c r="D134" s="56">
        <f t="shared" si="2"/>
        <v>72</v>
      </c>
      <c r="E134" s="33">
        <v>-146.58348724640987</v>
      </c>
      <c r="K134" s="54"/>
      <c r="L134" s="54"/>
    </row>
    <row r="135" spans="2:12" x14ac:dyDescent="0.3">
      <c r="B135" s="56">
        <v>73</v>
      </c>
      <c r="C135" s="33">
        <v>131.80618367152164</v>
      </c>
      <c r="D135" s="56">
        <f t="shared" si="2"/>
        <v>73</v>
      </c>
      <c r="E135" s="33">
        <v>-324.15449793144501</v>
      </c>
      <c r="K135" s="54"/>
      <c r="L135" s="54"/>
    </row>
    <row r="136" spans="2:12" x14ac:dyDescent="0.3">
      <c r="B136" s="56">
        <v>74</v>
      </c>
      <c r="C136" s="33">
        <v>-305.64339892597019</v>
      </c>
      <c r="D136" s="56">
        <f t="shared" si="2"/>
        <v>74</v>
      </c>
      <c r="E136" s="33">
        <v>-166.1178202403525</v>
      </c>
      <c r="K136" s="54"/>
      <c r="L136" s="54"/>
    </row>
    <row r="137" spans="2:12" x14ac:dyDescent="0.3">
      <c r="B137" s="56">
        <v>75</v>
      </c>
      <c r="C137" s="33">
        <v>-80.078653887188437</v>
      </c>
      <c r="D137" s="56">
        <f t="shared" si="2"/>
        <v>75</v>
      </c>
      <c r="E137" s="33">
        <v>-355.54443364525787</v>
      </c>
      <c r="K137" s="54"/>
      <c r="L137" s="54"/>
    </row>
    <row r="138" spans="2:12" x14ac:dyDescent="0.3">
      <c r="B138" s="56">
        <v>76</v>
      </c>
      <c r="C138" s="33">
        <v>-241.67374153133898</v>
      </c>
      <c r="D138" s="56">
        <f t="shared" si="2"/>
        <v>76</v>
      </c>
      <c r="E138" s="33">
        <v>-31.641339685113564</v>
      </c>
      <c r="K138" s="54"/>
      <c r="L138" s="54"/>
    </row>
    <row r="139" spans="2:12" x14ac:dyDescent="0.3">
      <c r="B139" s="56">
        <v>77</v>
      </c>
      <c r="C139" s="33">
        <v>57.135002698800491</v>
      </c>
      <c r="D139" s="56">
        <f t="shared" si="2"/>
        <v>77</v>
      </c>
      <c r="E139" s="33">
        <v>-311.98848274568832</v>
      </c>
      <c r="K139" s="54"/>
      <c r="L139" s="54"/>
    </row>
    <row r="140" spans="2:12" x14ac:dyDescent="0.3">
      <c r="B140" s="56">
        <v>78</v>
      </c>
      <c r="C140" s="33">
        <v>-364.33940215261691</v>
      </c>
      <c r="D140" s="56">
        <f t="shared" si="2"/>
        <v>78</v>
      </c>
      <c r="E140" s="33">
        <v>50.435512105317741</v>
      </c>
      <c r="K140" s="54"/>
      <c r="L140" s="54"/>
    </row>
    <row r="141" spans="2:12" x14ac:dyDescent="0.3">
      <c r="B141" s="56">
        <v>79</v>
      </c>
      <c r="C141" s="33">
        <v>-261.81419947247616</v>
      </c>
      <c r="D141" s="56">
        <f t="shared" si="2"/>
        <v>79</v>
      </c>
      <c r="E141" s="33">
        <v>-172.32678990608025</v>
      </c>
      <c r="K141" s="54"/>
      <c r="L141" s="54"/>
    </row>
    <row r="142" spans="2:12" x14ac:dyDescent="0.3">
      <c r="B142" s="56">
        <v>80</v>
      </c>
      <c r="C142" s="33">
        <v>-206.5250316727323</v>
      </c>
      <c r="D142" s="56">
        <f t="shared" si="2"/>
        <v>80</v>
      </c>
      <c r="E142" s="33">
        <v>-56.366238015679883</v>
      </c>
      <c r="K142" s="54"/>
      <c r="L142" s="54"/>
    </row>
    <row r="143" spans="2:12" x14ac:dyDescent="0.3">
      <c r="B143" s="56">
        <v>81</v>
      </c>
      <c r="C143" s="33">
        <v>-30.270037120612855</v>
      </c>
      <c r="D143" s="56">
        <f t="shared" si="2"/>
        <v>81</v>
      </c>
      <c r="E143" s="33">
        <v>-159.07804314314194</v>
      </c>
      <c r="K143" s="54"/>
      <c r="L143" s="54"/>
    </row>
    <row r="144" spans="2:12" x14ac:dyDescent="0.3">
      <c r="B144" s="56">
        <v>82</v>
      </c>
      <c r="C144" s="33">
        <v>-178.18556255255845</v>
      </c>
      <c r="D144" s="56">
        <f t="shared" si="2"/>
        <v>82</v>
      </c>
      <c r="E144" s="33">
        <v>-70.080317477486801</v>
      </c>
      <c r="K144" s="54"/>
      <c r="L144" s="54"/>
    </row>
    <row r="145" spans="2:12" x14ac:dyDescent="0.3">
      <c r="B145" s="56">
        <v>83</v>
      </c>
      <c r="C145" s="33">
        <v>-20.864727584947563</v>
      </c>
      <c r="D145" s="56">
        <f t="shared" si="2"/>
        <v>83</v>
      </c>
      <c r="E145" s="33">
        <v>-129.83425251673179</v>
      </c>
      <c r="K145" s="54"/>
      <c r="L145" s="54"/>
    </row>
    <row r="146" spans="2:12" x14ac:dyDescent="0.3">
      <c r="B146" s="56">
        <v>84</v>
      </c>
      <c r="C146" s="33">
        <v>-199.24595825496075</v>
      </c>
      <c r="D146" s="56">
        <f t="shared" si="2"/>
        <v>84</v>
      </c>
      <c r="E146" s="33">
        <v>-274.70683014609</v>
      </c>
      <c r="K146" s="54"/>
      <c r="L146" s="54"/>
    </row>
    <row r="147" spans="2:12" x14ac:dyDescent="0.3">
      <c r="B147" s="56">
        <v>85</v>
      </c>
      <c r="C147" s="33">
        <v>-24.970320523262988</v>
      </c>
      <c r="D147" s="56">
        <f t="shared" si="2"/>
        <v>85</v>
      </c>
      <c r="E147" s="33">
        <v>68.669545112573161</v>
      </c>
      <c r="K147" s="54"/>
      <c r="L147" s="54"/>
    </row>
    <row r="148" spans="2:12" x14ac:dyDescent="0.3">
      <c r="B148" s="56">
        <v>86</v>
      </c>
      <c r="C148" s="33">
        <v>-153.94436391449784</v>
      </c>
      <c r="D148" s="56">
        <f t="shared" si="2"/>
        <v>86</v>
      </c>
      <c r="E148" s="33">
        <v>-316.81289776195069</v>
      </c>
      <c r="K148" s="54"/>
      <c r="L148" s="54"/>
    </row>
    <row r="149" spans="2:12" x14ac:dyDescent="0.3">
      <c r="B149" s="56">
        <v>87</v>
      </c>
      <c r="C149" s="33">
        <v>199.81850731688056</v>
      </c>
      <c r="D149" s="56">
        <f t="shared" si="2"/>
        <v>87</v>
      </c>
      <c r="E149" s="33">
        <v>-56.000336766955741</v>
      </c>
      <c r="K149" s="54"/>
      <c r="L149" s="54"/>
    </row>
    <row r="150" spans="2:12" x14ac:dyDescent="0.3">
      <c r="B150" s="56">
        <v>88</v>
      </c>
      <c r="C150" s="33">
        <v>204.21969331835763</v>
      </c>
      <c r="D150" s="56">
        <f t="shared" si="2"/>
        <v>88</v>
      </c>
      <c r="E150" s="33">
        <v>-45.188176678401121</v>
      </c>
      <c r="K150" s="54"/>
      <c r="L150" s="54"/>
    </row>
    <row r="151" spans="2:12" x14ac:dyDescent="0.3">
      <c r="B151" s="56">
        <v>89</v>
      </c>
      <c r="C151" s="33">
        <v>-164.15579021109704</v>
      </c>
      <c r="D151" s="56">
        <f t="shared" si="2"/>
        <v>89</v>
      </c>
      <c r="E151" s="33">
        <v>-19.668329730102457</v>
      </c>
      <c r="K151" s="54"/>
      <c r="L151" s="54"/>
    </row>
    <row r="152" spans="2:12" x14ac:dyDescent="0.3">
      <c r="B152" s="56">
        <v>90</v>
      </c>
      <c r="C152" s="33">
        <v>-135.34628849624625</v>
      </c>
      <c r="D152" s="56">
        <f t="shared" si="2"/>
        <v>90</v>
      </c>
      <c r="E152" s="33">
        <v>-204.97871951021159</v>
      </c>
      <c r="K152" s="54"/>
      <c r="L152" s="54"/>
    </row>
    <row r="153" spans="2:12" x14ac:dyDescent="0.3">
      <c r="B153" s="56">
        <v>91</v>
      </c>
      <c r="C153" s="33">
        <v>-11.389969565437571</v>
      </c>
      <c r="D153" s="56">
        <f t="shared" si="2"/>
        <v>91</v>
      </c>
      <c r="E153" s="33">
        <v>-279.22037821948868</v>
      </c>
      <c r="K153" s="54"/>
      <c r="L153" s="54"/>
    </row>
    <row r="154" spans="2:12" x14ac:dyDescent="0.3">
      <c r="B154" s="56">
        <v>92</v>
      </c>
      <c r="C154" s="33">
        <v>-432.40169261625698</v>
      </c>
      <c r="D154" s="56">
        <f t="shared" si="2"/>
        <v>92</v>
      </c>
      <c r="E154" s="33">
        <v>-441.0029646297404</v>
      </c>
      <c r="K154" s="54"/>
      <c r="L154" s="54"/>
    </row>
    <row r="155" spans="2:12" x14ac:dyDescent="0.3">
      <c r="B155" s="56">
        <v>93</v>
      </c>
      <c r="C155" s="33">
        <v>51.654570868310088</v>
      </c>
      <c r="D155" s="56">
        <f t="shared" si="2"/>
        <v>93</v>
      </c>
      <c r="E155" s="33">
        <v>-169.33402887149487</v>
      </c>
      <c r="K155" s="54"/>
      <c r="L155" s="54"/>
    </row>
    <row r="156" spans="2:12" x14ac:dyDescent="0.3">
      <c r="B156" s="56">
        <v>94</v>
      </c>
      <c r="C156" s="33">
        <v>-131.86216875246623</v>
      </c>
      <c r="D156" s="56">
        <f t="shared" si="2"/>
        <v>94</v>
      </c>
      <c r="E156" s="33">
        <v>-158.4587636333047</v>
      </c>
      <c r="K156" s="54"/>
      <c r="L156" s="54"/>
    </row>
    <row r="157" spans="2:12" x14ac:dyDescent="0.3">
      <c r="B157" s="56">
        <v>95</v>
      </c>
      <c r="C157" s="33">
        <v>-216.02604995880731</v>
      </c>
      <c r="D157" s="56">
        <f t="shared" si="2"/>
        <v>95</v>
      </c>
      <c r="E157" s="33">
        <v>-261.96753635100532</v>
      </c>
      <c r="K157" s="54"/>
      <c r="L157" s="54"/>
    </row>
    <row r="158" spans="2:12" x14ac:dyDescent="0.3">
      <c r="B158" s="56">
        <v>96</v>
      </c>
      <c r="C158" s="33">
        <v>-22.750862233221515</v>
      </c>
      <c r="D158" s="56">
        <f t="shared" si="2"/>
        <v>96</v>
      </c>
      <c r="E158" s="33">
        <v>-215.42263873041412</v>
      </c>
      <c r="K158" s="54"/>
      <c r="L158" s="54"/>
    </row>
    <row r="159" spans="2:12" x14ac:dyDescent="0.3">
      <c r="B159" s="56">
        <v>97</v>
      </c>
      <c r="C159" s="33">
        <v>-9.1144403705206258</v>
      </c>
      <c r="D159" s="56">
        <f t="shared" si="2"/>
        <v>97</v>
      </c>
      <c r="E159" s="33">
        <v>-206.69598961057122</v>
      </c>
      <c r="K159" s="54"/>
      <c r="L159" s="54"/>
    </row>
    <row r="160" spans="2:12" x14ac:dyDescent="0.3">
      <c r="B160" s="56">
        <v>98</v>
      </c>
      <c r="C160" s="33">
        <v>-166.09580081109635</v>
      </c>
      <c r="D160" s="56">
        <f t="shared" si="2"/>
        <v>98</v>
      </c>
      <c r="E160" s="33">
        <v>-141.2790995944631</v>
      </c>
      <c r="K160" s="54"/>
      <c r="L160" s="54"/>
    </row>
    <row r="161" spans="2:12" x14ac:dyDescent="0.3">
      <c r="B161" s="56">
        <v>99</v>
      </c>
      <c r="C161" s="33">
        <v>103.98521787047844</v>
      </c>
      <c r="D161" s="56">
        <f t="shared" si="2"/>
        <v>99</v>
      </c>
      <c r="E161" s="33">
        <v>-65.818285575581655</v>
      </c>
      <c r="K161" s="54"/>
      <c r="L161" s="54"/>
    </row>
    <row r="162" spans="2:12" x14ac:dyDescent="0.3">
      <c r="B162" s="56">
        <v>100</v>
      </c>
      <c r="C162" s="33">
        <v>84.317263001787069</v>
      </c>
      <c r="D162" s="56">
        <f t="shared" si="2"/>
        <v>100</v>
      </c>
      <c r="E162" s="33">
        <v>34.547045276496021</v>
      </c>
      <c r="K162" s="54"/>
      <c r="L162" s="54"/>
    </row>
    <row r="163" spans="2:12" x14ac:dyDescent="0.3">
      <c r="B163" s="56">
        <v>101</v>
      </c>
      <c r="C163" s="33">
        <v>-65.628621463719483</v>
      </c>
      <c r="D163" s="56">
        <f t="shared" si="2"/>
        <v>101</v>
      </c>
      <c r="E163" s="33">
        <v>-154.64303106904134</v>
      </c>
      <c r="K163" s="54"/>
      <c r="L163" s="54"/>
    </row>
    <row r="164" spans="2:12" x14ac:dyDescent="0.3">
      <c r="B164" s="56">
        <v>102</v>
      </c>
      <c r="C164" s="33">
        <v>-467.21296486321</v>
      </c>
      <c r="D164" s="56">
        <f t="shared" si="2"/>
        <v>102</v>
      </c>
      <c r="E164" s="33">
        <v>-399.47507831486553</v>
      </c>
      <c r="K164" s="54"/>
      <c r="L164" s="54"/>
    </row>
    <row r="165" spans="2:12" x14ac:dyDescent="0.3">
      <c r="B165" s="56">
        <v>103</v>
      </c>
      <c r="C165" s="33">
        <v>-212.7090756842023</v>
      </c>
      <c r="D165" s="56">
        <f t="shared" si="2"/>
        <v>103</v>
      </c>
      <c r="E165" s="33">
        <v>-127.62016266694691</v>
      </c>
      <c r="K165" s="54"/>
      <c r="L165" s="54"/>
    </row>
    <row r="166" spans="2:12" x14ac:dyDescent="0.3">
      <c r="B166" s="56">
        <v>104</v>
      </c>
      <c r="C166" s="33">
        <v>14.374336719826111</v>
      </c>
      <c r="D166" s="56">
        <f t="shared" si="2"/>
        <v>104</v>
      </c>
      <c r="E166" s="33">
        <v>-332.87381222558304</v>
      </c>
    </row>
    <row r="167" spans="2:12" x14ac:dyDescent="0.3">
      <c r="B167" s="56">
        <v>105</v>
      </c>
      <c r="C167" s="33">
        <v>-234.70711621715384</v>
      </c>
      <c r="D167" s="56">
        <f t="shared" si="2"/>
        <v>105</v>
      </c>
      <c r="E167" s="33">
        <v>12.812377280120046</v>
      </c>
    </row>
    <row r="168" spans="2:12" x14ac:dyDescent="0.3">
      <c r="B168" s="56">
        <v>106</v>
      </c>
      <c r="C168" s="33">
        <v>6.3305558130416166</v>
      </c>
      <c r="D168" s="56">
        <f t="shared" si="2"/>
        <v>106</v>
      </c>
      <c r="E168" s="33">
        <v>-32.790227946058849</v>
      </c>
    </row>
    <row r="169" spans="2:12" x14ac:dyDescent="0.3">
      <c r="B169" s="56">
        <v>107</v>
      </c>
      <c r="C169" s="33">
        <v>-171.57531499982801</v>
      </c>
      <c r="D169" s="56">
        <f t="shared" si="2"/>
        <v>107</v>
      </c>
      <c r="E169" s="33">
        <v>-288.35701161635831</v>
      </c>
    </row>
    <row r="170" spans="2:12" x14ac:dyDescent="0.3">
      <c r="B170" s="56">
        <v>108</v>
      </c>
      <c r="C170" s="33">
        <v>-197.12581123132395</v>
      </c>
      <c r="D170" s="56">
        <f t="shared" si="2"/>
        <v>108</v>
      </c>
      <c r="E170" s="33">
        <v>-331.33510623825771</v>
      </c>
    </row>
    <row r="171" spans="2:12" x14ac:dyDescent="0.3">
      <c r="B171" s="56">
        <v>109</v>
      </c>
      <c r="C171" s="33">
        <v>-507.35365833628651</v>
      </c>
      <c r="D171" s="56">
        <f t="shared" si="2"/>
        <v>109</v>
      </c>
      <c r="E171" s="33">
        <v>-318.85025860179701</v>
      </c>
    </row>
    <row r="172" spans="2:12" x14ac:dyDescent="0.3">
      <c r="B172" s="56">
        <v>110</v>
      </c>
      <c r="C172" s="33">
        <v>-91.278850531286736</v>
      </c>
      <c r="D172" s="56">
        <f t="shared" si="2"/>
        <v>110</v>
      </c>
      <c r="E172" s="33">
        <v>-194.97412421457636</v>
      </c>
    </row>
    <row r="173" spans="2:12" x14ac:dyDescent="0.3">
      <c r="B173" s="56">
        <v>111</v>
      </c>
      <c r="C173" s="33">
        <v>2.7240677752883151</v>
      </c>
      <c r="D173" s="56">
        <f t="shared" si="2"/>
        <v>111</v>
      </c>
      <c r="E173" s="33">
        <v>-87.089412106811096</v>
      </c>
    </row>
    <row r="174" spans="2:12" x14ac:dyDescent="0.3">
      <c r="B174" s="56">
        <v>112</v>
      </c>
      <c r="C174" s="33">
        <v>35.360575504118927</v>
      </c>
      <c r="D174" s="56">
        <f t="shared" si="2"/>
        <v>112</v>
      </c>
      <c r="E174" s="33">
        <v>-167.42804297068636</v>
      </c>
    </row>
    <row r="175" spans="2:12" x14ac:dyDescent="0.3">
      <c r="B175" s="56">
        <v>113</v>
      </c>
      <c r="C175" s="33">
        <v>-289.37101850029939</v>
      </c>
      <c r="D175" s="56">
        <f t="shared" si="2"/>
        <v>113</v>
      </c>
      <c r="E175" s="33">
        <v>-154.28109976671212</v>
      </c>
    </row>
    <row r="176" spans="2:12" x14ac:dyDescent="0.3">
      <c r="B176" s="56">
        <v>114</v>
      </c>
      <c r="C176" s="33">
        <v>189.03475932784818</v>
      </c>
      <c r="D176" s="56">
        <f t="shared" si="2"/>
        <v>114</v>
      </c>
      <c r="E176" s="33">
        <v>-394.20741595851962</v>
      </c>
    </row>
    <row r="177" spans="2:5" x14ac:dyDescent="0.3">
      <c r="B177" s="56">
        <v>115</v>
      </c>
      <c r="C177" s="33">
        <v>-283.92337700292609</v>
      </c>
      <c r="D177" s="56">
        <f t="shared" si="2"/>
        <v>115</v>
      </c>
      <c r="E177" s="33">
        <v>-154.70477378155212</v>
      </c>
    </row>
    <row r="178" spans="2:5" x14ac:dyDescent="0.3">
      <c r="B178" s="56">
        <v>116</v>
      </c>
      <c r="C178" s="33">
        <v>162.76517200553047</v>
      </c>
      <c r="D178" s="56">
        <f t="shared" si="2"/>
        <v>116</v>
      </c>
      <c r="E178" s="33">
        <v>-257.70198854471391</v>
      </c>
    </row>
    <row r="179" spans="2:5" x14ac:dyDescent="0.3">
      <c r="B179" s="56">
        <v>117</v>
      </c>
      <c r="C179" s="33">
        <v>-71.378200721687833</v>
      </c>
      <c r="D179" s="56">
        <f t="shared" si="2"/>
        <v>117</v>
      </c>
      <c r="E179" s="33">
        <v>-113.76869113144373</v>
      </c>
    </row>
    <row r="180" spans="2:5" x14ac:dyDescent="0.3">
      <c r="B180" s="56">
        <v>118</v>
      </c>
      <c r="C180" s="33">
        <v>-66.011361128070661</v>
      </c>
      <c r="D180" s="56">
        <f t="shared" si="2"/>
        <v>118</v>
      </c>
      <c r="E180" s="33">
        <v>-167.15610930816544</v>
      </c>
    </row>
    <row r="181" spans="2:5" x14ac:dyDescent="0.3">
      <c r="B181" s="56">
        <v>119</v>
      </c>
      <c r="C181" s="33">
        <v>-105.32541655727931</v>
      </c>
      <c r="D181" s="56">
        <f t="shared" si="2"/>
        <v>119</v>
      </c>
      <c r="E181" s="33">
        <v>-105.26322054277136</v>
      </c>
    </row>
    <row r="182" spans="2:5" x14ac:dyDescent="0.3">
      <c r="B182" s="56">
        <v>120</v>
      </c>
      <c r="C182" s="33">
        <v>87.474007321301457</v>
      </c>
      <c r="D182" s="56">
        <f t="shared" si="2"/>
        <v>120</v>
      </c>
      <c r="E182" s="33">
        <v>-71.745004578727361</v>
      </c>
    </row>
    <row r="183" spans="2:5" x14ac:dyDescent="0.3">
      <c r="B183" s="56">
        <v>121</v>
      </c>
      <c r="C183" s="33">
        <v>18.52611984015013</v>
      </c>
      <c r="D183" s="56">
        <f t="shared" si="2"/>
        <v>121</v>
      </c>
      <c r="E183" s="33">
        <v>-220.19690742114699</v>
      </c>
    </row>
    <row r="184" spans="2:5" x14ac:dyDescent="0.3">
      <c r="B184" s="56">
        <v>122</v>
      </c>
      <c r="C184" s="33">
        <v>190.61791919886957</v>
      </c>
      <c r="D184" s="56">
        <f t="shared" si="2"/>
        <v>122</v>
      </c>
      <c r="E184" s="33">
        <v>-71.76312758575132</v>
      </c>
    </row>
    <row r="185" spans="2:5" x14ac:dyDescent="0.3">
      <c r="B185" s="56">
        <v>123</v>
      </c>
      <c r="C185" s="33">
        <v>-167.31966597430801</v>
      </c>
      <c r="D185" s="56">
        <f t="shared" si="2"/>
        <v>123</v>
      </c>
      <c r="E185" s="33">
        <v>-225.87656862343135</v>
      </c>
    </row>
    <row r="186" spans="2:5" x14ac:dyDescent="0.3">
      <c r="B186" s="56">
        <v>124</v>
      </c>
      <c r="C186" s="33">
        <v>-132.98579199498678</v>
      </c>
      <c r="D186" s="56">
        <f t="shared" si="2"/>
        <v>124</v>
      </c>
      <c r="E186" s="33">
        <v>-331.79583219154256</v>
      </c>
    </row>
    <row r="187" spans="2:5" x14ac:dyDescent="0.3">
      <c r="B187" s="56">
        <v>125</v>
      </c>
      <c r="C187" s="33">
        <v>-13.435061342225859</v>
      </c>
      <c r="D187" s="56">
        <f t="shared" si="2"/>
        <v>125</v>
      </c>
      <c r="E187" s="33">
        <v>229.99147743833166</v>
      </c>
    </row>
    <row r="188" spans="2:5" x14ac:dyDescent="0.3">
      <c r="B188" s="56">
        <v>126</v>
      </c>
      <c r="C188" s="33">
        <v>-127.97089442621254</v>
      </c>
      <c r="D188" s="56">
        <f t="shared" si="2"/>
        <v>126</v>
      </c>
      <c r="E188" s="33">
        <v>-192.54465570592521</v>
      </c>
    </row>
    <row r="189" spans="2:5" x14ac:dyDescent="0.3">
      <c r="B189" s="56">
        <v>127</v>
      </c>
      <c r="C189" s="33">
        <v>-14.836806903513022</v>
      </c>
      <c r="D189" s="56">
        <f t="shared" si="2"/>
        <v>127</v>
      </c>
      <c r="E189" s="33">
        <v>-111.9825066419141</v>
      </c>
    </row>
    <row r="190" spans="2:5" x14ac:dyDescent="0.3">
      <c r="B190" s="56">
        <v>128</v>
      </c>
      <c r="C190" s="33">
        <v>190.30283675369532</v>
      </c>
      <c r="D190" s="56">
        <f t="shared" si="2"/>
        <v>128</v>
      </c>
      <c r="E190" s="33">
        <v>-45.573718912436931</v>
      </c>
    </row>
    <row r="191" spans="2:5" x14ac:dyDescent="0.3">
      <c r="B191" s="56">
        <v>129</v>
      </c>
      <c r="C191" s="33">
        <v>-342.71584154261916</v>
      </c>
      <c r="D191" s="56">
        <f t="shared" si="2"/>
        <v>129</v>
      </c>
      <c r="E191" s="33">
        <v>-348.54942789778056</v>
      </c>
    </row>
    <row r="192" spans="2:5" x14ac:dyDescent="0.3">
      <c r="B192" s="56">
        <v>130</v>
      </c>
      <c r="C192" s="33">
        <v>-374.9834665036588</v>
      </c>
      <c r="D192" s="56">
        <f t="shared" si="2"/>
        <v>130</v>
      </c>
      <c r="E192" s="33">
        <v>-48.663976347867163</v>
      </c>
    </row>
    <row r="193" spans="2:5" x14ac:dyDescent="0.3">
      <c r="B193" s="56">
        <v>131</v>
      </c>
      <c r="C193" s="33">
        <v>111.89023223016048</v>
      </c>
      <c r="D193" s="56">
        <f t="shared" ref="D193:D256" si="3">B193</f>
        <v>131</v>
      </c>
      <c r="E193" s="33">
        <v>41.316670761211263</v>
      </c>
    </row>
    <row r="194" spans="2:5" x14ac:dyDescent="0.3">
      <c r="B194" s="56">
        <v>132</v>
      </c>
      <c r="C194" s="33">
        <v>-35.047073664443118</v>
      </c>
      <c r="D194" s="56">
        <f t="shared" si="3"/>
        <v>132</v>
      </c>
      <c r="E194" s="33">
        <v>-202.79940318062188</v>
      </c>
    </row>
    <row r="195" spans="2:5" x14ac:dyDescent="0.3">
      <c r="B195" s="56">
        <v>133</v>
      </c>
      <c r="C195" s="33">
        <v>109.11305433111838</v>
      </c>
      <c r="D195" s="56">
        <f t="shared" si="3"/>
        <v>133</v>
      </c>
      <c r="E195" s="33">
        <v>57.835360505266799</v>
      </c>
    </row>
    <row r="196" spans="2:5" x14ac:dyDescent="0.3">
      <c r="B196" s="56">
        <v>134</v>
      </c>
      <c r="C196" s="33">
        <v>-7.0782342280800989</v>
      </c>
      <c r="D196" s="56">
        <f t="shared" si="3"/>
        <v>134</v>
      </c>
      <c r="E196" s="33">
        <v>86.969108393107661</v>
      </c>
    </row>
    <row r="197" spans="2:5" x14ac:dyDescent="0.3">
      <c r="B197" s="56">
        <v>135</v>
      </c>
      <c r="C197" s="33">
        <v>-83.646661619777447</v>
      </c>
      <c r="D197" s="56">
        <f t="shared" si="3"/>
        <v>135</v>
      </c>
      <c r="E197" s="33">
        <v>0.61915988707977476</v>
      </c>
    </row>
    <row r="198" spans="2:5" x14ac:dyDescent="0.3">
      <c r="B198" s="56">
        <v>136</v>
      </c>
      <c r="C198" s="33">
        <v>115.89658997509291</v>
      </c>
      <c r="D198" s="56">
        <f t="shared" si="3"/>
        <v>136</v>
      </c>
      <c r="E198" s="33">
        <v>-264.82608067658089</v>
      </c>
    </row>
    <row r="199" spans="2:5" x14ac:dyDescent="0.3">
      <c r="B199" s="56">
        <v>137</v>
      </c>
      <c r="C199" s="33">
        <v>90.613941497251417</v>
      </c>
      <c r="D199" s="56">
        <f t="shared" si="3"/>
        <v>137</v>
      </c>
      <c r="E199" s="33">
        <v>-149.40960583571399</v>
      </c>
    </row>
    <row r="200" spans="2:5" x14ac:dyDescent="0.3">
      <c r="B200" s="56">
        <v>138</v>
      </c>
      <c r="C200" s="33">
        <v>91.015340010859376</v>
      </c>
      <c r="D200" s="56">
        <f t="shared" si="3"/>
        <v>138</v>
      </c>
      <c r="E200" s="33">
        <v>-92.405122751928104</v>
      </c>
    </row>
    <row r="201" spans="2:5" x14ac:dyDescent="0.3">
      <c r="B201" s="56">
        <v>139</v>
      </c>
      <c r="C201" s="33">
        <v>32.85296060151974</v>
      </c>
      <c r="D201" s="56">
        <f t="shared" si="3"/>
        <v>139</v>
      </c>
      <c r="E201" s="33">
        <v>-284.47770404437154</v>
      </c>
    </row>
    <row r="202" spans="2:5" x14ac:dyDescent="0.3">
      <c r="B202" s="56">
        <v>140</v>
      </c>
      <c r="C202" s="33">
        <v>-224.54427701895526</v>
      </c>
      <c r="D202" s="56">
        <f t="shared" si="3"/>
        <v>140</v>
      </c>
      <c r="E202" s="33">
        <v>-246.45553581092219</v>
      </c>
    </row>
    <row r="203" spans="2:5" x14ac:dyDescent="0.3">
      <c r="B203" s="56">
        <v>141</v>
      </c>
      <c r="C203" s="33">
        <v>-1.6554190918046459</v>
      </c>
      <c r="D203" s="56">
        <f t="shared" si="3"/>
        <v>141</v>
      </c>
      <c r="E203" s="33">
        <v>-128.88793829897202</v>
      </c>
    </row>
    <row r="204" spans="2:5" x14ac:dyDescent="0.3">
      <c r="B204" s="56">
        <v>142</v>
      </c>
      <c r="C204" s="33">
        <v>-132.78135767487802</v>
      </c>
      <c r="D204" s="56">
        <f t="shared" si="3"/>
        <v>142</v>
      </c>
      <c r="E204" s="33">
        <v>-143.12477489508356</v>
      </c>
    </row>
    <row r="205" spans="2:5" x14ac:dyDescent="0.3">
      <c r="B205" s="56">
        <v>143</v>
      </c>
      <c r="C205" s="33">
        <v>-207.68685963277883</v>
      </c>
      <c r="D205" s="56">
        <f t="shared" si="3"/>
        <v>143</v>
      </c>
      <c r="E205" s="33">
        <v>-336.7838307927164</v>
      </c>
    </row>
    <row r="206" spans="2:5" x14ac:dyDescent="0.3">
      <c r="B206" s="56">
        <v>144</v>
      </c>
      <c r="C206" s="33">
        <v>-71.189563111788516</v>
      </c>
      <c r="D206" s="56">
        <f t="shared" si="3"/>
        <v>144</v>
      </c>
      <c r="E206" s="33">
        <v>-199.08388074368881</v>
      </c>
    </row>
    <row r="207" spans="2:5" x14ac:dyDescent="0.3">
      <c r="B207" s="56">
        <v>145</v>
      </c>
      <c r="C207" s="33">
        <v>-514.60822545754843</v>
      </c>
      <c r="D207" s="56">
        <f t="shared" si="3"/>
        <v>145</v>
      </c>
      <c r="E207" s="33">
        <v>-220.77391812157992</v>
      </c>
    </row>
    <row r="208" spans="2:5" x14ac:dyDescent="0.3">
      <c r="B208" s="56">
        <v>146</v>
      </c>
      <c r="C208" s="33">
        <v>-147.23809007313153</v>
      </c>
      <c r="D208" s="56">
        <f t="shared" si="3"/>
        <v>146</v>
      </c>
      <c r="E208" s="33">
        <v>-236.86550759786039</v>
      </c>
    </row>
    <row r="209" spans="2:5" x14ac:dyDescent="0.3">
      <c r="B209" s="56">
        <v>147</v>
      </c>
      <c r="C209" s="33">
        <v>-241.93312322609162</v>
      </c>
      <c r="D209" s="56">
        <f t="shared" si="3"/>
        <v>147</v>
      </c>
      <c r="E209" s="33">
        <v>-148.30245610244742</v>
      </c>
    </row>
    <row r="210" spans="2:5" x14ac:dyDescent="0.3">
      <c r="B210" s="56">
        <v>148</v>
      </c>
      <c r="C210" s="33">
        <v>-241.06136043621788</v>
      </c>
      <c r="D210" s="56">
        <f t="shared" si="3"/>
        <v>148</v>
      </c>
      <c r="E210" s="33">
        <v>-141.41743357868648</v>
      </c>
    </row>
    <row r="211" spans="2:5" x14ac:dyDescent="0.3">
      <c r="B211" s="56">
        <v>149</v>
      </c>
      <c r="C211" s="33">
        <v>169.5525255656755</v>
      </c>
      <c r="D211" s="56">
        <f t="shared" si="3"/>
        <v>149</v>
      </c>
      <c r="E211" s="33">
        <v>-45.443068716365687</v>
      </c>
    </row>
    <row r="212" spans="2:5" x14ac:dyDescent="0.3">
      <c r="B212" s="56">
        <v>150</v>
      </c>
      <c r="C212" s="33">
        <v>-57.517940952204135</v>
      </c>
      <c r="D212" s="56">
        <f t="shared" si="3"/>
        <v>150</v>
      </c>
      <c r="E212" s="33">
        <v>-148.20275855116626</v>
      </c>
    </row>
    <row r="213" spans="2:5" x14ac:dyDescent="0.3">
      <c r="B213" s="56">
        <v>151</v>
      </c>
      <c r="C213" s="33">
        <v>94.725344156424399</v>
      </c>
      <c r="D213" s="56">
        <f t="shared" si="3"/>
        <v>151</v>
      </c>
      <c r="E213" s="33">
        <v>-402.92436618546907</v>
      </c>
    </row>
    <row r="214" spans="2:5" x14ac:dyDescent="0.3">
      <c r="B214" s="56">
        <v>152</v>
      </c>
      <c r="C214" s="33">
        <v>19.477399279300968</v>
      </c>
      <c r="D214" s="56">
        <f t="shared" si="3"/>
        <v>152</v>
      </c>
      <c r="E214" s="33">
        <v>-125.7650386580105</v>
      </c>
    </row>
    <row r="215" spans="2:5" x14ac:dyDescent="0.3">
      <c r="B215" s="56">
        <v>153</v>
      </c>
      <c r="C215" s="33">
        <v>-300.72516662171728</v>
      </c>
      <c r="D215" s="56">
        <f t="shared" si="3"/>
        <v>153</v>
      </c>
      <c r="E215" s="33">
        <v>-222.03731266827069</v>
      </c>
    </row>
    <row r="216" spans="2:5" x14ac:dyDescent="0.3">
      <c r="B216" s="56">
        <v>154</v>
      </c>
      <c r="C216" s="33">
        <v>175.07779615254813</v>
      </c>
      <c r="D216" s="56">
        <f t="shared" si="3"/>
        <v>154</v>
      </c>
      <c r="E216" s="33">
        <v>-52.883533480005909</v>
      </c>
    </row>
    <row r="217" spans="2:5" x14ac:dyDescent="0.3">
      <c r="B217" s="56">
        <v>155</v>
      </c>
      <c r="C217" s="33">
        <v>83.590829622511592</v>
      </c>
      <c r="D217" s="56">
        <f t="shared" si="3"/>
        <v>155</v>
      </c>
      <c r="E217" s="33">
        <v>70.958402365118516</v>
      </c>
    </row>
    <row r="218" spans="2:5" x14ac:dyDescent="0.3">
      <c r="B218" s="56">
        <v>156</v>
      </c>
      <c r="C218" s="33">
        <v>14.752050793027614</v>
      </c>
      <c r="D218" s="56">
        <f t="shared" si="3"/>
        <v>156</v>
      </c>
      <c r="E218" s="33">
        <v>-105.7173425333944</v>
      </c>
    </row>
    <row r="219" spans="2:5" x14ac:dyDescent="0.3">
      <c r="B219" s="56">
        <v>157</v>
      </c>
      <c r="C219" s="33">
        <v>51.84536972427054</v>
      </c>
      <c r="D219" s="56">
        <f t="shared" si="3"/>
        <v>157</v>
      </c>
      <c r="E219" s="33">
        <v>-303.03608808302926</v>
      </c>
    </row>
    <row r="220" spans="2:5" x14ac:dyDescent="0.3">
      <c r="B220" s="56">
        <v>158</v>
      </c>
      <c r="C220" s="33">
        <v>-454.12505217972546</v>
      </c>
      <c r="D220" s="56">
        <f t="shared" si="3"/>
        <v>158</v>
      </c>
      <c r="E220" s="33">
        <v>-242.97831321159228</v>
      </c>
    </row>
    <row r="221" spans="2:5" x14ac:dyDescent="0.3">
      <c r="B221" s="56">
        <v>159</v>
      </c>
      <c r="C221" s="33">
        <v>-173.5078064476069</v>
      </c>
      <c r="D221" s="56">
        <f t="shared" si="3"/>
        <v>159</v>
      </c>
      <c r="E221" s="33">
        <v>-147.86732318387408</v>
      </c>
    </row>
    <row r="222" spans="2:5" x14ac:dyDescent="0.3">
      <c r="B222" s="56">
        <v>160</v>
      </c>
      <c r="C222" s="33">
        <v>-246.71806771575916</v>
      </c>
      <c r="D222" s="56">
        <f t="shared" si="3"/>
        <v>160</v>
      </c>
      <c r="E222" s="33">
        <v>-206.39686438283672</v>
      </c>
    </row>
    <row r="223" spans="2:5" x14ac:dyDescent="0.3">
      <c r="B223" s="56">
        <v>161</v>
      </c>
      <c r="C223" s="33">
        <v>-121.93067051656091</v>
      </c>
      <c r="D223" s="56">
        <f t="shared" si="3"/>
        <v>161</v>
      </c>
      <c r="E223" s="33">
        <v>-247.69936412282084</v>
      </c>
    </row>
    <row r="224" spans="2:5" x14ac:dyDescent="0.3">
      <c r="B224" s="56">
        <v>162</v>
      </c>
      <c r="C224" s="33">
        <v>-136.07362728712204</v>
      </c>
      <c r="D224" s="56">
        <f t="shared" si="3"/>
        <v>162</v>
      </c>
      <c r="E224" s="33">
        <v>-139.2359653087081</v>
      </c>
    </row>
    <row r="225" spans="2:5" x14ac:dyDescent="0.3">
      <c r="B225" s="56">
        <v>163</v>
      </c>
      <c r="C225" s="33">
        <v>-108.05043236639344</v>
      </c>
      <c r="D225" s="56">
        <f t="shared" si="3"/>
        <v>163</v>
      </c>
      <c r="E225" s="33">
        <v>-238.60717515948977</v>
      </c>
    </row>
    <row r="226" spans="2:5" x14ac:dyDescent="0.3">
      <c r="B226" s="56">
        <v>164</v>
      </c>
      <c r="C226" s="33">
        <v>-28.292964944347137</v>
      </c>
      <c r="D226" s="56">
        <f t="shared" si="3"/>
        <v>164</v>
      </c>
      <c r="E226" s="33">
        <v>-114.17164016417084</v>
      </c>
    </row>
    <row r="227" spans="2:5" x14ac:dyDescent="0.3">
      <c r="B227" s="56">
        <v>165</v>
      </c>
      <c r="C227" s="33">
        <v>-126.76247813444054</v>
      </c>
      <c r="D227" s="56">
        <f t="shared" si="3"/>
        <v>165</v>
      </c>
      <c r="E227" s="33">
        <v>-181.39290415324001</v>
      </c>
    </row>
    <row r="228" spans="2:5" x14ac:dyDescent="0.3">
      <c r="B228" s="56">
        <v>166</v>
      </c>
      <c r="C228" s="33">
        <v>-359.7389174116567</v>
      </c>
      <c r="D228" s="56">
        <f t="shared" si="3"/>
        <v>166</v>
      </c>
      <c r="E228" s="33">
        <v>-243.22440790858349</v>
      </c>
    </row>
    <row r="229" spans="2:5" x14ac:dyDescent="0.3">
      <c r="B229" s="56">
        <v>167</v>
      </c>
      <c r="C229" s="33">
        <v>-16.844342334700048</v>
      </c>
      <c r="D229" s="56">
        <f t="shared" si="3"/>
        <v>167</v>
      </c>
      <c r="E229" s="33">
        <v>-95.277321065454018</v>
      </c>
    </row>
    <row r="230" spans="2:5" x14ac:dyDescent="0.3">
      <c r="B230" s="56">
        <v>168</v>
      </c>
      <c r="C230" s="33">
        <v>-176.3996951854067</v>
      </c>
      <c r="D230" s="56">
        <f t="shared" si="3"/>
        <v>168</v>
      </c>
      <c r="E230" s="33">
        <v>-118.35153322338415</v>
      </c>
    </row>
    <row r="231" spans="2:5" x14ac:dyDescent="0.3">
      <c r="B231" s="56">
        <v>169</v>
      </c>
      <c r="C231" s="33">
        <v>-190.97324619668115</v>
      </c>
      <c r="D231" s="56">
        <f t="shared" si="3"/>
        <v>169</v>
      </c>
      <c r="E231" s="33">
        <v>-412.41270683466047</v>
      </c>
    </row>
    <row r="232" spans="2:5" x14ac:dyDescent="0.3">
      <c r="B232" s="56">
        <v>170</v>
      </c>
      <c r="C232" s="33">
        <v>-200.52952720509319</v>
      </c>
      <c r="D232" s="56">
        <f t="shared" si="3"/>
        <v>170</v>
      </c>
      <c r="E232" s="33">
        <v>126.90039721820163</v>
      </c>
    </row>
    <row r="233" spans="2:5" x14ac:dyDescent="0.3">
      <c r="B233" s="56">
        <v>171</v>
      </c>
      <c r="C233" s="33">
        <v>-59.751308234276621</v>
      </c>
      <c r="D233" s="56">
        <f t="shared" si="3"/>
        <v>171</v>
      </c>
      <c r="E233" s="33">
        <v>-399.90987888607486</v>
      </c>
    </row>
    <row r="234" spans="2:5" x14ac:dyDescent="0.3">
      <c r="B234" s="56">
        <v>172</v>
      </c>
      <c r="C234" s="33">
        <v>-18.819978711474054</v>
      </c>
      <c r="D234" s="56">
        <f t="shared" si="3"/>
        <v>172</v>
      </c>
      <c r="E234" s="33">
        <v>-44.233579512103091</v>
      </c>
    </row>
    <row r="235" spans="2:5" x14ac:dyDescent="0.3">
      <c r="B235" s="56">
        <v>173</v>
      </c>
      <c r="C235" s="33">
        <v>-353.78905072407133</v>
      </c>
      <c r="D235" s="56">
        <f t="shared" si="3"/>
        <v>173</v>
      </c>
      <c r="E235" s="33">
        <v>-186.02209147218593</v>
      </c>
    </row>
    <row r="236" spans="2:5" x14ac:dyDescent="0.3">
      <c r="B236" s="56">
        <v>174</v>
      </c>
      <c r="C236" s="33">
        <v>-117.79792935437415</v>
      </c>
      <c r="D236" s="56">
        <f t="shared" si="3"/>
        <v>174</v>
      </c>
      <c r="E236" s="33">
        <v>-225.68637870584385</v>
      </c>
    </row>
    <row r="237" spans="2:5" x14ac:dyDescent="0.3">
      <c r="B237" s="56">
        <v>175</v>
      </c>
      <c r="C237" s="33">
        <v>11.024074548219069</v>
      </c>
      <c r="D237" s="56">
        <f t="shared" si="3"/>
        <v>175</v>
      </c>
      <c r="E237" s="33">
        <v>-41.527748279996459</v>
      </c>
    </row>
    <row r="238" spans="2:5" x14ac:dyDescent="0.3">
      <c r="B238" s="56">
        <v>176</v>
      </c>
      <c r="C238" s="33">
        <v>37.016153820237619</v>
      </c>
      <c r="D238" s="56">
        <f t="shared" si="3"/>
        <v>176</v>
      </c>
      <c r="E238" s="33">
        <v>-216.48422673988128</v>
      </c>
    </row>
    <row r="239" spans="2:5" x14ac:dyDescent="0.3">
      <c r="B239" s="56">
        <v>177</v>
      </c>
      <c r="C239" s="33">
        <v>-55.605811247179588</v>
      </c>
      <c r="D239" s="56">
        <f t="shared" si="3"/>
        <v>177</v>
      </c>
      <c r="E239" s="33">
        <v>-54.968495192050312</v>
      </c>
    </row>
    <row r="240" spans="2:5" x14ac:dyDescent="0.3">
      <c r="B240" s="56">
        <v>178</v>
      </c>
      <c r="C240" s="33">
        <v>122.28627070923834</v>
      </c>
      <c r="D240" s="56">
        <f t="shared" si="3"/>
        <v>178</v>
      </c>
      <c r="E240" s="33">
        <v>-162.2262823580412</v>
      </c>
    </row>
    <row r="241" spans="2:5" x14ac:dyDescent="0.3">
      <c r="B241" s="56">
        <v>179</v>
      </c>
      <c r="C241" s="33">
        <v>-212.95327165771408</v>
      </c>
      <c r="D241" s="56">
        <f t="shared" si="3"/>
        <v>179</v>
      </c>
      <c r="E241" s="33">
        <v>-160.68076913871249</v>
      </c>
    </row>
    <row r="242" spans="2:5" x14ac:dyDescent="0.3">
      <c r="B242" s="56">
        <v>180</v>
      </c>
      <c r="C242" s="33">
        <v>183.29832391268201</v>
      </c>
      <c r="D242" s="56">
        <f t="shared" si="3"/>
        <v>180</v>
      </c>
      <c r="E242" s="33">
        <v>-148.79622751352144</v>
      </c>
    </row>
    <row r="243" spans="2:5" x14ac:dyDescent="0.3">
      <c r="B243" s="56">
        <v>181</v>
      </c>
      <c r="C243" s="33">
        <v>-12.668828145212167</v>
      </c>
      <c r="D243" s="56">
        <f t="shared" si="3"/>
        <v>181</v>
      </c>
      <c r="E243" s="33">
        <v>-138.92189342771536</v>
      </c>
    </row>
    <row r="244" spans="2:5" x14ac:dyDescent="0.3">
      <c r="B244" s="56">
        <v>182</v>
      </c>
      <c r="C244" s="33">
        <v>-270.78130501126617</v>
      </c>
      <c r="D244" s="56">
        <f t="shared" si="3"/>
        <v>182</v>
      </c>
      <c r="E244" s="33">
        <v>-310.13156673362835</v>
      </c>
    </row>
    <row r="245" spans="2:5" x14ac:dyDescent="0.3">
      <c r="B245" s="56">
        <v>183</v>
      </c>
      <c r="C245" s="33">
        <v>-181.07925731044082</v>
      </c>
      <c r="D245" s="56">
        <f t="shared" si="3"/>
        <v>183</v>
      </c>
      <c r="E245" s="33">
        <v>-300.90332515516479</v>
      </c>
    </row>
    <row r="246" spans="2:5" x14ac:dyDescent="0.3">
      <c r="B246" s="56">
        <v>184</v>
      </c>
      <c r="C246" s="33">
        <v>-59.852653421389206</v>
      </c>
      <c r="D246" s="56">
        <f t="shared" si="3"/>
        <v>184</v>
      </c>
      <c r="E246" s="33">
        <v>-136.69318879230752</v>
      </c>
    </row>
    <row r="247" spans="2:5" x14ac:dyDescent="0.3">
      <c r="B247" s="56">
        <v>185</v>
      </c>
      <c r="C247" s="33">
        <v>-47.485122582677064</v>
      </c>
      <c r="D247" s="56">
        <f t="shared" si="3"/>
        <v>185</v>
      </c>
      <c r="E247" s="33">
        <v>-163.37650587447149</v>
      </c>
    </row>
    <row r="248" spans="2:5" x14ac:dyDescent="0.3">
      <c r="B248" s="56">
        <v>186</v>
      </c>
      <c r="C248" s="33">
        <v>-308.54042322982787</v>
      </c>
      <c r="D248" s="56">
        <f t="shared" si="3"/>
        <v>186</v>
      </c>
      <c r="E248" s="33">
        <v>-203.31649387565477</v>
      </c>
    </row>
    <row r="249" spans="2:5" x14ac:dyDescent="0.3">
      <c r="B249" s="56">
        <v>187</v>
      </c>
      <c r="C249" s="33">
        <v>30.292699732185362</v>
      </c>
      <c r="D249" s="56">
        <f t="shared" si="3"/>
        <v>187</v>
      </c>
      <c r="E249" s="33">
        <v>-149.50128602395682</v>
      </c>
    </row>
    <row r="250" spans="2:5" x14ac:dyDescent="0.3">
      <c r="B250" s="56">
        <v>188</v>
      </c>
      <c r="C250" s="33">
        <v>16.493036928601253</v>
      </c>
      <c r="D250" s="56">
        <f t="shared" si="3"/>
        <v>188</v>
      </c>
      <c r="E250" s="33">
        <v>-147.83812203333184</v>
      </c>
    </row>
    <row r="251" spans="2:5" x14ac:dyDescent="0.3">
      <c r="B251" s="56">
        <v>189</v>
      </c>
      <c r="C251" s="33">
        <v>-432.66752175345226</v>
      </c>
      <c r="D251" s="56">
        <f t="shared" si="3"/>
        <v>189</v>
      </c>
      <c r="E251" s="33">
        <v>69.817139689008997</v>
      </c>
    </row>
    <row r="252" spans="2:5" x14ac:dyDescent="0.3">
      <c r="B252" s="56">
        <v>190</v>
      </c>
      <c r="C252" s="33">
        <v>-118.60961133615282</v>
      </c>
      <c r="D252" s="56">
        <f t="shared" si="3"/>
        <v>190</v>
      </c>
      <c r="E252" s="33">
        <v>-103.70232037770899</v>
      </c>
    </row>
    <row r="253" spans="2:5" x14ac:dyDescent="0.3">
      <c r="B253" s="56">
        <v>191</v>
      </c>
      <c r="C253" s="33">
        <v>311.45310946237038</v>
      </c>
      <c r="D253" s="56">
        <f t="shared" si="3"/>
        <v>191</v>
      </c>
      <c r="E253" s="33">
        <v>-66.791677179473794</v>
      </c>
    </row>
    <row r="254" spans="2:5" x14ac:dyDescent="0.3">
      <c r="B254" s="56">
        <v>192</v>
      </c>
      <c r="C254" s="33">
        <v>100.5302052300845</v>
      </c>
      <c r="D254" s="56">
        <f t="shared" si="3"/>
        <v>192</v>
      </c>
      <c r="E254" s="33">
        <v>-293.46793610139332</v>
      </c>
    </row>
    <row r="255" spans="2:5" x14ac:dyDescent="0.3">
      <c r="B255" s="56">
        <v>193</v>
      </c>
      <c r="C255" s="33">
        <v>-5.2638225994079164</v>
      </c>
      <c r="D255" s="56">
        <f t="shared" si="3"/>
        <v>193</v>
      </c>
      <c r="E255" s="33">
        <v>-89.218404211578829</v>
      </c>
    </row>
    <row r="256" spans="2:5" x14ac:dyDescent="0.3">
      <c r="B256" s="56">
        <v>194</v>
      </c>
      <c r="C256" s="33">
        <v>267.86075871921946</v>
      </c>
      <c r="D256" s="56">
        <f t="shared" si="3"/>
        <v>194</v>
      </c>
      <c r="E256" s="33">
        <v>-92.846945480369499</v>
      </c>
    </row>
    <row r="257" spans="2:5" x14ac:dyDescent="0.3">
      <c r="B257" s="56">
        <v>195</v>
      </c>
      <c r="C257" s="33">
        <v>141.63574591519557</v>
      </c>
      <c r="D257" s="56">
        <f t="shared" ref="D257:D274" si="4">B257</f>
        <v>195</v>
      </c>
      <c r="E257" s="33">
        <v>-240.77614102041804</v>
      </c>
    </row>
    <row r="258" spans="2:5" x14ac:dyDescent="0.3">
      <c r="B258" s="56">
        <v>196</v>
      </c>
      <c r="C258" s="33">
        <v>-30.746346871211607</v>
      </c>
      <c r="D258" s="56">
        <f t="shared" si="4"/>
        <v>196</v>
      </c>
      <c r="E258" s="33">
        <v>-245.80093891373377</v>
      </c>
    </row>
    <row r="259" spans="2:5" x14ac:dyDescent="0.3">
      <c r="B259" s="56">
        <v>197</v>
      </c>
      <c r="C259" s="33">
        <v>-35.275933636815196</v>
      </c>
      <c r="D259" s="56">
        <f t="shared" si="4"/>
        <v>197</v>
      </c>
      <c r="E259" s="33">
        <v>-250.5066087260025</v>
      </c>
    </row>
    <row r="260" spans="2:5" x14ac:dyDescent="0.3">
      <c r="B260" s="56">
        <v>198</v>
      </c>
      <c r="C260" s="33">
        <v>-83.90413157597304</v>
      </c>
      <c r="D260" s="56">
        <f t="shared" si="4"/>
        <v>198</v>
      </c>
      <c r="E260" s="33">
        <v>-176.74537059507841</v>
      </c>
    </row>
    <row r="261" spans="2:5" x14ac:dyDescent="0.3">
      <c r="B261" s="56">
        <v>199</v>
      </c>
      <c r="C261" s="33">
        <v>-85.95865242893916</v>
      </c>
      <c r="D261" s="56">
        <f t="shared" si="4"/>
        <v>199</v>
      </c>
      <c r="E261" s="33">
        <v>-58.287347806527833</v>
      </c>
    </row>
    <row r="262" spans="2:5" x14ac:dyDescent="0.3">
      <c r="B262" s="56">
        <v>200</v>
      </c>
      <c r="C262" s="33">
        <v>105.1492701484913</v>
      </c>
      <c r="D262" s="56">
        <f t="shared" si="4"/>
        <v>200</v>
      </c>
      <c r="E262" s="33">
        <v>187.46360700212512</v>
      </c>
    </row>
    <row r="263" spans="2:5" x14ac:dyDescent="0.3">
      <c r="B263" s="56">
        <v>201</v>
      </c>
      <c r="C263" s="33">
        <v>-98.617930893180215</v>
      </c>
      <c r="D263" s="56">
        <f t="shared" si="4"/>
        <v>201</v>
      </c>
      <c r="E263" s="33">
        <v>-218.38164818554583</v>
      </c>
    </row>
    <row r="264" spans="2:5" x14ac:dyDescent="0.3">
      <c r="B264" s="56">
        <v>202</v>
      </c>
      <c r="C264" s="33">
        <v>-80.95813273652935</v>
      </c>
      <c r="D264" s="56">
        <f t="shared" si="4"/>
        <v>202</v>
      </c>
      <c r="E264" s="33">
        <v>-193.77925952171171</v>
      </c>
    </row>
    <row r="265" spans="2:5" x14ac:dyDescent="0.3">
      <c r="B265" s="56">
        <v>203</v>
      </c>
      <c r="C265" s="33">
        <v>145.60562328162695</v>
      </c>
      <c r="D265" s="56">
        <f t="shared" si="4"/>
        <v>203</v>
      </c>
      <c r="E265" s="33">
        <v>-354.64955977080109</v>
      </c>
    </row>
    <row r="266" spans="2:5" x14ac:dyDescent="0.3">
      <c r="B266" s="56">
        <v>204</v>
      </c>
      <c r="C266" s="33">
        <v>-77.539417234808909</v>
      </c>
      <c r="D266" s="56">
        <f t="shared" si="4"/>
        <v>204</v>
      </c>
      <c r="E266" s="33">
        <v>-111.48580600329947</v>
      </c>
    </row>
    <row r="267" spans="2:5" x14ac:dyDescent="0.3">
      <c r="B267" s="56">
        <v>205</v>
      </c>
      <c r="C267" s="33">
        <v>-171.81421519064202</v>
      </c>
      <c r="D267" s="56">
        <f t="shared" si="4"/>
        <v>205</v>
      </c>
      <c r="E267" s="33">
        <v>-201.96987964129627</v>
      </c>
    </row>
    <row r="268" spans="2:5" x14ac:dyDescent="0.3">
      <c r="B268" s="56">
        <v>206</v>
      </c>
      <c r="C268" s="33">
        <v>-514.0633014831493</v>
      </c>
      <c r="D268" s="56">
        <f t="shared" si="4"/>
        <v>206</v>
      </c>
      <c r="E268" s="33">
        <v>-81.206825075788842</v>
      </c>
    </row>
    <row r="269" spans="2:5" x14ac:dyDescent="0.3">
      <c r="B269" s="56">
        <v>207</v>
      </c>
      <c r="C269" s="33">
        <v>-199.11953570929194</v>
      </c>
      <c r="D269" s="56">
        <f t="shared" si="4"/>
        <v>207</v>
      </c>
      <c r="E269" s="33">
        <v>-199.9777124086059</v>
      </c>
    </row>
    <row r="270" spans="2:5" x14ac:dyDescent="0.3">
      <c r="B270" s="56">
        <v>208</v>
      </c>
      <c r="C270" s="33">
        <v>182.58449440032462</v>
      </c>
      <c r="D270" s="56">
        <f t="shared" si="4"/>
        <v>208</v>
      </c>
      <c r="E270" s="33">
        <v>-49.722746474721873</v>
      </c>
    </row>
    <row r="271" spans="2:5" x14ac:dyDescent="0.3">
      <c r="B271" s="56">
        <v>209</v>
      </c>
      <c r="C271" s="33">
        <v>-28.05261244508279</v>
      </c>
      <c r="D271" s="56">
        <f t="shared" si="4"/>
        <v>209</v>
      </c>
      <c r="E271" s="33">
        <v>-138.6660839724525</v>
      </c>
    </row>
    <row r="272" spans="2:5" x14ac:dyDescent="0.3">
      <c r="B272" s="56">
        <v>210</v>
      </c>
      <c r="C272" s="33">
        <v>110.46491110630467</v>
      </c>
      <c r="D272" s="56">
        <f t="shared" si="4"/>
        <v>210</v>
      </c>
      <c r="E272" s="33">
        <v>-156.24504519910917</v>
      </c>
    </row>
    <row r="273" spans="2:5" x14ac:dyDescent="0.3">
      <c r="B273" s="56">
        <v>211</v>
      </c>
      <c r="C273" s="33">
        <v>130.36670854245108</v>
      </c>
      <c r="D273" s="56">
        <f t="shared" si="4"/>
        <v>211</v>
      </c>
      <c r="E273" s="33">
        <v>-276.07012552014373</v>
      </c>
    </row>
    <row r="274" spans="2:5" x14ac:dyDescent="0.3">
      <c r="B274" s="56">
        <v>212</v>
      </c>
      <c r="C274" s="33">
        <v>-272.39732398109061</v>
      </c>
      <c r="D274" s="56">
        <f t="shared" si="4"/>
        <v>212</v>
      </c>
      <c r="E274" s="33">
        <v>-105.84500794595709</v>
      </c>
    </row>
    <row r="275" spans="2:5" x14ac:dyDescent="0.3">
      <c r="B275" s="56">
        <v>213</v>
      </c>
      <c r="C275" s="33">
        <v>-308.54697912415145</v>
      </c>
      <c r="D275" s="56">
        <f t="shared" ref="D275:D338" si="5">B275</f>
        <v>213</v>
      </c>
      <c r="E275" s="33">
        <v>-99.602090650896969</v>
      </c>
    </row>
    <row r="276" spans="2:5" x14ac:dyDescent="0.3">
      <c r="B276" s="56">
        <v>214</v>
      </c>
      <c r="C276" s="33">
        <v>33.928701776965781</v>
      </c>
      <c r="D276" s="56">
        <f t="shared" si="5"/>
        <v>214</v>
      </c>
      <c r="E276" s="33">
        <v>-63.489933808097874</v>
      </c>
    </row>
    <row r="277" spans="2:5" x14ac:dyDescent="0.3">
      <c r="B277" s="56">
        <v>215</v>
      </c>
      <c r="C277" s="33">
        <v>-156.16119844877022</v>
      </c>
      <c r="D277" s="56">
        <f t="shared" si="5"/>
        <v>215</v>
      </c>
      <c r="E277" s="33">
        <v>-107.44317845118238</v>
      </c>
    </row>
    <row r="278" spans="2:5" x14ac:dyDescent="0.3">
      <c r="B278" s="56">
        <v>216</v>
      </c>
      <c r="C278" s="33">
        <v>-541.90340700411002</v>
      </c>
      <c r="D278" s="56">
        <f t="shared" si="5"/>
        <v>216</v>
      </c>
      <c r="E278" s="33">
        <v>80.157036644659058</v>
      </c>
    </row>
    <row r="279" spans="2:5" x14ac:dyDescent="0.3">
      <c r="B279" s="56">
        <v>217</v>
      </c>
      <c r="C279" s="33">
        <v>-84.507455120907906</v>
      </c>
      <c r="D279" s="56">
        <f t="shared" si="5"/>
        <v>217</v>
      </c>
      <c r="E279" s="33">
        <v>-365.00488677591068</v>
      </c>
    </row>
    <row r="280" spans="2:5" x14ac:dyDescent="0.3">
      <c r="B280" s="56">
        <v>218</v>
      </c>
      <c r="C280" s="33">
        <v>-198.10579607883409</v>
      </c>
      <c r="D280" s="56">
        <f t="shared" si="5"/>
        <v>218</v>
      </c>
      <c r="E280" s="33">
        <v>-403.42345935889847</v>
      </c>
    </row>
    <row r="281" spans="2:5" x14ac:dyDescent="0.3">
      <c r="B281" s="56">
        <v>219</v>
      </c>
      <c r="C281" s="33">
        <v>131.94430360075697</v>
      </c>
      <c r="D281" s="56">
        <f t="shared" si="5"/>
        <v>219</v>
      </c>
      <c r="E281" s="33">
        <v>-64.322951340885695</v>
      </c>
    </row>
    <row r="282" spans="2:5" x14ac:dyDescent="0.3">
      <c r="B282" s="56">
        <v>220</v>
      </c>
      <c r="C282" s="33">
        <v>81.166751441100359</v>
      </c>
      <c r="D282" s="56">
        <f t="shared" si="5"/>
        <v>220</v>
      </c>
      <c r="E282" s="33">
        <v>-63.713660511622024</v>
      </c>
    </row>
    <row r="283" spans="2:5" x14ac:dyDescent="0.3">
      <c r="B283" s="56">
        <v>221</v>
      </c>
      <c r="C283" s="33">
        <v>70.346256648654688</v>
      </c>
      <c r="D283" s="56">
        <f t="shared" si="5"/>
        <v>221</v>
      </c>
      <c r="E283" s="33">
        <v>-381.99984322186913</v>
      </c>
    </row>
    <row r="284" spans="2:5" x14ac:dyDescent="0.3">
      <c r="B284" s="56">
        <v>222</v>
      </c>
      <c r="C284" s="33">
        <v>-136.20141394730692</v>
      </c>
      <c r="D284" s="56">
        <f t="shared" si="5"/>
        <v>222</v>
      </c>
      <c r="E284" s="33">
        <v>-222.84370586349405</v>
      </c>
    </row>
    <row r="285" spans="2:5" x14ac:dyDescent="0.3">
      <c r="B285" s="56">
        <v>223</v>
      </c>
      <c r="C285" s="33">
        <v>-116.86552332826444</v>
      </c>
      <c r="D285" s="56">
        <f t="shared" si="5"/>
        <v>223</v>
      </c>
      <c r="E285" s="33">
        <v>-93.190735995573903</v>
      </c>
    </row>
    <row r="286" spans="2:5" x14ac:dyDescent="0.3">
      <c r="B286" s="56">
        <v>224</v>
      </c>
      <c r="C286" s="33">
        <v>-24.663185143823878</v>
      </c>
      <c r="D286" s="56">
        <f t="shared" si="5"/>
        <v>224</v>
      </c>
      <c r="E286" s="33">
        <v>-28.146021320826947</v>
      </c>
    </row>
    <row r="287" spans="2:5" x14ac:dyDescent="0.3">
      <c r="B287" s="56">
        <v>225</v>
      </c>
      <c r="C287" s="33">
        <v>-261.15902223550074</v>
      </c>
      <c r="D287" s="56">
        <f t="shared" si="5"/>
        <v>225</v>
      </c>
      <c r="E287" s="33">
        <v>-392.73530216232507</v>
      </c>
    </row>
    <row r="288" spans="2:5" x14ac:dyDescent="0.3">
      <c r="B288" s="56">
        <v>226</v>
      </c>
      <c r="C288" s="33">
        <v>-176.15359287209756</v>
      </c>
      <c r="D288" s="56">
        <f t="shared" si="5"/>
        <v>226</v>
      </c>
      <c r="E288" s="33">
        <v>-382.71016959536468</v>
      </c>
    </row>
    <row r="289" spans="2:5" x14ac:dyDescent="0.3">
      <c r="B289" s="56">
        <v>227</v>
      </c>
      <c r="C289" s="33">
        <v>82.822049455279824</v>
      </c>
      <c r="D289" s="56">
        <f t="shared" si="5"/>
        <v>227</v>
      </c>
      <c r="E289" s="33">
        <v>5.5628211261519596</v>
      </c>
    </row>
    <row r="290" spans="2:5" x14ac:dyDescent="0.3">
      <c r="B290" s="56">
        <v>228</v>
      </c>
      <c r="C290" s="33">
        <v>-31.726198822575796</v>
      </c>
      <c r="D290" s="56">
        <f t="shared" si="5"/>
        <v>228</v>
      </c>
      <c r="E290" s="33">
        <v>-209.96026689428709</v>
      </c>
    </row>
    <row r="291" spans="2:5" x14ac:dyDescent="0.3">
      <c r="B291" s="56">
        <v>229</v>
      </c>
      <c r="C291" s="33">
        <v>-102.10663461174941</v>
      </c>
      <c r="D291" s="56">
        <f t="shared" si="5"/>
        <v>229</v>
      </c>
      <c r="E291" s="33">
        <v>-331.13442509963943</v>
      </c>
    </row>
    <row r="292" spans="2:5" x14ac:dyDescent="0.3">
      <c r="B292" s="56">
        <v>230</v>
      </c>
      <c r="C292" s="33">
        <v>-184.05191830235199</v>
      </c>
      <c r="D292" s="56">
        <f t="shared" si="5"/>
        <v>230</v>
      </c>
      <c r="E292" s="33">
        <v>-98.331036286558032</v>
      </c>
    </row>
    <row r="293" spans="2:5" x14ac:dyDescent="0.3">
      <c r="B293" s="56">
        <v>231</v>
      </c>
      <c r="C293" s="33">
        <v>-518.16845360979312</v>
      </c>
      <c r="D293" s="56">
        <f t="shared" si="5"/>
        <v>231</v>
      </c>
      <c r="E293" s="33">
        <v>-223.73826250829151</v>
      </c>
    </row>
    <row r="294" spans="2:5" x14ac:dyDescent="0.3">
      <c r="B294" s="56">
        <v>232</v>
      </c>
      <c r="C294" s="33">
        <v>105.84783648212573</v>
      </c>
      <c r="D294" s="56">
        <f t="shared" si="5"/>
        <v>232</v>
      </c>
      <c r="E294" s="33">
        <v>-128.56831723629188</v>
      </c>
    </row>
    <row r="295" spans="2:5" x14ac:dyDescent="0.3">
      <c r="B295" s="56">
        <v>233</v>
      </c>
      <c r="C295" s="33">
        <v>47.749621907584086</v>
      </c>
      <c r="D295" s="56">
        <f t="shared" si="5"/>
        <v>233</v>
      </c>
      <c r="E295" s="33">
        <v>-4.7574370161057971</v>
      </c>
    </row>
    <row r="296" spans="2:5" x14ac:dyDescent="0.3">
      <c r="B296" s="56">
        <v>234</v>
      </c>
      <c r="C296" s="33">
        <v>-34.312270563362333</v>
      </c>
      <c r="D296" s="56">
        <f t="shared" si="5"/>
        <v>234</v>
      </c>
      <c r="E296" s="33">
        <v>-59.310792729953619</v>
      </c>
    </row>
    <row r="297" spans="2:5" x14ac:dyDescent="0.3">
      <c r="B297" s="56">
        <v>235</v>
      </c>
      <c r="C297" s="33">
        <v>-345.56894682720667</v>
      </c>
      <c r="D297" s="56">
        <f t="shared" si="5"/>
        <v>235</v>
      </c>
      <c r="E297" s="33">
        <v>47.495299510895599</v>
      </c>
    </row>
    <row r="298" spans="2:5" x14ac:dyDescent="0.3">
      <c r="B298" s="56">
        <v>236</v>
      </c>
      <c r="C298" s="33">
        <v>-350.38972832388254</v>
      </c>
      <c r="D298" s="56">
        <f t="shared" si="5"/>
        <v>236</v>
      </c>
      <c r="E298" s="33">
        <v>-365.46834516098113</v>
      </c>
    </row>
    <row r="299" spans="2:5" x14ac:dyDescent="0.3">
      <c r="B299" s="56">
        <v>237</v>
      </c>
      <c r="C299" s="33">
        <v>-178.80671835251957</v>
      </c>
      <c r="D299" s="56">
        <f t="shared" si="5"/>
        <v>237</v>
      </c>
      <c r="E299" s="33">
        <v>-174.65097704601794</v>
      </c>
    </row>
    <row r="300" spans="2:5" x14ac:dyDescent="0.3">
      <c r="B300" s="56">
        <v>238</v>
      </c>
      <c r="C300" s="33">
        <v>17.280208428147063</v>
      </c>
      <c r="D300" s="56">
        <f t="shared" si="5"/>
        <v>238</v>
      </c>
      <c r="E300" s="33">
        <v>-223.20251219947082</v>
      </c>
    </row>
    <row r="301" spans="2:5" x14ac:dyDescent="0.3">
      <c r="B301" s="56">
        <v>239</v>
      </c>
      <c r="C301" s="33">
        <v>-109.09913661623187</v>
      </c>
      <c r="D301" s="56">
        <f t="shared" si="5"/>
        <v>239</v>
      </c>
      <c r="E301" s="33">
        <v>-254.13707035328309</v>
      </c>
    </row>
    <row r="302" spans="2:5" x14ac:dyDescent="0.3">
      <c r="B302" s="56">
        <v>240</v>
      </c>
      <c r="C302" s="33">
        <v>-122.47302476912154</v>
      </c>
      <c r="D302" s="56">
        <f t="shared" si="5"/>
        <v>240</v>
      </c>
      <c r="E302" s="33">
        <v>-281.94745532005629</v>
      </c>
    </row>
    <row r="303" spans="2:5" x14ac:dyDescent="0.3">
      <c r="B303" s="56">
        <v>241</v>
      </c>
      <c r="C303" s="33">
        <v>-259.07171324577894</v>
      </c>
      <c r="D303" s="56">
        <f t="shared" si="5"/>
        <v>241</v>
      </c>
      <c r="E303" s="33">
        <v>-28.902060307237448</v>
      </c>
    </row>
    <row r="304" spans="2:5" x14ac:dyDescent="0.3">
      <c r="B304" s="56">
        <v>242</v>
      </c>
      <c r="C304" s="33">
        <v>-205.36596343115085</v>
      </c>
      <c r="D304" s="56">
        <f t="shared" si="5"/>
        <v>242</v>
      </c>
      <c r="E304" s="33">
        <v>-90.816210432531634</v>
      </c>
    </row>
    <row r="305" spans="2:5" x14ac:dyDescent="0.3">
      <c r="B305" s="56">
        <v>243</v>
      </c>
      <c r="C305" s="33">
        <v>-355.08122427346478</v>
      </c>
      <c r="D305" s="56">
        <f t="shared" si="5"/>
        <v>243</v>
      </c>
      <c r="E305" s="33">
        <v>159.90296540570341</v>
      </c>
    </row>
    <row r="306" spans="2:5" x14ac:dyDescent="0.3">
      <c r="B306" s="56">
        <v>244</v>
      </c>
      <c r="C306" s="33">
        <v>173.66357430687165</v>
      </c>
      <c r="D306" s="56">
        <f t="shared" si="5"/>
        <v>244</v>
      </c>
      <c r="E306" s="33">
        <v>-122.82890823710753</v>
      </c>
    </row>
    <row r="307" spans="2:5" x14ac:dyDescent="0.3">
      <c r="B307" s="56">
        <v>245</v>
      </c>
      <c r="C307" s="33">
        <v>25.639368492536345</v>
      </c>
      <c r="D307" s="56">
        <f t="shared" si="5"/>
        <v>245</v>
      </c>
      <c r="E307" s="33">
        <v>2.6146222527325165</v>
      </c>
    </row>
    <row r="308" spans="2:5" x14ac:dyDescent="0.3">
      <c r="B308" s="56">
        <v>246</v>
      </c>
      <c r="C308" s="33">
        <v>-54.215349079945703</v>
      </c>
      <c r="D308" s="56">
        <f t="shared" si="5"/>
        <v>246</v>
      </c>
      <c r="E308" s="33">
        <v>-147.83056685993114</v>
      </c>
    </row>
    <row r="309" spans="2:5" x14ac:dyDescent="0.3">
      <c r="B309" s="56">
        <v>247</v>
      </c>
      <c r="C309" s="33">
        <v>-57.960993754987058</v>
      </c>
      <c r="D309" s="56">
        <f t="shared" si="5"/>
        <v>247</v>
      </c>
      <c r="E309" s="33">
        <v>-48.879653593974766</v>
      </c>
    </row>
    <row r="310" spans="2:5" x14ac:dyDescent="0.3">
      <c r="B310" s="56">
        <v>248</v>
      </c>
      <c r="C310" s="33">
        <v>-222.17114705899041</v>
      </c>
      <c r="D310" s="56">
        <f t="shared" si="5"/>
        <v>248</v>
      </c>
      <c r="E310" s="33">
        <v>-154.69609757932793</v>
      </c>
    </row>
    <row r="311" spans="2:5" x14ac:dyDescent="0.3">
      <c r="B311" s="56">
        <v>249</v>
      </c>
      <c r="C311" s="33">
        <v>-38.992540756503153</v>
      </c>
      <c r="D311" s="56">
        <f t="shared" si="5"/>
        <v>249</v>
      </c>
      <c r="E311" s="33">
        <v>-258.56809121960157</v>
      </c>
    </row>
    <row r="312" spans="2:5" x14ac:dyDescent="0.3">
      <c r="B312" s="56">
        <v>250</v>
      </c>
      <c r="C312" s="33">
        <v>100.54287843359931</v>
      </c>
      <c r="D312" s="56">
        <f t="shared" si="5"/>
        <v>250</v>
      </c>
      <c r="E312" s="33">
        <v>-241.34627735619415</v>
      </c>
    </row>
    <row r="313" spans="2:5" x14ac:dyDescent="0.3">
      <c r="B313" s="56">
        <v>251</v>
      </c>
      <c r="C313" s="33">
        <v>-117.67507443401979</v>
      </c>
      <c r="D313" s="56">
        <f t="shared" si="5"/>
        <v>251</v>
      </c>
      <c r="E313" s="33">
        <v>-270.86243688673244</v>
      </c>
    </row>
    <row r="314" spans="2:5" x14ac:dyDescent="0.3">
      <c r="B314" s="56">
        <v>252</v>
      </c>
      <c r="C314" s="33">
        <v>-12.954436763410946</v>
      </c>
      <c r="D314" s="56">
        <f t="shared" si="5"/>
        <v>252</v>
      </c>
      <c r="E314" s="33">
        <v>-175.82961006332681</v>
      </c>
    </row>
    <row r="315" spans="2:5" x14ac:dyDescent="0.3">
      <c r="B315" s="56">
        <v>253</v>
      </c>
      <c r="C315" s="33">
        <v>-224.15339544157411</v>
      </c>
      <c r="D315" s="56">
        <f t="shared" si="5"/>
        <v>253</v>
      </c>
      <c r="E315" s="33">
        <v>-141.51160090135554</v>
      </c>
    </row>
    <row r="316" spans="2:5" x14ac:dyDescent="0.3">
      <c r="B316" s="56">
        <v>254</v>
      </c>
      <c r="C316" s="33">
        <v>-451.95852186661369</v>
      </c>
      <c r="D316" s="56">
        <f t="shared" si="5"/>
        <v>254</v>
      </c>
      <c r="E316" s="33">
        <v>-122.65174106706797</v>
      </c>
    </row>
    <row r="317" spans="2:5" x14ac:dyDescent="0.3">
      <c r="B317" s="56">
        <v>255</v>
      </c>
      <c r="C317" s="33">
        <v>-113.75993048107256</v>
      </c>
      <c r="D317" s="56">
        <f t="shared" si="5"/>
        <v>255</v>
      </c>
      <c r="E317" s="33">
        <v>-261.66565726802799</v>
      </c>
    </row>
    <row r="318" spans="2:5" x14ac:dyDescent="0.3">
      <c r="B318" s="56">
        <v>256</v>
      </c>
      <c r="C318" s="33">
        <v>-611.50768617766676</v>
      </c>
      <c r="D318" s="56">
        <f t="shared" si="5"/>
        <v>256</v>
      </c>
      <c r="E318" s="33">
        <v>9.3061121563476377</v>
      </c>
    </row>
    <row r="319" spans="2:5" x14ac:dyDescent="0.3">
      <c r="B319" s="56">
        <v>257</v>
      </c>
      <c r="C319" s="33">
        <v>92.88119178634669</v>
      </c>
      <c r="D319" s="56">
        <f t="shared" si="5"/>
        <v>257</v>
      </c>
      <c r="E319" s="33">
        <v>-231.92575572791395</v>
      </c>
    </row>
    <row r="320" spans="2:5" x14ac:dyDescent="0.3">
      <c r="B320" s="56">
        <v>258</v>
      </c>
      <c r="C320" s="33">
        <v>279.97473941574964</v>
      </c>
      <c r="D320" s="56">
        <f t="shared" si="5"/>
        <v>258</v>
      </c>
      <c r="E320" s="33">
        <v>-27.037342808690113</v>
      </c>
    </row>
    <row r="321" spans="2:5" x14ac:dyDescent="0.3">
      <c r="B321" s="56">
        <v>259</v>
      </c>
      <c r="C321" s="33">
        <v>154.07142753449421</v>
      </c>
      <c r="D321" s="56">
        <f t="shared" si="5"/>
        <v>259</v>
      </c>
      <c r="E321" s="33">
        <v>-5.2541013259933322</v>
      </c>
    </row>
    <row r="322" spans="2:5" x14ac:dyDescent="0.3">
      <c r="B322" s="56">
        <v>260</v>
      </c>
      <c r="C322" s="33">
        <v>-6.1319335980341414</v>
      </c>
      <c r="D322" s="56">
        <f t="shared" si="5"/>
        <v>260</v>
      </c>
      <c r="E322" s="33">
        <v>248.9454707832617</v>
      </c>
    </row>
    <row r="323" spans="2:5" x14ac:dyDescent="0.3">
      <c r="B323" s="56">
        <v>261</v>
      </c>
      <c r="C323" s="33">
        <v>-14.625381017320514</v>
      </c>
      <c r="D323" s="56">
        <f t="shared" si="5"/>
        <v>261</v>
      </c>
      <c r="E323" s="33">
        <v>135.78764390327404</v>
      </c>
    </row>
    <row r="324" spans="2:5" x14ac:dyDescent="0.3">
      <c r="B324" s="56">
        <v>262</v>
      </c>
      <c r="C324" s="33">
        <v>238.96886153500282</v>
      </c>
      <c r="D324" s="56">
        <f t="shared" si="5"/>
        <v>262</v>
      </c>
      <c r="E324" s="33">
        <v>-133.35339373065503</v>
      </c>
    </row>
    <row r="325" spans="2:5" x14ac:dyDescent="0.3">
      <c r="B325" s="56">
        <v>263</v>
      </c>
      <c r="C325" s="33">
        <v>-61.854336816466201</v>
      </c>
      <c r="D325" s="56">
        <f t="shared" si="5"/>
        <v>263</v>
      </c>
      <c r="E325" s="33">
        <v>-93.172170778680226</v>
      </c>
    </row>
    <row r="326" spans="2:5" x14ac:dyDescent="0.3">
      <c r="B326" s="56">
        <v>264</v>
      </c>
      <c r="C326" s="33">
        <v>-304.93440164519762</v>
      </c>
      <c r="D326" s="56">
        <f t="shared" si="5"/>
        <v>264</v>
      </c>
      <c r="E326" s="33">
        <v>-54.899822936178623</v>
      </c>
    </row>
    <row r="327" spans="2:5" x14ac:dyDescent="0.3">
      <c r="B327" s="56">
        <v>265</v>
      </c>
      <c r="C327" s="33">
        <v>-44.200761027924571</v>
      </c>
      <c r="D327" s="56">
        <f t="shared" si="5"/>
        <v>265</v>
      </c>
      <c r="E327" s="33">
        <v>-334.24239489275033</v>
      </c>
    </row>
    <row r="328" spans="2:5" x14ac:dyDescent="0.3">
      <c r="B328" s="56">
        <v>266</v>
      </c>
      <c r="C328" s="33">
        <v>-0.97090688100748679</v>
      </c>
      <c r="D328" s="56">
        <f t="shared" si="5"/>
        <v>266</v>
      </c>
      <c r="E328" s="33">
        <v>-143.21697771457804</v>
      </c>
    </row>
    <row r="329" spans="2:5" x14ac:dyDescent="0.3">
      <c r="B329" s="56">
        <v>267</v>
      </c>
      <c r="C329" s="33">
        <v>-433.98500649517439</v>
      </c>
      <c r="D329" s="56">
        <f t="shared" si="5"/>
        <v>267</v>
      </c>
      <c r="E329" s="33">
        <v>-286.56676027014373</v>
      </c>
    </row>
    <row r="330" spans="2:5" x14ac:dyDescent="0.3">
      <c r="B330" s="56">
        <v>268</v>
      </c>
      <c r="C330" s="33">
        <v>-232.76738442199303</v>
      </c>
      <c r="D330" s="56">
        <f t="shared" si="5"/>
        <v>268</v>
      </c>
      <c r="E330" s="33">
        <v>-105.39714110503786</v>
      </c>
    </row>
    <row r="331" spans="2:5" x14ac:dyDescent="0.3">
      <c r="B331" s="56">
        <v>269</v>
      </c>
      <c r="C331" s="33">
        <v>-90.87430716773062</v>
      </c>
      <c r="D331" s="56">
        <f t="shared" si="5"/>
        <v>269</v>
      </c>
      <c r="E331" s="33">
        <v>-88.83921416303906</v>
      </c>
    </row>
    <row r="332" spans="2:5" x14ac:dyDescent="0.3">
      <c r="B332" s="56">
        <v>270</v>
      </c>
      <c r="C332" s="33">
        <v>35.472373724840864</v>
      </c>
      <c r="D332" s="56">
        <f t="shared" si="5"/>
        <v>270</v>
      </c>
      <c r="E332" s="33">
        <v>21.589580423111997</v>
      </c>
    </row>
    <row r="333" spans="2:5" x14ac:dyDescent="0.3">
      <c r="B333" s="56">
        <v>271</v>
      </c>
      <c r="C333" s="33">
        <v>-339.41056748192324</v>
      </c>
      <c r="D333" s="56">
        <f t="shared" si="5"/>
        <v>271</v>
      </c>
      <c r="E333" s="33">
        <v>-45.698400886476634</v>
      </c>
    </row>
    <row r="334" spans="2:5" x14ac:dyDescent="0.3">
      <c r="B334" s="56">
        <v>272</v>
      </c>
      <c r="C334" s="33">
        <v>-116.1069439138727</v>
      </c>
      <c r="D334" s="56">
        <f t="shared" si="5"/>
        <v>272</v>
      </c>
      <c r="E334" s="33">
        <v>-162.15196516486174</v>
      </c>
    </row>
    <row r="335" spans="2:5" x14ac:dyDescent="0.3">
      <c r="B335" s="56">
        <v>273</v>
      </c>
      <c r="C335" s="33">
        <v>218.01422814153631</v>
      </c>
      <c r="D335" s="56">
        <f t="shared" si="5"/>
        <v>273</v>
      </c>
      <c r="E335" s="33">
        <v>-324.45000302300696</v>
      </c>
    </row>
    <row r="336" spans="2:5" x14ac:dyDescent="0.3">
      <c r="B336" s="56">
        <v>274</v>
      </c>
      <c r="C336" s="33">
        <v>123.9433606633209</v>
      </c>
      <c r="D336" s="56">
        <f t="shared" si="5"/>
        <v>274</v>
      </c>
      <c r="E336" s="33">
        <v>-254.64228119419531</v>
      </c>
    </row>
    <row r="337" spans="2:5" x14ac:dyDescent="0.3">
      <c r="B337" s="56">
        <v>275</v>
      </c>
      <c r="C337" s="33">
        <v>142.48944985726249</v>
      </c>
      <c r="D337" s="56">
        <f t="shared" si="5"/>
        <v>275</v>
      </c>
      <c r="E337" s="33">
        <v>-306.06076217682539</v>
      </c>
    </row>
    <row r="338" spans="2:5" x14ac:dyDescent="0.3">
      <c r="B338" s="56">
        <v>276</v>
      </c>
      <c r="C338" s="33">
        <v>-78.439252050643915</v>
      </c>
      <c r="D338" s="56">
        <f t="shared" si="5"/>
        <v>276</v>
      </c>
      <c r="E338" s="33">
        <v>-396.78804669870266</v>
      </c>
    </row>
    <row r="339" spans="2:5" x14ac:dyDescent="0.3">
      <c r="B339" s="56">
        <v>277</v>
      </c>
      <c r="C339" s="33">
        <v>-269.77061636565816</v>
      </c>
      <c r="D339" s="56">
        <f t="shared" ref="D339:D402" si="6">B339</f>
        <v>277</v>
      </c>
      <c r="E339" s="33">
        <v>-239.5178872121131</v>
      </c>
    </row>
    <row r="340" spans="2:5" x14ac:dyDescent="0.3">
      <c r="B340" s="56">
        <v>278</v>
      </c>
      <c r="C340" s="33">
        <v>-145.96534161930558</v>
      </c>
      <c r="D340" s="56">
        <f t="shared" si="6"/>
        <v>278</v>
      </c>
      <c r="E340" s="33">
        <v>-51.150317962786943</v>
      </c>
    </row>
    <row r="341" spans="2:5" x14ac:dyDescent="0.3">
      <c r="B341" s="56">
        <v>279</v>
      </c>
      <c r="C341" s="33">
        <v>61.126564440810213</v>
      </c>
      <c r="D341" s="56">
        <f t="shared" si="6"/>
        <v>279</v>
      </c>
      <c r="E341" s="33">
        <v>-41.072106683574816</v>
      </c>
    </row>
    <row r="342" spans="2:5" x14ac:dyDescent="0.3">
      <c r="B342" s="56">
        <v>280</v>
      </c>
      <c r="C342" s="33">
        <v>-114.93356303613672</v>
      </c>
      <c r="D342" s="56">
        <f t="shared" si="6"/>
        <v>280</v>
      </c>
      <c r="E342" s="33">
        <v>-412.82336832232443</v>
      </c>
    </row>
    <row r="343" spans="2:5" x14ac:dyDescent="0.3">
      <c r="B343" s="56">
        <v>281</v>
      </c>
      <c r="C343" s="33">
        <v>-272.44117404718031</v>
      </c>
      <c r="D343" s="56">
        <f t="shared" si="6"/>
        <v>281</v>
      </c>
      <c r="E343" s="33">
        <v>-143.61945781877898</v>
      </c>
    </row>
    <row r="344" spans="2:5" x14ac:dyDescent="0.3">
      <c r="B344" s="56">
        <v>282</v>
      </c>
      <c r="C344" s="33">
        <v>5.922285747408143</v>
      </c>
      <c r="D344" s="56">
        <f t="shared" si="6"/>
        <v>282</v>
      </c>
      <c r="E344" s="33">
        <v>-197.41635355543605</v>
      </c>
    </row>
    <row r="345" spans="2:5" x14ac:dyDescent="0.3">
      <c r="B345" s="56">
        <v>283</v>
      </c>
      <c r="C345" s="33">
        <v>-70.234913002374512</v>
      </c>
      <c r="D345" s="56">
        <f t="shared" si="6"/>
        <v>283</v>
      </c>
      <c r="E345" s="33">
        <v>29.539933926274621</v>
      </c>
    </row>
    <row r="346" spans="2:5" x14ac:dyDescent="0.3">
      <c r="B346" s="56">
        <v>284</v>
      </c>
      <c r="C346" s="33">
        <v>13.20008749937962</v>
      </c>
      <c r="D346" s="56">
        <f t="shared" si="6"/>
        <v>284</v>
      </c>
      <c r="E346" s="33">
        <v>-28.785992233981631</v>
      </c>
    </row>
    <row r="347" spans="2:5" x14ac:dyDescent="0.3">
      <c r="B347" s="56">
        <v>285</v>
      </c>
      <c r="C347" s="33">
        <v>19.861710834412179</v>
      </c>
      <c r="D347" s="56">
        <f t="shared" si="6"/>
        <v>285</v>
      </c>
      <c r="E347" s="33">
        <v>-201.01374565881869</v>
      </c>
    </row>
    <row r="348" spans="2:5" x14ac:dyDescent="0.3">
      <c r="B348" s="56">
        <v>286</v>
      </c>
      <c r="C348" s="33">
        <v>-46.591641918106959</v>
      </c>
      <c r="D348" s="56">
        <f t="shared" si="6"/>
        <v>286</v>
      </c>
      <c r="E348" s="33">
        <v>-161.58930534868733</v>
      </c>
    </row>
    <row r="349" spans="2:5" x14ac:dyDescent="0.3">
      <c r="B349" s="56">
        <v>287</v>
      </c>
      <c r="C349" s="33">
        <v>18.950035621427446</v>
      </c>
      <c r="D349" s="56">
        <f t="shared" si="6"/>
        <v>287</v>
      </c>
      <c r="E349" s="33">
        <v>-49.627847278746259</v>
      </c>
    </row>
    <row r="350" spans="2:5" x14ac:dyDescent="0.3">
      <c r="B350" s="56">
        <v>288</v>
      </c>
      <c r="C350" s="33">
        <v>-133.66209035824747</v>
      </c>
      <c r="D350" s="56">
        <f t="shared" si="6"/>
        <v>288</v>
      </c>
      <c r="E350" s="33">
        <v>-316.91292468065581</v>
      </c>
    </row>
    <row r="351" spans="2:5" x14ac:dyDescent="0.3">
      <c r="B351" s="56">
        <v>289</v>
      </c>
      <c r="C351" s="33">
        <v>173.02034764443556</v>
      </c>
      <c r="D351" s="56">
        <f t="shared" si="6"/>
        <v>289</v>
      </c>
      <c r="E351" s="33">
        <v>-92.159226215267395</v>
      </c>
    </row>
    <row r="352" spans="2:5" x14ac:dyDescent="0.3">
      <c r="B352" s="56">
        <v>290</v>
      </c>
      <c r="C352" s="33">
        <v>108.96884874167411</v>
      </c>
      <c r="D352" s="56">
        <f t="shared" si="6"/>
        <v>290</v>
      </c>
      <c r="E352" s="33">
        <v>-269.33580379172383</v>
      </c>
    </row>
    <row r="353" spans="2:5" x14ac:dyDescent="0.3">
      <c r="B353" s="56">
        <v>291</v>
      </c>
      <c r="C353" s="33">
        <v>-333.84340415477413</v>
      </c>
      <c r="D353" s="56">
        <f t="shared" si="6"/>
        <v>291</v>
      </c>
      <c r="E353" s="33">
        <v>-171.07821288942898</v>
      </c>
    </row>
    <row r="354" spans="2:5" x14ac:dyDescent="0.3">
      <c r="B354" s="56">
        <v>292</v>
      </c>
      <c r="C354" s="33">
        <v>60.906499373440049</v>
      </c>
      <c r="D354" s="56">
        <f t="shared" si="6"/>
        <v>292</v>
      </c>
      <c r="E354" s="33">
        <v>-50.103063372476726</v>
      </c>
    </row>
    <row r="355" spans="2:5" x14ac:dyDescent="0.3">
      <c r="B355" s="56">
        <v>293</v>
      </c>
      <c r="C355" s="33">
        <v>-66.625532723923698</v>
      </c>
      <c r="D355" s="56">
        <f t="shared" si="6"/>
        <v>293</v>
      </c>
      <c r="E355" s="33">
        <v>-190.78686273975606</v>
      </c>
    </row>
    <row r="356" spans="2:5" x14ac:dyDescent="0.3">
      <c r="B356" s="56">
        <v>294</v>
      </c>
      <c r="C356" s="33">
        <v>-143.4203068059432</v>
      </c>
      <c r="D356" s="56">
        <f t="shared" si="6"/>
        <v>294</v>
      </c>
      <c r="E356" s="33">
        <v>159.00267699729628</v>
      </c>
    </row>
    <row r="357" spans="2:5" x14ac:dyDescent="0.3">
      <c r="B357" s="56">
        <v>295</v>
      </c>
      <c r="C357" s="33">
        <v>67.556342163558554</v>
      </c>
      <c r="D357" s="56">
        <f t="shared" si="6"/>
        <v>295</v>
      </c>
      <c r="E357" s="33">
        <v>-255.09918265437886</v>
      </c>
    </row>
    <row r="358" spans="2:5" x14ac:dyDescent="0.3">
      <c r="B358" s="56">
        <v>296</v>
      </c>
      <c r="C358" s="33">
        <v>-200.52295322698939</v>
      </c>
      <c r="D358" s="56">
        <f t="shared" si="6"/>
        <v>296</v>
      </c>
      <c r="E358" s="33">
        <v>-170.07230536790016</v>
      </c>
    </row>
    <row r="359" spans="2:5" x14ac:dyDescent="0.3">
      <c r="B359" s="56">
        <v>297</v>
      </c>
      <c r="C359" s="33">
        <v>93.90627135685024</v>
      </c>
      <c r="D359" s="56">
        <f t="shared" si="6"/>
        <v>297</v>
      </c>
      <c r="E359" s="33">
        <v>-75.050766694296954</v>
      </c>
    </row>
    <row r="360" spans="2:5" x14ac:dyDescent="0.3">
      <c r="B360" s="56">
        <v>298</v>
      </c>
      <c r="C360" s="33">
        <v>110.11054457873882</v>
      </c>
      <c r="D360" s="56">
        <f t="shared" si="6"/>
        <v>298</v>
      </c>
      <c r="E360" s="33">
        <v>-3.6247346463562167</v>
      </c>
    </row>
    <row r="361" spans="2:5" x14ac:dyDescent="0.3">
      <c r="B361" s="56">
        <v>299</v>
      </c>
      <c r="C361" s="33">
        <v>117.38803111922117</v>
      </c>
      <c r="D361" s="56">
        <f t="shared" si="6"/>
        <v>299</v>
      </c>
      <c r="E361" s="33">
        <v>-315.26651225946921</v>
      </c>
    </row>
    <row r="362" spans="2:5" x14ac:dyDescent="0.3">
      <c r="B362" s="56">
        <v>300</v>
      </c>
      <c r="C362" s="33">
        <v>-377.06692670362713</v>
      </c>
      <c r="D362" s="56">
        <f t="shared" si="6"/>
        <v>300</v>
      </c>
      <c r="E362" s="33">
        <v>-262.00833664323943</v>
      </c>
    </row>
    <row r="363" spans="2:5" x14ac:dyDescent="0.3">
      <c r="B363" s="56">
        <v>301</v>
      </c>
      <c r="C363" s="33">
        <v>-12.969736164390437</v>
      </c>
      <c r="D363" s="56">
        <f t="shared" si="6"/>
        <v>301</v>
      </c>
      <c r="E363" s="33">
        <v>-153.5208911129204</v>
      </c>
    </row>
    <row r="364" spans="2:5" x14ac:dyDescent="0.3">
      <c r="B364" s="56">
        <v>302</v>
      </c>
      <c r="C364" s="33">
        <v>-261.75552346252255</v>
      </c>
      <c r="D364" s="56">
        <f t="shared" si="6"/>
        <v>302</v>
      </c>
      <c r="E364" s="33">
        <v>-204.39880667778993</v>
      </c>
    </row>
    <row r="365" spans="2:5" x14ac:dyDescent="0.3">
      <c r="B365" s="56">
        <v>303</v>
      </c>
      <c r="C365" s="33">
        <v>322.70307908543037</v>
      </c>
      <c r="D365" s="56">
        <f t="shared" si="6"/>
        <v>303</v>
      </c>
      <c r="E365" s="33">
        <v>-167.95384270693194</v>
      </c>
    </row>
    <row r="366" spans="2:5" x14ac:dyDescent="0.3">
      <c r="B366" s="56">
        <v>304</v>
      </c>
      <c r="C366" s="33">
        <v>127.28154986366198</v>
      </c>
      <c r="D366" s="56">
        <f t="shared" si="6"/>
        <v>304</v>
      </c>
      <c r="E366" s="33">
        <v>-320.19204061850212</v>
      </c>
    </row>
    <row r="367" spans="2:5" x14ac:dyDescent="0.3">
      <c r="B367" s="56">
        <v>305</v>
      </c>
      <c r="C367" s="33">
        <v>151.68938011290123</v>
      </c>
      <c r="D367" s="56">
        <f t="shared" si="6"/>
        <v>305</v>
      </c>
      <c r="E367" s="33">
        <v>-117.50120048921514</v>
      </c>
    </row>
    <row r="368" spans="2:5" x14ac:dyDescent="0.3">
      <c r="B368" s="56">
        <v>306</v>
      </c>
      <c r="C368" s="33">
        <v>-114.93452968003473</v>
      </c>
      <c r="D368" s="56">
        <f t="shared" si="6"/>
        <v>306</v>
      </c>
      <c r="E368" s="33">
        <v>91.60486679435877</v>
      </c>
    </row>
    <row r="369" spans="2:5" x14ac:dyDescent="0.3">
      <c r="B369" s="56">
        <v>307</v>
      </c>
      <c r="C369" s="33">
        <v>-49.877780933583736</v>
      </c>
      <c r="D369" s="56">
        <f t="shared" si="6"/>
        <v>307</v>
      </c>
      <c r="E369" s="33">
        <v>-211.58817083260249</v>
      </c>
    </row>
    <row r="370" spans="2:5" x14ac:dyDescent="0.3">
      <c r="B370" s="56">
        <v>308</v>
      </c>
      <c r="C370" s="33">
        <v>247.48975662346265</v>
      </c>
      <c r="D370" s="56">
        <f t="shared" si="6"/>
        <v>308</v>
      </c>
      <c r="E370" s="33">
        <v>-45.279934481105599</v>
      </c>
    </row>
    <row r="371" spans="2:5" x14ac:dyDescent="0.3">
      <c r="B371" s="56">
        <v>309</v>
      </c>
      <c r="C371" s="33">
        <v>29.881582861675309</v>
      </c>
      <c r="D371" s="56">
        <f t="shared" si="6"/>
        <v>309</v>
      </c>
      <c r="E371" s="33">
        <v>-76.731774200497128</v>
      </c>
    </row>
    <row r="372" spans="2:5" x14ac:dyDescent="0.3">
      <c r="B372" s="56">
        <v>310</v>
      </c>
      <c r="C372" s="33">
        <v>74.215781840492198</v>
      </c>
      <c r="D372" s="56">
        <f t="shared" si="6"/>
        <v>310</v>
      </c>
      <c r="E372" s="33">
        <v>-300.56695096771847</v>
      </c>
    </row>
    <row r="373" spans="2:5" x14ac:dyDescent="0.3">
      <c r="B373" s="56">
        <v>311</v>
      </c>
      <c r="C373" s="33">
        <v>-81.141413155873281</v>
      </c>
      <c r="D373" s="56">
        <f t="shared" si="6"/>
        <v>311</v>
      </c>
      <c r="E373" s="33">
        <v>-119.67329751637256</v>
      </c>
    </row>
    <row r="374" spans="2:5" x14ac:dyDescent="0.3">
      <c r="B374" s="56">
        <v>312</v>
      </c>
      <c r="C374" s="33">
        <v>55.16512715089123</v>
      </c>
      <c r="D374" s="56">
        <f t="shared" si="6"/>
        <v>312</v>
      </c>
      <c r="E374" s="33">
        <v>-222.01162634822089</v>
      </c>
    </row>
    <row r="375" spans="2:5" x14ac:dyDescent="0.3">
      <c r="B375" s="56">
        <v>313</v>
      </c>
      <c r="C375" s="33">
        <v>-12.684805612822444</v>
      </c>
      <c r="D375" s="56">
        <f t="shared" si="6"/>
        <v>313</v>
      </c>
      <c r="E375" s="33">
        <v>-30.958351504818978</v>
      </c>
    </row>
    <row r="376" spans="2:5" x14ac:dyDescent="0.3">
      <c r="B376" s="56">
        <v>314</v>
      </c>
      <c r="C376" s="33">
        <v>325.17692858804804</v>
      </c>
      <c r="D376" s="56">
        <f t="shared" si="6"/>
        <v>314</v>
      </c>
      <c r="E376" s="33">
        <v>-235.12608122320842</v>
      </c>
    </row>
    <row r="377" spans="2:5" x14ac:dyDescent="0.3">
      <c r="B377" s="56">
        <v>315</v>
      </c>
      <c r="C377" s="33">
        <v>140.31397047030012</v>
      </c>
      <c r="D377" s="56">
        <f t="shared" si="6"/>
        <v>315</v>
      </c>
      <c r="E377" s="33">
        <v>-198.73868706527099</v>
      </c>
    </row>
    <row r="378" spans="2:5" x14ac:dyDescent="0.3">
      <c r="B378" s="56">
        <v>316</v>
      </c>
      <c r="C378" s="33">
        <v>-186.02437403905245</v>
      </c>
      <c r="D378" s="56">
        <f t="shared" si="6"/>
        <v>316</v>
      </c>
      <c r="E378" s="33">
        <v>129.50409934879585</v>
      </c>
    </row>
    <row r="379" spans="2:5" x14ac:dyDescent="0.3">
      <c r="B379" s="56">
        <v>317</v>
      </c>
      <c r="C379" s="33">
        <v>-160.86044743529243</v>
      </c>
      <c r="D379" s="56">
        <f t="shared" si="6"/>
        <v>317</v>
      </c>
      <c r="E379" s="33">
        <v>-86.858838715433762</v>
      </c>
    </row>
    <row r="380" spans="2:5" x14ac:dyDescent="0.3">
      <c r="B380" s="56">
        <v>318</v>
      </c>
      <c r="C380" s="33">
        <v>-88.971022077955141</v>
      </c>
      <c r="D380" s="56">
        <f t="shared" si="6"/>
        <v>318</v>
      </c>
      <c r="E380" s="33">
        <v>82.871924512501138</v>
      </c>
    </row>
    <row r="381" spans="2:5" x14ac:dyDescent="0.3">
      <c r="B381" s="56">
        <v>319</v>
      </c>
      <c r="C381" s="33">
        <v>-260.29624813005643</v>
      </c>
      <c r="D381" s="56">
        <f t="shared" si="6"/>
        <v>319</v>
      </c>
      <c r="E381" s="33">
        <v>-216.9422447444162</v>
      </c>
    </row>
    <row r="382" spans="2:5" x14ac:dyDescent="0.3">
      <c r="B382" s="56">
        <v>320</v>
      </c>
      <c r="C382" s="33">
        <v>-84.853592940281814</v>
      </c>
      <c r="D382" s="56">
        <f t="shared" si="6"/>
        <v>320</v>
      </c>
      <c r="E382" s="33">
        <v>47.46814759595982</v>
      </c>
    </row>
    <row r="383" spans="2:5" x14ac:dyDescent="0.3">
      <c r="B383" s="56">
        <v>321</v>
      </c>
      <c r="C383" s="33">
        <v>-535.84779878712811</v>
      </c>
      <c r="D383" s="56">
        <f t="shared" si="6"/>
        <v>321</v>
      </c>
      <c r="E383" s="33">
        <v>34.953511558399114</v>
      </c>
    </row>
    <row r="384" spans="2:5" x14ac:dyDescent="0.3">
      <c r="B384" s="56">
        <v>322</v>
      </c>
      <c r="C384" s="33">
        <v>88.92819814348718</v>
      </c>
      <c r="D384" s="56">
        <f t="shared" si="6"/>
        <v>322</v>
      </c>
      <c r="E384" s="33">
        <v>-79.271715844614988</v>
      </c>
    </row>
    <row r="385" spans="2:5" x14ac:dyDescent="0.3">
      <c r="B385" s="56">
        <v>323</v>
      </c>
      <c r="C385" s="33">
        <v>-156.45288868594463</v>
      </c>
      <c r="D385" s="56">
        <f t="shared" si="6"/>
        <v>323</v>
      </c>
      <c r="E385" s="33">
        <v>-91.324689336285672</v>
      </c>
    </row>
    <row r="386" spans="2:5" x14ac:dyDescent="0.3">
      <c r="B386" s="56">
        <v>324</v>
      </c>
      <c r="C386" s="33">
        <v>-477.76997538481578</v>
      </c>
      <c r="D386" s="56">
        <f t="shared" si="6"/>
        <v>324</v>
      </c>
      <c r="E386" s="33">
        <v>-146.70159103903876</v>
      </c>
    </row>
    <row r="387" spans="2:5" x14ac:dyDescent="0.3">
      <c r="B387" s="56">
        <v>325</v>
      </c>
      <c r="C387" s="33">
        <v>-131.56910313888702</v>
      </c>
      <c r="D387" s="56">
        <f t="shared" si="6"/>
        <v>325</v>
      </c>
      <c r="E387" s="33">
        <v>-141.04148098105534</v>
      </c>
    </row>
    <row r="388" spans="2:5" x14ac:dyDescent="0.3">
      <c r="B388" s="56">
        <v>326</v>
      </c>
      <c r="C388" s="33">
        <v>92.303322547454741</v>
      </c>
      <c r="D388" s="56">
        <f t="shared" si="6"/>
        <v>326</v>
      </c>
      <c r="E388" s="33">
        <v>-98.881243489143429</v>
      </c>
    </row>
    <row r="389" spans="2:5" x14ac:dyDescent="0.3">
      <c r="B389" s="56">
        <v>327</v>
      </c>
      <c r="C389" s="33">
        <v>-65.476971715825272</v>
      </c>
      <c r="D389" s="56">
        <f t="shared" si="6"/>
        <v>327</v>
      </c>
      <c r="E389" s="33">
        <v>55.599130734862086</v>
      </c>
    </row>
    <row r="390" spans="2:5" x14ac:dyDescent="0.3">
      <c r="B390" s="56">
        <v>328</v>
      </c>
      <c r="C390" s="33">
        <v>-62.523864936567712</v>
      </c>
      <c r="D390" s="56">
        <f t="shared" si="6"/>
        <v>328</v>
      </c>
      <c r="E390" s="33">
        <v>-86.250355466375751</v>
      </c>
    </row>
    <row r="391" spans="2:5" x14ac:dyDescent="0.3">
      <c r="B391" s="56">
        <v>329</v>
      </c>
      <c r="C391" s="33">
        <v>-334.84676918101928</v>
      </c>
      <c r="D391" s="56">
        <f t="shared" si="6"/>
        <v>329</v>
      </c>
      <c r="E391" s="33">
        <v>-115.54152808832524</v>
      </c>
    </row>
    <row r="392" spans="2:5" x14ac:dyDescent="0.3">
      <c r="B392" s="56">
        <v>330</v>
      </c>
      <c r="C392" s="33">
        <v>310.77825961404835</v>
      </c>
      <c r="D392" s="56">
        <f t="shared" si="6"/>
        <v>330</v>
      </c>
      <c r="E392" s="33">
        <v>-259.36650127551906</v>
      </c>
    </row>
    <row r="393" spans="2:5" x14ac:dyDescent="0.3">
      <c r="B393" s="56">
        <v>331</v>
      </c>
      <c r="C393" s="33">
        <v>-67.717514747750542</v>
      </c>
      <c r="D393" s="56">
        <f t="shared" si="6"/>
        <v>331</v>
      </c>
      <c r="E393" s="33">
        <v>-175.04888291003425</v>
      </c>
    </row>
    <row r="394" spans="2:5" x14ac:dyDescent="0.3">
      <c r="B394" s="56">
        <v>332</v>
      </c>
      <c r="C394" s="33">
        <v>-142.98117727663339</v>
      </c>
      <c r="D394" s="56">
        <f t="shared" si="6"/>
        <v>332</v>
      </c>
      <c r="E394" s="33">
        <v>-72.999325493309328</v>
      </c>
    </row>
    <row r="395" spans="2:5" x14ac:dyDescent="0.3">
      <c r="B395" s="56">
        <v>333</v>
      </c>
      <c r="C395" s="33">
        <v>61.705514998912577</v>
      </c>
      <c r="D395" s="56">
        <f t="shared" si="6"/>
        <v>333</v>
      </c>
      <c r="E395" s="33">
        <v>-277.03955056044691</v>
      </c>
    </row>
    <row r="396" spans="2:5" x14ac:dyDescent="0.3">
      <c r="B396" s="56">
        <v>334</v>
      </c>
      <c r="C396" s="33">
        <v>-198.53880528855876</v>
      </c>
      <c r="D396" s="56">
        <f t="shared" si="6"/>
        <v>334</v>
      </c>
      <c r="E396" s="33">
        <v>-125.46281683087919</v>
      </c>
    </row>
    <row r="397" spans="2:5" x14ac:dyDescent="0.3">
      <c r="B397" s="56">
        <v>335</v>
      </c>
      <c r="C397" s="33">
        <v>167.99124761545932</v>
      </c>
      <c r="D397" s="56">
        <f t="shared" si="6"/>
        <v>335</v>
      </c>
      <c r="E397" s="33">
        <v>-238.25967351785613</v>
      </c>
    </row>
    <row r="398" spans="2:5" x14ac:dyDescent="0.3">
      <c r="B398" s="56">
        <v>336</v>
      </c>
      <c r="C398" s="33">
        <v>-97.845899654903207</v>
      </c>
      <c r="D398" s="56">
        <f t="shared" si="6"/>
        <v>336</v>
      </c>
      <c r="E398" s="33">
        <v>-163.23126689249824</v>
      </c>
    </row>
    <row r="399" spans="2:5" x14ac:dyDescent="0.3">
      <c r="B399" s="56">
        <v>337</v>
      </c>
      <c r="C399" s="33">
        <v>241.1815223455252</v>
      </c>
      <c r="D399" s="56">
        <f t="shared" si="6"/>
        <v>337</v>
      </c>
      <c r="E399" s="33">
        <v>-3.7039468937419429</v>
      </c>
    </row>
    <row r="400" spans="2:5" x14ac:dyDescent="0.3">
      <c r="B400" s="56">
        <v>338</v>
      </c>
      <c r="C400" s="33">
        <v>-231.80243917625523</v>
      </c>
      <c r="D400" s="56">
        <f t="shared" si="6"/>
        <v>338</v>
      </c>
      <c r="E400" s="33">
        <v>-441.80040275032667</v>
      </c>
    </row>
    <row r="401" spans="2:5" x14ac:dyDescent="0.3">
      <c r="B401" s="56">
        <v>339</v>
      </c>
      <c r="C401" s="33">
        <v>-111.417054482316</v>
      </c>
      <c r="D401" s="56">
        <f t="shared" si="6"/>
        <v>339</v>
      </c>
      <c r="E401" s="33">
        <v>39.934743264421691</v>
      </c>
    </row>
    <row r="402" spans="2:5" x14ac:dyDescent="0.3">
      <c r="B402" s="56">
        <v>340</v>
      </c>
      <c r="C402" s="33">
        <v>-371.05136540570595</v>
      </c>
      <c r="D402" s="56">
        <f t="shared" si="6"/>
        <v>340</v>
      </c>
      <c r="E402" s="33">
        <v>-101.42497046514123</v>
      </c>
    </row>
    <row r="403" spans="2:5" x14ac:dyDescent="0.3">
      <c r="B403" s="56">
        <v>341</v>
      </c>
      <c r="C403" s="33">
        <v>-128.12661246893978</v>
      </c>
      <c r="D403" s="56">
        <f t="shared" ref="D403:D466" si="7">B403</f>
        <v>341</v>
      </c>
      <c r="E403" s="33">
        <v>-156.46721459191036</v>
      </c>
    </row>
    <row r="404" spans="2:5" x14ac:dyDescent="0.3">
      <c r="B404" s="56">
        <v>342</v>
      </c>
      <c r="C404" s="33">
        <v>-280.38838953650196</v>
      </c>
      <c r="D404" s="56">
        <f t="shared" si="7"/>
        <v>342</v>
      </c>
      <c r="E404" s="33">
        <v>-155.06265681649782</v>
      </c>
    </row>
    <row r="405" spans="2:5" x14ac:dyDescent="0.3">
      <c r="B405" s="56">
        <v>343</v>
      </c>
      <c r="C405" s="33">
        <v>-222.41942521973698</v>
      </c>
      <c r="D405" s="56">
        <f t="shared" si="7"/>
        <v>343</v>
      </c>
      <c r="E405" s="33">
        <v>-110.83510351458334</v>
      </c>
    </row>
    <row r="406" spans="2:5" x14ac:dyDescent="0.3">
      <c r="B406" s="56">
        <v>344</v>
      </c>
      <c r="C406" s="33">
        <v>-279.30173216350732</v>
      </c>
      <c r="D406" s="56">
        <f t="shared" si="7"/>
        <v>344</v>
      </c>
      <c r="E406" s="33">
        <v>-258.33325734302184</v>
      </c>
    </row>
    <row r="407" spans="2:5" x14ac:dyDescent="0.3">
      <c r="B407" s="56">
        <v>345</v>
      </c>
      <c r="C407" s="33">
        <v>-160.59610320243922</v>
      </c>
      <c r="D407" s="56">
        <f t="shared" si="7"/>
        <v>345</v>
      </c>
      <c r="E407" s="33">
        <v>-462.44052850342109</v>
      </c>
    </row>
    <row r="408" spans="2:5" x14ac:dyDescent="0.3">
      <c r="B408" s="56">
        <v>346</v>
      </c>
      <c r="C408" s="33">
        <v>-309.83268693980739</v>
      </c>
      <c r="D408" s="56">
        <f t="shared" si="7"/>
        <v>346</v>
      </c>
      <c r="E408" s="33">
        <v>-275.90464959227597</v>
      </c>
    </row>
    <row r="409" spans="2:5" x14ac:dyDescent="0.3">
      <c r="B409" s="56">
        <v>347</v>
      </c>
      <c r="C409" s="33">
        <v>-64.183238275249721</v>
      </c>
      <c r="D409" s="56">
        <f t="shared" si="7"/>
        <v>347</v>
      </c>
      <c r="E409" s="33">
        <v>26.989997279560498</v>
      </c>
    </row>
    <row r="410" spans="2:5" x14ac:dyDescent="0.3">
      <c r="B410" s="56">
        <v>348</v>
      </c>
      <c r="C410" s="33">
        <v>-76.854036411069188</v>
      </c>
      <c r="D410" s="56">
        <f t="shared" si="7"/>
        <v>348</v>
      </c>
      <c r="E410" s="33">
        <v>157.95225270315652</v>
      </c>
    </row>
    <row r="411" spans="2:5" x14ac:dyDescent="0.3">
      <c r="B411" s="56">
        <v>349</v>
      </c>
      <c r="C411" s="33">
        <v>-364.34837495135258</v>
      </c>
      <c r="D411" s="56">
        <f t="shared" si="7"/>
        <v>349</v>
      </c>
      <c r="E411" s="33">
        <v>-131.40488003960675</v>
      </c>
    </row>
    <row r="412" spans="2:5" x14ac:dyDescent="0.3">
      <c r="B412" s="56">
        <v>350</v>
      </c>
      <c r="C412" s="33">
        <v>196.56893841068583</v>
      </c>
      <c r="D412" s="56">
        <f t="shared" si="7"/>
        <v>350</v>
      </c>
      <c r="E412" s="33">
        <v>-39.59989527533935</v>
      </c>
    </row>
    <row r="413" spans="2:5" x14ac:dyDescent="0.3">
      <c r="B413" s="56">
        <v>351</v>
      </c>
      <c r="C413" s="33">
        <v>-147.37219663716732</v>
      </c>
      <c r="D413" s="56">
        <f t="shared" si="7"/>
        <v>351</v>
      </c>
      <c r="E413" s="33">
        <v>-229.89904575102733</v>
      </c>
    </row>
    <row r="414" spans="2:5" x14ac:dyDescent="0.3">
      <c r="B414" s="56">
        <v>352</v>
      </c>
      <c r="C414" s="33">
        <v>-147.31128436381599</v>
      </c>
      <c r="D414" s="56">
        <f t="shared" si="7"/>
        <v>352</v>
      </c>
      <c r="E414" s="33">
        <v>166.16112257936794</v>
      </c>
    </row>
    <row r="415" spans="2:5" x14ac:dyDescent="0.3">
      <c r="B415" s="56">
        <v>353</v>
      </c>
      <c r="C415" s="33">
        <v>117.35846399216504</v>
      </c>
      <c r="D415" s="56">
        <f t="shared" si="7"/>
        <v>353</v>
      </c>
      <c r="E415" s="33">
        <v>-193.41163731843957</v>
      </c>
    </row>
    <row r="416" spans="2:5" x14ac:dyDescent="0.3">
      <c r="B416" s="56">
        <v>354</v>
      </c>
      <c r="C416" s="33">
        <v>141.80105084827304</v>
      </c>
      <c r="D416" s="56">
        <f t="shared" si="7"/>
        <v>354</v>
      </c>
      <c r="E416" s="33">
        <v>10.270832834885297</v>
      </c>
    </row>
    <row r="417" spans="2:5" x14ac:dyDescent="0.3">
      <c r="B417" s="56">
        <v>355</v>
      </c>
      <c r="C417" s="33">
        <v>-215.3910037057733</v>
      </c>
      <c r="D417" s="56">
        <f t="shared" si="7"/>
        <v>355</v>
      </c>
      <c r="E417" s="33">
        <v>-80.115782333770994</v>
      </c>
    </row>
    <row r="418" spans="2:5" x14ac:dyDescent="0.3">
      <c r="B418" s="56">
        <v>356</v>
      </c>
      <c r="C418" s="33">
        <v>21.429771443322018</v>
      </c>
      <c r="D418" s="56">
        <f t="shared" si="7"/>
        <v>356</v>
      </c>
      <c r="E418" s="33">
        <v>-148.13163074258716</v>
      </c>
    </row>
    <row r="419" spans="2:5" x14ac:dyDescent="0.3">
      <c r="B419" s="56">
        <v>357</v>
      </c>
      <c r="C419" s="33">
        <v>-214.85342370679297</v>
      </c>
      <c r="D419" s="56">
        <f t="shared" si="7"/>
        <v>357</v>
      </c>
      <c r="E419" s="33">
        <v>-362.32856385983905</v>
      </c>
    </row>
    <row r="420" spans="2:5" x14ac:dyDescent="0.3">
      <c r="B420" s="56">
        <v>358</v>
      </c>
      <c r="C420" s="33">
        <v>231.58063623198194</v>
      </c>
      <c r="D420" s="56">
        <f t="shared" si="7"/>
        <v>358</v>
      </c>
      <c r="E420" s="33">
        <v>-212.09677918694183</v>
      </c>
    </row>
    <row r="421" spans="2:5" x14ac:dyDescent="0.3">
      <c r="B421" s="56">
        <v>359</v>
      </c>
      <c r="C421" s="33">
        <v>-2.3761727928223024</v>
      </c>
      <c r="D421" s="56">
        <f t="shared" si="7"/>
        <v>359</v>
      </c>
      <c r="E421" s="33">
        <v>-291.26553566878329</v>
      </c>
    </row>
    <row r="422" spans="2:5" x14ac:dyDescent="0.3">
      <c r="B422" s="56">
        <v>360</v>
      </c>
      <c r="C422" s="33">
        <v>72.326452951521247</v>
      </c>
      <c r="D422" s="56">
        <f t="shared" si="7"/>
        <v>360</v>
      </c>
      <c r="E422" s="33">
        <v>-75.254551172143351</v>
      </c>
    </row>
    <row r="423" spans="2:5" x14ac:dyDescent="0.3">
      <c r="B423" s="56">
        <v>361</v>
      </c>
      <c r="C423" s="33">
        <v>-6.0598497816435781</v>
      </c>
      <c r="D423" s="56">
        <f t="shared" si="7"/>
        <v>361</v>
      </c>
      <c r="E423" s="33">
        <v>-390.84944975304103</v>
      </c>
    </row>
    <row r="424" spans="2:5" x14ac:dyDescent="0.3">
      <c r="B424" s="56">
        <v>362</v>
      </c>
      <c r="C424" s="33">
        <v>-272.27385160957567</v>
      </c>
      <c r="D424" s="56">
        <f t="shared" si="7"/>
        <v>362</v>
      </c>
      <c r="E424" s="33">
        <v>-89.447164546159769</v>
      </c>
    </row>
    <row r="425" spans="2:5" x14ac:dyDescent="0.3">
      <c r="B425" s="56">
        <v>363</v>
      </c>
      <c r="C425" s="33">
        <v>-287.35279628814851</v>
      </c>
      <c r="D425" s="56">
        <f t="shared" si="7"/>
        <v>363</v>
      </c>
      <c r="E425" s="33">
        <v>-228.33276560650739</v>
      </c>
    </row>
    <row r="426" spans="2:5" x14ac:dyDescent="0.3">
      <c r="B426" s="56">
        <v>364</v>
      </c>
      <c r="C426" s="33">
        <v>-88.328962376777582</v>
      </c>
      <c r="D426" s="56">
        <f t="shared" si="7"/>
        <v>364</v>
      </c>
      <c r="E426" s="33">
        <v>-178.26747291419349</v>
      </c>
    </row>
    <row r="427" spans="2:5" x14ac:dyDescent="0.3">
      <c r="B427" s="56">
        <v>365</v>
      </c>
      <c r="C427" s="33">
        <v>-125.41779128918702</v>
      </c>
      <c r="D427" s="56">
        <f t="shared" si="7"/>
        <v>365</v>
      </c>
      <c r="E427" s="33">
        <v>-225.08800989393723</v>
      </c>
    </row>
    <row r="428" spans="2:5" x14ac:dyDescent="0.3">
      <c r="B428" s="56">
        <v>366</v>
      </c>
      <c r="C428" s="33">
        <v>-44.270605383844618</v>
      </c>
      <c r="D428" s="56">
        <f t="shared" si="7"/>
        <v>366</v>
      </c>
      <c r="E428" s="33">
        <v>-2.2735351361765197</v>
      </c>
    </row>
    <row r="429" spans="2:5" x14ac:dyDescent="0.3">
      <c r="B429" s="56">
        <v>367</v>
      </c>
      <c r="C429" s="33">
        <v>-102.82665971997875</v>
      </c>
      <c r="D429" s="56">
        <f t="shared" si="7"/>
        <v>367</v>
      </c>
      <c r="E429" s="33">
        <v>144.48172481561352</v>
      </c>
    </row>
    <row r="430" spans="2:5" x14ac:dyDescent="0.3">
      <c r="B430" s="56">
        <v>368</v>
      </c>
      <c r="C430" s="33">
        <v>6.6509655995751107</v>
      </c>
      <c r="D430" s="56">
        <f t="shared" si="7"/>
        <v>368</v>
      </c>
      <c r="E430" s="33">
        <v>-274.62208885692337</v>
      </c>
    </row>
    <row r="431" spans="2:5" x14ac:dyDescent="0.3">
      <c r="B431" s="56">
        <v>369</v>
      </c>
      <c r="C431" s="33">
        <v>-197.23640204772852</v>
      </c>
      <c r="D431" s="56">
        <f t="shared" si="7"/>
        <v>369</v>
      </c>
      <c r="E431" s="33">
        <v>-249.6707910192419</v>
      </c>
    </row>
    <row r="432" spans="2:5" x14ac:dyDescent="0.3">
      <c r="B432" s="56">
        <v>370</v>
      </c>
      <c r="C432" s="33">
        <v>5.819595171082856</v>
      </c>
      <c r="D432" s="56">
        <f t="shared" si="7"/>
        <v>370</v>
      </c>
      <c r="E432" s="33">
        <v>-79.241174544973205</v>
      </c>
    </row>
    <row r="433" spans="2:5" x14ac:dyDescent="0.3">
      <c r="B433" s="56">
        <v>371</v>
      </c>
      <c r="C433" s="33">
        <v>-220.10994489850808</v>
      </c>
      <c r="D433" s="56">
        <f t="shared" si="7"/>
        <v>371</v>
      </c>
      <c r="E433" s="33">
        <v>-182.99977354950485</v>
      </c>
    </row>
    <row r="434" spans="2:5" x14ac:dyDescent="0.3">
      <c r="B434" s="56">
        <v>372</v>
      </c>
      <c r="C434" s="33">
        <v>-212.68876450708694</v>
      </c>
      <c r="D434" s="56">
        <f t="shared" si="7"/>
        <v>372</v>
      </c>
      <c r="E434" s="33">
        <v>-214.70742241635057</v>
      </c>
    </row>
    <row r="435" spans="2:5" x14ac:dyDescent="0.3">
      <c r="B435" s="56">
        <v>373</v>
      </c>
      <c r="C435" s="33">
        <v>65.827956507469736</v>
      </c>
      <c r="D435" s="56">
        <f t="shared" si="7"/>
        <v>373</v>
      </c>
      <c r="E435" s="33">
        <v>-78.322303564186072</v>
      </c>
    </row>
    <row r="436" spans="2:5" x14ac:dyDescent="0.3">
      <c r="B436" s="56">
        <v>374</v>
      </c>
      <c r="C436" s="33">
        <v>-174.15625349578704</v>
      </c>
      <c r="D436" s="56">
        <f t="shared" si="7"/>
        <v>374</v>
      </c>
      <c r="E436" s="33">
        <v>-198.05667381397143</v>
      </c>
    </row>
    <row r="437" spans="2:5" x14ac:dyDescent="0.3">
      <c r="B437" s="56">
        <v>375</v>
      </c>
      <c r="C437" s="33">
        <v>220.82441180272974</v>
      </c>
      <c r="D437" s="56">
        <f t="shared" si="7"/>
        <v>375</v>
      </c>
      <c r="E437" s="33">
        <v>-160.40702282621453</v>
      </c>
    </row>
    <row r="438" spans="2:5" x14ac:dyDescent="0.3">
      <c r="B438" s="56">
        <v>376</v>
      </c>
      <c r="C438" s="33">
        <v>-246.86963879193175</v>
      </c>
      <c r="D438" s="56">
        <f t="shared" si="7"/>
        <v>376</v>
      </c>
      <c r="E438" s="33">
        <v>-316.67169299763788</v>
      </c>
    </row>
    <row r="439" spans="2:5" x14ac:dyDescent="0.3">
      <c r="B439" s="56">
        <v>377</v>
      </c>
      <c r="C439" s="33">
        <v>29.187276610016422</v>
      </c>
      <c r="D439" s="56">
        <f t="shared" si="7"/>
        <v>377</v>
      </c>
      <c r="E439" s="33">
        <v>-116.58100825601888</v>
      </c>
    </row>
    <row r="440" spans="2:5" x14ac:dyDescent="0.3">
      <c r="B440" s="56">
        <v>378</v>
      </c>
      <c r="C440" s="33">
        <v>-61.439662967790682</v>
      </c>
      <c r="D440" s="56">
        <f t="shared" si="7"/>
        <v>378</v>
      </c>
      <c r="E440" s="33">
        <v>-24.570353913768272</v>
      </c>
    </row>
    <row r="441" spans="2:5" x14ac:dyDescent="0.3">
      <c r="B441" s="56">
        <v>379</v>
      </c>
      <c r="C441" s="33">
        <v>-138.63501486160061</v>
      </c>
      <c r="D441" s="56">
        <f t="shared" si="7"/>
        <v>379</v>
      </c>
      <c r="E441" s="33">
        <v>-81.431002388761044</v>
      </c>
    </row>
    <row r="442" spans="2:5" x14ac:dyDescent="0.3">
      <c r="B442" s="56">
        <v>380</v>
      </c>
      <c r="C442" s="33">
        <v>-99.71629145916792</v>
      </c>
      <c r="D442" s="56">
        <f t="shared" si="7"/>
        <v>380</v>
      </c>
      <c r="E442" s="33">
        <v>-218.12308503546831</v>
      </c>
    </row>
    <row r="443" spans="2:5" x14ac:dyDescent="0.3">
      <c r="B443" s="56">
        <v>381</v>
      </c>
      <c r="C443" s="33">
        <v>-102.5516058790498</v>
      </c>
      <c r="D443" s="56">
        <f t="shared" si="7"/>
        <v>381</v>
      </c>
      <c r="E443" s="33">
        <v>-247.74489638154668</v>
      </c>
    </row>
    <row r="444" spans="2:5" x14ac:dyDescent="0.3">
      <c r="B444" s="56">
        <v>382</v>
      </c>
      <c r="C444" s="33">
        <v>167.11733531719713</v>
      </c>
      <c r="D444" s="56">
        <f t="shared" si="7"/>
        <v>382</v>
      </c>
      <c r="E444" s="33">
        <v>-38.360401688274095</v>
      </c>
    </row>
    <row r="445" spans="2:5" x14ac:dyDescent="0.3">
      <c r="B445" s="56">
        <v>383</v>
      </c>
      <c r="C445" s="33">
        <v>-250.44864501677409</v>
      </c>
      <c r="D445" s="56">
        <f t="shared" si="7"/>
        <v>383</v>
      </c>
      <c r="E445" s="33">
        <v>169.0854625024557</v>
      </c>
    </row>
    <row r="446" spans="2:5" x14ac:dyDescent="0.3">
      <c r="B446" s="56">
        <v>384</v>
      </c>
      <c r="C446" s="33">
        <v>-84.712094170115122</v>
      </c>
      <c r="D446" s="56">
        <f t="shared" si="7"/>
        <v>384</v>
      </c>
      <c r="E446" s="33">
        <v>13.057486337766647</v>
      </c>
    </row>
    <row r="447" spans="2:5" x14ac:dyDescent="0.3">
      <c r="B447" s="56">
        <v>385</v>
      </c>
      <c r="C447" s="33">
        <v>93.272462406188879</v>
      </c>
      <c r="D447" s="56">
        <f t="shared" si="7"/>
        <v>385</v>
      </c>
      <c r="E447" s="33">
        <v>-37.505156078655887</v>
      </c>
    </row>
    <row r="448" spans="2:5" x14ac:dyDescent="0.3">
      <c r="B448" s="56">
        <v>386</v>
      </c>
      <c r="C448" s="33">
        <v>11.686611785768362</v>
      </c>
      <c r="D448" s="56">
        <f t="shared" si="7"/>
        <v>386</v>
      </c>
      <c r="E448" s="33">
        <v>-250.5913543134524</v>
      </c>
    </row>
    <row r="449" spans="2:5" x14ac:dyDescent="0.3">
      <c r="B449" s="56">
        <v>387</v>
      </c>
      <c r="C449" s="33">
        <v>-321.41027786214198</v>
      </c>
      <c r="D449" s="56">
        <f t="shared" si="7"/>
        <v>387</v>
      </c>
      <c r="E449" s="33">
        <v>-75.004819326421114</v>
      </c>
    </row>
    <row r="450" spans="2:5" x14ac:dyDescent="0.3">
      <c r="B450" s="56">
        <v>388</v>
      </c>
      <c r="C450" s="33">
        <v>39.949596985518014</v>
      </c>
      <c r="D450" s="56">
        <f t="shared" si="7"/>
        <v>388</v>
      </c>
      <c r="E450" s="33">
        <v>-245.18662773558108</v>
      </c>
    </row>
    <row r="451" spans="2:5" x14ac:dyDescent="0.3">
      <c r="B451" s="56">
        <v>389</v>
      </c>
      <c r="C451" s="33">
        <v>-171.32540147759238</v>
      </c>
      <c r="D451" s="56">
        <f t="shared" si="7"/>
        <v>389</v>
      </c>
      <c r="E451" s="33">
        <v>-85.435270561527446</v>
      </c>
    </row>
    <row r="452" spans="2:5" x14ac:dyDescent="0.3">
      <c r="B452" s="56">
        <v>390</v>
      </c>
      <c r="C452" s="33">
        <v>-118.55513838679636</v>
      </c>
      <c r="D452" s="56">
        <f t="shared" si="7"/>
        <v>390</v>
      </c>
      <c r="E452" s="33">
        <v>-164.70434652863372</v>
      </c>
    </row>
    <row r="453" spans="2:5" x14ac:dyDescent="0.3">
      <c r="B453" s="56">
        <v>391</v>
      </c>
      <c r="C453" s="33">
        <v>35.171584790751346</v>
      </c>
      <c r="D453" s="56">
        <f t="shared" si="7"/>
        <v>391</v>
      </c>
      <c r="E453" s="33">
        <v>-469.53102247638793</v>
      </c>
    </row>
    <row r="454" spans="2:5" x14ac:dyDescent="0.3">
      <c r="B454" s="56">
        <v>392</v>
      </c>
      <c r="C454" s="33">
        <v>-131.04180947624349</v>
      </c>
      <c r="D454" s="56">
        <f t="shared" si="7"/>
        <v>392</v>
      </c>
      <c r="E454" s="33">
        <v>90.757162908740241</v>
      </c>
    </row>
    <row r="455" spans="2:5" x14ac:dyDescent="0.3">
      <c r="B455" s="56">
        <v>393</v>
      </c>
      <c r="C455" s="33">
        <v>-78.130263563815518</v>
      </c>
      <c r="D455" s="56">
        <f t="shared" si="7"/>
        <v>393</v>
      </c>
      <c r="E455" s="33">
        <v>-167.81766753500636</v>
      </c>
    </row>
    <row r="456" spans="2:5" x14ac:dyDescent="0.3">
      <c r="B456" s="56">
        <v>394</v>
      </c>
      <c r="C456" s="33">
        <v>-22.838154497252116</v>
      </c>
      <c r="D456" s="56">
        <f t="shared" si="7"/>
        <v>394</v>
      </c>
      <c r="E456" s="33">
        <v>-176.43747752283713</v>
      </c>
    </row>
    <row r="457" spans="2:5" x14ac:dyDescent="0.3">
      <c r="B457" s="56">
        <v>395</v>
      </c>
      <c r="C457" s="33">
        <v>273.83105296440976</v>
      </c>
      <c r="D457" s="56">
        <f t="shared" si="7"/>
        <v>395</v>
      </c>
      <c r="E457" s="33">
        <v>-94.290011510595122</v>
      </c>
    </row>
    <row r="458" spans="2:5" x14ac:dyDescent="0.3">
      <c r="B458" s="56">
        <v>396</v>
      </c>
      <c r="C458" s="33">
        <v>-158.43481701963464</v>
      </c>
      <c r="D458" s="56">
        <f t="shared" si="7"/>
        <v>396</v>
      </c>
      <c r="E458" s="33">
        <v>-173.05388440109391</v>
      </c>
    </row>
    <row r="459" spans="2:5" x14ac:dyDescent="0.3">
      <c r="B459" s="56">
        <v>397</v>
      </c>
      <c r="C459" s="33">
        <v>145.29407188950555</v>
      </c>
      <c r="D459" s="56">
        <f t="shared" si="7"/>
        <v>397</v>
      </c>
      <c r="E459" s="33">
        <v>-353.9854831015021</v>
      </c>
    </row>
    <row r="460" spans="2:5" x14ac:dyDescent="0.3">
      <c r="B460" s="56">
        <v>398</v>
      </c>
      <c r="C460" s="33">
        <v>-59.23336937553178</v>
      </c>
      <c r="D460" s="56">
        <f t="shared" si="7"/>
        <v>398</v>
      </c>
      <c r="E460" s="33">
        <v>-259.05877098537076</v>
      </c>
    </row>
    <row r="461" spans="2:5" x14ac:dyDescent="0.3">
      <c r="B461" s="56">
        <v>399</v>
      </c>
      <c r="C461" s="33">
        <v>-80.831037228647901</v>
      </c>
      <c r="D461" s="56">
        <f t="shared" si="7"/>
        <v>399</v>
      </c>
      <c r="E461" s="33">
        <v>31.147029868265925</v>
      </c>
    </row>
    <row r="462" spans="2:5" x14ac:dyDescent="0.3">
      <c r="B462" s="56">
        <v>400</v>
      </c>
      <c r="C462" s="33">
        <v>-203.72251941434544</v>
      </c>
      <c r="D462" s="56">
        <f t="shared" si="7"/>
        <v>400</v>
      </c>
      <c r="E462" s="33">
        <v>-125.73920284065751</v>
      </c>
    </row>
    <row r="463" spans="2:5" x14ac:dyDescent="0.3">
      <c r="B463" s="56">
        <v>401</v>
      </c>
      <c r="C463" s="33">
        <v>-38.275429222100563</v>
      </c>
      <c r="D463" s="56">
        <f t="shared" si="7"/>
        <v>401</v>
      </c>
      <c r="E463" s="33">
        <v>-222.9326510462615</v>
      </c>
    </row>
    <row r="464" spans="2:5" x14ac:dyDescent="0.3">
      <c r="B464" s="56">
        <v>402</v>
      </c>
      <c r="C464" s="33">
        <v>162.04333936130436</v>
      </c>
      <c r="D464" s="56">
        <f t="shared" si="7"/>
        <v>402</v>
      </c>
      <c r="E464" s="33">
        <v>-64.003851785347791</v>
      </c>
    </row>
    <row r="465" spans="2:5" x14ac:dyDescent="0.3">
      <c r="B465" s="56">
        <v>403</v>
      </c>
      <c r="C465" s="33">
        <v>11.31870078631429</v>
      </c>
      <c r="D465" s="56">
        <f t="shared" si="7"/>
        <v>403</v>
      </c>
      <c r="E465" s="33">
        <v>3.2198593698740297</v>
      </c>
    </row>
    <row r="466" spans="2:5" x14ac:dyDescent="0.3">
      <c r="B466" s="56">
        <v>404</v>
      </c>
      <c r="C466" s="33">
        <v>202.08971435833806</v>
      </c>
      <c r="D466" s="56">
        <f t="shared" si="7"/>
        <v>404</v>
      </c>
      <c r="E466" s="33">
        <v>-158.93019868976225</v>
      </c>
    </row>
    <row r="467" spans="2:5" x14ac:dyDescent="0.3">
      <c r="B467" s="56">
        <v>405</v>
      </c>
      <c r="C467" s="33">
        <v>-71.568170723833589</v>
      </c>
      <c r="D467" s="56">
        <f t="shared" ref="D467:D530" si="8">B467</f>
        <v>405</v>
      </c>
      <c r="E467" s="33">
        <v>-124.08222642339412</v>
      </c>
    </row>
    <row r="468" spans="2:5" x14ac:dyDescent="0.3">
      <c r="B468" s="56">
        <v>406</v>
      </c>
      <c r="C468" s="33">
        <v>157.57403864179497</v>
      </c>
      <c r="D468" s="56">
        <f t="shared" si="8"/>
        <v>406</v>
      </c>
      <c r="E468" s="33">
        <v>-292.27323111228696</v>
      </c>
    </row>
    <row r="469" spans="2:5" x14ac:dyDescent="0.3">
      <c r="B469" s="56">
        <v>407</v>
      </c>
      <c r="C469" s="33">
        <v>-45.741312968765733</v>
      </c>
      <c r="D469" s="56">
        <f t="shared" si="8"/>
        <v>407</v>
      </c>
      <c r="E469" s="33">
        <v>-117.06442583004178</v>
      </c>
    </row>
    <row r="470" spans="2:5" x14ac:dyDescent="0.3">
      <c r="B470" s="56">
        <v>408</v>
      </c>
      <c r="C470" s="33">
        <v>-170.21577457040496</v>
      </c>
      <c r="D470" s="56">
        <f t="shared" si="8"/>
        <v>408</v>
      </c>
      <c r="E470" s="33">
        <v>-187.44260099202671</v>
      </c>
    </row>
    <row r="471" spans="2:5" x14ac:dyDescent="0.3">
      <c r="B471" s="56">
        <v>409</v>
      </c>
      <c r="C471" s="33">
        <v>1.2387320795217924</v>
      </c>
      <c r="D471" s="56">
        <f t="shared" si="8"/>
        <v>409</v>
      </c>
      <c r="E471" s="33">
        <v>-142.54199988764634</v>
      </c>
    </row>
    <row r="472" spans="2:5" x14ac:dyDescent="0.3">
      <c r="B472" s="56">
        <v>410</v>
      </c>
      <c r="C472" s="33">
        <v>-156.00319143112449</v>
      </c>
      <c r="D472" s="56">
        <f t="shared" si="8"/>
        <v>410</v>
      </c>
      <c r="E472" s="33">
        <v>-206.86333265353034</v>
      </c>
    </row>
    <row r="473" spans="2:5" x14ac:dyDescent="0.3">
      <c r="B473" s="56">
        <v>411</v>
      </c>
      <c r="C473" s="33">
        <v>-181.11989295354971</v>
      </c>
      <c r="D473" s="56">
        <f t="shared" si="8"/>
        <v>411</v>
      </c>
      <c r="E473" s="33">
        <v>-311.17464014753966</v>
      </c>
    </row>
    <row r="474" spans="2:5" x14ac:dyDescent="0.3">
      <c r="B474" s="56">
        <v>412</v>
      </c>
      <c r="C474" s="33">
        <v>-262.2122802456189</v>
      </c>
      <c r="D474" s="56">
        <f t="shared" si="8"/>
        <v>412</v>
      </c>
      <c r="E474" s="33">
        <v>129.39011338652034</v>
      </c>
    </row>
    <row r="475" spans="2:5" x14ac:dyDescent="0.3">
      <c r="B475" s="56">
        <v>413</v>
      </c>
      <c r="C475" s="33">
        <v>-124.63184329055019</v>
      </c>
      <c r="D475" s="56">
        <f t="shared" si="8"/>
        <v>413</v>
      </c>
      <c r="E475" s="33">
        <v>-182.03398308944213</v>
      </c>
    </row>
    <row r="476" spans="2:5" x14ac:dyDescent="0.3">
      <c r="B476" s="56">
        <v>414</v>
      </c>
      <c r="C476" s="33">
        <v>-200.19755388150821</v>
      </c>
      <c r="D476" s="56">
        <f t="shared" si="8"/>
        <v>414</v>
      </c>
      <c r="E476" s="33">
        <v>-276.83750241524342</v>
      </c>
    </row>
    <row r="477" spans="2:5" x14ac:dyDescent="0.3">
      <c r="B477" s="56">
        <v>415</v>
      </c>
      <c r="C477" s="33">
        <v>21.604078404525627</v>
      </c>
      <c r="D477" s="56">
        <f t="shared" si="8"/>
        <v>415</v>
      </c>
      <c r="E477" s="33">
        <v>-250.23388614419531</v>
      </c>
    </row>
    <row r="478" spans="2:5" x14ac:dyDescent="0.3">
      <c r="B478" s="56">
        <v>416</v>
      </c>
      <c r="C478" s="33">
        <v>-228.76162309084683</v>
      </c>
      <c r="D478" s="56">
        <f t="shared" si="8"/>
        <v>416</v>
      </c>
      <c r="E478" s="33">
        <v>-216.27007820632397</v>
      </c>
    </row>
    <row r="479" spans="2:5" x14ac:dyDescent="0.3">
      <c r="B479" s="56">
        <v>417</v>
      </c>
      <c r="C479" s="33">
        <v>-300.12999312126067</v>
      </c>
      <c r="D479" s="56">
        <f t="shared" si="8"/>
        <v>417</v>
      </c>
      <c r="E479" s="33">
        <v>-41.565920411086836</v>
      </c>
    </row>
    <row r="480" spans="2:5" x14ac:dyDescent="0.3">
      <c r="B480" s="56">
        <v>418</v>
      </c>
      <c r="C480" s="33">
        <v>-390.77182143649009</v>
      </c>
      <c r="D480" s="56">
        <f t="shared" si="8"/>
        <v>418</v>
      </c>
      <c r="E480" s="33">
        <v>36.699493190126375</v>
      </c>
    </row>
    <row r="481" spans="2:5" x14ac:dyDescent="0.3">
      <c r="B481" s="56">
        <v>419</v>
      </c>
      <c r="C481" s="33">
        <v>-16.098126479407284</v>
      </c>
      <c r="D481" s="56">
        <f t="shared" si="8"/>
        <v>419</v>
      </c>
      <c r="E481" s="33">
        <v>-138.92805746874888</v>
      </c>
    </row>
    <row r="482" spans="2:5" x14ac:dyDescent="0.3">
      <c r="B482" s="56">
        <v>420</v>
      </c>
      <c r="C482" s="33">
        <v>-53.072110024029641</v>
      </c>
      <c r="D482" s="56">
        <f t="shared" si="8"/>
        <v>420</v>
      </c>
      <c r="E482" s="33">
        <v>-185.27572438565886</v>
      </c>
    </row>
    <row r="483" spans="2:5" x14ac:dyDescent="0.3">
      <c r="B483" s="56">
        <v>421</v>
      </c>
      <c r="C483" s="33">
        <v>-147.35313027346757</v>
      </c>
      <c r="D483" s="56">
        <f t="shared" si="8"/>
        <v>421</v>
      </c>
      <c r="E483" s="33">
        <v>-324.02712195442302</v>
      </c>
    </row>
    <row r="484" spans="2:5" x14ac:dyDescent="0.3">
      <c r="B484" s="56">
        <v>422</v>
      </c>
      <c r="C484" s="33">
        <v>-331.69292577381196</v>
      </c>
      <c r="D484" s="56">
        <f t="shared" si="8"/>
        <v>422</v>
      </c>
      <c r="E484" s="33">
        <v>-271.155059107174</v>
      </c>
    </row>
    <row r="485" spans="2:5" x14ac:dyDescent="0.3">
      <c r="B485" s="56">
        <v>423</v>
      </c>
      <c r="C485" s="33">
        <v>3.7354289267740981</v>
      </c>
      <c r="D485" s="56">
        <f t="shared" si="8"/>
        <v>423</v>
      </c>
      <c r="E485" s="33">
        <v>-270.19856155120607</v>
      </c>
    </row>
    <row r="486" spans="2:5" x14ac:dyDescent="0.3">
      <c r="B486" s="56">
        <v>424</v>
      </c>
      <c r="C486" s="33">
        <v>-89.420688802346106</v>
      </c>
      <c r="D486" s="56">
        <f t="shared" si="8"/>
        <v>424</v>
      </c>
      <c r="E486" s="33">
        <v>84.919721419240958</v>
      </c>
    </row>
    <row r="487" spans="2:5" x14ac:dyDescent="0.3">
      <c r="B487" s="56">
        <v>425</v>
      </c>
      <c r="C487" s="33">
        <v>6.3327047680605126</v>
      </c>
      <c r="D487" s="56">
        <f t="shared" si="8"/>
        <v>425</v>
      </c>
      <c r="E487" s="33">
        <v>-199.69931168230278</v>
      </c>
    </row>
    <row r="488" spans="2:5" x14ac:dyDescent="0.3">
      <c r="B488" s="56">
        <v>426</v>
      </c>
      <c r="C488" s="33">
        <v>12.671782222246861</v>
      </c>
      <c r="D488" s="56">
        <f t="shared" si="8"/>
        <v>426</v>
      </c>
      <c r="E488" s="33">
        <v>-117.25752210913751</v>
      </c>
    </row>
    <row r="489" spans="2:5" x14ac:dyDescent="0.3">
      <c r="B489" s="56">
        <v>427</v>
      </c>
      <c r="C489" s="33">
        <v>-107.55230953784675</v>
      </c>
      <c r="D489" s="56">
        <f t="shared" si="8"/>
        <v>427</v>
      </c>
      <c r="E489" s="33">
        <v>-248.72431966786692</v>
      </c>
    </row>
    <row r="490" spans="2:5" x14ac:dyDescent="0.3">
      <c r="B490" s="56">
        <v>428</v>
      </c>
      <c r="C490" s="33">
        <v>-47.654495188929275</v>
      </c>
      <c r="D490" s="56">
        <f t="shared" si="8"/>
        <v>428</v>
      </c>
      <c r="E490" s="33">
        <v>-207.24934823713264</v>
      </c>
    </row>
    <row r="491" spans="2:5" x14ac:dyDescent="0.3">
      <c r="B491" s="56">
        <v>429</v>
      </c>
      <c r="C491" s="33">
        <v>-341.8744787171446</v>
      </c>
      <c r="D491" s="56">
        <f t="shared" si="8"/>
        <v>429</v>
      </c>
      <c r="E491" s="33">
        <v>-43.512829978564866</v>
      </c>
    </row>
    <row r="492" spans="2:5" x14ac:dyDescent="0.3">
      <c r="B492" s="56">
        <v>430</v>
      </c>
      <c r="C492" s="33">
        <v>-31.226033936183356</v>
      </c>
      <c r="D492" s="56">
        <f t="shared" si="8"/>
        <v>430</v>
      </c>
      <c r="E492" s="33">
        <v>-230.61374421346397</v>
      </c>
    </row>
    <row r="493" spans="2:5" x14ac:dyDescent="0.3">
      <c r="B493" s="56">
        <v>431</v>
      </c>
      <c r="C493" s="33">
        <v>61.298051120323734</v>
      </c>
      <c r="D493" s="56">
        <f t="shared" si="8"/>
        <v>431</v>
      </c>
      <c r="E493" s="33">
        <v>-80.758037280993392</v>
      </c>
    </row>
    <row r="494" spans="2:5" x14ac:dyDescent="0.3">
      <c r="B494" s="56">
        <v>432</v>
      </c>
      <c r="C494" s="33">
        <v>-297.70386390280356</v>
      </c>
      <c r="D494" s="56">
        <f t="shared" si="8"/>
        <v>432</v>
      </c>
      <c r="E494" s="33">
        <v>-369.62455618941345</v>
      </c>
    </row>
    <row r="495" spans="2:5" x14ac:dyDescent="0.3">
      <c r="B495" s="56">
        <v>433</v>
      </c>
      <c r="C495" s="33">
        <v>116.45095409135641</v>
      </c>
      <c r="D495" s="56">
        <f t="shared" si="8"/>
        <v>433</v>
      </c>
      <c r="E495" s="33">
        <v>-49.325586250262177</v>
      </c>
    </row>
    <row r="496" spans="2:5" x14ac:dyDescent="0.3">
      <c r="B496" s="56">
        <v>434</v>
      </c>
      <c r="C496" s="33">
        <v>54.011578395568037</v>
      </c>
      <c r="D496" s="56">
        <f t="shared" si="8"/>
        <v>434</v>
      </c>
      <c r="E496" s="33">
        <v>-232.15063260207256</v>
      </c>
    </row>
    <row r="497" spans="2:5" x14ac:dyDescent="0.3">
      <c r="B497" s="56">
        <v>435</v>
      </c>
      <c r="C497" s="33">
        <v>-196.76257049036707</v>
      </c>
      <c r="D497" s="56">
        <f t="shared" si="8"/>
        <v>435</v>
      </c>
      <c r="E497" s="33">
        <v>-256.16347173697119</v>
      </c>
    </row>
    <row r="498" spans="2:5" x14ac:dyDescent="0.3">
      <c r="B498" s="56">
        <v>436</v>
      </c>
      <c r="C498" s="33">
        <v>-182.9596488225107</v>
      </c>
      <c r="D498" s="56">
        <f t="shared" si="8"/>
        <v>436</v>
      </c>
      <c r="E498" s="33">
        <v>-401.14778623943835</v>
      </c>
    </row>
    <row r="499" spans="2:5" x14ac:dyDescent="0.3">
      <c r="B499" s="56">
        <v>437</v>
      </c>
      <c r="C499" s="33">
        <v>202.77595028631754</v>
      </c>
      <c r="D499" s="56">
        <f t="shared" si="8"/>
        <v>437</v>
      </c>
      <c r="E499" s="33">
        <v>-249.54292652481439</v>
      </c>
    </row>
    <row r="500" spans="2:5" x14ac:dyDescent="0.3">
      <c r="B500" s="56">
        <v>438</v>
      </c>
      <c r="C500" s="33">
        <v>-26.043991084902526</v>
      </c>
      <c r="D500" s="56">
        <f t="shared" si="8"/>
        <v>438</v>
      </c>
      <c r="E500" s="33">
        <v>85.202521558064518</v>
      </c>
    </row>
    <row r="501" spans="2:5" x14ac:dyDescent="0.3">
      <c r="B501" s="56">
        <v>439</v>
      </c>
      <c r="C501" s="33">
        <v>-174.55988150745259</v>
      </c>
      <c r="D501" s="56">
        <f t="shared" si="8"/>
        <v>439</v>
      </c>
      <c r="E501" s="33">
        <v>-377.16828263514583</v>
      </c>
    </row>
    <row r="502" spans="2:5" x14ac:dyDescent="0.3">
      <c r="B502" s="56">
        <v>440</v>
      </c>
      <c r="C502" s="33">
        <v>156.39058590978425</v>
      </c>
      <c r="D502" s="56">
        <f t="shared" si="8"/>
        <v>440</v>
      </c>
      <c r="E502" s="33">
        <v>-69.702447783349697</v>
      </c>
    </row>
    <row r="503" spans="2:5" x14ac:dyDescent="0.3">
      <c r="B503" s="56">
        <v>441</v>
      </c>
      <c r="C503" s="33">
        <v>-250.10164053556437</v>
      </c>
      <c r="D503" s="56">
        <f t="shared" si="8"/>
        <v>441</v>
      </c>
      <c r="E503" s="33">
        <v>-119.36082580659266</v>
      </c>
    </row>
    <row r="504" spans="2:5" x14ac:dyDescent="0.3">
      <c r="B504" s="56">
        <v>442</v>
      </c>
      <c r="C504" s="33">
        <v>138.78589893396784</v>
      </c>
      <c r="D504" s="56">
        <f t="shared" si="8"/>
        <v>442</v>
      </c>
      <c r="E504" s="33">
        <v>-402.24336992323344</v>
      </c>
    </row>
    <row r="505" spans="2:5" x14ac:dyDescent="0.3">
      <c r="B505" s="56">
        <v>443</v>
      </c>
      <c r="C505" s="33">
        <v>68.856883772700968</v>
      </c>
      <c r="D505" s="56">
        <f t="shared" si="8"/>
        <v>443</v>
      </c>
      <c r="E505" s="33">
        <v>-181.25563615877604</v>
      </c>
    </row>
    <row r="506" spans="2:5" x14ac:dyDescent="0.3">
      <c r="B506" s="56">
        <v>444</v>
      </c>
      <c r="C506" s="33">
        <v>-161.03813599076005</v>
      </c>
      <c r="D506" s="56">
        <f t="shared" si="8"/>
        <v>444</v>
      </c>
      <c r="E506" s="33">
        <v>-59.465115197842522</v>
      </c>
    </row>
    <row r="507" spans="2:5" x14ac:dyDescent="0.3">
      <c r="B507" s="56">
        <v>445</v>
      </c>
      <c r="C507" s="33">
        <v>12.880766091227391</v>
      </c>
      <c r="D507" s="56">
        <f t="shared" si="8"/>
        <v>445</v>
      </c>
      <c r="E507" s="33">
        <v>-23.126704637208874</v>
      </c>
    </row>
    <row r="508" spans="2:5" x14ac:dyDescent="0.3">
      <c r="B508" s="56">
        <v>446</v>
      </c>
      <c r="C508" s="33">
        <v>-12.119276843837525</v>
      </c>
      <c r="D508" s="56">
        <f t="shared" si="8"/>
        <v>446</v>
      </c>
      <c r="E508" s="33">
        <v>-103.77624512568929</v>
      </c>
    </row>
    <row r="509" spans="2:5" x14ac:dyDescent="0.3">
      <c r="B509" s="56">
        <v>447</v>
      </c>
      <c r="C509" s="33">
        <v>-129.52228922800523</v>
      </c>
      <c r="D509" s="56">
        <f t="shared" si="8"/>
        <v>447</v>
      </c>
      <c r="E509" s="33">
        <v>-160.27473000207766</v>
      </c>
    </row>
    <row r="510" spans="2:5" x14ac:dyDescent="0.3">
      <c r="B510" s="56">
        <v>448</v>
      </c>
      <c r="C510" s="33">
        <v>-497.20576798114166</v>
      </c>
      <c r="D510" s="56">
        <f t="shared" si="8"/>
        <v>448</v>
      </c>
      <c r="E510" s="33">
        <v>-71.494145139260368</v>
      </c>
    </row>
    <row r="511" spans="2:5" x14ac:dyDescent="0.3">
      <c r="B511" s="56">
        <v>449</v>
      </c>
      <c r="C511" s="33">
        <v>-140.3183319390813</v>
      </c>
      <c r="D511" s="56">
        <f t="shared" si="8"/>
        <v>449</v>
      </c>
      <c r="E511" s="33">
        <v>-155.4049600907303</v>
      </c>
    </row>
    <row r="512" spans="2:5" x14ac:dyDescent="0.3">
      <c r="B512" s="56">
        <v>450</v>
      </c>
      <c r="C512" s="33">
        <v>-42.740182305298305</v>
      </c>
      <c r="D512" s="56">
        <f t="shared" si="8"/>
        <v>450</v>
      </c>
      <c r="E512" s="33">
        <v>-202.15437004812276</v>
      </c>
    </row>
    <row r="513" spans="2:5" x14ac:dyDescent="0.3">
      <c r="B513" s="56">
        <v>451</v>
      </c>
      <c r="C513" s="33">
        <v>-268.82072111926698</v>
      </c>
      <c r="D513" s="56">
        <f t="shared" si="8"/>
        <v>451</v>
      </c>
      <c r="E513" s="33">
        <v>-239.70533968944707</v>
      </c>
    </row>
    <row r="514" spans="2:5" x14ac:dyDescent="0.3">
      <c r="B514" s="56">
        <v>452</v>
      </c>
      <c r="C514" s="33">
        <v>-108.7336089873648</v>
      </c>
      <c r="D514" s="56">
        <f t="shared" si="8"/>
        <v>452</v>
      </c>
      <c r="E514" s="33">
        <v>-289.40829375627726</v>
      </c>
    </row>
    <row r="515" spans="2:5" x14ac:dyDescent="0.3">
      <c r="B515" s="56">
        <v>453</v>
      </c>
      <c r="C515" s="33">
        <v>-59.18023930855918</v>
      </c>
      <c r="D515" s="56">
        <f t="shared" si="8"/>
        <v>453</v>
      </c>
      <c r="E515" s="33">
        <v>-157.78722196591184</v>
      </c>
    </row>
    <row r="516" spans="2:5" x14ac:dyDescent="0.3">
      <c r="B516" s="56">
        <v>454</v>
      </c>
      <c r="C516" s="33">
        <v>-274.7366582949644</v>
      </c>
      <c r="D516" s="56">
        <f t="shared" si="8"/>
        <v>454</v>
      </c>
      <c r="E516" s="33">
        <v>88.520757447251569</v>
      </c>
    </row>
    <row r="517" spans="2:5" x14ac:dyDescent="0.3">
      <c r="B517" s="56">
        <v>455</v>
      </c>
      <c r="C517" s="33">
        <v>-187.89217605322767</v>
      </c>
      <c r="D517" s="56">
        <f t="shared" si="8"/>
        <v>455</v>
      </c>
      <c r="E517" s="33">
        <v>-198.33951806275013</v>
      </c>
    </row>
    <row r="518" spans="2:5" x14ac:dyDescent="0.3">
      <c r="B518" s="56">
        <v>456</v>
      </c>
      <c r="C518" s="33">
        <v>-257.01320768141778</v>
      </c>
      <c r="D518" s="56">
        <f t="shared" si="8"/>
        <v>456</v>
      </c>
      <c r="E518" s="33">
        <v>103.89824821160606</v>
      </c>
    </row>
    <row r="519" spans="2:5" x14ac:dyDescent="0.3">
      <c r="B519" s="56">
        <v>457</v>
      </c>
      <c r="C519" s="33">
        <v>-157.10456317388957</v>
      </c>
      <c r="D519" s="56">
        <f t="shared" si="8"/>
        <v>457</v>
      </c>
      <c r="E519" s="33">
        <v>-122.34504921862936</v>
      </c>
    </row>
    <row r="520" spans="2:5" x14ac:dyDescent="0.3">
      <c r="B520" s="56">
        <v>458</v>
      </c>
      <c r="C520" s="33">
        <v>-95.084156043930918</v>
      </c>
      <c r="D520" s="56">
        <f t="shared" si="8"/>
        <v>458</v>
      </c>
      <c r="E520" s="33">
        <v>-196.25086977670429</v>
      </c>
    </row>
    <row r="521" spans="2:5" x14ac:dyDescent="0.3">
      <c r="B521" s="56">
        <v>459</v>
      </c>
      <c r="C521" s="33">
        <v>-60.148944973564305</v>
      </c>
      <c r="D521" s="56">
        <f t="shared" si="8"/>
        <v>459</v>
      </c>
      <c r="E521" s="33">
        <v>-184.99019515647882</v>
      </c>
    </row>
    <row r="522" spans="2:5" x14ac:dyDescent="0.3">
      <c r="B522" s="56">
        <v>460</v>
      </c>
      <c r="C522" s="33">
        <v>-7.677667740695405</v>
      </c>
      <c r="D522" s="56">
        <f t="shared" si="8"/>
        <v>460</v>
      </c>
      <c r="E522" s="33">
        <v>-192.3877521640546</v>
      </c>
    </row>
    <row r="523" spans="2:5" x14ac:dyDescent="0.3">
      <c r="B523" s="56">
        <v>461</v>
      </c>
      <c r="C523" s="33">
        <v>9.8382706631847174</v>
      </c>
      <c r="D523" s="56">
        <f t="shared" si="8"/>
        <v>461</v>
      </c>
      <c r="E523" s="33">
        <v>-26.97440601659838</v>
      </c>
    </row>
    <row r="524" spans="2:5" x14ac:dyDescent="0.3">
      <c r="B524" s="56">
        <v>462</v>
      </c>
      <c r="C524" s="33">
        <v>181.31815643947388</v>
      </c>
      <c r="D524" s="56">
        <f t="shared" si="8"/>
        <v>462</v>
      </c>
      <c r="E524" s="33">
        <v>-26.972910871910159</v>
      </c>
    </row>
    <row r="525" spans="2:5" x14ac:dyDescent="0.3">
      <c r="B525" s="56">
        <v>463</v>
      </c>
      <c r="C525" s="33">
        <v>-383.87656832323324</v>
      </c>
      <c r="D525" s="56">
        <f t="shared" si="8"/>
        <v>463</v>
      </c>
      <c r="E525" s="33">
        <v>-271.54325304164547</v>
      </c>
    </row>
    <row r="526" spans="2:5" x14ac:dyDescent="0.3">
      <c r="B526" s="56">
        <v>464</v>
      </c>
      <c r="C526" s="33">
        <v>-242.2094452257368</v>
      </c>
      <c r="D526" s="56">
        <f t="shared" si="8"/>
        <v>464</v>
      </c>
      <c r="E526" s="33">
        <v>-201.46856338452261</v>
      </c>
    </row>
    <row r="527" spans="2:5" x14ac:dyDescent="0.3">
      <c r="B527" s="56">
        <v>465</v>
      </c>
      <c r="C527" s="33">
        <v>23.497987756830305</v>
      </c>
      <c r="D527" s="56">
        <f t="shared" si="8"/>
        <v>465</v>
      </c>
      <c r="E527" s="33">
        <v>-15.487540393005503</v>
      </c>
    </row>
    <row r="528" spans="2:5" x14ac:dyDescent="0.3">
      <c r="B528" s="56">
        <v>466</v>
      </c>
      <c r="C528" s="33">
        <v>-52.352122239350543</v>
      </c>
      <c r="D528" s="56">
        <f t="shared" si="8"/>
        <v>466</v>
      </c>
      <c r="E528" s="33">
        <v>-284.53606858648243</v>
      </c>
    </row>
    <row r="529" spans="2:5" x14ac:dyDescent="0.3">
      <c r="B529" s="56">
        <v>467</v>
      </c>
      <c r="C529" s="33">
        <v>-283.46691708458542</v>
      </c>
      <c r="D529" s="56">
        <f t="shared" si="8"/>
        <v>467</v>
      </c>
      <c r="E529" s="33">
        <v>-185.79773367098295</v>
      </c>
    </row>
    <row r="530" spans="2:5" x14ac:dyDescent="0.3">
      <c r="B530" s="56">
        <v>468</v>
      </c>
      <c r="C530" s="33">
        <v>220.42024379580297</v>
      </c>
      <c r="D530" s="56">
        <f t="shared" si="8"/>
        <v>468</v>
      </c>
      <c r="E530" s="33">
        <v>-67.042657585834007</v>
      </c>
    </row>
    <row r="531" spans="2:5" x14ac:dyDescent="0.3">
      <c r="B531" s="56">
        <v>469</v>
      </c>
      <c r="C531" s="33">
        <v>44.511382793354045</v>
      </c>
      <c r="D531" s="56">
        <f t="shared" ref="D531:D562" si="9">B531</f>
        <v>469</v>
      </c>
      <c r="E531" s="33">
        <v>-105.78227165325082</v>
      </c>
    </row>
    <row r="532" spans="2:5" x14ac:dyDescent="0.3">
      <c r="B532" s="56">
        <v>470</v>
      </c>
      <c r="C532" s="33">
        <v>171.59733052734569</v>
      </c>
      <c r="D532" s="56">
        <f t="shared" si="9"/>
        <v>470</v>
      </c>
      <c r="E532" s="33">
        <v>-226.20345978997483</v>
      </c>
    </row>
    <row r="533" spans="2:5" x14ac:dyDescent="0.3">
      <c r="B533" s="56">
        <v>471</v>
      </c>
      <c r="C533" s="33">
        <v>-198.51811252782082</v>
      </c>
      <c r="D533" s="56">
        <f t="shared" si="9"/>
        <v>471</v>
      </c>
      <c r="E533" s="33">
        <v>-175.69501358309196</v>
      </c>
    </row>
    <row r="534" spans="2:5" x14ac:dyDescent="0.3">
      <c r="B534" s="56">
        <v>472</v>
      </c>
      <c r="C534" s="33">
        <v>-611.85825534976618</v>
      </c>
      <c r="D534" s="56">
        <f t="shared" si="9"/>
        <v>472</v>
      </c>
      <c r="E534" s="33">
        <v>-151.26051434231695</v>
      </c>
    </row>
    <row r="535" spans="2:5" x14ac:dyDescent="0.3">
      <c r="B535" s="56">
        <v>473</v>
      </c>
      <c r="C535" s="33">
        <v>-144.44110900952052</v>
      </c>
      <c r="D535" s="56">
        <f t="shared" si="9"/>
        <v>473</v>
      </c>
      <c r="E535" s="33">
        <v>-215.97992715483599</v>
      </c>
    </row>
    <row r="536" spans="2:5" x14ac:dyDescent="0.3">
      <c r="B536" s="56">
        <v>474</v>
      </c>
      <c r="C536" s="33">
        <v>47.055044087344164</v>
      </c>
      <c r="D536" s="56">
        <f t="shared" si="9"/>
        <v>474</v>
      </c>
      <c r="E536" s="33">
        <v>-41.034825693367623</v>
      </c>
    </row>
    <row r="537" spans="2:5" x14ac:dyDescent="0.3">
      <c r="B537" s="56">
        <v>475</v>
      </c>
      <c r="C537" s="33">
        <v>-65.694293075993215</v>
      </c>
      <c r="D537" s="56">
        <f t="shared" si="9"/>
        <v>475</v>
      </c>
      <c r="E537" s="33">
        <v>-181.23117929446528</v>
      </c>
    </row>
    <row r="538" spans="2:5" x14ac:dyDescent="0.3">
      <c r="B538" s="56">
        <v>476</v>
      </c>
      <c r="C538" s="33">
        <v>63.159753606301194</v>
      </c>
      <c r="D538" s="56">
        <f t="shared" si="9"/>
        <v>476</v>
      </c>
      <c r="E538" s="33">
        <v>-219.82353120884881</v>
      </c>
    </row>
    <row r="539" spans="2:5" x14ac:dyDescent="0.3">
      <c r="B539" s="56">
        <v>477</v>
      </c>
      <c r="C539" s="33">
        <v>231.34450919205426</v>
      </c>
      <c r="D539" s="56">
        <f t="shared" si="9"/>
        <v>477</v>
      </c>
      <c r="E539" s="33">
        <v>56.561254711922842</v>
      </c>
    </row>
    <row r="540" spans="2:5" x14ac:dyDescent="0.3">
      <c r="B540" s="56">
        <v>478</v>
      </c>
      <c r="C540" s="33">
        <v>-107.74454914867675</v>
      </c>
      <c r="D540" s="56">
        <f t="shared" si="9"/>
        <v>478</v>
      </c>
      <c r="E540" s="33">
        <v>-14.615502121319423</v>
      </c>
    </row>
    <row r="541" spans="2:5" x14ac:dyDescent="0.3">
      <c r="B541" s="56">
        <v>479</v>
      </c>
      <c r="C541" s="33">
        <v>-228.10665000315268</v>
      </c>
      <c r="D541" s="56">
        <f t="shared" si="9"/>
        <v>479</v>
      </c>
      <c r="E541" s="33">
        <v>-24.099977458248929</v>
      </c>
    </row>
    <row r="542" spans="2:5" x14ac:dyDescent="0.3">
      <c r="B542" s="56">
        <v>480</v>
      </c>
      <c r="C542" s="33">
        <v>-70.584212095153177</v>
      </c>
      <c r="D542" s="56">
        <f t="shared" si="9"/>
        <v>480</v>
      </c>
      <c r="E542" s="33">
        <v>61.104305402833035</v>
      </c>
    </row>
    <row r="543" spans="2:5" x14ac:dyDescent="0.3">
      <c r="B543" s="56">
        <v>481</v>
      </c>
      <c r="C543" s="33">
        <v>135.74877580817511</v>
      </c>
      <c r="D543" s="56">
        <f t="shared" si="9"/>
        <v>481</v>
      </c>
      <c r="E543" s="33">
        <v>-338.41022654297888</v>
      </c>
    </row>
    <row r="544" spans="2:5" x14ac:dyDescent="0.3">
      <c r="B544" s="56">
        <v>482</v>
      </c>
      <c r="C544" s="33">
        <v>100.65333978828291</v>
      </c>
      <c r="D544" s="56">
        <f t="shared" si="9"/>
        <v>482</v>
      </c>
      <c r="E544" s="33">
        <v>-254.30365311530002</v>
      </c>
    </row>
    <row r="545" spans="2:5" x14ac:dyDescent="0.3">
      <c r="B545" s="56">
        <v>483</v>
      </c>
      <c r="C545" s="33">
        <v>105.1631114907261</v>
      </c>
      <c r="D545" s="56">
        <f t="shared" si="9"/>
        <v>483</v>
      </c>
      <c r="E545" s="33">
        <v>64.198644841572246</v>
      </c>
    </row>
    <row r="546" spans="2:5" x14ac:dyDescent="0.3">
      <c r="B546" s="56">
        <v>484</v>
      </c>
      <c r="C546" s="33">
        <v>-122.42864595341737</v>
      </c>
      <c r="D546" s="56">
        <f t="shared" si="9"/>
        <v>484</v>
      </c>
      <c r="E546" s="33">
        <v>-565.92759805685705</v>
      </c>
    </row>
    <row r="547" spans="2:5" x14ac:dyDescent="0.3">
      <c r="B547" s="56">
        <v>485</v>
      </c>
      <c r="C547" s="33">
        <v>-248.38118050073601</v>
      </c>
      <c r="D547" s="56">
        <f t="shared" si="9"/>
        <v>485</v>
      </c>
      <c r="E547" s="33">
        <v>-239.39576170821545</v>
      </c>
    </row>
    <row r="548" spans="2:5" x14ac:dyDescent="0.3">
      <c r="B548" s="56">
        <v>486</v>
      </c>
      <c r="C548" s="33">
        <v>-182.25859871221252</v>
      </c>
      <c r="D548" s="56">
        <f t="shared" si="9"/>
        <v>486</v>
      </c>
      <c r="E548" s="33">
        <v>-127.64862030489763</v>
      </c>
    </row>
    <row r="549" spans="2:5" x14ac:dyDescent="0.3">
      <c r="B549" s="56">
        <v>487</v>
      </c>
      <c r="C549" s="33">
        <v>-124.9501868983743</v>
      </c>
      <c r="D549" s="56">
        <f t="shared" si="9"/>
        <v>487</v>
      </c>
      <c r="E549" s="33">
        <v>-275.28119305010057</v>
      </c>
    </row>
    <row r="550" spans="2:5" x14ac:dyDescent="0.3">
      <c r="B550" s="56">
        <v>488</v>
      </c>
      <c r="C550" s="33">
        <v>-270.50177854961231</v>
      </c>
      <c r="D550" s="56">
        <f t="shared" si="9"/>
        <v>488</v>
      </c>
      <c r="E550" s="33">
        <v>-269.66164270192439</v>
      </c>
    </row>
    <row r="551" spans="2:5" x14ac:dyDescent="0.3">
      <c r="B551" s="56">
        <v>489</v>
      </c>
      <c r="C551" s="33">
        <v>-298.21009623332856</v>
      </c>
      <c r="D551" s="56">
        <f t="shared" si="9"/>
        <v>489</v>
      </c>
      <c r="E551" s="33">
        <v>-250.35907365962404</v>
      </c>
    </row>
    <row r="552" spans="2:5" x14ac:dyDescent="0.3">
      <c r="B552" s="56">
        <v>490</v>
      </c>
      <c r="C552" s="33">
        <v>-302.65019857591477</v>
      </c>
      <c r="D552" s="56">
        <f t="shared" si="9"/>
        <v>490</v>
      </c>
      <c r="E552" s="33">
        <v>-118.22585774708455</v>
      </c>
    </row>
    <row r="553" spans="2:5" x14ac:dyDescent="0.3">
      <c r="B553" s="56">
        <v>491</v>
      </c>
      <c r="C553" s="33">
        <v>-219.37909110039195</v>
      </c>
      <c r="D553" s="56">
        <f t="shared" si="9"/>
        <v>491</v>
      </c>
      <c r="E553" s="33">
        <v>-272.65824121862721</v>
      </c>
    </row>
    <row r="554" spans="2:5" x14ac:dyDescent="0.3">
      <c r="B554" s="56">
        <v>492</v>
      </c>
      <c r="C554" s="33">
        <v>154.72828067302234</v>
      </c>
      <c r="D554" s="56">
        <f t="shared" si="9"/>
        <v>492</v>
      </c>
      <c r="E554" s="33">
        <v>-289.9938989395593</v>
      </c>
    </row>
    <row r="555" spans="2:5" x14ac:dyDescent="0.3">
      <c r="B555" s="56">
        <v>493</v>
      </c>
      <c r="C555" s="33">
        <v>45.559975814750793</v>
      </c>
      <c r="D555" s="56">
        <f t="shared" si="9"/>
        <v>493</v>
      </c>
      <c r="E555" s="33">
        <v>-104.90360850280001</v>
      </c>
    </row>
    <row r="556" spans="2:5" x14ac:dyDescent="0.3">
      <c r="B556" s="56">
        <v>494</v>
      </c>
      <c r="C556" s="33">
        <v>-227.08086015715006</v>
      </c>
      <c r="D556" s="56">
        <f t="shared" si="9"/>
        <v>494</v>
      </c>
      <c r="E556" s="33">
        <v>-141.15189808775557</v>
      </c>
    </row>
    <row r="557" spans="2:5" x14ac:dyDescent="0.3">
      <c r="B557" s="56">
        <v>495</v>
      </c>
      <c r="C557" s="33">
        <v>-33.220620768233132</v>
      </c>
      <c r="D557" s="56">
        <f t="shared" si="9"/>
        <v>495</v>
      </c>
      <c r="E557" s="33">
        <v>-107.54176572605304</v>
      </c>
    </row>
    <row r="558" spans="2:5" x14ac:dyDescent="0.3">
      <c r="B558" s="56">
        <v>496</v>
      </c>
      <c r="C558" s="33">
        <v>-193.04212591209549</v>
      </c>
      <c r="D558" s="56">
        <f t="shared" si="9"/>
        <v>496</v>
      </c>
      <c r="E558" s="33">
        <v>-97.841565683371897</v>
      </c>
    </row>
    <row r="559" spans="2:5" x14ac:dyDescent="0.3">
      <c r="B559" s="56">
        <v>497</v>
      </c>
      <c r="C559" s="33">
        <v>192.39128832182689</v>
      </c>
      <c r="D559" s="56">
        <f t="shared" si="9"/>
        <v>497</v>
      </c>
      <c r="E559" s="33">
        <v>-187.12656107533195</v>
      </c>
    </row>
    <row r="560" spans="2:5" x14ac:dyDescent="0.3">
      <c r="B560" s="56">
        <v>498</v>
      </c>
      <c r="C560" s="33">
        <v>-112.45462113431569</v>
      </c>
      <c r="D560" s="56">
        <f t="shared" si="9"/>
        <v>498</v>
      </c>
      <c r="E560" s="33">
        <v>-56.306233738142652</v>
      </c>
    </row>
    <row r="561" spans="2:5" x14ac:dyDescent="0.3">
      <c r="B561" s="56">
        <v>499</v>
      </c>
      <c r="C561" s="33">
        <v>362.34705915209281</v>
      </c>
      <c r="D561" s="56">
        <f t="shared" si="9"/>
        <v>499</v>
      </c>
      <c r="E561" s="33">
        <v>-50.974433746826932</v>
      </c>
    </row>
    <row r="562" spans="2:5" x14ac:dyDescent="0.3">
      <c r="B562" s="56">
        <v>500</v>
      </c>
      <c r="C562" s="33">
        <v>-180.14270219207</v>
      </c>
      <c r="D562" s="56">
        <f t="shared" si="9"/>
        <v>500</v>
      </c>
      <c r="E562" s="33">
        <v>-110.90097968801288</v>
      </c>
    </row>
    <row r="563" spans="2:5" x14ac:dyDescent="0.3">
      <c r="B563" s="56"/>
      <c r="C563" s="56"/>
      <c r="D563" s="56"/>
    </row>
    <row r="564" spans="2:5" x14ac:dyDescent="0.3">
      <c r="B564" s="56"/>
      <c r="C564" s="56"/>
      <c r="D564" s="56"/>
    </row>
    <row r="565" spans="2:5" x14ac:dyDescent="0.3">
      <c r="B565" s="56"/>
      <c r="C565" s="56"/>
      <c r="D565" s="56"/>
    </row>
    <row r="566" spans="2:5" x14ac:dyDescent="0.3">
      <c r="B566" s="56"/>
      <c r="C566" s="56"/>
      <c r="D566" s="56"/>
    </row>
    <row r="567" spans="2:5" x14ac:dyDescent="0.3">
      <c r="B567" s="56"/>
      <c r="C567" s="56"/>
      <c r="D567" s="56"/>
    </row>
    <row r="568" spans="2:5" x14ac:dyDescent="0.3">
      <c r="B568" s="56"/>
      <c r="C568" s="56"/>
      <c r="D568" s="56"/>
    </row>
    <row r="569" spans="2:5" x14ac:dyDescent="0.3">
      <c r="B569" s="56"/>
      <c r="C569" s="56"/>
      <c r="D569" s="56"/>
    </row>
    <row r="570" spans="2:5" x14ac:dyDescent="0.3">
      <c r="B570" s="56"/>
      <c r="C570" s="56"/>
      <c r="D570" s="56"/>
    </row>
    <row r="571" spans="2:5" x14ac:dyDescent="0.3">
      <c r="B571" s="56"/>
      <c r="C571" s="56"/>
      <c r="D571" s="56"/>
    </row>
    <row r="572" spans="2:5" x14ac:dyDescent="0.3">
      <c r="B572" s="56"/>
      <c r="C572" s="56"/>
      <c r="D572" s="56"/>
    </row>
    <row r="573" spans="2:5" x14ac:dyDescent="0.3">
      <c r="B573" s="56"/>
      <c r="C573" s="56"/>
      <c r="D573" s="56"/>
    </row>
    <row r="574" spans="2:5" x14ac:dyDescent="0.3">
      <c r="B574" s="56"/>
      <c r="C574" s="56"/>
      <c r="D574" s="56"/>
    </row>
    <row r="575" spans="2:5" x14ac:dyDescent="0.3">
      <c r="B575" s="56"/>
      <c r="C575" s="56"/>
      <c r="D575" s="56"/>
    </row>
    <row r="576" spans="2:5" x14ac:dyDescent="0.3">
      <c r="B576" s="56"/>
      <c r="C576" s="56"/>
      <c r="D576" s="56"/>
    </row>
    <row r="577" spans="2:4" x14ac:dyDescent="0.3">
      <c r="B577" s="56"/>
      <c r="C577" s="56"/>
      <c r="D577" s="56"/>
    </row>
    <row r="578" spans="2:4" x14ac:dyDescent="0.3">
      <c r="B578" s="56"/>
      <c r="C578" s="56"/>
      <c r="D578" s="56"/>
    </row>
    <row r="579" spans="2:4" x14ac:dyDescent="0.3">
      <c r="B579" s="56"/>
      <c r="C579" s="56"/>
      <c r="D579" s="56"/>
    </row>
    <row r="580" spans="2:4" x14ac:dyDescent="0.3">
      <c r="B580" s="56"/>
      <c r="C580" s="56"/>
      <c r="D580" s="56"/>
    </row>
    <row r="581" spans="2:4" x14ac:dyDescent="0.3">
      <c r="B581" s="56"/>
      <c r="C581" s="56"/>
      <c r="D581" s="56"/>
    </row>
    <row r="582" spans="2:4" x14ac:dyDescent="0.3">
      <c r="B582" s="56"/>
      <c r="C582" s="56"/>
      <c r="D582" s="56"/>
    </row>
    <row r="583" spans="2:4" x14ac:dyDescent="0.3">
      <c r="B583" s="56"/>
      <c r="C583" s="56"/>
      <c r="D583" s="56"/>
    </row>
    <row r="584" spans="2:4" x14ac:dyDescent="0.3">
      <c r="B584" s="56"/>
      <c r="C584" s="56"/>
      <c r="D584" s="56"/>
    </row>
    <row r="585" spans="2:4" x14ac:dyDescent="0.3">
      <c r="B585" s="56"/>
      <c r="C585" s="56"/>
      <c r="D585" s="56"/>
    </row>
    <row r="586" spans="2:4" x14ac:dyDescent="0.3">
      <c r="B586" s="56"/>
      <c r="C586" s="56"/>
      <c r="D586" s="56"/>
    </row>
    <row r="587" spans="2:4" x14ac:dyDescent="0.3">
      <c r="B587" s="56"/>
      <c r="C587" s="56"/>
      <c r="D587" s="56"/>
    </row>
    <row r="588" spans="2:4" x14ac:dyDescent="0.3">
      <c r="B588" s="56"/>
      <c r="C588" s="56"/>
      <c r="D588" s="56"/>
    </row>
    <row r="589" spans="2:4" x14ac:dyDescent="0.3">
      <c r="B589" s="56"/>
      <c r="C589" s="56"/>
      <c r="D589" s="56"/>
    </row>
    <row r="590" spans="2:4" x14ac:dyDescent="0.3">
      <c r="B590" s="56"/>
      <c r="C590" s="56"/>
      <c r="D590" s="56"/>
    </row>
    <row r="591" spans="2:4" x14ac:dyDescent="0.3">
      <c r="B591" s="56"/>
      <c r="C591" s="56"/>
      <c r="D591" s="56"/>
    </row>
    <row r="592" spans="2:4" x14ac:dyDescent="0.3">
      <c r="B592" s="56"/>
      <c r="C592" s="56"/>
      <c r="D592" s="56"/>
    </row>
    <row r="593" spans="2:4" x14ac:dyDescent="0.3">
      <c r="B593" s="56"/>
      <c r="C593" s="56"/>
      <c r="D593" s="56"/>
    </row>
    <row r="594" spans="2:4" x14ac:dyDescent="0.3">
      <c r="B594" s="56"/>
      <c r="C594" s="56"/>
      <c r="D594" s="56"/>
    </row>
    <row r="595" spans="2:4" x14ac:dyDescent="0.3">
      <c r="B595" s="56"/>
      <c r="C595" s="56"/>
      <c r="D595" s="56"/>
    </row>
    <row r="596" spans="2:4" x14ac:dyDescent="0.3">
      <c r="B596" s="56"/>
      <c r="C596" s="56"/>
      <c r="D596" s="56"/>
    </row>
    <row r="597" spans="2:4" x14ac:dyDescent="0.3">
      <c r="B597" s="56"/>
      <c r="C597" s="56"/>
      <c r="D597" s="56"/>
    </row>
    <row r="598" spans="2:4" x14ac:dyDescent="0.3">
      <c r="B598" s="56"/>
      <c r="C598" s="56"/>
      <c r="D598" s="56"/>
    </row>
    <row r="599" spans="2:4" x14ac:dyDescent="0.3">
      <c r="B599" s="56"/>
      <c r="C599" s="56"/>
      <c r="D599" s="56"/>
    </row>
    <row r="600" spans="2:4" x14ac:dyDescent="0.3">
      <c r="B600" s="56"/>
      <c r="C600" s="56"/>
      <c r="D600" s="56"/>
    </row>
    <row r="601" spans="2:4" x14ac:dyDescent="0.3">
      <c r="B601" s="56"/>
      <c r="C601" s="56"/>
      <c r="D601" s="56"/>
    </row>
    <row r="602" spans="2:4" x14ac:dyDescent="0.3">
      <c r="B602" s="56"/>
      <c r="C602" s="56"/>
      <c r="D602" s="56"/>
    </row>
    <row r="603" spans="2:4" x14ac:dyDescent="0.3">
      <c r="B603" s="56"/>
      <c r="C603" s="56"/>
      <c r="D603" s="56"/>
    </row>
    <row r="604" spans="2:4" x14ac:dyDescent="0.3">
      <c r="B604" s="56"/>
      <c r="C604" s="56"/>
      <c r="D604" s="56"/>
    </row>
    <row r="605" spans="2:4" x14ac:dyDescent="0.3">
      <c r="B605" s="56"/>
      <c r="C605" s="56"/>
      <c r="D605" s="56"/>
    </row>
    <row r="606" spans="2:4" x14ac:dyDescent="0.3">
      <c r="B606" s="56"/>
      <c r="C606" s="56"/>
      <c r="D606" s="56"/>
    </row>
    <row r="607" spans="2:4" x14ac:dyDescent="0.3">
      <c r="B607" s="56"/>
      <c r="C607" s="56"/>
      <c r="D607" s="56"/>
    </row>
    <row r="608" spans="2:4" x14ac:dyDescent="0.3">
      <c r="B608" s="56"/>
      <c r="C608" s="56"/>
      <c r="D608" s="56"/>
    </row>
    <row r="609" spans="2:4" x14ac:dyDescent="0.3">
      <c r="B609" s="56"/>
      <c r="C609" s="56"/>
      <c r="D609" s="56"/>
    </row>
    <row r="610" spans="2:4" x14ac:dyDescent="0.3">
      <c r="B610" s="56"/>
      <c r="C610" s="56"/>
      <c r="D610" s="56"/>
    </row>
    <row r="611" spans="2:4" x14ac:dyDescent="0.3">
      <c r="B611" s="56"/>
      <c r="C611" s="56"/>
      <c r="D611" s="56"/>
    </row>
    <row r="612" spans="2:4" x14ac:dyDescent="0.3">
      <c r="B612" s="56"/>
      <c r="C612" s="56"/>
      <c r="D612" s="56"/>
    </row>
    <row r="613" spans="2:4" x14ac:dyDescent="0.3">
      <c r="B613" s="56"/>
      <c r="C613" s="56"/>
      <c r="D613" s="56"/>
    </row>
    <row r="614" spans="2:4" x14ac:dyDescent="0.3">
      <c r="B614" s="56"/>
      <c r="C614" s="56"/>
      <c r="D614" s="56"/>
    </row>
    <row r="615" spans="2:4" x14ac:dyDescent="0.3">
      <c r="B615" s="56"/>
      <c r="C615" s="56"/>
      <c r="D615" s="56"/>
    </row>
    <row r="616" spans="2:4" x14ac:dyDescent="0.3">
      <c r="B616" s="56"/>
      <c r="C616" s="56"/>
      <c r="D616" s="56"/>
    </row>
    <row r="617" spans="2:4" x14ac:dyDescent="0.3">
      <c r="B617" s="56"/>
      <c r="C617" s="56"/>
      <c r="D617" s="56"/>
    </row>
    <row r="618" spans="2:4" x14ac:dyDescent="0.3">
      <c r="B618" s="56"/>
      <c r="C618" s="56"/>
      <c r="D618" s="56"/>
    </row>
    <row r="619" spans="2:4" x14ac:dyDescent="0.3">
      <c r="B619" s="56"/>
      <c r="C619" s="56"/>
      <c r="D619" s="56"/>
    </row>
    <row r="620" spans="2:4" x14ac:dyDescent="0.3">
      <c r="B620" s="56"/>
      <c r="C620" s="56"/>
      <c r="D620" s="56"/>
    </row>
    <row r="621" spans="2:4" x14ac:dyDescent="0.3">
      <c r="B621" s="56"/>
      <c r="C621" s="56"/>
      <c r="D621" s="56"/>
    </row>
    <row r="622" spans="2:4" x14ac:dyDescent="0.3">
      <c r="B622" s="56"/>
      <c r="C622" s="56"/>
      <c r="D622" s="56"/>
    </row>
    <row r="623" spans="2:4" x14ac:dyDescent="0.3">
      <c r="B623" s="56"/>
      <c r="C623" s="56"/>
      <c r="D623" s="56"/>
    </row>
    <row r="624" spans="2:4" x14ac:dyDescent="0.3">
      <c r="B624" s="56"/>
      <c r="C624" s="56"/>
      <c r="D624" s="56"/>
    </row>
    <row r="625" spans="2:4" x14ac:dyDescent="0.3">
      <c r="B625" s="56"/>
      <c r="C625" s="56"/>
      <c r="D625" s="56"/>
    </row>
    <row r="626" spans="2:4" x14ac:dyDescent="0.3">
      <c r="B626" s="56"/>
      <c r="C626" s="56"/>
      <c r="D626" s="56"/>
    </row>
    <row r="627" spans="2:4" x14ac:dyDescent="0.3">
      <c r="B627" s="56"/>
      <c r="C627" s="56"/>
      <c r="D627" s="56"/>
    </row>
    <row r="628" spans="2:4" x14ac:dyDescent="0.3">
      <c r="B628" s="56"/>
      <c r="C628" s="56"/>
      <c r="D628" s="56"/>
    </row>
    <row r="629" spans="2:4" x14ac:dyDescent="0.3">
      <c r="B629" s="56"/>
      <c r="C629" s="56"/>
      <c r="D629" s="56"/>
    </row>
    <row r="630" spans="2:4" x14ac:dyDescent="0.3">
      <c r="B630" s="56"/>
      <c r="C630" s="56"/>
      <c r="D630" s="56"/>
    </row>
    <row r="631" spans="2:4" x14ac:dyDescent="0.3">
      <c r="B631" s="56"/>
      <c r="C631" s="56"/>
      <c r="D631" s="56"/>
    </row>
    <row r="632" spans="2:4" x14ac:dyDescent="0.3">
      <c r="B632" s="56"/>
      <c r="C632" s="56"/>
      <c r="D632" s="56"/>
    </row>
    <row r="633" spans="2:4" x14ac:dyDescent="0.3">
      <c r="B633" s="56"/>
      <c r="C633" s="56"/>
      <c r="D633" s="56"/>
    </row>
    <row r="634" spans="2:4" x14ac:dyDescent="0.3">
      <c r="B634" s="56"/>
      <c r="C634" s="56"/>
      <c r="D634" s="56"/>
    </row>
    <row r="635" spans="2:4" x14ac:dyDescent="0.3">
      <c r="B635" s="56"/>
      <c r="C635" s="56"/>
      <c r="D635" s="56"/>
    </row>
    <row r="636" spans="2:4" x14ac:dyDescent="0.3">
      <c r="B636" s="56"/>
      <c r="C636" s="56"/>
      <c r="D636" s="56"/>
    </row>
    <row r="637" spans="2:4" x14ac:dyDescent="0.3">
      <c r="B637" s="56"/>
      <c r="C637" s="56"/>
      <c r="D637" s="56"/>
    </row>
    <row r="638" spans="2:4" x14ac:dyDescent="0.3">
      <c r="B638" s="56"/>
      <c r="C638" s="56"/>
      <c r="D638" s="56"/>
    </row>
    <row r="639" spans="2:4" x14ac:dyDescent="0.3">
      <c r="B639" s="56"/>
      <c r="C639" s="56"/>
      <c r="D639" s="56"/>
    </row>
    <row r="640" spans="2:4" x14ac:dyDescent="0.3">
      <c r="B640" s="56"/>
      <c r="C640" s="56"/>
      <c r="D640" s="56"/>
    </row>
    <row r="641" spans="2:4" x14ac:dyDescent="0.3">
      <c r="B641" s="56"/>
      <c r="C641" s="56"/>
      <c r="D641" s="56"/>
    </row>
    <row r="642" spans="2:4" x14ac:dyDescent="0.3">
      <c r="B642" s="56"/>
      <c r="C642" s="56"/>
      <c r="D642" s="56"/>
    </row>
    <row r="643" spans="2:4" x14ac:dyDescent="0.3">
      <c r="B643" s="56"/>
      <c r="C643" s="56"/>
      <c r="D643" s="56"/>
    </row>
    <row r="644" spans="2:4" x14ac:dyDescent="0.3">
      <c r="B644" s="56"/>
      <c r="C644" s="56"/>
      <c r="D644" s="56"/>
    </row>
    <row r="645" spans="2:4" x14ac:dyDescent="0.3">
      <c r="B645" s="56"/>
      <c r="C645" s="56"/>
      <c r="D645" s="56"/>
    </row>
    <row r="646" spans="2:4" x14ac:dyDescent="0.3">
      <c r="B646" s="56"/>
      <c r="C646" s="56"/>
      <c r="D646" s="56"/>
    </row>
    <row r="647" spans="2:4" x14ac:dyDescent="0.3">
      <c r="B647" s="56"/>
      <c r="C647" s="56"/>
      <c r="D647" s="56"/>
    </row>
    <row r="648" spans="2:4" x14ac:dyDescent="0.3">
      <c r="B648" s="56"/>
      <c r="C648" s="56"/>
      <c r="D648" s="56"/>
    </row>
    <row r="649" spans="2:4" x14ac:dyDescent="0.3">
      <c r="B649" s="56"/>
      <c r="C649" s="56"/>
      <c r="D649" s="56"/>
    </row>
    <row r="650" spans="2:4" x14ac:dyDescent="0.3">
      <c r="B650" s="56"/>
      <c r="C650" s="56"/>
      <c r="D650" s="56"/>
    </row>
    <row r="651" spans="2:4" x14ac:dyDescent="0.3">
      <c r="B651" s="56"/>
      <c r="C651" s="56"/>
      <c r="D651" s="56"/>
    </row>
    <row r="652" spans="2:4" x14ac:dyDescent="0.3">
      <c r="B652" s="56"/>
      <c r="C652" s="56"/>
      <c r="D652" s="56"/>
    </row>
    <row r="653" spans="2:4" x14ac:dyDescent="0.3">
      <c r="B653" s="56"/>
      <c r="C653" s="56"/>
      <c r="D653" s="56"/>
    </row>
    <row r="654" spans="2:4" x14ac:dyDescent="0.3">
      <c r="B654" s="56"/>
      <c r="C654" s="56"/>
      <c r="D654" s="56"/>
    </row>
    <row r="655" spans="2:4" x14ac:dyDescent="0.3">
      <c r="B655" s="56"/>
      <c r="C655" s="56"/>
      <c r="D655" s="56"/>
    </row>
    <row r="656" spans="2:4" x14ac:dyDescent="0.3">
      <c r="B656" s="56"/>
      <c r="C656" s="56"/>
      <c r="D656" s="56"/>
    </row>
    <row r="657" spans="2:4" x14ac:dyDescent="0.3">
      <c r="B657" s="56"/>
      <c r="C657" s="56"/>
      <c r="D657" s="56"/>
    </row>
    <row r="658" spans="2:4" x14ac:dyDescent="0.3">
      <c r="B658" s="56"/>
      <c r="C658" s="56"/>
      <c r="D658" s="56"/>
    </row>
    <row r="659" spans="2:4" x14ac:dyDescent="0.3">
      <c r="B659" s="56"/>
      <c r="C659" s="56"/>
      <c r="D659" s="56"/>
    </row>
    <row r="660" spans="2:4" x14ac:dyDescent="0.3">
      <c r="B660" s="56"/>
      <c r="C660" s="56"/>
      <c r="D660" s="56"/>
    </row>
    <row r="661" spans="2:4" x14ac:dyDescent="0.3">
      <c r="B661" s="56"/>
      <c r="C661" s="56"/>
      <c r="D661" s="56"/>
    </row>
    <row r="662" spans="2:4" x14ac:dyDescent="0.3">
      <c r="B662" s="56"/>
      <c r="C662" s="56"/>
      <c r="D662" s="56"/>
    </row>
    <row r="663" spans="2:4" x14ac:dyDescent="0.3">
      <c r="B663" s="56"/>
      <c r="C663" s="56"/>
      <c r="D663" s="56"/>
    </row>
    <row r="664" spans="2:4" x14ac:dyDescent="0.3">
      <c r="B664" s="56"/>
      <c r="C664" s="56"/>
      <c r="D664" s="56"/>
    </row>
    <row r="665" spans="2:4" x14ac:dyDescent="0.3">
      <c r="B665" s="56"/>
      <c r="C665" s="56"/>
      <c r="D665" s="56"/>
    </row>
    <row r="666" spans="2:4" x14ac:dyDescent="0.3">
      <c r="B666" s="56"/>
      <c r="C666" s="56"/>
      <c r="D666" s="56"/>
    </row>
    <row r="667" spans="2:4" x14ac:dyDescent="0.3">
      <c r="B667" s="56"/>
      <c r="C667" s="56"/>
      <c r="D667" s="56"/>
    </row>
    <row r="668" spans="2:4" x14ac:dyDescent="0.3">
      <c r="B668" s="56"/>
      <c r="C668" s="56"/>
      <c r="D668" s="56"/>
    </row>
    <row r="669" spans="2:4" x14ac:dyDescent="0.3">
      <c r="B669" s="56"/>
      <c r="C669" s="56"/>
      <c r="D669" s="56"/>
    </row>
    <row r="670" spans="2:4" x14ac:dyDescent="0.3">
      <c r="B670" s="56"/>
      <c r="C670" s="56"/>
      <c r="D670" s="56"/>
    </row>
    <row r="671" spans="2:4" x14ac:dyDescent="0.3">
      <c r="B671" s="56"/>
      <c r="C671" s="56"/>
      <c r="D671" s="56"/>
    </row>
    <row r="672" spans="2:4" x14ac:dyDescent="0.3">
      <c r="B672" s="56"/>
      <c r="C672" s="56"/>
      <c r="D672" s="56"/>
    </row>
    <row r="673" spans="2:4" x14ac:dyDescent="0.3">
      <c r="B673" s="56"/>
      <c r="C673" s="56"/>
      <c r="D673" s="56"/>
    </row>
  </sheetData>
  <mergeCells count="88">
    <mergeCell ref="D13:E13"/>
    <mergeCell ref="D12:E12"/>
    <mergeCell ref="D6:E6"/>
    <mergeCell ref="D8:E8"/>
    <mergeCell ref="D9:E9"/>
    <mergeCell ref="D10:E10"/>
    <mergeCell ref="D11:E11"/>
    <mergeCell ref="D7:E7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23:E23"/>
    <mergeCell ref="D25:E25"/>
    <mergeCell ref="D27:E27"/>
    <mergeCell ref="D28:E28"/>
    <mergeCell ref="D22:E22"/>
    <mergeCell ref="D26:E26"/>
    <mergeCell ref="B62:C62"/>
    <mergeCell ref="B61:C61"/>
    <mergeCell ref="B60:C60"/>
    <mergeCell ref="B59:C59"/>
    <mergeCell ref="B58:C58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29:C29"/>
    <mergeCell ref="B33:C33"/>
    <mergeCell ref="B28:C28"/>
    <mergeCell ref="B30:C30"/>
    <mergeCell ref="B31:C31"/>
    <mergeCell ref="B32:C32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13:C13"/>
    <mergeCell ref="B12:C12"/>
    <mergeCell ref="B11:C11"/>
    <mergeCell ref="B10:C10"/>
    <mergeCell ref="B9:C9"/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opLeftCell="P1" workbookViewId="0">
      <selection activeCell="Y10" sqref="Y10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100" customWidth="1"/>
    <col min="17" max="17" width="16" customWidth="1"/>
    <col min="18" max="18" width="16" style="102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3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1" t="s">
        <v>105</v>
      </c>
      <c r="O1" s="121"/>
      <c r="P1" s="121"/>
      <c r="Q1" s="121"/>
      <c r="R1" s="121"/>
      <c r="S1" s="121"/>
      <c r="T1" s="121"/>
      <c r="U1" s="121" t="s">
        <v>63</v>
      </c>
      <c r="V1" s="121"/>
      <c r="W1" s="121"/>
      <c r="X1" s="121"/>
      <c r="Y1" s="121"/>
      <c r="Z1" s="121" t="s">
        <v>64</v>
      </c>
      <c r="AA1" s="121"/>
      <c r="AB1" s="121"/>
    </row>
    <row r="2" spans="1:30" ht="15.6" x14ac:dyDescent="0.3">
      <c r="A2" s="15" t="s">
        <v>20</v>
      </c>
      <c r="B2" s="2" t="s">
        <v>23</v>
      </c>
      <c r="C2" s="96" t="s">
        <v>123</v>
      </c>
      <c r="D2" s="96" t="s">
        <v>24</v>
      </c>
      <c r="E2" s="96" t="s">
        <v>33</v>
      </c>
      <c r="F2" s="96" t="s">
        <v>38</v>
      </c>
      <c r="G2" s="96" t="s">
        <v>60</v>
      </c>
      <c r="H2" s="96" t="s">
        <v>39</v>
      </c>
      <c r="I2" s="96" t="s">
        <v>40</v>
      </c>
      <c r="J2" s="95" t="s">
        <v>41</v>
      </c>
      <c r="K2" s="9" t="s">
        <v>42</v>
      </c>
      <c r="L2" s="9" t="s">
        <v>36</v>
      </c>
      <c r="M2" s="96" t="s">
        <v>52</v>
      </c>
      <c r="N2" s="96" t="s">
        <v>107</v>
      </c>
      <c r="O2" s="96" t="s">
        <v>43</v>
      </c>
      <c r="P2" s="100" t="s">
        <v>112</v>
      </c>
      <c r="Q2" s="96" t="s">
        <v>108</v>
      </c>
      <c r="R2" s="102" t="s">
        <v>113</v>
      </c>
      <c r="S2" s="2" t="s">
        <v>91</v>
      </c>
      <c r="T2" s="2" t="s">
        <v>53</v>
      </c>
      <c r="U2" s="96" t="s">
        <v>54</v>
      </c>
      <c r="V2" s="96" t="s">
        <v>55</v>
      </c>
      <c r="W2" s="96" t="s">
        <v>110</v>
      </c>
      <c r="X2" s="96" t="s">
        <v>97</v>
      </c>
      <c r="Y2" s="96" t="s">
        <v>19</v>
      </c>
      <c r="Z2" s="96" t="s">
        <v>22</v>
      </c>
      <c r="AA2" s="103" t="s">
        <v>120</v>
      </c>
      <c r="AB2" s="96" t="s">
        <v>109</v>
      </c>
      <c r="AC2" s="96" t="s">
        <v>45</v>
      </c>
      <c r="AD2" t="s">
        <v>62</v>
      </c>
    </row>
    <row r="3" spans="1:30" ht="15.6" x14ac:dyDescent="0.3">
      <c r="A3" s="15" t="s">
        <v>96</v>
      </c>
      <c r="B3" t="s">
        <v>125</v>
      </c>
      <c r="C3" s="86">
        <f>D3/SUM(D3:D4)</f>
        <v>0.4443954277550034</v>
      </c>
      <c r="D3" s="35">
        <f>L3/F3</f>
        <v>65609.668138328911</v>
      </c>
      <c r="E3" s="4">
        <f>[1]All!$H$12</f>
        <v>0.67</v>
      </c>
      <c r="F3" s="87">
        <f>[1]All!$G$12</f>
        <v>4.8</v>
      </c>
      <c r="G3" s="79">
        <f>M3/D3</f>
        <v>7.0436462426640478</v>
      </c>
      <c r="H3" s="85">
        <f>[1]All!$J$12</f>
        <v>5.7</v>
      </c>
      <c r="I3" s="85">
        <f>[1]All!$I$12</f>
        <v>0.44</v>
      </c>
      <c r="J3" s="65">
        <f>D3*F3</f>
        <v>314926.40706397878</v>
      </c>
      <c r="K3" s="21">
        <v>1</v>
      </c>
      <c r="L3" s="66">
        <f>([2]prod_herd_data!$J$8+[2]prod_herd_data!$K$8)*(1-[2]prod_herd_data!$J$3)*(C25)</f>
        <v>314926.40706397872</v>
      </c>
      <c r="M3" s="111">
        <f>SUM([2]prod_herd_data!$J$10:$K$10)*C25</f>
        <v>462131.2924649755</v>
      </c>
      <c r="N3" s="63">
        <f>Dairy_Income_Baseline!B28</f>
        <v>84.737089689012336</v>
      </c>
      <c r="O3" s="63">
        <f ca="1">Dairy_Income_Baseline!B60</f>
        <v>173.86409898595343</v>
      </c>
      <c r="P3" s="63">
        <f>(G3-F3)*(Dairy_Income_Baseline!B24)</f>
        <v>0.12039563149077043</v>
      </c>
      <c r="Q3" s="64">
        <f>P3*Dairy_Income_Baseline!L36</f>
        <v>44.606958098634109</v>
      </c>
      <c r="R3" s="64">
        <f>IF(P3&gt;0, P3*Dairy_Income_Roadmap!L19/12, 0)</f>
        <v>0.28092314014513103</v>
      </c>
      <c r="S3" s="69">
        <f>G3*I3*N3</f>
        <v>262.6175566970112</v>
      </c>
      <c r="T3" s="60">
        <f ca="1">F3*O3*I3</f>
        <v>367.20097705833365</v>
      </c>
      <c r="U3" s="84">
        <f>N3*(M3*K3)/(D3)</f>
        <v>596.85808340229812</v>
      </c>
      <c r="V3" s="84">
        <f>[1]All!$E$12*[3]Sheet1!$B$9</f>
        <v>1757.2440469077476</v>
      </c>
      <c r="W3" s="84">
        <f>[1]All!$F$12</f>
        <v>86</v>
      </c>
      <c r="X3" s="59">
        <f>U3+V3</f>
        <v>2354.1021303100456</v>
      </c>
      <c r="Y3" s="97">
        <f>V3+S3-Q3-R3</f>
        <v>1974.9737223659795</v>
      </c>
      <c r="Z3" s="61">
        <f>SQRT(C3*(1-C3)/N35)</f>
        <v>2.9433727613268908E-2</v>
      </c>
      <c r="AA3" s="114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126</v>
      </c>
      <c r="C4" s="86">
        <f>1-C3</f>
        <v>0.5556045722449966</v>
      </c>
      <c r="D4" s="35">
        <f>L4/F4</f>
        <v>82028.367810366151</v>
      </c>
      <c r="E4" s="4">
        <v>0.27</v>
      </c>
      <c r="F4" s="87">
        <f>[1]All!$G$13</f>
        <v>2.6601940000000002</v>
      </c>
      <c r="G4" s="79">
        <f>M4/D4</f>
        <v>3.8141720088080677</v>
      </c>
      <c r="H4" s="85">
        <f>[1]All!$J$13</f>
        <v>5.4</v>
      </c>
      <c r="I4" s="85">
        <f>[1]All!$I$13</f>
        <v>0.55710000000000004</v>
      </c>
      <c r="J4" s="65">
        <f>D4*F4</f>
        <v>218211.37187892917</v>
      </c>
      <c r="K4" s="21">
        <v>1</v>
      </c>
      <c r="L4" s="66">
        <f>([2]prod_herd_data!$J$8+[2]prod_herd_data!$K$8)*([2]prod_herd_data!$J$3)*(1-C23)</f>
        <v>218211.3718789292</v>
      </c>
      <c r="M4" s="66">
        <f>SUM([2]prod_herd_data!$J$9:$K$9)*(1-C24)</f>
        <v>312870.30443051131</v>
      </c>
      <c r="N4" s="63">
        <f>Dairy_Income_Baseline!D28</f>
        <v>585.73698241090847</v>
      </c>
      <c r="O4" s="63">
        <f ca="1">Dairy_Income_Baseline!E60</f>
        <v>132.705441246524</v>
      </c>
      <c r="P4" s="63">
        <f>(G4-F4)*(Dairy_Income_Baseline!B24)</f>
        <v>6.1923269566748887E-2</v>
      </c>
      <c r="Q4" s="64">
        <f>P4*Dairy_Income_Baseline!L38</f>
        <v>30.361004885281496</v>
      </c>
      <c r="R4" s="64">
        <f>IF(P4&gt;0, P4*Dairy_Income_Roadmap!L19/12, 0)</f>
        <v>0.14448762898908074</v>
      </c>
      <c r="S4" s="60">
        <f>G4*I4*N4</f>
        <v>1244.6180029395962</v>
      </c>
      <c r="T4" s="60">
        <f ca="1">F4*O4*I4</f>
        <v>196.66867796610228</v>
      </c>
      <c r="U4" s="84">
        <f>N4*(M4*K4)/(D4)</f>
        <v>2234.1016028353906</v>
      </c>
      <c r="V4" s="84">
        <f>[1]All!$E$13*[3]Sheet1!$B$9</f>
        <v>1778.1411883175087</v>
      </c>
      <c r="W4" s="84">
        <f>[1]All!$F$13</f>
        <v>80</v>
      </c>
      <c r="X4" s="59">
        <f>U4+V4</f>
        <v>4012.2427911528994</v>
      </c>
      <c r="Y4" s="113">
        <f>V4+S4-Q4-R4</f>
        <v>2992.2536987428343</v>
      </c>
      <c r="Z4" s="61">
        <f>SQRT(C4*(1-C4)/N35)</f>
        <v>2.9433727613268908E-2</v>
      </c>
      <c r="AA4" s="114">
        <f>D4*S4</f>
        <v>102093983.32853258</v>
      </c>
      <c r="AB4" s="70">
        <f>Y4*D4</f>
        <v>245449686.98240578</v>
      </c>
      <c r="AC4" s="22"/>
      <c r="AD4" s="21">
        <f ca="1">MC_Baseline!H19</f>
        <v>9.1780938326555663</v>
      </c>
    </row>
    <row r="5" spans="1:30" ht="15.6" x14ac:dyDescent="0.3">
      <c r="A5" s="16"/>
      <c r="C5" s="38"/>
      <c r="D5" s="35"/>
      <c r="E5" s="4"/>
      <c r="F5" s="87"/>
      <c r="G5" s="4"/>
      <c r="H5" s="4"/>
      <c r="J5" s="65"/>
      <c r="K5" s="21"/>
      <c r="L5" s="13"/>
      <c r="M5" s="67"/>
      <c r="N5" s="63"/>
      <c r="O5" s="63"/>
      <c r="P5" s="63"/>
      <c r="Q5" s="101"/>
      <c r="R5" s="101"/>
      <c r="S5" s="60"/>
      <c r="T5" s="60"/>
      <c r="U5" s="59"/>
      <c r="V5" s="59"/>
      <c r="W5" s="59"/>
      <c r="X5" s="59"/>
      <c r="Y5" s="98"/>
      <c r="Z5" s="61"/>
      <c r="AA5" s="114"/>
      <c r="AB5" s="59"/>
      <c r="AC5" s="1"/>
      <c r="AD5" s="21"/>
    </row>
    <row r="6" spans="1:30" ht="15.6" x14ac:dyDescent="0.3">
      <c r="A6" s="15" t="s">
        <v>127</v>
      </c>
      <c r="B6" t="s">
        <v>124</v>
      </c>
      <c r="C6" s="77">
        <f>D6/SUM(D6:D8)</f>
        <v>6.6659314163250508E-2</v>
      </c>
      <c r="D6" s="78">
        <f>D3*C30</f>
        <v>9841.4502207493369</v>
      </c>
      <c r="E6" s="79">
        <f>E4</f>
        <v>0.27</v>
      </c>
      <c r="F6" s="78">
        <f>J6*(1/D6)</f>
        <v>1.2251856561396255</v>
      </c>
      <c r="G6" s="80"/>
      <c r="H6" s="79">
        <f>H3</f>
        <v>5.7</v>
      </c>
      <c r="I6" s="27">
        <f>I3</f>
        <v>0.44</v>
      </c>
      <c r="J6" s="81">
        <f>M6*K6</f>
        <v>12057.60364607424</v>
      </c>
      <c r="K6" s="82">
        <f>C26</f>
        <v>0.05</v>
      </c>
      <c r="L6" s="12"/>
      <c r="M6" s="67">
        <f>([2]prod_herd_data!J25*[2]prod_herd_data!J31+[2]prod_herd_data!K25*[2]prod_herd_data!K31)*(1-C24)</f>
        <v>241152.07292148477</v>
      </c>
      <c r="N6" s="63">
        <f>Dairy_Income_Roadmap!C27</f>
        <v>1495.1172015495711</v>
      </c>
      <c r="O6" s="63">
        <f ca="1">Dairy_Income_Roadmap!C55</f>
        <v>82.065549318596368</v>
      </c>
      <c r="P6" s="63">
        <f>(F6*(Dairy_Income_Roadmap!C22 + Dairy_Income_Baseline!B24)  -   F3*Dairy_Income_Baseline!B24)</f>
        <v>0.15705628993927817</v>
      </c>
      <c r="Q6" s="64">
        <f>(P6*(Dairy_Income_Roadmap!C19))</f>
        <v>74.317546538515671</v>
      </c>
      <c r="R6" s="64">
        <f>IF(P6&gt;0, P6*Dairy_Income_Roadmap!L19/12, 0)</f>
        <v>0.36646467652498238</v>
      </c>
      <c r="S6" s="60">
        <f>F6*I6*N6</f>
        <v>805.99030581790691</v>
      </c>
      <c r="T6" s="60">
        <f ca="1">F6*O6*I6</f>
        <v>44.240034910879842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8">
        <f>V6+S6</f>
        <v>2488.5503415106136</v>
      </c>
      <c r="Z6" s="61">
        <f>Z3</f>
        <v>2.9433727613268908E-2</v>
      </c>
      <c r="AA6" s="114">
        <f>D6*S6</f>
        <v>7932113.4731134661</v>
      </c>
      <c r="AB6" s="68">
        <f>Y6*D6</f>
        <v>24490944.307805467</v>
      </c>
      <c r="AC6" s="1"/>
      <c r="AD6" s="21"/>
    </row>
    <row r="7" spans="1:30" ht="15.6" x14ac:dyDescent="0.3">
      <c r="A7" s="15"/>
      <c r="B7" t="s">
        <v>125</v>
      </c>
      <c r="C7" s="77">
        <f>D7/SUM(D6:D8)</f>
        <v>0.37773611359175291</v>
      </c>
      <c r="D7" s="78">
        <f>D3-D6</f>
        <v>55768.217917579575</v>
      </c>
      <c r="E7" s="79">
        <f>E3</f>
        <v>0.67</v>
      </c>
      <c r="F7" s="78">
        <f>J7*(1/D7)</f>
        <v>5.2215390286849646</v>
      </c>
      <c r="G7" s="80"/>
      <c r="H7" s="79">
        <f>H3</f>
        <v>5.7</v>
      </c>
      <c r="I7" s="27">
        <f>I3</f>
        <v>0.44</v>
      </c>
      <c r="J7" s="81">
        <f>M7*K7</f>
        <v>291195.92641684989</v>
      </c>
      <c r="K7" s="82">
        <v>1</v>
      </c>
      <c r="L7" s="12"/>
      <c r="M7" s="67">
        <f>([2]prod_herd_data!J26*[2]prod_herd_data!J31+[2]prod_herd_data!K26*[2]prod_herd_data!K31)*C25</f>
        <v>291195.92641684989</v>
      </c>
      <c r="N7" s="63">
        <f>Dairy_Income_Roadmap!E27</f>
        <v>340.3171855089804</v>
      </c>
      <c r="O7" s="63">
        <f ca="1">Dairy_Income_Roadmap!E55</f>
        <v>27.800029702308063</v>
      </c>
      <c r="P7" s="63">
        <f>(F7*(Dairy_Income_Roadmap!E22 + Dairy_Income_Baseline!B24)  -   F3*Dairy_Income_Baseline!B24)</f>
        <v>1.0547462411083355</v>
      </c>
      <c r="Q7" s="64">
        <f>(P7*(Dairy_Income_Roadmap!E19))</f>
        <v>499.09591580317607</v>
      </c>
      <c r="R7" s="64">
        <f>IF(P7&gt;0, P7*Dairy_Income_Roadmap!L19/12, 0)</f>
        <v>2.4610745625861159</v>
      </c>
      <c r="S7" s="60">
        <f>F7*I7*N7</f>
        <v>781.87096515763949</v>
      </c>
      <c r="T7" s="60">
        <f ca="1">F7*O7*I7</f>
        <v>63.86993363924924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8">
        <f>V7+S7</f>
        <v>2037.558021699625</v>
      </c>
      <c r="Z7" s="61">
        <f>Z3</f>
        <v>2.9433727613268908E-2</v>
      </c>
      <c r="AA7" s="114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126</v>
      </c>
      <c r="C8" s="77">
        <f>D8/SUM(D6:D8)</f>
        <v>0.5556045722449966</v>
      </c>
      <c r="D8" s="78">
        <f>D4</f>
        <v>82028.367810366151</v>
      </c>
      <c r="E8" s="79">
        <f>E4</f>
        <v>0.27</v>
      </c>
      <c r="F8" s="78">
        <f>J8*(1/D8)</f>
        <v>2.7928688012546221</v>
      </c>
      <c r="G8" s="80"/>
      <c r="H8" s="79">
        <f>H4</f>
        <v>5.4</v>
      </c>
      <c r="I8" s="27">
        <f>I4</f>
        <v>0.55710000000000004</v>
      </c>
      <c r="J8" s="81">
        <f t="shared" ref="J8" si="1">M8*K8</f>
        <v>229094.46927541052</v>
      </c>
      <c r="K8" s="82">
        <f>K4*(1-C26)</f>
        <v>0.95</v>
      </c>
      <c r="L8" s="12"/>
      <c r="M8" s="67">
        <f>([2]prod_herd_data!J25*[2]prod_herd_data!J31+[2]prod_herd_data!K25*[2]prod_herd_data!K31)*(1-C24)</f>
        <v>241152.07292148477</v>
      </c>
      <c r="N8" s="63">
        <f>Dairy_Income_Roadmap!G27</f>
        <v>1662.110376985115</v>
      </c>
      <c r="O8" s="63">
        <f ca="1">Dairy_Income_Roadmap!G55</f>
        <v>77.038100887606035</v>
      </c>
      <c r="P8" s="63">
        <f>(F8*(Dairy_Income_Roadmap!G22 + Dairy_Income_Baseline!D24)  -   F5*Dairy_Income_Baseline!D24)</f>
        <v>0.92376754193251132</v>
      </c>
      <c r="Q8" s="64">
        <f>(P8*(Dairy_Income_Roadmap!G19))</f>
        <v>578.45437685600098</v>
      </c>
      <c r="R8" s="64">
        <f>IF(P8&gt;0, P8*Dairy_Income_Roadmap!L19/12, 0)</f>
        <v>2.1554575978425263</v>
      </c>
      <c r="S8" s="60">
        <f>F8*I8*N8</f>
        <v>2586.0895180022831</v>
      </c>
      <c r="T8" s="60">
        <f ca="1">F8*O8*I8</f>
        <v>119.86413655248151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8">
        <f t="shared" ref="Y8:Y20" si="2">V8+S8</f>
        <v>3783.6208718659482</v>
      </c>
      <c r="Z8" s="61">
        <f>Z4</f>
        <v>2.9433727613268908E-2</v>
      </c>
      <c r="AA8" s="114">
        <f>D8*S8</f>
        <v>212132702.17322379</v>
      </c>
      <c r="AB8" s="59">
        <f>Y8*D8</f>
        <v>310364244.53239828</v>
      </c>
      <c r="AC8" s="93">
        <f>-1+SUM(AB6:AB8)/SUM(AB3:AB4)</f>
        <v>0.19587682984048427</v>
      </c>
      <c r="AD8" s="21">
        <f ca="1">MC_High_ambition!I20</f>
        <v>7.7329856977651854</v>
      </c>
    </row>
    <row r="9" spans="1:30" ht="15.6" x14ac:dyDescent="0.3">
      <c r="A9" s="16"/>
      <c r="C9" s="77"/>
      <c r="D9" s="78"/>
      <c r="E9" s="79"/>
      <c r="F9" s="78"/>
      <c r="G9" s="80"/>
      <c r="H9" s="27"/>
      <c r="I9" s="27"/>
      <c r="J9" s="81"/>
      <c r="K9" s="82"/>
      <c r="L9" s="12"/>
      <c r="M9" s="67"/>
      <c r="N9" s="63"/>
      <c r="O9" s="63"/>
      <c r="P9" s="63"/>
      <c r="Q9" s="64"/>
      <c r="R9" s="64"/>
      <c r="S9" s="60"/>
      <c r="T9" s="60"/>
      <c r="U9" s="59"/>
      <c r="V9" s="59"/>
      <c r="W9" s="59"/>
      <c r="X9" s="59"/>
      <c r="Y9" s="98"/>
      <c r="Z9" s="61"/>
      <c r="AA9" s="114"/>
      <c r="AB9" s="59"/>
      <c r="AC9" s="93"/>
      <c r="AD9" s="21"/>
    </row>
    <row r="10" spans="1:30" ht="15.6" x14ac:dyDescent="0.3">
      <c r="A10" s="15" t="s">
        <v>128</v>
      </c>
      <c r="B10" t="str">
        <f>B6</f>
        <v>New-improved</v>
      </c>
      <c r="C10" s="77">
        <f>D10/SUM(D10:D12)</f>
        <v>3.7773611359175292E-2</v>
      </c>
      <c r="D10" s="78">
        <f>D3*C31</f>
        <v>5576.8217917579577</v>
      </c>
      <c r="E10" s="79">
        <f>E6</f>
        <v>0.27</v>
      </c>
      <c r="F10" s="78">
        <f>J10*(1/D10)</f>
        <v>1.2820105372710859</v>
      </c>
      <c r="G10" s="80"/>
      <c r="H10" s="79">
        <f>H6</f>
        <v>5.7</v>
      </c>
      <c r="I10" s="27">
        <f>I6</f>
        <v>0.44</v>
      </c>
      <c r="J10" s="81">
        <f>M10*K10</f>
        <v>7149.5443015167193</v>
      </c>
      <c r="K10" s="82">
        <f>C27</f>
        <v>0.03</v>
      </c>
      <c r="L10" s="12"/>
      <c r="M10" s="67">
        <f>([2]prod_herd_data!J34*[2]prod_herd_data!J40+[2]prod_herd_data!K34*[2]prod_herd_data!K40)*(1-C24)</f>
        <v>238318.14338389065</v>
      </c>
      <c r="N10" s="63">
        <f>Dairy_Income_Roadmap!C27</f>
        <v>1495.1172015495711</v>
      </c>
      <c r="O10" s="63">
        <f ca="1">Dairy_Income_Roadmap!C55</f>
        <v>82.065549318596368</v>
      </c>
      <c r="P10" s="63">
        <f>(F10*(Dairy_Income_Roadmap!C22+Dairy_Income_Baseline!B24)-F3*Dairy_Income_Baseline!B24)</f>
        <v>0.17628698141528126</v>
      </c>
      <c r="Q10" s="64">
        <f>(P10*(Dairy_Income_Roadmap!C19))</f>
        <v>83.417327319586278</v>
      </c>
      <c r="R10" s="64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46.291915548287434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8">
        <f t="shared" si="2"/>
        <v>2516.7880263085881</v>
      </c>
      <c r="Z10" s="61">
        <f>Z6</f>
        <v>2.9433727613268908E-2</v>
      </c>
      <c r="AA10" s="114">
        <f>D10*S10</f>
        <v>4703338.9341128794</v>
      </c>
      <c r="AB10" s="59">
        <f>Y10*D10</f>
        <v>14035678.310353234</v>
      </c>
      <c r="AC10" s="93"/>
      <c r="AD10" s="21"/>
    </row>
    <row r="11" spans="1:30" ht="15.6" x14ac:dyDescent="0.3">
      <c r="A11" s="17"/>
      <c r="B11" s="108" t="str">
        <f t="shared" ref="B11:B20" si="4">B7</f>
        <v>Local-only</v>
      </c>
      <c r="C11" s="77">
        <f>D11/SUM(D10:D12)</f>
        <v>0.40662181639582812</v>
      </c>
      <c r="D11" s="78">
        <f>D3*(1-C31)</f>
        <v>60032.846346570957</v>
      </c>
      <c r="E11" s="79">
        <f>E7</f>
        <v>0.67</v>
      </c>
      <c r="F11" s="78">
        <f>J11*(1/D11)</f>
        <v>5.677991189887404</v>
      </c>
      <c r="G11" s="80"/>
      <c r="H11" s="79">
        <f t="shared" ref="H11:H20" si="5">H7</f>
        <v>5.7</v>
      </c>
      <c r="I11" s="27">
        <f>I6</f>
        <v>0.44</v>
      </c>
      <c r="J11" s="81">
        <f>M11*K11</f>
        <v>340865.97265969415</v>
      </c>
      <c r="K11" s="82">
        <v>1</v>
      </c>
      <c r="L11" s="12"/>
      <c r="M11" s="67">
        <f>([2]prod_herd_data!J35*[2]prod_herd_data!J40+[2]prod_herd_data!K35*[2]prod_herd_data!K40)*C25</f>
        <v>340865.97265969415</v>
      </c>
      <c r="N11" s="63">
        <f>Dairy_Income_Roadmap!E27</f>
        <v>340.3171855089804</v>
      </c>
      <c r="O11" s="63">
        <f ca="1">Dairy_Income_Roadmap!E55</f>
        <v>27.800029702308063</v>
      </c>
      <c r="P11" s="63">
        <f>(F11*(Dairy_Income_Roadmap!E22 + Dairy_Income_Baseline!B24)  -   F3*Dairy_Income_Baseline!B24)</f>
        <v>1.169465331666258</v>
      </c>
      <c r="Q11" s="64">
        <f>(P11*(Dairy_Income_Roadmap!E19))</f>
        <v>553.37990121178859</v>
      </c>
      <c r="R11" s="64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69.453262440457863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8">
        <f t="shared" si="2"/>
        <v>2051.3553049338025</v>
      </c>
      <c r="Z11" s="61">
        <f>Z3</f>
        <v>2.9433727613268908E-2</v>
      </c>
      <c r="AA11" s="114">
        <f>D11*S11</f>
        <v>51041121.31858439</v>
      </c>
      <c r="AB11" s="59">
        <f>Y11*D11</f>
        <v>123148697.82331418</v>
      </c>
      <c r="AC11" s="93"/>
      <c r="AD11" s="21"/>
    </row>
    <row r="12" spans="1:30" ht="15.6" x14ac:dyDescent="0.3">
      <c r="A12" s="15"/>
      <c r="B12" s="108" t="str">
        <f t="shared" si="4"/>
        <v>Extant-improved</v>
      </c>
      <c r="C12" s="77">
        <f>D12/SUM(D10:D12)</f>
        <v>0.5556045722449966</v>
      </c>
      <c r="D12" s="78">
        <f>D8</f>
        <v>82028.367810366151</v>
      </c>
      <c r="E12" s="79">
        <f>E8</f>
        <v>0.27</v>
      </c>
      <c r="F12" s="78">
        <f>J12*(1/D12)</f>
        <v>2.818154319695735</v>
      </c>
      <c r="G12" s="80"/>
      <c r="H12" s="79">
        <f t="shared" si="5"/>
        <v>5.4</v>
      </c>
      <c r="I12" s="27">
        <f>I8</f>
        <v>0.55710000000000004</v>
      </c>
      <c r="J12" s="81">
        <f t="shared" ref="J12" si="6">M12*K12</f>
        <v>231168.59908237393</v>
      </c>
      <c r="K12" s="82">
        <f>K4*(1-C27)</f>
        <v>0.97</v>
      </c>
      <c r="L12" s="12"/>
      <c r="M12" s="67">
        <f>M10</f>
        <v>238318.14338389065</v>
      </c>
      <c r="N12" s="63">
        <f>Dairy_Income_Roadmap!G27</f>
        <v>1662.110376985115</v>
      </c>
      <c r="O12" s="63">
        <f ca="1">Dairy_Income_Roadmap!G55</f>
        <v>77.038100887606035</v>
      </c>
      <c r="P12" s="63">
        <f>(F12*(Dairy_Income_Roadmap!G22 + Dairy_Income_Baseline!D24)  -   F4*Dairy_Income_Baseline!D24)</f>
        <v>0.5005134564407645</v>
      </c>
      <c r="Q12" s="64">
        <f>(P12*(Dairy_Income_Roadmap!G19))</f>
        <v>313.41672705646732</v>
      </c>
      <c r="R12" s="64">
        <f>IF(P12&gt;0, P12*Dairy_Income_Roadmap!L19/12, 0)</f>
        <v>1.1678647316951172</v>
      </c>
      <c r="S12" s="60">
        <f>F12*I12*N12</f>
        <v>2609.502939416293</v>
      </c>
      <c r="T12" s="60">
        <f ca="1">F12*O12*I12</f>
        <v>120.94933856192223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8">
        <f t="shared" si="2"/>
        <v>4073.0595359456393</v>
      </c>
      <c r="Z12" s="61">
        <f>Z8</f>
        <v>2.9433727613268908E-2</v>
      </c>
      <c r="AA12" s="114">
        <f>D12*S12</f>
        <v>214053266.91667131</v>
      </c>
      <c r="AB12" s="59">
        <f>Y12*D12</f>
        <v>334106425.72806817</v>
      </c>
      <c r="AC12" s="93">
        <f>-1+SUM(AB10:AB12)/SUM(AB3:AB4)</f>
        <v>0.2566847976718678</v>
      </c>
      <c r="AD12" s="21">
        <f ca="1">MC_Middle_road!I20</f>
        <v>7.9542651072366191</v>
      </c>
    </row>
    <row r="13" spans="1:30" ht="15.6" x14ac:dyDescent="0.3">
      <c r="A13" s="15"/>
      <c r="B13" s="108"/>
      <c r="C13" s="77"/>
      <c r="D13" s="78"/>
      <c r="E13" s="79"/>
      <c r="F13" s="78"/>
      <c r="G13" s="80"/>
      <c r="H13" s="79"/>
      <c r="I13" s="27"/>
      <c r="J13" s="81"/>
      <c r="K13" s="82"/>
      <c r="L13" s="12"/>
      <c r="M13" s="67"/>
      <c r="N13" s="63"/>
      <c r="O13" s="63"/>
      <c r="P13" s="63"/>
      <c r="Q13" s="64"/>
      <c r="R13" s="64"/>
      <c r="S13" s="60"/>
      <c r="T13" s="60"/>
      <c r="U13" s="59"/>
      <c r="V13" s="59"/>
      <c r="W13" s="59"/>
      <c r="X13" s="59"/>
      <c r="Y13" s="98"/>
      <c r="Z13" s="61"/>
      <c r="AA13" s="114"/>
      <c r="AB13" s="59"/>
      <c r="AC13" s="93"/>
      <c r="AD13" s="21"/>
    </row>
    <row r="14" spans="1:30" ht="15.6" x14ac:dyDescent="0.3">
      <c r="A14" s="15" t="s">
        <v>129</v>
      </c>
      <c r="B14" s="108" t="str">
        <f t="shared" si="4"/>
        <v>New-improved</v>
      </c>
      <c r="C14" s="77">
        <f>D14/SUM(D14:D16)</f>
        <v>8.8879085551000683E-3</v>
      </c>
      <c r="D14" s="78">
        <f>D3*C32</f>
        <v>1312.1933627665783</v>
      </c>
      <c r="E14" s="79">
        <f>E10</f>
        <v>0.27</v>
      </c>
      <c r="F14" s="78">
        <f>J14*(1/D14)</f>
        <v>1.9644155201899163</v>
      </c>
      <c r="G14" s="80"/>
      <c r="H14" s="79">
        <f t="shared" si="5"/>
        <v>5.7</v>
      </c>
      <c r="I14" s="27">
        <f>I11</f>
        <v>0.44</v>
      </c>
      <c r="J14" s="81">
        <f>M14*K14</f>
        <v>2577.6930073088633</v>
      </c>
      <c r="K14" s="82">
        <f>C28</f>
        <v>0.01</v>
      </c>
      <c r="L14" s="12"/>
      <c r="M14" s="67">
        <f>([2]prod_herd_data!J43*[2]prod_herd_data!J49+[2]prod_herd_data!K43*[2]prod_herd_data!K49)*(1-C24)</f>
        <v>257769.30073088632</v>
      </c>
      <c r="N14" s="63">
        <f>Dairy_Income_Roadmap!C27</f>
        <v>1495.1172015495711</v>
      </c>
      <c r="O14" s="63">
        <f ca="1">Dairy_Income_Roadmap!C55</f>
        <v>82.065549318596368</v>
      </c>
      <c r="P14" s="63">
        <f>(F14*(Dairy_Income_Roadmap!C22+ Dairy_Income_Baseline!B24)  -   F3*Dairy_Income_Baseline!B24)</f>
        <v>0.40722665831209254</v>
      </c>
      <c r="Q14" s="64">
        <f>(P14*(Dairy_Income_Roadmap!C19))</f>
        <v>192.6957916969387</v>
      </c>
      <c r="R14" s="64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70.932769051919152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8">
        <f t="shared" si="2"/>
        <v>2855.8918911745805</v>
      </c>
      <c r="Z14" s="61">
        <f>Z10</f>
        <v>2.9433727613268908E-2</v>
      </c>
      <c r="AA14" s="114">
        <f>D14*S14</f>
        <v>1695739.3884382714</v>
      </c>
      <c r="AB14" s="59">
        <f>Y14*D14</f>
        <v>3747482.3843781757</v>
      </c>
      <c r="AC14" s="93"/>
      <c r="AD14" s="21"/>
    </row>
    <row r="15" spans="1:30" ht="15.6" x14ac:dyDescent="0.3">
      <c r="A15" s="15"/>
      <c r="B15" s="108" t="str">
        <f t="shared" si="4"/>
        <v>Local-only</v>
      </c>
      <c r="C15" s="77">
        <f>D15/SUM(D14:D16)</f>
        <v>0.43550751919990333</v>
      </c>
      <c r="D15" s="78">
        <f>D3*(1-C32)</f>
        <v>64297.474775562332</v>
      </c>
      <c r="E15" s="79">
        <f>E11</f>
        <v>0.67</v>
      </c>
      <c r="F15" s="78">
        <f>J15*(1/D15)</f>
        <v>6.7135715843459556</v>
      </c>
      <c r="G15" s="80"/>
      <c r="H15" s="79">
        <f t="shared" si="5"/>
        <v>5.7</v>
      </c>
      <c r="I15" s="27">
        <f>I3</f>
        <v>0.44</v>
      </c>
      <c r="J15" s="81">
        <f>M15*K15</f>
        <v>431665.6995984161</v>
      </c>
      <c r="K15" s="82">
        <v>1</v>
      </c>
      <c r="L15" s="12"/>
      <c r="M15" s="67">
        <f>([2]prod_herd_data!J44*[2]prod_herd_data!J49+[2]prod_herd_data!K44*[2]prod_herd_data!K49)*C25</f>
        <v>431665.6995984161</v>
      </c>
      <c r="N15" s="63">
        <f>Dairy_Income_Roadmap!E27</f>
        <v>340.3171855089804</v>
      </c>
      <c r="O15" s="63">
        <f ca="1">Dairy_Income_Roadmap!E55</f>
        <v>27.800029702308063</v>
      </c>
      <c r="P15" s="63">
        <f>(F15*(Dairy_Income_Roadmap!E22 + Dairy_Income_Baseline!B24)  -   F3*Dairy_Income_Baseline!B24)</f>
        <v>1.4297354128483484</v>
      </c>
      <c r="Q15" s="64">
        <f>(P15*(Dairy_Income_Roadmap!E19))</f>
        <v>676.53723466409156</v>
      </c>
      <c r="R15" s="64">
        <f>IF(P15&gt;0, P15*Dairy_Income_Roadmap!L19/12, 0)</f>
        <v>3.3360492966461464</v>
      </c>
      <c r="S15" s="60">
        <f>F15*I15*N15</f>
        <v>1005.2872659709801</v>
      </c>
      <c r="T15" s="60">
        <f ca="1">F15*O15*I15</f>
        <v>82.120495359491144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8">
        <f t="shared" si="2"/>
        <v>2082.6580289179901</v>
      </c>
      <c r="Z15" s="61">
        <f>Z11</f>
        <v>2.9433727613268908E-2</v>
      </c>
      <c r="AA15" s="114">
        <f>D15*S15</f>
        <v>64637432.625963114</v>
      </c>
      <c r="AB15" s="59">
        <f>Y15*D15</f>
        <v>133909652.08047684</v>
      </c>
      <c r="AC15" s="93"/>
      <c r="AD15" s="21"/>
    </row>
    <row r="16" spans="1:30" ht="15.6" x14ac:dyDescent="0.3">
      <c r="A16" s="16"/>
      <c r="B16" s="108" t="str">
        <f t="shared" si="4"/>
        <v>Extant-improved</v>
      </c>
      <c r="C16" s="77">
        <f>D16/SUM(D14:D16)</f>
        <v>0.5556045722449966</v>
      </c>
      <c r="D16" s="78">
        <f>D12</f>
        <v>82028.367810366151</v>
      </c>
      <c r="E16" s="79">
        <f>E12</f>
        <v>0.27</v>
      </c>
      <c r="F16" s="78">
        <f>J16*(1/D16)</f>
        <v>3.1110165243508381</v>
      </c>
      <c r="G16" s="80"/>
      <c r="H16" s="79">
        <f t="shared" si="5"/>
        <v>5.4</v>
      </c>
      <c r="I16" s="27">
        <f>I12</f>
        <v>0.55710000000000004</v>
      </c>
      <c r="J16" s="81">
        <f>M16*K16</f>
        <v>255191.60772357744</v>
      </c>
      <c r="K16" s="82">
        <f>K4*(1-C28)</f>
        <v>0.99</v>
      </c>
      <c r="L16" s="12"/>
      <c r="M16" s="67">
        <f>M14</f>
        <v>257769.30073088632</v>
      </c>
      <c r="N16" s="63">
        <f>Dairy_Income_Roadmap!G27</f>
        <v>1662.110376985115</v>
      </c>
      <c r="O16" s="63">
        <f ca="1">Dairy_Income_Roadmap!G55</f>
        <v>77.038100887606035</v>
      </c>
      <c r="P16" s="63">
        <f>(F16*(Dairy_Income_Roadmap!G22 + Dairy_Income_Baseline!D24)  -   F4*Dairy_Income_Baseline!D24)</f>
        <v>0.59738037650433817</v>
      </c>
      <c r="Q16" s="64">
        <f>(P16*(Dairy_Income_Roadmap!G19))</f>
        <v>374.07386355437234</v>
      </c>
      <c r="R16" s="64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133.51837699082037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8">
        <f t="shared" si="2"/>
        <v>4283.3555588920708</v>
      </c>
      <c r="Z16" s="61">
        <f>Z12</f>
        <v>2.9433727613268908E-2</v>
      </c>
      <c r="AA16" s="114">
        <f>D16*S16</f>
        <v>236297652.62142992</v>
      </c>
      <c r="AB16" s="59">
        <f>Y16*D16</f>
        <v>351356665.24737525</v>
      </c>
      <c r="AC16" s="93">
        <f>-1+SUM(AB14:AB16)/SUM(AB3:AB4)</f>
        <v>0.30394271545830898</v>
      </c>
      <c r="AD16" s="21">
        <f ca="1">MC_Status_quo!I20</f>
        <v>8.294972466139086</v>
      </c>
    </row>
    <row r="17" spans="1:30" ht="15.6" x14ac:dyDescent="0.3">
      <c r="A17" s="16"/>
      <c r="B17" s="108"/>
      <c r="C17" s="77"/>
      <c r="D17" s="78"/>
      <c r="E17" s="79"/>
      <c r="F17" s="78"/>
      <c r="G17" s="80"/>
      <c r="H17" s="79"/>
      <c r="I17" s="27"/>
      <c r="J17" s="81"/>
      <c r="K17" s="82"/>
      <c r="L17" s="12"/>
      <c r="M17" s="67"/>
      <c r="N17" s="63"/>
      <c r="O17" s="63"/>
      <c r="P17" s="63"/>
      <c r="Q17" s="64"/>
      <c r="R17" s="64"/>
      <c r="S17" s="60"/>
      <c r="T17" s="60"/>
      <c r="U17" s="59"/>
      <c r="V17" s="59"/>
      <c r="W17" s="59"/>
      <c r="X17" s="59"/>
      <c r="Y17" s="98"/>
      <c r="Z17" s="61"/>
      <c r="AA17" s="114"/>
      <c r="AB17" s="59"/>
      <c r="AC17" s="93"/>
      <c r="AD17" s="21"/>
    </row>
    <row r="18" spans="1:30" ht="15.6" x14ac:dyDescent="0.3">
      <c r="A18" s="15" t="s">
        <v>130</v>
      </c>
      <c r="B18" s="108" t="str">
        <f t="shared" si="4"/>
        <v>New-improved</v>
      </c>
      <c r="C18" s="77">
        <f>D18/SUM(D18:D20)</f>
        <v>6.6659314163250508E-2</v>
      </c>
      <c r="D18" s="78">
        <f>D3*C33</f>
        <v>9841.4502207493369</v>
      </c>
      <c r="E18" s="79">
        <f>E14</f>
        <v>0.27</v>
      </c>
      <c r="F18" s="78">
        <f>J18*(1/D18)</f>
        <v>1.5512206563708677</v>
      </c>
      <c r="G18" s="80"/>
      <c r="H18" s="79">
        <f t="shared" si="5"/>
        <v>5.7</v>
      </c>
      <c r="I18" s="27">
        <f>I14</f>
        <v>0.44</v>
      </c>
      <c r="J18" s="81">
        <f>M18*K18</f>
        <v>15266.260871072009</v>
      </c>
      <c r="K18" s="82">
        <f>C29</f>
        <v>0.05</v>
      </c>
      <c r="L18" s="12"/>
      <c r="M18" s="67">
        <f>([2]prod_herd_data!J58*[2]prod_herd_data!J52+[2]prod_herd_data!K58*[2]prod_herd_data!K52)*(1-C24)</f>
        <v>305325.21742144017</v>
      </c>
      <c r="N18" s="63">
        <f>Dairy_Income_Roadmap!C27</f>
        <v>1495.1172015495711</v>
      </c>
      <c r="O18" s="63">
        <f ca="1">Dairy_Income_Roadmap!C55</f>
        <v>82.065549318596368</v>
      </c>
      <c r="P18" s="63">
        <f>(F18*(Dairy_Income_Roadmap!C22 + Dairy_Income_Baseline!B24)  -   F3*Dairy_Income_Baseline!B24)</f>
        <v>0.26739314194818403</v>
      </c>
      <c r="Q18" s="64">
        <f>(P18*(Dairy_Income_Roadmap!C19))</f>
        <v>126.52789823633996</v>
      </c>
      <c r="R18" s="64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56.012781122948702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8">
        <f t="shared" si="2"/>
        <v>2650.5651735053993</v>
      </c>
      <c r="Z18" s="61">
        <f>Z14</f>
        <v>2.9433727613268908E-2</v>
      </c>
      <c r="AA18" s="114">
        <f>D18*S18</f>
        <v>10042933.661940474</v>
      </c>
      <c r="AB18" s="59">
        <f>Y18*D18</f>
        <v>26085405.211905219</v>
      </c>
      <c r="AC18" s="93"/>
      <c r="AD18" s="21"/>
    </row>
    <row r="19" spans="1:30" ht="15.6" x14ac:dyDescent="0.3">
      <c r="A19" s="15"/>
      <c r="B19" s="108" t="str">
        <f t="shared" si="4"/>
        <v>Local-only</v>
      </c>
      <c r="C19" s="77">
        <f>D19/SUM(D18:D20)</f>
        <v>0.37773611359175291</v>
      </c>
      <c r="D19" s="78">
        <f>D3*(1-C33)</f>
        <v>55768.217917579575</v>
      </c>
      <c r="E19" s="79">
        <f>E15</f>
        <v>0.67</v>
      </c>
      <c r="F19" s="78">
        <f>J19*(1/D19)</f>
        <v>6.6110463820347922</v>
      </c>
      <c r="G19" s="80"/>
      <c r="H19" s="79">
        <f t="shared" si="5"/>
        <v>5.7</v>
      </c>
      <c r="I19" s="27">
        <f>I15</f>
        <v>0.44</v>
      </c>
      <c r="J19" s="81">
        <f t="shared" ref="J19" si="10">M19*K19</f>
        <v>368686.27529654233</v>
      </c>
      <c r="K19" s="82">
        <v>1</v>
      </c>
      <c r="L19" s="12"/>
      <c r="M19" s="67">
        <f>([2]prod_herd_data!J58*[2]prod_herd_data!J53+[2]prod_herd_data!K58*[2]prod_herd_data!K53)*C25</f>
        <v>368686.27529654233</v>
      </c>
      <c r="N19" s="63">
        <f>Dairy_Income_Roadmap!E27</f>
        <v>340.3171855089804</v>
      </c>
      <c r="O19" s="63">
        <f ca="1">Dairy_Income_Roadmap!E55</f>
        <v>27.800029702308063</v>
      </c>
      <c r="P19" s="63">
        <f>(F19*(Dairy_Income_Roadmap!E22 + Dairy_Income_Baseline!B24)  -   F3*Dairy_Income_Baseline!B24)</f>
        <v>1.4039679853540412</v>
      </c>
      <c r="Q19" s="64">
        <f>(P19*(Dairy_Income_Roadmap!E19))</f>
        <v>664.34433240766884</v>
      </c>
      <c r="R19" s="64">
        <f>IF(P19&gt;0, P19*Dairy_Income_Roadmap!L19/12, 0)</f>
        <v>3.2759252991594292</v>
      </c>
      <c r="S19" s="60">
        <f>F19*I19*N19</f>
        <v>989.93518712149955</v>
      </c>
      <c r="T19" s="60">
        <f ca="1">F19*O19*I19</f>
        <v>80.866405744917529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8">
        <f t="shared" si="2"/>
        <v>2079.5589763224189</v>
      </c>
      <c r="Z19" s="61">
        <f>Z15</f>
        <v>2.9433727613268908E-2</v>
      </c>
      <c r="AA19" s="114">
        <f>D19*S19</f>
        <v>55206921.2396717</v>
      </c>
      <c r="AB19" s="59">
        <f>Y19*D19</f>
        <v>115973298.16400737</v>
      </c>
      <c r="AC19" s="93"/>
      <c r="AD19" s="21"/>
    </row>
    <row r="20" spans="1:30" ht="15.6" x14ac:dyDescent="0.3">
      <c r="A20" s="17"/>
      <c r="B20" s="108" t="str">
        <f t="shared" si="4"/>
        <v>Extant-improved</v>
      </c>
      <c r="C20" s="77">
        <f>D20/SUM(D18:D20)</f>
        <v>0.5556045722449966</v>
      </c>
      <c r="D20" s="78">
        <f>D16</f>
        <v>82028.367810366151</v>
      </c>
      <c r="E20" s="79">
        <f>E16</f>
        <v>0.27</v>
      </c>
      <c r="F20" s="78">
        <f>J20*(1/D20)</f>
        <v>3.5360810448030473</v>
      </c>
      <c r="G20" s="80"/>
      <c r="H20" s="79">
        <f t="shared" si="5"/>
        <v>5.4</v>
      </c>
      <c r="I20" s="27">
        <f>I16</f>
        <v>0.55710000000000004</v>
      </c>
      <c r="J20" s="81">
        <f>M20*K20</f>
        <v>290058.95655036817</v>
      </c>
      <c r="K20" s="82">
        <f>K4*(1-C29)</f>
        <v>0.95</v>
      </c>
      <c r="L20" s="12"/>
      <c r="M20" s="67">
        <f>M18</f>
        <v>305325.21742144017</v>
      </c>
      <c r="N20" s="63">
        <f>Dairy_Income_Roadmap!G27</f>
        <v>1662.110376985115</v>
      </c>
      <c r="O20" s="63">
        <f ca="1">Dairy_Income_Roadmap!G55</f>
        <v>77.038100887606035</v>
      </c>
      <c r="P20" s="63">
        <f>(F20*(Dairy_Income_Roadmap!G22+ Dairy_Income_Baseline!D24)  -   F4*Dairy_Income_Baseline!D24)</f>
        <v>0.73797445204575518</v>
      </c>
      <c r="Q20" s="64">
        <f>(P20*(Dairy_Income_Roadmap!G19))</f>
        <v>462.11252551777085</v>
      </c>
      <c r="R20" s="64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151.76126462672033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8">
        <f t="shared" si="2"/>
        <v>4588.5823062355985</v>
      </c>
      <c r="Z20" s="61">
        <f>Z16</f>
        <v>2.9433727613268908E-2</v>
      </c>
      <c r="AA20" s="114">
        <f>D20*S20</f>
        <v>268583481.90241373</v>
      </c>
      <c r="AB20" s="59">
        <f>Y20*D20</f>
        <v>376393917.14403182</v>
      </c>
      <c r="AC20" s="93">
        <f>-1+SUM(AB18:AB20)/SUM(AB3:AB4)</f>
        <v>0.38244057373243279</v>
      </c>
      <c r="AD20" s="21">
        <f ca="1">MC_High_ambition_plus!I20</f>
        <v>13.754404555698839</v>
      </c>
    </row>
    <row r="21" spans="1:30" x14ac:dyDescent="0.3">
      <c r="M21" s="89" t="s">
        <v>100</v>
      </c>
      <c r="N21" s="90">
        <f>([2]prod_herd_data!J8+[2]prod_herd_data!K8)</f>
        <v>996179.17784934677</v>
      </c>
    </row>
    <row r="22" spans="1:30" ht="15.6" x14ac:dyDescent="0.3">
      <c r="A22" s="112" t="s">
        <v>61</v>
      </c>
      <c r="B22" s="75"/>
      <c r="C22" s="75"/>
      <c r="D22" s="75" t="s">
        <v>133</v>
      </c>
      <c r="E22" s="75"/>
      <c r="F22" s="75"/>
    </row>
    <row r="23" spans="1:30" x14ac:dyDescent="0.3">
      <c r="A23" s="94" t="s">
        <v>131</v>
      </c>
      <c r="B23" s="75"/>
      <c r="C23" s="75">
        <f>532194/(250800+532194)</f>
        <v>0.67969103211518866</v>
      </c>
      <c r="D23" s="75"/>
      <c r="E23" s="75"/>
      <c r="F23" s="75"/>
    </row>
    <row r="24" spans="1:30" x14ac:dyDescent="0.3">
      <c r="A24" s="94" t="s">
        <v>132</v>
      </c>
      <c r="B24" s="75"/>
      <c r="C24" s="75">
        <f>9226165/(9226165+3518000)</f>
        <v>0.723952098862499</v>
      </c>
      <c r="D24" s="75"/>
      <c r="E24" s="75"/>
      <c r="F24" s="75"/>
    </row>
    <row r="25" spans="1:30" x14ac:dyDescent="0.3">
      <c r="A25" s="94" t="s">
        <v>37</v>
      </c>
      <c r="B25" s="75"/>
      <c r="C25" s="75">
        <f>1-0</f>
        <v>1</v>
      </c>
      <c r="D25" s="75"/>
      <c r="E25" s="75"/>
      <c r="F25" s="75"/>
    </row>
    <row r="26" spans="1:30" x14ac:dyDescent="0.3">
      <c r="A26" s="109" t="s">
        <v>104</v>
      </c>
      <c r="B26" s="75" t="str">
        <f>A6</f>
        <v>High ambition</v>
      </c>
      <c r="C26" s="75">
        <f>0.05</f>
        <v>0.05</v>
      </c>
      <c r="D26" s="75"/>
      <c r="E26" s="75"/>
      <c r="F26" s="75"/>
      <c r="O26" s="2" t="s">
        <v>99</v>
      </c>
      <c r="P26" s="2"/>
    </row>
    <row r="27" spans="1:30" x14ac:dyDescent="0.3">
      <c r="A27" s="109"/>
      <c r="B27" s="75" t="str">
        <f>A10</f>
        <v>Middle road</v>
      </c>
      <c r="C27" s="75">
        <f>0.5*(C26-C28)+C28</f>
        <v>0.03</v>
      </c>
      <c r="D27" s="75"/>
      <c r="E27" s="75"/>
      <c r="F27" s="75"/>
      <c r="O27" s="83" t="s">
        <v>21</v>
      </c>
      <c r="P27" s="83"/>
      <c r="Q27" s="18"/>
      <c r="R27" s="18"/>
      <c r="S27" s="8"/>
      <c r="T27" s="8"/>
    </row>
    <row r="28" spans="1:30" x14ac:dyDescent="0.3">
      <c r="A28" s="109"/>
      <c r="B28" s="75" t="str">
        <f>A14</f>
        <v>Status quo</v>
      </c>
      <c r="C28" s="75">
        <f>0.01</f>
        <v>0.01</v>
      </c>
      <c r="D28" s="75"/>
      <c r="E28" s="75"/>
      <c r="F28" s="75"/>
      <c r="M28" s="18"/>
      <c r="O28" s="75" t="s">
        <v>27</v>
      </c>
      <c r="P28" s="75"/>
      <c r="Q28" s="23"/>
      <c r="R28" s="23"/>
    </row>
    <row r="29" spans="1:30" x14ac:dyDescent="0.3">
      <c r="A29" s="109"/>
      <c r="B29" s="75" t="str">
        <f>A18</f>
        <v>High ambition ++</v>
      </c>
      <c r="C29" s="75">
        <f>C26</f>
        <v>0.05</v>
      </c>
      <c r="D29" s="75"/>
      <c r="E29" s="75"/>
      <c r="F29" s="75"/>
      <c r="M29" s="18"/>
      <c r="O29" s="88" t="s">
        <v>14</v>
      </c>
      <c r="P29" s="88"/>
      <c r="Q29" s="23"/>
      <c r="R29" s="23"/>
    </row>
    <row r="30" spans="1:30" x14ac:dyDescent="0.3">
      <c r="A30" s="110" t="s">
        <v>114</v>
      </c>
      <c r="B30" s="75" t="str">
        <f>A6</f>
        <v>High ambition</v>
      </c>
      <c r="C30" s="76">
        <f>0.15</f>
        <v>0.15</v>
      </c>
      <c r="D30" s="76">
        <f>(C6+C8)/SUM(C6,C7,C8)</f>
        <v>0.62226388640824715</v>
      </c>
      <c r="E30" s="44"/>
      <c r="F30" s="76"/>
      <c r="M30" s="23"/>
      <c r="O30" s="19"/>
      <c r="P30" s="19"/>
      <c r="Q30" s="19"/>
      <c r="R30" s="19"/>
    </row>
    <row r="31" spans="1:30" x14ac:dyDescent="0.3">
      <c r="A31" s="110"/>
      <c r="B31" s="75" t="str">
        <f>B27</f>
        <v>Middle road</v>
      </c>
      <c r="C31" s="76">
        <f>C32+(C30-C32)*0.5</f>
        <v>8.5000000000000006E-2</v>
      </c>
      <c r="D31" s="76">
        <f>(C10+C12)/SUM(C10,C11,C12)</f>
        <v>0.59337818360417194</v>
      </c>
      <c r="E31" s="44"/>
      <c r="F31" s="75"/>
      <c r="M31" s="19"/>
      <c r="O31" s="24"/>
      <c r="P31" s="24"/>
      <c r="Q31" s="24"/>
      <c r="R31" s="24"/>
    </row>
    <row r="32" spans="1:30" x14ac:dyDescent="0.3">
      <c r="A32" s="110"/>
      <c r="B32" s="75" t="str">
        <f>B28</f>
        <v>Status quo</v>
      </c>
      <c r="C32" s="76">
        <f>0.02</f>
        <v>0.02</v>
      </c>
      <c r="D32" s="76">
        <f>(C14+C16)/SUM(C14,C15,C16)</f>
        <v>0.56449248080009662</v>
      </c>
      <c r="E32" s="44"/>
      <c r="F32" s="75"/>
      <c r="M32" s="19"/>
      <c r="O32" s="24"/>
      <c r="P32" s="24"/>
      <c r="Q32" s="24"/>
      <c r="R32" s="24"/>
    </row>
    <row r="33" spans="1:18" x14ac:dyDescent="0.3">
      <c r="A33" s="75"/>
      <c r="B33" s="75" t="str">
        <f>B29</f>
        <v>High ambition ++</v>
      </c>
      <c r="C33" s="76">
        <f>C30</f>
        <v>0.15</v>
      </c>
      <c r="D33" s="76">
        <f>(C18+C20)/SUM(C18,C19,C20)</f>
        <v>0.62226388640824715</v>
      </c>
      <c r="E33" s="44"/>
      <c r="F33" s="75"/>
      <c r="M33" s="24"/>
      <c r="O33" s="25"/>
      <c r="P33" s="25"/>
      <c r="Q33" s="25"/>
      <c r="R33" s="25"/>
    </row>
    <row r="34" spans="1:18" x14ac:dyDescent="0.3">
      <c r="B34" s="54"/>
      <c r="C34" s="54"/>
      <c r="D34" s="54"/>
      <c r="E34" s="54"/>
      <c r="F34" s="54"/>
      <c r="M34" s="25"/>
      <c r="O34" s="26"/>
      <c r="P34" s="26"/>
      <c r="Q34" s="26"/>
      <c r="R34" s="26"/>
    </row>
    <row r="35" spans="1:18" x14ac:dyDescent="0.3">
      <c r="M35" s="26"/>
      <c r="N35" s="18">
        <f>[1]All!$B$12</f>
        <v>285</v>
      </c>
      <c r="O35" s="18" t="s">
        <v>25</v>
      </c>
      <c r="P35" s="18"/>
      <c r="Q35" s="18"/>
      <c r="R35" s="18"/>
    </row>
    <row r="37" spans="1:18" x14ac:dyDescent="0.3">
      <c r="E37" s="37"/>
      <c r="F37" s="37"/>
      <c r="G37" s="37"/>
      <c r="H37" s="37"/>
      <c r="I37" s="37"/>
    </row>
    <row r="38" spans="1:18" ht="15.6" x14ac:dyDescent="0.3">
      <c r="E38" s="37"/>
      <c r="F38" s="37"/>
      <c r="G38" s="37"/>
      <c r="H38" s="37"/>
      <c r="I38" s="37"/>
      <c r="N38" s="40"/>
    </row>
    <row r="39" spans="1:18" x14ac:dyDescent="0.3">
      <c r="E39" s="37"/>
      <c r="F39" s="37"/>
      <c r="G39" s="37"/>
      <c r="H39" s="37"/>
      <c r="I39" s="37"/>
    </row>
    <row r="41" spans="1:18" x14ac:dyDescent="0.3">
      <c r="E41" s="33"/>
      <c r="F41" s="33"/>
      <c r="G41" s="33"/>
      <c r="H41" s="33"/>
      <c r="I41" s="33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5" spans="1:18" x14ac:dyDescent="0.3">
      <c r="H45" s="37"/>
    </row>
    <row r="49" spans="4:10" x14ac:dyDescent="0.3">
      <c r="H49" s="37"/>
    </row>
    <row r="52" spans="4:10" x14ac:dyDescent="0.3">
      <c r="D52" s="36"/>
      <c r="E52" s="36"/>
      <c r="F52" s="36"/>
      <c r="G52" s="36"/>
      <c r="H52" s="36"/>
    </row>
    <row r="53" spans="4:10" x14ac:dyDescent="0.3">
      <c r="D53" s="36"/>
      <c r="E53" s="36"/>
      <c r="F53" s="36"/>
      <c r="G53" s="36"/>
      <c r="H53" s="36"/>
    </row>
    <row r="54" spans="4:10" x14ac:dyDescent="0.3">
      <c r="D54" s="36"/>
      <c r="E54" s="36"/>
      <c r="F54" s="36"/>
      <c r="G54" s="36"/>
      <c r="H54" s="36"/>
    </row>
    <row r="56" spans="4:10" x14ac:dyDescent="0.3">
      <c r="F56" s="36"/>
      <c r="G56" s="36"/>
    </row>
    <row r="57" spans="4:10" x14ac:dyDescent="0.3">
      <c r="D57" s="35"/>
      <c r="E57" s="35"/>
      <c r="F57" s="35"/>
      <c r="G57" s="35"/>
      <c r="H57" s="35"/>
    </row>
    <row r="58" spans="4:10" x14ac:dyDescent="0.3">
      <c r="D58" s="35"/>
      <c r="E58" s="35"/>
      <c r="F58" s="35"/>
      <c r="G58" s="35"/>
      <c r="H58" s="35"/>
    </row>
    <row r="59" spans="4:10" x14ac:dyDescent="0.3">
      <c r="D59" s="35"/>
      <c r="E59" s="35"/>
      <c r="F59" s="35"/>
      <c r="G59" s="35"/>
      <c r="H59" s="35"/>
    </row>
    <row r="60" spans="4:10" x14ac:dyDescent="0.3">
      <c r="F60" s="36"/>
      <c r="G60" s="36"/>
    </row>
    <row r="64" spans="4:10" x14ac:dyDescent="0.3">
      <c r="F64" s="36"/>
      <c r="G64" s="36"/>
      <c r="H64" s="33"/>
      <c r="I64" s="33"/>
      <c r="J64" s="33"/>
    </row>
    <row r="65" spans="4:10" x14ac:dyDescent="0.3">
      <c r="H65" s="33"/>
      <c r="I65" s="33"/>
      <c r="J65" s="33"/>
    </row>
    <row r="66" spans="4:10" x14ac:dyDescent="0.3">
      <c r="H66" s="33"/>
      <c r="I66" s="33"/>
      <c r="J66" s="33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3"/>
      <c r="D81" s="13"/>
      <c r="E81" s="3"/>
      <c r="F81" s="3"/>
      <c r="G81" s="3"/>
      <c r="H81" s="34"/>
      <c r="I81" s="3"/>
    </row>
    <row r="82" spans="3:9" x14ac:dyDescent="0.3">
      <c r="C82" s="13"/>
      <c r="D82" s="13"/>
      <c r="E82" s="3"/>
      <c r="F82" s="3"/>
      <c r="G82" s="3"/>
      <c r="H82" s="30"/>
      <c r="I82" s="3"/>
    </row>
    <row r="83" spans="3:9" x14ac:dyDescent="0.3">
      <c r="C83" s="13"/>
      <c r="D83" s="13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5"/>
      <c r="F85" s="35"/>
      <c r="G85" s="35"/>
      <c r="H85" s="35"/>
      <c r="I85" s="35"/>
    </row>
    <row r="86" spans="3:9" x14ac:dyDescent="0.3">
      <c r="E86" s="35"/>
      <c r="F86" s="35"/>
      <c r="G86" s="35"/>
      <c r="H86" s="35"/>
      <c r="I86" s="35"/>
    </row>
    <row r="87" spans="3:9" x14ac:dyDescent="0.3">
      <c r="C87" s="33"/>
      <c r="D87" s="33"/>
      <c r="E87" s="35"/>
      <c r="F87" s="35"/>
      <c r="G87" s="35"/>
      <c r="H87" s="35"/>
      <c r="I87" s="35"/>
    </row>
    <row r="88" spans="3:9" x14ac:dyDescent="0.3">
      <c r="C88" s="33"/>
      <c r="D88" s="33"/>
    </row>
    <row r="89" spans="3:9" x14ac:dyDescent="0.3">
      <c r="C89" s="33"/>
      <c r="D89" s="33"/>
      <c r="E89" s="33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B7" sqref="B7"/>
    </sheetView>
  </sheetViews>
  <sheetFormatPr defaultRowHeight="14.4" x14ac:dyDescent="0.3"/>
  <cols>
    <col min="1" max="1" width="37" customWidth="1"/>
    <col min="2" max="2" width="12.77734375" customWidth="1"/>
    <col min="3" max="3" width="14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6" t="s">
        <v>125</v>
      </c>
      <c r="C1" s="116" t="s">
        <v>126</v>
      </c>
      <c r="E1" s="2" t="s">
        <v>44</v>
      </c>
      <c r="F1" s="2"/>
      <c r="G1" s="2"/>
    </row>
    <row r="2" spans="1:7" x14ac:dyDescent="0.3">
      <c r="A2" s="117" t="s">
        <v>135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7" t="s">
        <v>136</v>
      </c>
      <c r="B3" s="33">
        <f ca="1">_xlfn.NORM.INV(RAND(),Mappings!N3,Mappings!O3)</f>
        <v>78.381678869955763</v>
      </c>
      <c r="C3" s="33">
        <f ca="1">_xlfn.NORM.INV(RAND(),Mappings!N4,Mappings!O4)</f>
        <v>560.40774190632715</v>
      </c>
      <c r="D3" s="33"/>
      <c r="E3" s="33"/>
      <c r="F3" s="33"/>
      <c r="G3" s="33"/>
    </row>
    <row r="4" spans="1:7" x14ac:dyDescent="0.3">
      <c r="A4" s="117" t="s">
        <v>137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7" t="s">
        <v>46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7" t="s">
        <v>138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7" t="s">
        <v>139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3" customFormat="1" x14ac:dyDescent="0.3">
      <c r="A8" s="117" t="s">
        <v>119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3" customFormat="1" x14ac:dyDescent="0.3">
      <c r="A9" s="117" t="s">
        <v>140</v>
      </c>
      <c r="B9" s="33">
        <f ca="1">IF(B8&gt;0,_xlfn.NORM.INV(RAND(),B8,B8*Dairy_Income_Roadmap!L38),_xlfn.NORM.INV(RAND(),ABS(B8),ABS(B8)*Dairy_Income_Roadmap!L38))</f>
        <v>19.051705057495621</v>
      </c>
      <c r="C9" s="33">
        <f ca="1">IF(C8&gt;0,_xlfn.NORM.INV(RAND(),C8,C8*Dairy_Income_Roadmap!L38),_xlfn.NORM.INV(RAND(),ABS(C8),ABS(C8)*Dairy_Income_Roadmap!L38))</f>
        <v>39.58622131960972</v>
      </c>
      <c r="D9" s="33"/>
      <c r="E9" s="33"/>
      <c r="F9" s="33"/>
      <c r="G9" s="33"/>
    </row>
    <row r="10" spans="1:7" x14ac:dyDescent="0.3">
      <c r="A10" s="117" t="s">
        <v>47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7" t="s">
        <v>141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7"/>
      <c r="B12" s="33"/>
      <c r="C12" s="33"/>
      <c r="D12" s="33"/>
      <c r="E12" s="33"/>
      <c r="F12" s="33"/>
      <c r="G12" s="33"/>
    </row>
    <row r="13" spans="1:7" x14ac:dyDescent="0.3">
      <c r="A13" s="117" t="s">
        <v>48</v>
      </c>
      <c r="B13" s="33">
        <f ca="1">B3*B5</f>
        <v>165.54210577334658</v>
      </c>
      <c r="C13" s="33">
        <f ca="1">C3*C5</f>
        <v>830.5209544342847</v>
      </c>
      <c r="D13" s="33"/>
      <c r="E13" s="33"/>
      <c r="F13" s="33"/>
      <c r="G13" s="33"/>
    </row>
    <row r="14" spans="1:7" x14ac:dyDescent="0.3">
      <c r="A14" s="117" t="s">
        <v>49</v>
      </c>
      <c r="B14" s="33">
        <f ca="1">IF(B8&gt;0,B7-B9,    B7 +B9)</f>
        <v>1738.192341850252</v>
      </c>
      <c r="C14" s="33">
        <f ca="1">C7-IF(C8&gt;0,C9,(-1)*C9)</f>
        <v>1738.5549669978991</v>
      </c>
      <c r="D14" s="33"/>
      <c r="E14" s="33"/>
      <c r="F14" s="33"/>
      <c r="G14" s="33"/>
    </row>
    <row r="15" spans="1:7" x14ac:dyDescent="0.3">
      <c r="A15" s="117" t="s">
        <v>47</v>
      </c>
      <c r="B15" s="33">
        <f ca="1">_xlfn.NORM.INV(RAND(),B10,B11)</f>
        <v>66192.099346394898</v>
      </c>
      <c r="C15" s="33">
        <f t="shared" ref="C15" ca="1" si="0">_xlfn.NORM.INV(RAND(),C10,C11)</f>
        <v>84564.846332697882</v>
      </c>
      <c r="D15" s="33"/>
      <c r="E15" s="33"/>
      <c r="F15" s="33"/>
      <c r="G15" s="33"/>
    </row>
    <row r="16" spans="1:7" x14ac:dyDescent="0.3">
      <c r="A16" s="117"/>
      <c r="B16" s="33"/>
      <c r="C16" s="33"/>
      <c r="D16" s="33"/>
      <c r="E16" s="33"/>
      <c r="F16" s="33"/>
      <c r="G16" s="33"/>
    </row>
    <row r="17" spans="1:8" x14ac:dyDescent="0.3">
      <c r="A17" s="117" t="s">
        <v>50</v>
      </c>
      <c r="B17" s="33">
        <f ca="1">(B13+B14)*B15</f>
        <v>126012179.68625544</v>
      </c>
      <c r="C17" s="33">
        <f ca="1">(C13+C14)*C15</f>
        <v>217253510.51294684</v>
      </c>
      <c r="D17" s="33"/>
      <c r="E17" s="33">
        <f ca="1">B17+C17</f>
        <v>343265690.1992023</v>
      </c>
      <c r="F17" s="33"/>
      <c r="G17" s="33"/>
    </row>
    <row r="18" spans="1:8" x14ac:dyDescent="0.3">
      <c r="A18" s="117" t="s">
        <v>66</v>
      </c>
      <c r="B18" s="33" t="s">
        <v>57</v>
      </c>
      <c r="C18" s="33" t="s">
        <v>57</v>
      </c>
      <c r="D18" s="33"/>
      <c r="E18" s="33">
        <f ca="1">STDEVA(E21:E128)</f>
        <v>31305279.714578256</v>
      </c>
      <c r="F18" s="33"/>
      <c r="G18" s="130" t="s">
        <v>65</v>
      </c>
    </row>
    <row r="19" spans="1:8" x14ac:dyDescent="0.3">
      <c r="A19" s="117" t="s">
        <v>51</v>
      </c>
      <c r="B19" s="33" t="s">
        <v>57</v>
      </c>
      <c r="C19" s="33" t="s">
        <v>57</v>
      </c>
      <c r="D19" s="33"/>
      <c r="E19" s="33">
        <f ca="1">AVERAGE(E21:E128)</f>
        <v>341086943.38245249</v>
      </c>
      <c r="F19" s="33"/>
      <c r="G19" s="130"/>
      <c r="H19" s="99">
        <f ca="1">100*E18/E19</f>
        <v>9.1780938326555663</v>
      </c>
    </row>
    <row r="21" spans="1:8" x14ac:dyDescent="0.3">
      <c r="D21">
        <v>1</v>
      </c>
      <c r="E21">
        <f ca="1">E17</f>
        <v>343265690.1992023</v>
      </c>
    </row>
    <row r="22" spans="1:8" x14ac:dyDescent="0.3">
      <c r="D22">
        <v>2</v>
      </c>
      <c r="E22">
        <f t="dataTable" ref="E22:E128" dt2D="0" dtr="0" r1="E20" ca="1"/>
        <v>415305487.18484688</v>
      </c>
    </row>
    <row r="23" spans="1:8" x14ac:dyDescent="0.3">
      <c r="D23">
        <v>3</v>
      </c>
      <c r="E23">
        <v>317974034.26022977</v>
      </c>
    </row>
    <row r="24" spans="1:8" x14ac:dyDescent="0.3">
      <c r="D24">
        <v>4</v>
      </c>
      <c r="E24">
        <v>313026297.11152208</v>
      </c>
    </row>
    <row r="25" spans="1:8" x14ac:dyDescent="0.3">
      <c r="D25">
        <v>5</v>
      </c>
      <c r="E25">
        <v>298213690.55318135</v>
      </c>
    </row>
    <row r="26" spans="1:8" x14ac:dyDescent="0.3">
      <c r="D26">
        <v>6</v>
      </c>
      <c r="E26">
        <v>344393900.10752434</v>
      </c>
    </row>
    <row r="27" spans="1:8" x14ac:dyDescent="0.3">
      <c r="D27">
        <v>7</v>
      </c>
      <c r="E27">
        <v>325381313.36514276</v>
      </c>
    </row>
    <row r="28" spans="1:8" x14ac:dyDescent="0.3">
      <c r="D28">
        <v>8</v>
      </c>
      <c r="E28">
        <v>354913252.21430284</v>
      </c>
    </row>
    <row r="29" spans="1:8" x14ac:dyDescent="0.3">
      <c r="D29">
        <v>9</v>
      </c>
      <c r="E29">
        <v>341723623.91296208</v>
      </c>
    </row>
    <row r="30" spans="1:8" x14ac:dyDescent="0.3">
      <c r="D30">
        <v>10</v>
      </c>
      <c r="E30">
        <v>324969650.60225368</v>
      </c>
    </row>
    <row r="31" spans="1:8" x14ac:dyDescent="0.3">
      <c r="D31">
        <v>11</v>
      </c>
      <c r="E31">
        <v>352920525.51475477</v>
      </c>
    </row>
    <row r="32" spans="1:8" x14ac:dyDescent="0.3">
      <c r="D32">
        <v>12</v>
      </c>
      <c r="E32">
        <v>400728820.80265754</v>
      </c>
    </row>
    <row r="33" spans="4:5" x14ac:dyDescent="0.3">
      <c r="D33">
        <v>13</v>
      </c>
      <c r="E33">
        <v>296673845.63534558</v>
      </c>
    </row>
    <row r="34" spans="4:5" x14ac:dyDescent="0.3">
      <c r="D34">
        <v>14</v>
      </c>
      <c r="E34">
        <v>370808965.6716029</v>
      </c>
    </row>
    <row r="35" spans="4:5" x14ac:dyDescent="0.3">
      <c r="D35">
        <v>15</v>
      </c>
      <c r="E35">
        <v>389845104.86824799</v>
      </c>
    </row>
    <row r="36" spans="4:5" x14ac:dyDescent="0.3">
      <c r="D36">
        <v>16</v>
      </c>
      <c r="E36">
        <v>336378643.05468559</v>
      </c>
    </row>
    <row r="37" spans="4:5" x14ac:dyDescent="0.3">
      <c r="D37">
        <v>17</v>
      </c>
      <c r="E37">
        <v>349750855.24003476</v>
      </c>
    </row>
    <row r="38" spans="4:5" x14ac:dyDescent="0.3">
      <c r="D38">
        <v>18</v>
      </c>
      <c r="E38">
        <v>260281427.77053541</v>
      </c>
    </row>
    <row r="39" spans="4:5" x14ac:dyDescent="0.3">
      <c r="D39">
        <v>19</v>
      </c>
      <c r="E39">
        <v>323015778.24192786</v>
      </c>
    </row>
    <row r="40" spans="4:5" x14ac:dyDescent="0.3">
      <c r="D40">
        <v>20</v>
      </c>
      <c r="E40">
        <v>272324542.04582667</v>
      </c>
    </row>
    <row r="41" spans="4:5" x14ac:dyDescent="0.3">
      <c r="D41">
        <v>21</v>
      </c>
      <c r="E41">
        <v>358125760.23645753</v>
      </c>
    </row>
    <row r="42" spans="4:5" x14ac:dyDescent="0.3">
      <c r="D42">
        <v>22</v>
      </c>
      <c r="E42">
        <v>356156357.82376909</v>
      </c>
    </row>
    <row r="43" spans="4:5" x14ac:dyDescent="0.3">
      <c r="D43">
        <v>23</v>
      </c>
      <c r="E43">
        <v>339453083.64424539</v>
      </c>
    </row>
    <row r="44" spans="4:5" x14ac:dyDescent="0.3">
      <c r="D44">
        <v>24</v>
      </c>
      <c r="E44">
        <v>310310451.64592344</v>
      </c>
    </row>
    <row r="45" spans="4:5" x14ac:dyDescent="0.3">
      <c r="D45">
        <v>25</v>
      </c>
      <c r="E45">
        <v>345393054.69367999</v>
      </c>
    </row>
    <row r="46" spans="4:5" x14ac:dyDescent="0.3">
      <c r="D46">
        <v>26</v>
      </c>
      <c r="E46">
        <v>339032859.66513681</v>
      </c>
    </row>
    <row r="47" spans="4:5" x14ac:dyDescent="0.3">
      <c r="D47">
        <v>27</v>
      </c>
      <c r="E47">
        <v>336898724.5707072</v>
      </c>
    </row>
    <row r="48" spans="4:5" x14ac:dyDescent="0.3">
      <c r="D48">
        <v>28</v>
      </c>
      <c r="E48">
        <v>325889125.92910564</v>
      </c>
    </row>
    <row r="49" spans="4:5" x14ac:dyDescent="0.3">
      <c r="D49">
        <v>29</v>
      </c>
      <c r="E49">
        <v>334557995.86033243</v>
      </c>
    </row>
    <row r="50" spans="4:5" x14ac:dyDescent="0.3">
      <c r="D50">
        <v>30</v>
      </c>
      <c r="E50">
        <v>352541891.36665833</v>
      </c>
    </row>
    <row r="51" spans="4:5" x14ac:dyDescent="0.3">
      <c r="D51">
        <v>31</v>
      </c>
      <c r="E51">
        <v>325504719.7443254</v>
      </c>
    </row>
    <row r="52" spans="4:5" x14ac:dyDescent="0.3">
      <c r="D52">
        <v>32</v>
      </c>
      <c r="E52">
        <v>344388801.07970697</v>
      </c>
    </row>
    <row r="53" spans="4:5" x14ac:dyDescent="0.3">
      <c r="D53">
        <v>33</v>
      </c>
      <c r="E53">
        <v>344444323.95872927</v>
      </c>
    </row>
    <row r="54" spans="4:5" x14ac:dyDescent="0.3">
      <c r="D54">
        <v>34</v>
      </c>
      <c r="E54">
        <v>347384772.11454606</v>
      </c>
    </row>
    <row r="55" spans="4:5" x14ac:dyDescent="0.3">
      <c r="D55">
        <v>35</v>
      </c>
      <c r="E55">
        <v>327750227.51759565</v>
      </c>
    </row>
    <row r="56" spans="4:5" x14ac:dyDescent="0.3">
      <c r="D56">
        <v>36</v>
      </c>
      <c r="E56">
        <v>339932967.93539464</v>
      </c>
    </row>
    <row r="57" spans="4:5" x14ac:dyDescent="0.3">
      <c r="D57">
        <v>37</v>
      </c>
      <c r="E57">
        <v>328135330.03648657</v>
      </c>
    </row>
    <row r="58" spans="4:5" x14ac:dyDescent="0.3">
      <c r="D58">
        <v>38</v>
      </c>
      <c r="E58">
        <v>346083536.29443312</v>
      </c>
    </row>
    <row r="59" spans="4:5" x14ac:dyDescent="0.3">
      <c r="D59">
        <v>39</v>
      </c>
      <c r="E59">
        <v>315009217.77418059</v>
      </c>
    </row>
    <row r="60" spans="4:5" x14ac:dyDescent="0.3">
      <c r="D60">
        <v>40</v>
      </c>
      <c r="E60">
        <v>323393940.02025151</v>
      </c>
    </row>
    <row r="61" spans="4:5" x14ac:dyDescent="0.3">
      <c r="D61">
        <v>41</v>
      </c>
      <c r="E61">
        <v>301851265.89953417</v>
      </c>
    </row>
    <row r="62" spans="4:5" x14ac:dyDescent="0.3">
      <c r="D62">
        <v>42</v>
      </c>
      <c r="E62">
        <v>323354655.63045543</v>
      </c>
    </row>
    <row r="63" spans="4:5" x14ac:dyDescent="0.3">
      <c r="D63">
        <v>43</v>
      </c>
      <c r="E63">
        <v>336316442.20748657</v>
      </c>
    </row>
    <row r="64" spans="4:5" x14ac:dyDescent="0.3">
      <c r="D64">
        <v>44</v>
      </c>
      <c r="E64">
        <v>344543552.30414379</v>
      </c>
    </row>
    <row r="65" spans="4:5" x14ac:dyDescent="0.3">
      <c r="D65">
        <v>45</v>
      </c>
      <c r="E65">
        <v>363095985.45293564</v>
      </c>
    </row>
    <row r="66" spans="4:5" x14ac:dyDescent="0.3">
      <c r="D66">
        <v>46</v>
      </c>
      <c r="E66">
        <v>346122547.72895122</v>
      </c>
    </row>
    <row r="67" spans="4:5" x14ac:dyDescent="0.3">
      <c r="D67">
        <v>47</v>
      </c>
      <c r="E67">
        <v>302246675.58696246</v>
      </c>
    </row>
    <row r="68" spans="4:5" x14ac:dyDescent="0.3">
      <c r="D68">
        <v>48</v>
      </c>
      <c r="E68">
        <v>279778637.55402195</v>
      </c>
    </row>
    <row r="69" spans="4:5" x14ac:dyDescent="0.3">
      <c r="D69">
        <v>49</v>
      </c>
      <c r="E69">
        <v>411513372.82094049</v>
      </c>
    </row>
    <row r="70" spans="4:5" x14ac:dyDescent="0.3">
      <c r="D70">
        <v>50</v>
      </c>
      <c r="E70">
        <v>341628663.12731874</v>
      </c>
    </row>
    <row r="71" spans="4:5" x14ac:dyDescent="0.3">
      <c r="D71">
        <v>51</v>
      </c>
      <c r="E71">
        <v>332447268.43336391</v>
      </c>
    </row>
    <row r="72" spans="4:5" x14ac:dyDescent="0.3">
      <c r="D72">
        <v>52</v>
      </c>
      <c r="E72">
        <v>324999860.68529189</v>
      </c>
    </row>
    <row r="73" spans="4:5" x14ac:dyDescent="0.3">
      <c r="D73">
        <v>53</v>
      </c>
      <c r="E73">
        <v>372279000.69941568</v>
      </c>
    </row>
    <row r="74" spans="4:5" x14ac:dyDescent="0.3">
      <c r="D74">
        <v>54</v>
      </c>
      <c r="E74">
        <v>342153756.24233222</v>
      </c>
    </row>
    <row r="75" spans="4:5" x14ac:dyDescent="0.3">
      <c r="D75">
        <v>55</v>
      </c>
      <c r="E75">
        <v>355518408.44408673</v>
      </c>
    </row>
    <row r="76" spans="4:5" x14ac:dyDescent="0.3">
      <c r="D76">
        <v>56</v>
      </c>
      <c r="E76">
        <v>315614642.62728977</v>
      </c>
    </row>
    <row r="77" spans="4:5" x14ac:dyDescent="0.3">
      <c r="D77">
        <v>57</v>
      </c>
      <c r="E77">
        <v>343789881.5979439</v>
      </c>
    </row>
    <row r="78" spans="4:5" x14ac:dyDescent="0.3">
      <c r="D78">
        <v>58</v>
      </c>
      <c r="E78">
        <v>371644358.01292574</v>
      </c>
    </row>
    <row r="79" spans="4:5" x14ac:dyDescent="0.3">
      <c r="D79">
        <v>59</v>
      </c>
      <c r="E79">
        <v>386837005.32965648</v>
      </c>
    </row>
    <row r="80" spans="4:5" x14ac:dyDescent="0.3">
      <c r="D80">
        <v>60</v>
      </c>
      <c r="E80">
        <v>287155823.40451688</v>
      </c>
    </row>
    <row r="81" spans="4:5" x14ac:dyDescent="0.3">
      <c r="D81">
        <v>61</v>
      </c>
      <c r="E81">
        <v>349599231.42057365</v>
      </c>
    </row>
    <row r="82" spans="4:5" x14ac:dyDescent="0.3">
      <c r="D82">
        <v>62</v>
      </c>
      <c r="E82">
        <v>377671561.89150608</v>
      </c>
    </row>
    <row r="83" spans="4:5" x14ac:dyDescent="0.3">
      <c r="D83">
        <v>63</v>
      </c>
      <c r="E83">
        <v>401365797.27402169</v>
      </c>
    </row>
    <row r="84" spans="4:5" x14ac:dyDescent="0.3">
      <c r="D84">
        <v>64</v>
      </c>
      <c r="E84">
        <v>351479492.40544665</v>
      </c>
    </row>
    <row r="85" spans="4:5" x14ac:dyDescent="0.3">
      <c r="D85">
        <v>65</v>
      </c>
      <c r="E85">
        <v>355047805.11369348</v>
      </c>
    </row>
    <row r="86" spans="4:5" x14ac:dyDescent="0.3">
      <c r="D86">
        <v>66</v>
      </c>
      <c r="E86">
        <v>308754160.35243154</v>
      </c>
    </row>
    <row r="87" spans="4:5" x14ac:dyDescent="0.3">
      <c r="D87">
        <v>67</v>
      </c>
      <c r="E87">
        <v>316910761.85056198</v>
      </c>
    </row>
    <row r="88" spans="4:5" x14ac:dyDescent="0.3">
      <c r="D88">
        <v>68</v>
      </c>
      <c r="E88">
        <v>332867853.31119025</v>
      </c>
    </row>
    <row r="89" spans="4:5" x14ac:dyDescent="0.3">
      <c r="D89">
        <v>69</v>
      </c>
      <c r="E89">
        <v>334819874.77681082</v>
      </c>
    </row>
    <row r="90" spans="4:5" x14ac:dyDescent="0.3">
      <c r="D90">
        <v>70</v>
      </c>
      <c r="E90">
        <v>284481521.99490178</v>
      </c>
    </row>
    <row r="91" spans="4:5" x14ac:dyDescent="0.3">
      <c r="D91">
        <v>71</v>
      </c>
      <c r="E91">
        <v>397395738.48231566</v>
      </c>
    </row>
    <row r="92" spans="4:5" x14ac:dyDescent="0.3">
      <c r="D92">
        <v>72</v>
      </c>
      <c r="E92">
        <v>347785072.71514034</v>
      </c>
    </row>
    <row r="93" spans="4:5" x14ac:dyDescent="0.3">
      <c r="D93">
        <v>73</v>
      </c>
      <c r="E93">
        <v>319909921.96135223</v>
      </c>
    </row>
    <row r="94" spans="4:5" x14ac:dyDescent="0.3">
      <c r="D94">
        <v>74</v>
      </c>
      <c r="E94">
        <v>311388822.4695307</v>
      </c>
    </row>
    <row r="95" spans="4:5" x14ac:dyDescent="0.3">
      <c r="D95">
        <v>75</v>
      </c>
      <c r="E95">
        <v>325897052.85179955</v>
      </c>
    </row>
    <row r="96" spans="4:5" x14ac:dyDescent="0.3">
      <c r="D96">
        <v>76</v>
      </c>
      <c r="E96">
        <v>405927468.01431847</v>
      </c>
    </row>
    <row r="97" spans="4:5" x14ac:dyDescent="0.3">
      <c r="D97">
        <v>77</v>
      </c>
      <c r="E97">
        <v>377136644.83764386</v>
      </c>
    </row>
    <row r="98" spans="4:5" x14ac:dyDescent="0.3">
      <c r="D98">
        <v>78</v>
      </c>
      <c r="E98">
        <v>297606537.88751483</v>
      </c>
    </row>
    <row r="99" spans="4:5" x14ac:dyDescent="0.3">
      <c r="D99">
        <v>79</v>
      </c>
      <c r="E99">
        <v>352727627.44261503</v>
      </c>
    </row>
    <row r="100" spans="4:5" x14ac:dyDescent="0.3">
      <c r="D100">
        <v>80</v>
      </c>
      <c r="E100">
        <v>322918051.93537492</v>
      </c>
    </row>
    <row r="101" spans="4:5" x14ac:dyDescent="0.3">
      <c r="D101">
        <v>81</v>
      </c>
      <c r="E101">
        <v>374705136.50169939</v>
      </c>
    </row>
    <row r="102" spans="4:5" x14ac:dyDescent="0.3">
      <c r="D102">
        <v>82</v>
      </c>
      <c r="E102">
        <v>329698973.16812897</v>
      </c>
    </row>
    <row r="103" spans="4:5" x14ac:dyDescent="0.3">
      <c r="D103">
        <v>83</v>
      </c>
      <c r="E103">
        <v>374911250.26582241</v>
      </c>
    </row>
    <row r="104" spans="4:5" x14ac:dyDescent="0.3">
      <c r="D104">
        <v>84</v>
      </c>
      <c r="E104">
        <v>325944873.02991021</v>
      </c>
    </row>
    <row r="105" spans="4:5" x14ac:dyDescent="0.3">
      <c r="D105">
        <v>85</v>
      </c>
      <c r="E105">
        <v>315125915.71147531</v>
      </c>
    </row>
    <row r="106" spans="4:5" x14ac:dyDescent="0.3">
      <c r="D106">
        <v>86</v>
      </c>
      <c r="E106">
        <v>350448404.98425502</v>
      </c>
    </row>
    <row r="107" spans="4:5" x14ac:dyDescent="0.3">
      <c r="D107">
        <v>87</v>
      </c>
      <c r="E107">
        <v>321472310.14616978</v>
      </c>
    </row>
    <row r="108" spans="4:5" x14ac:dyDescent="0.3">
      <c r="D108">
        <v>88</v>
      </c>
      <c r="E108">
        <v>294657033.30228889</v>
      </c>
    </row>
    <row r="109" spans="4:5" x14ac:dyDescent="0.3">
      <c r="D109">
        <v>89</v>
      </c>
      <c r="E109">
        <v>359484771.42735577</v>
      </c>
    </row>
    <row r="110" spans="4:5" x14ac:dyDescent="0.3">
      <c r="D110">
        <v>90</v>
      </c>
      <c r="E110">
        <v>416469379.84776723</v>
      </c>
    </row>
    <row r="111" spans="4:5" x14ac:dyDescent="0.3">
      <c r="D111">
        <v>91</v>
      </c>
      <c r="E111">
        <v>322888467.6316604</v>
      </c>
    </row>
    <row r="112" spans="4:5" x14ac:dyDescent="0.3">
      <c r="D112">
        <v>92</v>
      </c>
      <c r="E112">
        <v>385647823.68111873</v>
      </c>
    </row>
    <row r="113" spans="4:5" x14ac:dyDescent="0.3">
      <c r="D113">
        <v>93</v>
      </c>
      <c r="E113">
        <v>322880871.96102399</v>
      </c>
    </row>
    <row r="114" spans="4:5" x14ac:dyDescent="0.3">
      <c r="D114">
        <v>94</v>
      </c>
      <c r="E114">
        <v>397426753.93654072</v>
      </c>
    </row>
    <row r="115" spans="4:5" x14ac:dyDescent="0.3">
      <c r="D115">
        <v>95</v>
      </c>
      <c r="E115">
        <v>345428972.57645845</v>
      </c>
    </row>
    <row r="116" spans="4:5" x14ac:dyDescent="0.3">
      <c r="D116">
        <v>96</v>
      </c>
      <c r="E116">
        <v>319210813.28594655</v>
      </c>
    </row>
    <row r="117" spans="4:5" x14ac:dyDescent="0.3">
      <c r="D117">
        <v>97</v>
      </c>
      <c r="E117">
        <v>363669107.58863592</v>
      </c>
    </row>
    <row r="118" spans="4:5" x14ac:dyDescent="0.3">
      <c r="D118">
        <v>98</v>
      </c>
      <c r="E118">
        <v>356014195.40744328</v>
      </c>
    </row>
    <row r="119" spans="4:5" x14ac:dyDescent="0.3">
      <c r="D119">
        <v>99</v>
      </c>
      <c r="E119">
        <v>340407730.42414379</v>
      </c>
    </row>
    <row r="120" spans="4:5" x14ac:dyDescent="0.3">
      <c r="D120">
        <v>100</v>
      </c>
      <c r="E120">
        <v>315906572.53081572</v>
      </c>
    </row>
    <row r="121" spans="4:5" x14ac:dyDescent="0.3">
      <c r="D121">
        <v>101</v>
      </c>
      <c r="E121">
        <v>329817109.90874112</v>
      </c>
    </row>
    <row r="122" spans="4:5" x14ac:dyDescent="0.3">
      <c r="D122">
        <v>102</v>
      </c>
      <c r="E122">
        <v>343987515.26020831</v>
      </c>
    </row>
    <row r="123" spans="4:5" x14ac:dyDescent="0.3">
      <c r="D123">
        <v>103</v>
      </c>
      <c r="E123">
        <v>379225694.47918165</v>
      </c>
    </row>
    <row r="124" spans="4:5" x14ac:dyDescent="0.3">
      <c r="D124">
        <v>104</v>
      </c>
      <c r="E124">
        <v>383100360.72265649</v>
      </c>
    </row>
    <row r="125" spans="4:5" x14ac:dyDescent="0.3">
      <c r="D125">
        <v>105</v>
      </c>
      <c r="E125">
        <v>370452547.68536848</v>
      </c>
    </row>
    <row r="126" spans="4:5" x14ac:dyDescent="0.3">
      <c r="D126">
        <v>106</v>
      </c>
      <c r="E126">
        <v>280180194.03811347</v>
      </c>
    </row>
    <row r="127" spans="4:5" x14ac:dyDescent="0.3">
      <c r="D127">
        <v>107</v>
      </c>
      <c r="E127">
        <v>342907015.53845787</v>
      </c>
    </row>
    <row r="128" spans="4:5" x14ac:dyDescent="0.3">
      <c r="D128">
        <v>108</v>
      </c>
      <c r="E128">
        <v>348454697.21669686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134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7" t="str">
        <f>MC_Baseline!A3</f>
        <v>Random value income per cow (USD/yr)</v>
      </c>
      <c r="B4" s="33">
        <f ca="1">_xlfn.NORM.INV(RAND(),Mappings!N6,Mappings!O6)</f>
        <v>1448.4324417885352</v>
      </c>
      <c r="C4" s="33">
        <f ca="1">_xlfn.NORM.INV(RAND(),Mappings!N7,Mappings!O7)</f>
        <v>326.0479483432444</v>
      </c>
      <c r="D4" s="33">
        <f ca="1">_xlfn.NORM.INV(RAND(),Mappings!N8,Mappings!O8)</f>
        <v>1590.8318872605196</v>
      </c>
    </row>
    <row r="5" spans="1:8" x14ac:dyDescent="0.3">
      <c r="A5" s="117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7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7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7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3" customFormat="1" x14ac:dyDescent="0.3">
      <c r="A9" s="117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3" customFormat="1" x14ac:dyDescent="0.3">
      <c r="A10" s="117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163.82347300051333</v>
      </c>
      <c r="C10" s="33">
        <f ca="1">IF(C9&gt;0,_xlfn.NORM.INV(RAND(),C9,C9*Dairy_Income_Roadmap!L36),_xlfn.NORM.INV(RAND(),ABS(C9),ABS(C9)*Dairy_Income_Roadmap!L36))</f>
        <v>502.97483705397661</v>
      </c>
      <c r="D10" s="33">
        <f ca="1">IF(D9&gt;0,_xlfn.NORM.INV(RAND(),D9,D9*Dairy_Income_Roadmap!L38),_xlfn.NORM.INV(RAND(),ABS(D9),ABS(D9)*Dairy_Income_Roadmap!L38))</f>
        <v>133.63269167804913</v>
      </c>
    </row>
    <row r="11" spans="1:8" x14ac:dyDescent="0.3">
      <c r="A11" s="117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7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7"/>
      <c r="B13" s="33"/>
      <c r="C13" s="33"/>
      <c r="D13" s="33"/>
    </row>
    <row r="14" spans="1:8" x14ac:dyDescent="0.3">
      <c r="A14" s="117" t="str">
        <f>MC_Baseline!A13</f>
        <v>Dairy Income (USD/household/year)</v>
      </c>
      <c r="B14" s="33">
        <f ca="1">B4*B6</f>
        <v>780.82340668930692</v>
      </c>
      <c r="C14" s="33">
        <f ca="1">C4*C6</f>
        <v>749.08771849864036</v>
      </c>
      <c r="D14" s="33">
        <f ca="1">D4*D6</f>
        <v>2475.1868019803974</v>
      </c>
    </row>
    <row r="15" spans="1:8" x14ac:dyDescent="0.3">
      <c r="A15" s="117" t="str">
        <f>MC_Baseline!A14</f>
        <v>Non dairy income (USD/household/year)</v>
      </c>
      <c r="B15" s="33">
        <f ca="1">B8-IF(B9&gt;0,B8-B10,B8+B10)</f>
        <v>163.82347300051333</v>
      </c>
      <c r="C15" s="33">
        <f t="shared" ref="C15:D15" ca="1" si="0">C8-IF(C9&gt;0,C8-C10,C8+C10)</f>
        <v>502.97483705397667</v>
      </c>
      <c r="D15" s="33">
        <f t="shared" ca="1" si="0"/>
        <v>133.63269167804901</v>
      </c>
    </row>
    <row r="16" spans="1:8" x14ac:dyDescent="0.3">
      <c r="A16" s="117" t="str">
        <f>MC_Baseline!A15</f>
        <v>Quantity households</v>
      </c>
      <c r="B16" s="33">
        <f ca="1">_xlfn.NORM.INV(RAND(),B11,B12)</f>
        <v>9835.5583337181488</v>
      </c>
      <c r="C16" s="33">
        <f ca="1">_xlfn.NORM.INV(RAND(),C11,C12)</f>
        <v>58084.14004868269</v>
      </c>
      <c r="D16" s="33">
        <f t="shared" ref="D16" ca="1" si="1">_xlfn.NORM.INV(RAND(),D11,D12)</f>
        <v>81672.43190645345</v>
      </c>
    </row>
    <row r="17" spans="1:9" x14ac:dyDescent="0.3">
      <c r="A17" s="117"/>
      <c r="B17" s="33"/>
      <c r="C17" s="33"/>
      <c r="D17" s="33"/>
    </row>
    <row r="18" spans="1:9" x14ac:dyDescent="0.3">
      <c r="A18" s="117" t="str">
        <f>MC_Baseline!A17</f>
        <v>Estimated population income (USD/yr)</v>
      </c>
      <c r="B18" s="42">
        <f ca="1">(B14+B15)*B16</f>
        <v>9291129.4899540562</v>
      </c>
      <c r="C18" s="42">
        <f ca="1">(C14+C15)*C16</f>
        <v>72724976.826429769</v>
      </c>
      <c r="D18" s="42">
        <f ca="1">(D14+D15)*D16</f>
        <v>213068632.45204782</v>
      </c>
      <c r="F18" s="4">
        <f ca="1">B18+C18+D18</f>
        <v>295084738.76843166</v>
      </c>
      <c r="G18" s="4"/>
      <c r="H18" s="4"/>
    </row>
    <row r="19" spans="1:9" x14ac:dyDescent="0.3">
      <c r="A19" s="117" t="str">
        <f>MC_Baseline!A18</f>
        <v>SE population income (USD/yr)</v>
      </c>
      <c r="B19" t="s">
        <v>57</v>
      </c>
      <c r="C19" t="s">
        <v>57</v>
      </c>
      <c r="D19" t="s">
        <v>57</v>
      </c>
      <c r="F19">
        <f ca="1">STDEV(F22:F129)</f>
        <v>26477541.489458729</v>
      </c>
      <c r="H19" s="130" t="s">
        <v>65</v>
      </c>
    </row>
    <row r="20" spans="1:9" x14ac:dyDescent="0.3">
      <c r="A20" s="117" t="str">
        <f>MC_Baseline!A19</f>
        <v>Mean population income (USD/yr)</v>
      </c>
      <c r="B20" s="4" t="s">
        <v>57</v>
      </c>
      <c r="C20" s="4" t="s">
        <v>57</v>
      </c>
      <c r="D20" s="4" t="s">
        <v>57</v>
      </c>
      <c r="E20" s="4"/>
      <c r="F20" s="4">
        <f ca="1">AVERAGE(F22:F129)</f>
        <v>342397393.76617074</v>
      </c>
      <c r="G20" s="4"/>
      <c r="H20" s="130"/>
      <c r="I20" s="46">
        <f ca="1">100*F19/F20</f>
        <v>7.7329856977651854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295084738.76843166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372066185.79963726</v>
      </c>
      <c r="G23" s="4"/>
      <c r="H23" s="4"/>
    </row>
    <row r="24" spans="1:9" x14ac:dyDescent="0.3">
      <c r="E24">
        <v>3</v>
      </c>
      <c r="F24" s="35">
        <v>316806591.91378677</v>
      </c>
      <c r="G24" s="4"/>
      <c r="H24" s="4"/>
    </row>
    <row r="25" spans="1:9" x14ac:dyDescent="0.3">
      <c r="E25">
        <v>4</v>
      </c>
      <c r="F25" s="35">
        <v>353626422.49281323</v>
      </c>
      <c r="G25" s="4"/>
      <c r="H25" s="4"/>
    </row>
    <row r="26" spans="1:9" x14ac:dyDescent="0.3">
      <c r="E26">
        <v>5</v>
      </c>
      <c r="F26" s="35">
        <v>318485912.70401609</v>
      </c>
      <c r="G26" s="4"/>
      <c r="H26" s="4"/>
    </row>
    <row r="27" spans="1:9" x14ac:dyDescent="0.3">
      <c r="E27">
        <v>6</v>
      </c>
      <c r="F27" s="35">
        <v>351227812.4476403</v>
      </c>
      <c r="G27" s="4"/>
      <c r="H27" s="4"/>
    </row>
    <row r="28" spans="1:9" x14ac:dyDescent="0.3">
      <c r="E28">
        <v>7</v>
      </c>
      <c r="F28" s="35">
        <v>306184482.37816238</v>
      </c>
      <c r="G28" s="4"/>
      <c r="H28" s="4"/>
    </row>
    <row r="29" spans="1:9" x14ac:dyDescent="0.3">
      <c r="E29">
        <v>8</v>
      </c>
      <c r="F29" s="35">
        <v>355818240.45095038</v>
      </c>
      <c r="G29" s="4"/>
      <c r="H29" s="4"/>
    </row>
    <row r="30" spans="1:9" x14ac:dyDescent="0.3">
      <c r="E30">
        <v>9</v>
      </c>
      <c r="F30" s="35">
        <v>348913129.30777836</v>
      </c>
      <c r="G30" s="4"/>
      <c r="H30" s="4"/>
    </row>
    <row r="31" spans="1:9" x14ac:dyDescent="0.3">
      <c r="E31">
        <v>10</v>
      </c>
      <c r="F31" s="35">
        <v>332855645.42511439</v>
      </c>
      <c r="G31" s="4"/>
      <c r="H31" s="4"/>
    </row>
    <row r="32" spans="1:9" x14ac:dyDescent="0.3">
      <c r="E32">
        <v>11</v>
      </c>
      <c r="F32" s="35">
        <v>325376347.21974325</v>
      </c>
      <c r="G32" s="4"/>
      <c r="H32" s="4"/>
    </row>
    <row r="33" spans="5:8" x14ac:dyDescent="0.3">
      <c r="E33">
        <v>12</v>
      </c>
      <c r="F33" s="35">
        <v>362631157.80632317</v>
      </c>
      <c r="G33" s="4"/>
      <c r="H33" s="4"/>
    </row>
    <row r="34" spans="5:8" x14ac:dyDescent="0.3">
      <c r="E34">
        <v>13</v>
      </c>
      <c r="F34" s="35">
        <v>333673221.73577571</v>
      </c>
      <c r="G34" s="4"/>
      <c r="H34" s="4"/>
    </row>
    <row r="35" spans="5:8" x14ac:dyDescent="0.3">
      <c r="E35">
        <v>14</v>
      </c>
      <c r="F35" s="35">
        <v>381842972.27242309</v>
      </c>
      <c r="G35" s="4"/>
      <c r="H35" s="4"/>
    </row>
    <row r="36" spans="5:8" x14ac:dyDescent="0.3">
      <c r="E36">
        <v>15</v>
      </c>
      <c r="F36" s="35">
        <v>368027727.9177717</v>
      </c>
      <c r="G36" s="4"/>
      <c r="H36" s="4"/>
    </row>
    <row r="37" spans="5:8" x14ac:dyDescent="0.3">
      <c r="E37">
        <v>16</v>
      </c>
      <c r="F37" s="35">
        <v>300238911.70003241</v>
      </c>
      <c r="G37" s="4"/>
      <c r="H37" s="4"/>
    </row>
    <row r="38" spans="5:8" x14ac:dyDescent="0.3">
      <c r="E38">
        <v>17</v>
      </c>
      <c r="F38" s="35">
        <v>381247218.23817062</v>
      </c>
      <c r="G38" s="4"/>
      <c r="H38" s="4"/>
    </row>
    <row r="39" spans="5:8" x14ac:dyDescent="0.3">
      <c r="E39">
        <v>18</v>
      </c>
      <c r="F39" s="35">
        <v>350765086.57357788</v>
      </c>
      <c r="G39" s="4"/>
      <c r="H39" s="4"/>
    </row>
    <row r="40" spans="5:8" x14ac:dyDescent="0.3">
      <c r="E40">
        <v>19</v>
      </c>
      <c r="F40" s="35">
        <v>372820986.58553946</v>
      </c>
      <c r="G40" s="4"/>
      <c r="H40" s="4"/>
    </row>
    <row r="41" spans="5:8" x14ac:dyDescent="0.3">
      <c r="E41">
        <v>20</v>
      </c>
      <c r="F41" s="35">
        <v>308345788.36096913</v>
      </c>
      <c r="G41" s="4"/>
      <c r="H41" s="4"/>
    </row>
    <row r="42" spans="5:8" x14ac:dyDescent="0.3">
      <c r="E42">
        <v>21</v>
      </c>
      <c r="F42" s="35">
        <v>379390825.23294204</v>
      </c>
      <c r="G42" s="4"/>
      <c r="H42" s="4"/>
    </row>
    <row r="43" spans="5:8" x14ac:dyDescent="0.3">
      <c r="E43">
        <v>22</v>
      </c>
      <c r="F43" s="35">
        <v>325276090.2447896</v>
      </c>
      <c r="G43" s="4"/>
      <c r="H43" s="4"/>
    </row>
    <row r="44" spans="5:8" x14ac:dyDescent="0.3">
      <c r="E44">
        <v>23</v>
      </c>
      <c r="F44" s="35">
        <v>368265712.22532523</v>
      </c>
      <c r="G44" s="4"/>
      <c r="H44" s="4"/>
    </row>
    <row r="45" spans="5:8" x14ac:dyDescent="0.3">
      <c r="E45">
        <v>24</v>
      </c>
      <c r="F45" s="35">
        <v>339833217.53972936</v>
      </c>
      <c r="G45" s="4"/>
      <c r="H45" s="4"/>
    </row>
    <row r="46" spans="5:8" x14ac:dyDescent="0.3">
      <c r="E46">
        <v>25</v>
      </c>
      <c r="F46" s="35">
        <v>311445019.46425903</v>
      </c>
      <c r="G46" s="4"/>
      <c r="H46" s="4"/>
    </row>
    <row r="47" spans="5:8" x14ac:dyDescent="0.3">
      <c r="E47">
        <v>26</v>
      </c>
      <c r="F47" s="35">
        <v>337114897.92402685</v>
      </c>
      <c r="G47" s="4"/>
      <c r="H47" s="4"/>
    </row>
    <row r="48" spans="5:8" x14ac:dyDescent="0.3">
      <c r="E48">
        <v>27</v>
      </c>
      <c r="F48" s="35">
        <v>392779439.31011212</v>
      </c>
      <c r="G48" s="4"/>
      <c r="H48" s="4"/>
    </row>
    <row r="49" spans="5:8" x14ac:dyDescent="0.3">
      <c r="E49">
        <v>28</v>
      </c>
      <c r="F49" s="35">
        <v>357420941.8809365</v>
      </c>
      <c r="G49" s="4"/>
      <c r="H49" s="4"/>
    </row>
    <row r="50" spans="5:8" x14ac:dyDescent="0.3">
      <c r="E50">
        <v>29</v>
      </c>
      <c r="F50" s="35">
        <v>369712153.49002421</v>
      </c>
      <c r="G50" s="4"/>
      <c r="H50" s="4"/>
    </row>
    <row r="51" spans="5:8" x14ac:dyDescent="0.3">
      <c r="E51">
        <v>30</v>
      </c>
      <c r="F51" s="35">
        <v>308436871.24416906</v>
      </c>
      <c r="G51" s="4"/>
      <c r="H51" s="4"/>
    </row>
    <row r="52" spans="5:8" x14ac:dyDescent="0.3">
      <c r="E52">
        <v>31</v>
      </c>
      <c r="F52" s="35">
        <v>310487245.62517583</v>
      </c>
      <c r="G52" s="4"/>
      <c r="H52" s="4"/>
    </row>
    <row r="53" spans="5:8" x14ac:dyDescent="0.3">
      <c r="E53">
        <v>32</v>
      </c>
      <c r="F53" s="35">
        <v>380634932.16496277</v>
      </c>
      <c r="G53" s="4"/>
      <c r="H53" s="4"/>
    </row>
    <row r="54" spans="5:8" x14ac:dyDescent="0.3">
      <c r="E54">
        <v>33</v>
      </c>
      <c r="F54" s="35">
        <v>326306624.03494382</v>
      </c>
      <c r="G54" s="4"/>
      <c r="H54" s="4"/>
    </row>
    <row r="55" spans="5:8" x14ac:dyDescent="0.3">
      <c r="E55">
        <v>34</v>
      </c>
      <c r="F55" s="35">
        <v>332117468.67941415</v>
      </c>
      <c r="G55" s="4"/>
      <c r="H55" s="4"/>
    </row>
    <row r="56" spans="5:8" x14ac:dyDescent="0.3">
      <c r="E56">
        <v>35</v>
      </c>
      <c r="F56" s="35">
        <v>333930414.84261853</v>
      </c>
      <c r="G56" s="4"/>
      <c r="H56" s="4"/>
    </row>
    <row r="57" spans="5:8" x14ac:dyDescent="0.3">
      <c r="E57">
        <v>36</v>
      </c>
      <c r="F57" s="35">
        <v>326984760.6869241</v>
      </c>
      <c r="G57" s="4"/>
      <c r="H57" s="4"/>
    </row>
    <row r="58" spans="5:8" x14ac:dyDescent="0.3">
      <c r="E58">
        <v>37</v>
      </c>
      <c r="F58" s="35">
        <v>335309563.46563667</v>
      </c>
      <c r="G58" s="4"/>
      <c r="H58" s="4"/>
    </row>
    <row r="59" spans="5:8" x14ac:dyDescent="0.3">
      <c r="E59">
        <v>38</v>
      </c>
      <c r="F59" s="35">
        <v>393833412.43961394</v>
      </c>
      <c r="G59" s="4"/>
      <c r="H59" s="4"/>
    </row>
    <row r="60" spans="5:8" x14ac:dyDescent="0.3">
      <c r="E60">
        <v>39</v>
      </c>
      <c r="F60" s="35">
        <v>319799657.93404502</v>
      </c>
      <c r="G60" s="4"/>
      <c r="H60" s="4"/>
    </row>
    <row r="61" spans="5:8" x14ac:dyDescent="0.3">
      <c r="E61">
        <v>40</v>
      </c>
      <c r="F61" s="35">
        <v>355438629.14992416</v>
      </c>
      <c r="G61" s="4"/>
      <c r="H61" s="4"/>
    </row>
    <row r="62" spans="5:8" x14ac:dyDescent="0.3">
      <c r="E62">
        <v>41</v>
      </c>
      <c r="F62" s="35">
        <v>314573322.91677415</v>
      </c>
      <c r="G62" s="4"/>
      <c r="H62" s="4"/>
    </row>
    <row r="63" spans="5:8" x14ac:dyDescent="0.3">
      <c r="E63">
        <v>42</v>
      </c>
      <c r="F63" s="35">
        <v>359009338.75576937</v>
      </c>
      <c r="G63" s="4"/>
      <c r="H63" s="4"/>
    </row>
    <row r="64" spans="5:8" x14ac:dyDescent="0.3">
      <c r="E64">
        <v>43</v>
      </c>
      <c r="F64" s="35">
        <v>306696678.04400414</v>
      </c>
      <c r="G64" s="4"/>
      <c r="H64" s="4"/>
    </row>
    <row r="65" spans="5:8" x14ac:dyDescent="0.3">
      <c r="E65">
        <v>44</v>
      </c>
      <c r="F65" s="35">
        <v>319261562.96897125</v>
      </c>
      <c r="G65" s="4"/>
      <c r="H65" s="4"/>
    </row>
    <row r="66" spans="5:8" x14ac:dyDescent="0.3">
      <c r="E66">
        <v>45</v>
      </c>
      <c r="F66" s="35">
        <v>384846856.09611714</v>
      </c>
      <c r="G66" s="4"/>
      <c r="H66" s="4"/>
    </row>
    <row r="67" spans="5:8" x14ac:dyDescent="0.3">
      <c r="E67">
        <v>46</v>
      </c>
      <c r="F67" s="35">
        <v>368401004.77968836</v>
      </c>
      <c r="G67" s="4"/>
      <c r="H67" s="4"/>
    </row>
    <row r="68" spans="5:8" x14ac:dyDescent="0.3">
      <c r="E68">
        <v>47</v>
      </c>
      <c r="F68" s="35">
        <v>379660398.35547107</v>
      </c>
      <c r="G68" s="4"/>
      <c r="H68" s="4"/>
    </row>
    <row r="69" spans="5:8" x14ac:dyDescent="0.3">
      <c r="E69">
        <v>48</v>
      </c>
      <c r="F69" s="35">
        <v>334730453.78907555</v>
      </c>
      <c r="G69" s="4"/>
      <c r="H69" s="4"/>
    </row>
    <row r="70" spans="5:8" x14ac:dyDescent="0.3">
      <c r="E70">
        <v>49</v>
      </c>
      <c r="F70" s="35">
        <v>366258783.59628534</v>
      </c>
      <c r="G70" s="4"/>
      <c r="H70" s="4"/>
    </row>
    <row r="71" spans="5:8" x14ac:dyDescent="0.3">
      <c r="E71">
        <v>50</v>
      </c>
      <c r="F71" s="35">
        <v>336387241.25870675</v>
      </c>
      <c r="G71" s="4"/>
      <c r="H71" s="4"/>
    </row>
    <row r="72" spans="5:8" x14ac:dyDescent="0.3">
      <c r="E72">
        <v>51</v>
      </c>
      <c r="F72" s="35">
        <v>340731122.22904766</v>
      </c>
      <c r="G72" s="4"/>
      <c r="H72" s="4"/>
    </row>
    <row r="73" spans="5:8" x14ac:dyDescent="0.3">
      <c r="E73">
        <v>52</v>
      </c>
      <c r="F73" s="35">
        <v>309837502.37697423</v>
      </c>
      <c r="G73" s="4"/>
      <c r="H73" s="4"/>
    </row>
    <row r="74" spans="5:8" x14ac:dyDescent="0.3">
      <c r="E74">
        <v>53</v>
      </c>
      <c r="F74" s="35">
        <v>295085935.3005442</v>
      </c>
      <c r="G74" s="4"/>
      <c r="H74" s="4"/>
    </row>
    <row r="75" spans="5:8" x14ac:dyDescent="0.3">
      <c r="E75">
        <v>54</v>
      </c>
      <c r="F75" s="35">
        <v>312485011.16449416</v>
      </c>
      <c r="G75" s="4"/>
      <c r="H75" s="4"/>
    </row>
    <row r="76" spans="5:8" x14ac:dyDescent="0.3">
      <c r="E76">
        <v>55</v>
      </c>
      <c r="F76" s="35">
        <v>342888890.27883971</v>
      </c>
      <c r="G76" s="4"/>
      <c r="H76" s="4"/>
    </row>
    <row r="77" spans="5:8" x14ac:dyDescent="0.3">
      <c r="E77">
        <v>56</v>
      </c>
      <c r="F77" s="35">
        <v>358843236.36519986</v>
      </c>
      <c r="G77" s="4"/>
      <c r="H77" s="4"/>
    </row>
    <row r="78" spans="5:8" x14ac:dyDescent="0.3">
      <c r="E78">
        <v>57</v>
      </c>
      <c r="F78" s="35">
        <v>360987153.17382574</v>
      </c>
      <c r="G78" s="4"/>
      <c r="H78" s="4"/>
    </row>
    <row r="79" spans="5:8" x14ac:dyDescent="0.3">
      <c r="E79">
        <v>58</v>
      </c>
      <c r="F79" s="35">
        <v>358594434.63205463</v>
      </c>
      <c r="G79" s="4"/>
      <c r="H79" s="4"/>
    </row>
    <row r="80" spans="5:8" x14ac:dyDescent="0.3">
      <c r="E80">
        <v>59</v>
      </c>
      <c r="F80" s="35">
        <v>324525556.82537425</v>
      </c>
      <c r="G80" s="4"/>
      <c r="H80" s="4"/>
    </row>
    <row r="81" spans="5:8" x14ac:dyDescent="0.3">
      <c r="E81">
        <v>60</v>
      </c>
      <c r="F81" s="35">
        <v>361670906.57368279</v>
      </c>
      <c r="G81" s="4"/>
      <c r="H81" s="4"/>
    </row>
    <row r="82" spans="5:8" x14ac:dyDescent="0.3">
      <c r="E82">
        <v>61</v>
      </c>
      <c r="F82" s="35">
        <v>400233065.40133584</v>
      </c>
      <c r="G82" s="4"/>
      <c r="H82" s="4"/>
    </row>
    <row r="83" spans="5:8" x14ac:dyDescent="0.3">
      <c r="E83">
        <v>62</v>
      </c>
      <c r="F83" s="35">
        <v>370055313.57772744</v>
      </c>
      <c r="G83" s="4"/>
      <c r="H83" s="4"/>
    </row>
    <row r="84" spans="5:8" x14ac:dyDescent="0.3">
      <c r="E84">
        <v>63</v>
      </c>
      <c r="F84" s="35">
        <v>305875454.77209032</v>
      </c>
      <c r="G84" s="4"/>
      <c r="H84" s="4"/>
    </row>
    <row r="85" spans="5:8" x14ac:dyDescent="0.3">
      <c r="E85">
        <v>64</v>
      </c>
      <c r="F85" s="35">
        <v>327675258.08086741</v>
      </c>
      <c r="G85" s="4"/>
      <c r="H85" s="4"/>
    </row>
    <row r="86" spans="5:8" x14ac:dyDescent="0.3">
      <c r="E86">
        <v>65</v>
      </c>
      <c r="F86" s="35">
        <v>329175117.47880733</v>
      </c>
      <c r="G86" s="4"/>
      <c r="H86" s="4"/>
    </row>
    <row r="87" spans="5:8" x14ac:dyDescent="0.3">
      <c r="E87">
        <v>66</v>
      </c>
      <c r="F87" s="35">
        <v>285236406.75693929</v>
      </c>
      <c r="G87" s="4"/>
      <c r="H87" s="4"/>
    </row>
    <row r="88" spans="5:8" x14ac:dyDescent="0.3">
      <c r="E88">
        <v>67</v>
      </c>
      <c r="F88" s="35">
        <v>315072169.30934703</v>
      </c>
      <c r="G88" s="4"/>
      <c r="H88" s="4"/>
    </row>
    <row r="89" spans="5:8" x14ac:dyDescent="0.3">
      <c r="E89">
        <v>68</v>
      </c>
      <c r="F89" s="35">
        <v>380914014.86580694</v>
      </c>
      <c r="G89" s="4"/>
      <c r="H89" s="4"/>
    </row>
    <row r="90" spans="5:8" x14ac:dyDescent="0.3">
      <c r="E90">
        <v>69</v>
      </c>
      <c r="F90" s="35">
        <v>343139521.00879425</v>
      </c>
      <c r="G90" s="4"/>
      <c r="H90" s="4"/>
    </row>
    <row r="91" spans="5:8" x14ac:dyDescent="0.3">
      <c r="E91">
        <v>70</v>
      </c>
      <c r="F91" s="35">
        <v>369162173.22365832</v>
      </c>
      <c r="G91" s="4"/>
      <c r="H91" s="4"/>
    </row>
    <row r="92" spans="5:8" x14ac:dyDescent="0.3">
      <c r="E92">
        <v>71</v>
      </c>
      <c r="F92" s="35">
        <v>379866480.32073861</v>
      </c>
      <c r="G92" s="4"/>
      <c r="H92" s="4"/>
    </row>
    <row r="93" spans="5:8" x14ac:dyDescent="0.3">
      <c r="E93">
        <v>72</v>
      </c>
      <c r="F93" s="35">
        <v>316582672.18061316</v>
      </c>
      <c r="G93" s="4"/>
      <c r="H93" s="4"/>
    </row>
    <row r="94" spans="5:8" x14ac:dyDescent="0.3">
      <c r="E94">
        <v>73</v>
      </c>
      <c r="F94" s="35">
        <v>372494317.48643422</v>
      </c>
      <c r="G94" s="4"/>
      <c r="H94" s="4"/>
    </row>
    <row r="95" spans="5:8" x14ac:dyDescent="0.3">
      <c r="E95">
        <v>74</v>
      </c>
      <c r="F95" s="35">
        <v>350789338.45506966</v>
      </c>
      <c r="G95" s="4"/>
      <c r="H95" s="4"/>
    </row>
    <row r="96" spans="5:8" x14ac:dyDescent="0.3">
      <c r="E96">
        <v>75</v>
      </c>
      <c r="F96" s="35">
        <v>310998636.87767774</v>
      </c>
      <c r="G96" s="4"/>
      <c r="H96" s="4"/>
    </row>
    <row r="97" spans="5:8" x14ac:dyDescent="0.3">
      <c r="E97">
        <v>76</v>
      </c>
      <c r="F97" s="35">
        <v>320970307.02127671</v>
      </c>
      <c r="G97" s="4"/>
      <c r="H97" s="4"/>
    </row>
    <row r="98" spans="5:8" x14ac:dyDescent="0.3">
      <c r="E98">
        <v>77</v>
      </c>
      <c r="F98" s="35">
        <v>287105206.06039321</v>
      </c>
      <c r="G98" s="4"/>
      <c r="H98" s="4"/>
    </row>
    <row r="99" spans="5:8" x14ac:dyDescent="0.3">
      <c r="E99">
        <v>78</v>
      </c>
      <c r="F99" s="35">
        <v>333372881.3068524</v>
      </c>
      <c r="G99" s="4"/>
      <c r="H99" s="4"/>
    </row>
    <row r="100" spans="5:8" x14ac:dyDescent="0.3">
      <c r="E100">
        <v>79</v>
      </c>
      <c r="F100" s="35">
        <v>323129027.88720679</v>
      </c>
      <c r="G100" s="4"/>
      <c r="H100" s="4"/>
    </row>
    <row r="101" spans="5:8" x14ac:dyDescent="0.3">
      <c r="E101">
        <v>80</v>
      </c>
      <c r="F101" s="35">
        <v>356507156.35512012</v>
      </c>
      <c r="G101" s="4"/>
      <c r="H101" s="4"/>
    </row>
    <row r="102" spans="5:8" x14ac:dyDescent="0.3">
      <c r="E102">
        <v>81</v>
      </c>
      <c r="F102" s="35">
        <v>330571467.19557297</v>
      </c>
      <c r="G102" s="4"/>
      <c r="H102" s="4"/>
    </row>
    <row r="103" spans="5:8" x14ac:dyDescent="0.3">
      <c r="E103">
        <v>82</v>
      </c>
      <c r="F103" s="35">
        <v>348577248.4373982</v>
      </c>
      <c r="G103" s="4"/>
      <c r="H103" s="4"/>
    </row>
    <row r="104" spans="5:8" x14ac:dyDescent="0.3">
      <c r="E104">
        <v>83</v>
      </c>
      <c r="F104" s="35">
        <v>303559196.33327007</v>
      </c>
      <c r="G104" s="4"/>
      <c r="H104" s="4"/>
    </row>
    <row r="105" spans="5:8" x14ac:dyDescent="0.3">
      <c r="E105">
        <v>84</v>
      </c>
      <c r="F105" s="35">
        <v>341155318.64188153</v>
      </c>
      <c r="G105" s="4"/>
      <c r="H105" s="4"/>
    </row>
    <row r="106" spans="5:8" x14ac:dyDescent="0.3">
      <c r="E106">
        <v>85</v>
      </c>
      <c r="F106" s="35">
        <v>355256228.36787218</v>
      </c>
      <c r="G106" s="4"/>
      <c r="H106" s="4"/>
    </row>
    <row r="107" spans="5:8" x14ac:dyDescent="0.3">
      <c r="E107">
        <v>86</v>
      </c>
      <c r="F107" s="35">
        <v>334340390.94801557</v>
      </c>
      <c r="G107" s="4"/>
      <c r="H107" s="4"/>
    </row>
    <row r="108" spans="5:8" x14ac:dyDescent="0.3">
      <c r="E108">
        <v>87</v>
      </c>
      <c r="F108" s="35">
        <v>383816793.83268762</v>
      </c>
      <c r="G108" s="4"/>
      <c r="H108" s="4"/>
    </row>
    <row r="109" spans="5:8" x14ac:dyDescent="0.3">
      <c r="E109">
        <v>88</v>
      </c>
      <c r="F109" s="35">
        <v>352474417.91240674</v>
      </c>
      <c r="G109" s="4"/>
      <c r="H109" s="4"/>
    </row>
    <row r="110" spans="5:8" x14ac:dyDescent="0.3">
      <c r="E110">
        <v>89</v>
      </c>
      <c r="F110" s="35">
        <v>322562803.04330802</v>
      </c>
      <c r="G110" s="4"/>
      <c r="H110" s="4"/>
    </row>
    <row r="111" spans="5:8" x14ac:dyDescent="0.3">
      <c r="E111">
        <v>90</v>
      </c>
      <c r="F111" s="35">
        <v>352946486.05556393</v>
      </c>
      <c r="G111" s="4"/>
      <c r="H111" s="4"/>
    </row>
    <row r="112" spans="5:8" x14ac:dyDescent="0.3">
      <c r="E112">
        <v>91</v>
      </c>
      <c r="F112" s="35">
        <v>344506139.26818514</v>
      </c>
      <c r="G112" s="4"/>
      <c r="H112" s="4"/>
    </row>
    <row r="113" spans="5:8" x14ac:dyDescent="0.3">
      <c r="E113">
        <v>92</v>
      </c>
      <c r="F113" s="35">
        <v>321471938.72295177</v>
      </c>
      <c r="G113" s="4"/>
      <c r="H113" s="4"/>
    </row>
    <row r="114" spans="5:8" x14ac:dyDescent="0.3">
      <c r="E114">
        <v>93</v>
      </c>
      <c r="F114" s="35">
        <v>328033373.79231846</v>
      </c>
      <c r="G114" s="4"/>
      <c r="H114" s="4"/>
    </row>
    <row r="115" spans="5:8" x14ac:dyDescent="0.3">
      <c r="E115">
        <v>94</v>
      </c>
      <c r="F115" s="35">
        <v>357543443.29990029</v>
      </c>
      <c r="G115" s="4"/>
      <c r="H115" s="4"/>
    </row>
    <row r="116" spans="5:8" x14ac:dyDescent="0.3">
      <c r="E116">
        <v>95</v>
      </c>
      <c r="F116" s="35">
        <v>381550317.8616935</v>
      </c>
      <c r="G116" s="4"/>
      <c r="H116" s="4"/>
    </row>
    <row r="117" spans="5:8" x14ac:dyDescent="0.3">
      <c r="E117">
        <v>96</v>
      </c>
      <c r="F117" s="35">
        <v>364398901.26559079</v>
      </c>
      <c r="G117" s="4"/>
      <c r="H117" s="4"/>
    </row>
    <row r="118" spans="5:8" x14ac:dyDescent="0.3">
      <c r="E118">
        <v>97</v>
      </c>
      <c r="F118" s="35">
        <v>362300482.81215626</v>
      </c>
      <c r="G118" s="4"/>
      <c r="H118" s="4"/>
    </row>
    <row r="119" spans="5:8" x14ac:dyDescent="0.3">
      <c r="E119">
        <v>98</v>
      </c>
      <c r="F119" s="35">
        <v>329119740.24714655</v>
      </c>
      <c r="G119" s="4"/>
      <c r="H119" s="4"/>
    </row>
    <row r="120" spans="5:8" x14ac:dyDescent="0.3">
      <c r="E120">
        <v>99</v>
      </c>
      <c r="F120" s="35">
        <v>315456081.89832145</v>
      </c>
      <c r="G120" s="4"/>
      <c r="H120" s="4"/>
    </row>
    <row r="121" spans="5:8" x14ac:dyDescent="0.3">
      <c r="E121">
        <v>100</v>
      </c>
      <c r="F121" s="35">
        <v>353742709.41814065</v>
      </c>
      <c r="G121" s="4"/>
      <c r="H121" s="4"/>
    </row>
    <row r="122" spans="5:8" x14ac:dyDescent="0.3">
      <c r="E122">
        <v>101</v>
      </c>
      <c r="F122" s="35">
        <v>335370781.46315014</v>
      </c>
      <c r="G122" s="4"/>
      <c r="H122" s="4"/>
    </row>
    <row r="123" spans="5:8" x14ac:dyDescent="0.3">
      <c r="E123">
        <v>102</v>
      </c>
      <c r="F123" s="35">
        <v>378895435.47794843</v>
      </c>
      <c r="G123" s="4"/>
      <c r="H123" s="4"/>
    </row>
    <row r="124" spans="5:8" x14ac:dyDescent="0.3">
      <c r="E124">
        <v>103</v>
      </c>
      <c r="F124" s="35">
        <v>352300753.97917682</v>
      </c>
      <c r="G124" s="4"/>
      <c r="H124" s="4"/>
    </row>
    <row r="125" spans="5:8" x14ac:dyDescent="0.3">
      <c r="E125">
        <v>104</v>
      </c>
      <c r="F125" s="35">
        <v>311943936.75945634</v>
      </c>
      <c r="G125" s="4"/>
      <c r="H125" s="4"/>
    </row>
    <row r="126" spans="5:8" x14ac:dyDescent="0.3">
      <c r="E126">
        <v>105</v>
      </c>
      <c r="F126" s="35">
        <v>326953426.13512576</v>
      </c>
      <c r="G126" s="4"/>
      <c r="H126" s="4"/>
    </row>
    <row r="127" spans="5:8" x14ac:dyDescent="0.3">
      <c r="E127">
        <v>106</v>
      </c>
      <c r="F127" s="35">
        <v>321525223.76465213</v>
      </c>
      <c r="G127" s="4"/>
      <c r="H127" s="4"/>
    </row>
    <row r="128" spans="5:8" x14ac:dyDescent="0.3">
      <c r="E128">
        <v>107</v>
      </c>
      <c r="F128" s="35">
        <v>371401490.2361728</v>
      </c>
      <c r="G128" s="4"/>
      <c r="H128" s="4"/>
    </row>
    <row r="129" spans="5:8" x14ac:dyDescent="0.3">
      <c r="E129">
        <v>108</v>
      </c>
      <c r="F129" s="35">
        <v>342757633.99047542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10" sqref="G10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6" t="str">
        <f>Mappings!B7</f>
        <v>Local-only</v>
      </c>
      <c r="D1" s="11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1537.8567985883478</v>
      </c>
      <c r="C4" s="21">
        <f ca="1">_xlfn.NORM.INV(RAND(),Mappings!N11,Mappings!O11)</f>
        <v>315.66804802721759</v>
      </c>
      <c r="D4" s="21">
        <f ca="1">_xlfn.NORM.INV(RAND(),Mappings!N12,Mappings!O12)</f>
        <v>1728.7379499912283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3" customFormat="1" x14ac:dyDescent="0.3">
      <c r="A9" s="103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3" customFormat="1" x14ac:dyDescent="0.3">
      <c r="A10" s="103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104.94994132815066</v>
      </c>
      <c r="C10" s="21">
        <f ca="1">IF(C9&gt;0,_xlfn.NORM.INV(RAND(),C9,C9*Dairy_Income_Roadmap!L36),_xlfn.NORM.INV(RAND(),ABS(C9),ABS(C9)*Dairy_Income_Roadmap!L36))</f>
        <v>71.043632050399196</v>
      </c>
      <c r="D10" s="21">
        <f ca="1">IF(D9&gt;0,_xlfn.NORM.INV(RAND(),D9,D9*Dairy_Income_Roadmap!L38),_xlfn.NORM.INV(RAND(),ABS(D9),ABS(D9)*Dairy_Income_Roadmap!L38))</f>
        <v>238.98023800166254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867.48139306586563</v>
      </c>
      <c r="C14" s="21">
        <f ca="1">C4*C6</f>
        <v>788.63857407609805</v>
      </c>
      <c r="D14" s="21">
        <f ca="1">D4*D6</f>
        <v>2714.1078140462187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104.94994132815077</v>
      </c>
      <c r="C15" s="21">
        <f t="shared" ref="C15:D15" ca="1" si="0">C8-IF(C9&gt;0,C8-C10,C8+C10)</f>
        <v>71.043632050399083</v>
      </c>
      <c r="D15" s="21">
        <f t="shared" ca="1" si="0"/>
        <v>238.98023800166266</v>
      </c>
    </row>
    <row r="16" spans="1:8" x14ac:dyDescent="0.3">
      <c r="A16" t="str">
        <f>MC_High_ambition!A16</f>
        <v>Quantity households</v>
      </c>
      <c r="B16" s="21">
        <f ca="1">_xlfn.NORM.INV(RAND(),B11,B12)</f>
        <v>5261.285379322142</v>
      </c>
      <c r="C16" s="21">
        <f ca="1">_xlfn.NORM.INV(RAND(),C11,C12)</f>
        <v>58443.805368135043</v>
      </c>
      <c r="D16" s="21">
        <f t="shared" ref="D16" ca="1" si="1">_xlfn.NORM.INV(RAND(),D11,D12)</f>
        <v>82445.311150534588</v>
      </c>
    </row>
    <row r="17" spans="1:9" x14ac:dyDescent="0.3">
      <c r="A17" s="117"/>
    </row>
    <row r="18" spans="1:9" x14ac:dyDescent="0.3">
      <c r="A18" s="117" t="str">
        <f>MC_High_ambition!A18</f>
        <v>Estimated population income (USD/yr)</v>
      </c>
      <c r="B18" s="10">
        <f ca="1">(B14+B15)*B16</f>
        <v>5116238.762041959</v>
      </c>
      <c r="C18" s="10">
        <f ca="1">(C14+C15)*C16</f>
        <v>50243099.53330595</v>
      </c>
      <c r="D18" s="10">
        <f ca="1">(D14+D15)*D16</f>
        <v>243468263.30601364</v>
      </c>
      <c r="F18" s="4">
        <f ca="1">B18+C18+D18</f>
        <v>298827601.60136157</v>
      </c>
    </row>
    <row r="19" spans="1:9" x14ac:dyDescent="0.3">
      <c r="A19" s="117" t="str">
        <f>MC_High_ambition!A19</f>
        <v>SE population income (USD/yr)</v>
      </c>
      <c r="B19" t="s">
        <v>57</v>
      </c>
      <c r="C19" t="s">
        <v>57</v>
      </c>
      <c r="D19" t="s">
        <v>57</v>
      </c>
      <c r="F19">
        <f ca="1">STDEV(F22:F129)</f>
        <v>26386872.312651608</v>
      </c>
      <c r="H19" s="130" t="s">
        <v>65</v>
      </c>
    </row>
    <row r="20" spans="1:9" x14ac:dyDescent="0.3">
      <c r="A20" s="117" t="str">
        <f>MC_High_ambition!A20</f>
        <v>Mean population income (USD/yr)</v>
      </c>
      <c r="B20" s="4" t="s">
        <v>57</v>
      </c>
      <c r="C20" s="4" t="s">
        <v>57</v>
      </c>
      <c r="D20" s="4" t="s">
        <v>57</v>
      </c>
      <c r="E20" s="4"/>
      <c r="F20" s="4">
        <f ca="1">AVERAGE(F22:F129)</f>
        <v>331732371.96539253</v>
      </c>
      <c r="G20" s="4"/>
      <c r="H20" s="130"/>
      <c r="I20" s="46">
        <f ca="1">100*F19/F20</f>
        <v>7.9542651072366191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298827601.60136157</v>
      </c>
      <c r="G22" s="4"/>
      <c r="H22" s="4"/>
      <c r="I22" s="130"/>
    </row>
    <row r="23" spans="1:9" x14ac:dyDescent="0.3">
      <c r="E23">
        <v>2</v>
      </c>
      <c r="F23" s="35">
        <f t="dataTable" ref="F23:F129" dt2D="0" dtr="0" r1="F21" ca="1"/>
        <v>305164612.01913321</v>
      </c>
      <c r="G23" s="4"/>
      <c r="H23" s="4"/>
      <c r="I23" s="130"/>
    </row>
    <row r="24" spans="1:9" x14ac:dyDescent="0.3">
      <c r="E24">
        <v>3</v>
      </c>
      <c r="F24" s="35">
        <v>337707879.08617759</v>
      </c>
      <c r="G24" s="4"/>
      <c r="H24" s="4"/>
    </row>
    <row r="25" spans="1:9" x14ac:dyDescent="0.3">
      <c r="E25">
        <v>4</v>
      </c>
      <c r="F25" s="35">
        <v>342356703.49864888</v>
      </c>
      <c r="G25" s="4"/>
      <c r="H25" s="4"/>
    </row>
    <row r="26" spans="1:9" x14ac:dyDescent="0.3">
      <c r="E26">
        <v>5</v>
      </c>
      <c r="F26" s="35">
        <v>351583481.19831681</v>
      </c>
      <c r="G26" s="4"/>
      <c r="H26" s="4"/>
    </row>
    <row r="27" spans="1:9" x14ac:dyDescent="0.3">
      <c r="E27">
        <v>6</v>
      </c>
      <c r="F27" s="35">
        <v>341388570.62779665</v>
      </c>
      <c r="G27" s="4"/>
      <c r="H27" s="4"/>
    </row>
    <row r="28" spans="1:9" x14ac:dyDescent="0.3">
      <c r="E28">
        <v>7</v>
      </c>
      <c r="F28" s="35">
        <v>358845689.76067632</v>
      </c>
      <c r="G28" s="4"/>
      <c r="H28" s="4"/>
    </row>
    <row r="29" spans="1:9" x14ac:dyDescent="0.3">
      <c r="E29">
        <v>8</v>
      </c>
      <c r="F29" s="35">
        <v>295959928.27697247</v>
      </c>
      <c r="G29" s="4"/>
      <c r="H29" s="4"/>
    </row>
    <row r="30" spans="1:9" x14ac:dyDescent="0.3">
      <c r="E30">
        <v>9</v>
      </c>
      <c r="F30" s="35">
        <v>310371225.4259727</v>
      </c>
      <c r="G30" s="4"/>
      <c r="H30" s="4"/>
    </row>
    <row r="31" spans="1:9" x14ac:dyDescent="0.3">
      <c r="E31">
        <v>10</v>
      </c>
      <c r="F31" s="35">
        <v>361063957.71909314</v>
      </c>
      <c r="G31" s="4"/>
      <c r="H31" s="4"/>
    </row>
    <row r="32" spans="1:9" x14ac:dyDescent="0.3">
      <c r="E32">
        <v>11</v>
      </c>
      <c r="F32" s="35">
        <v>323924878.02142751</v>
      </c>
      <c r="G32" s="4"/>
      <c r="H32" s="4"/>
    </row>
    <row r="33" spans="5:8" x14ac:dyDescent="0.3">
      <c r="E33">
        <v>12</v>
      </c>
      <c r="F33" s="35">
        <v>289166433.75258875</v>
      </c>
      <c r="G33" s="4"/>
      <c r="H33" s="4"/>
    </row>
    <row r="34" spans="5:8" x14ac:dyDescent="0.3">
      <c r="E34">
        <v>13</v>
      </c>
      <c r="F34" s="35">
        <v>316554390.8474099</v>
      </c>
      <c r="G34" s="4"/>
      <c r="H34" s="4"/>
    </row>
    <row r="35" spans="5:8" x14ac:dyDescent="0.3">
      <c r="E35">
        <v>14</v>
      </c>
      <c r="F35" s="35">
        <v>309922839.71803021</v>
      </c>
      <c r="G35" s="4"/>
      <c r="H35" s="4"/>
    </row>
    <row r="36" spans="5:8" x14ac:dyDescent="0.3">
      <c r="E36">
        <v>15</v>
      </c>
      <c r="F36" s="35">
        <v>340208585.75685883</v>
      </c>
      <c r="G36" s="4"/>
      <c r="H36" s="4"/>
    </row>
    <row r="37" spans="5:8" x14ac:dyDescent="0.3">
      <c r="E37">
        <v>16</v>
      </c>
      <c r="F37" s="35">
        <v>321730269.03150707</v>
      </c>
      <c r="G37" s="4"/>
      <c r="H37" s="4"/>
    </row>
    <row r="38" spans="5:8" x14ac:dyDescent="0.3">
      <c r="E38">
        <v>17</v>
      </c>
      <c r="F38" s="35">
        <v>308121385.75770956</v>
      </c>
      <c r="G38" s="4"/>
      <c r="H38" s="4"/>
    </row>
    <row r="39" spans="5:8" x14ac:dyDescent="0.3">
      <c r="E39">
        <v>18</v>
      </c>
      <c r="F39" s="35">
        <v>362084055.52946377</v>
      </c>
      <c r="G39" s="4"/>
      <c r="H39" s="4"/>
    </row>
    <row r="40" spans="5:8" x14ac:dyDescent="0.3">
      <c r="E40">
        <v>19</v>
      </c>
      <c r="F40" s="35">
        <v>358783491.99985743</v>
      </c>
      <c r="G40" s="4"/>
      <c r="H40" s="4"/>
    </row>
    <row r="41" spans="5:8" x14ac:dyDescent="0.3">
      <c r="E41">
        <v>20</v>
      </c>
      <c r="F41" s="35">
        <v>321445521.48332345</v>
      </c>
      <c r="G41" s="4"/>
      <c r="H41" s="4"/>
    </row>
    <row r="42" spans="5:8" x14ac:dyDescent="0.3">
      <c r="E42">
        <v>21</v>
      </c>
      <c r="F42" s="35">
        <v>359175539.08015251</v>
      </c>
      <c r="G42" s="4"/>
      <c r="H42" s="4"/>
    </row>
    <row r="43" spans="5:8" x14ac:dyDescent="0.3">
      <c r="E43">
        <v>22</v>
      </c>
      <c r="F43" s="35">
        <v>326960698.9914999</v>
      </c>
      <c r="G43" s="4"/>
      <c r="H43" s="4"/>
    </row>
    <row r="44" spans="5:8" x14ac:dyDescent="0.3">
      <c r="E44">
        <v>23</v>
      </c>
      <c r="F44" s="35">
        <v>319080799.22604823</v>
      </c>
      <c r="G44" s="4"/>
      <c r="H44" s="4"/>
    </row>
    <row r="45" spans="5:8" x14ac:dyDescent="0.3">
      <c r="E45">
        <v>24</v>
      </c>
      <c r="F45" s="35">
        <v>324755913.27108306</v>
      </c>
      <c r="G45" s="4"/>
      <c r="H45" s="4"/>
    </row>
    <row r="46" spans="5:8" x14ac:dyDescent="0.3">
      <c r="E46">
        <v>25</v>
      </c>
      <c r="F46" s="35">
        <v>341307811.9881025</v>
      </c>
      <c r="G46" s="4"/>
      <c r="H46" s="4"/>
    </row>
    <row r="47" spans="5:8" x14ac:dyDescent="0.3">
      <c r="E47">
        <v>26</v>
      </c>
      <c r="F47" s="35">
        <v>320163302.46124244</v>
      </c>
      <c r="G47" s="4"/>
      <c r="H47" s="4"/>
    </row>
    <row r="48" spans="5:8" x14ac:dyDescent="0.3">
      <c r="E48">
        <v>27</v>
      </c>
      <c r="F48" s="35">
        <v>342783438.1394825</v>
      </c>
      <c r="G48" s="4"/>
      <c r="H48" s="4"/>
    </row>
    <row r="49" spans="5:8" x14ac:dyDescent="0.3">
      <c r="E49">
        <v>28</v>
      </c>
      <c r="F49" s="35">
        <v>313408903.2622906</v>
      </c>
      <c r="G49" s="4"/>
      <c r="H49" s="4"/>
    </row>
    <row r="50" spans="5:8" x14ac:dyDescent="0.3">
      <c r="E50">
        <v>29</v>
      </c>
      <c r="F50" s="35">
        <v>320360227.95860714</v>
      </c>
      <c r="G50" s="4"/>
      <c r="H50" s="4"/>
    </row>
    <row r="51" spans="5:8" x14ac:dyDescent="0.3">
      <c r="E51">
        <v>30</v>
      </c>
      <c r="F51" s="35">
        <v>308923642.18208891</v>
      </c>
      <c r="G51" s="4"/>
      <c r="H51" s="4"/>
    </row>
    <row r="52" spans="5:8" x14ac:dyDescent="0.3">
      <c r="E52">
        <v>31</v>
      </c>
      <c r="F52" s="35">
        <v>321720631.41307139</v>
      </c>
      <c r="G52" s="4"/>
      <c r="H52" s="4"/>
    </row>
    <row r="53" spans="5:8" x14ac:dyDescent="0.3">
      <c r="E53">
        <v>32</v>
      </c>
      <c r="F53" s="35">
        <v>363606569.87523901</v>
      </c>
      <c r="G53" s="4"/>
      <c r="H53" s="4"/>
    </row>
    <row r="54" spans="5:8" x14ac:dyDescent="0.3">
      <c r="E54">
        <v>33</v>
      </c>
      <c r="F54" s="35">
        <v>325819129.76058626</v>
      </c>
      <c r="G54" s="4"/>
      <c r="H54" s="4"/>
    </row>
    <row r="55" spans="5:8" x14ac:dyDescent="0.3">
      <c r="E55">
        <v>34</v>
      </c>
      <c r="F55" s="35">
        <v>343967314.44404882</v>
      </c>
      <c r="G55" s="4"/>
      <c r="H55" s="4"/>
    </row>
    <row r="56" spans="5:8" x14ac:dyDescent="0.3">
      <c r="E56">
        <v>35</v>
      </c>
      <c r="F56" s="35">
        <v>320323618.03313118</v>
      </c>
      <c r="G56" s="4"/>
      <c r="H56" s="4"/>
    </row>
    <row r="57" spans="5:8" x14ac:dyDescent="0.3">
      <c r="E57">
        <v>36</v>
      </c>
      <c r="F57" s="35">
        <v>307313635.09381622</v>
      </c>
      <c r="G57" s="4"/>
      <c r="H57" s="4"/>
    </row>
    <row r="58" spans="5:8" x14ac:dyDescent="0.3">
      <c r="E58">
        <v>37</v>
      </c>
      <c r="F58" s="35">
        <v>342275823.17083955</v>
      </c>
      <c r="G58" s="4"/>
      <c r="H58" s="4"/>
    </row>
    <row r="59" spans="5:8" x14ac:dyDescent="0.3">
      <c r="E59">
        <v>38</v>
      </c>
      <c r="F59" s="35">
        <v>330519327.62908483</v>
      </c>
      <c r="G59" s="4"/>
      <c r="H59" s="4"/>
    </row>
    <row r="60" spans="5:8" x14ac:dyDescent="0.3">
      <c r="E60">
        <v>39</v>
      </c>
      <c r="F60" s="35">
        <v>331737121.1111207</v>
      </c>
      <c r="G60" s="4"/>
      <c r="H60" s="4"/>
    </row>
    <row r="61" spans="5:8" x14ac:dyDescent="0.3">
      <c r="E61">
        <v>40</v>
      </c>
      <c r="F61" s="35">
        <v>293657600.5709849</v>
      </c>
      <c r="G61" s="4"/>
      <c r="H61" s="4"/>
    </row>
    <row r="62" spans="5:8" x14ac:dyDescent="0.3">
      <c r="E62">
        <v>41</v>
      </c>
      <c r="F62" s="35">
        <v>354580456.83980513</v>
      </c>
      <c r="G62" s="4"/>
      <c r="H62" s="4"/>
    </row>
    <row r="63" spans="5:8" x14ac:dyDescent="0.3">
      <c r="E63">
        <v>42</v>
      </c>
      <c r="F63" s="35">
        <v>354703546.91409028</v>
      </c>
      <c r="G63" s="4"/>
      <c r="H63" s="4"/>
    </row>
    <row r="64" spans="5:8" x14ac:dyDescent="0.3">
      <c r="E64">
        <v>43</v>
      </c>
      <c r="F64" s="35">
        <v>321179557.45517367</v>
      </c>
      <c r="G64" s="4"/>
      <c r="H64" s="4"/>
    </row>
    <row r="65" spans="5:8" x14ac:dyDescent="0.3">
      <c r="E65">
        <v>44</v>
      </c>
      <c r="F65" s="35">
        <v>340859018.85969299</v>
      </c>
      <c r="G65" s="4"/>
      <c r="H65" s="4"/>
    </row>
    <row r="66" spans="5:8" x14ac:dyDescent="0.3">
      <c r="E66">
        <v>45</v>
      </c>
      <c r="F66" s="35">
        <v>286869788.6792298</v>
      </c>
      <c r="G66" s="4"/>
      <c r="H66" s="4"/>
    </row>
    <row r="67" spans="5:8" x14ac:dyDescent="0.3">
      <c r="E67">
        <v>46</v>
      </c>
      <c r="F67" s="35">
        <v>363543793.18349403</v>
      </c>
      <c r="G67" s="4"/>
      <c r="H67" s="4"/>
    </row>
    <row r="68" spans="5:8" x14ac:dyDescent="0.3">
      <c r="E68">
        <v>47</v>
      </c>
      <c r="F68" s="35">
        <v>296529740.94415188</v>
      </c>
      <c r="G68" s="4"/>
      <c r="H68" s="4"/>
    </row>
    <row r="69" spans="5:8" x14ac:dyDescent="0.3">
      <c r="E69">
        <v>48</v>
      </c>
      <c r="F69" s="35">
        <v>346903841.35451221</v>
      </c>
      <c r="G69" s="4"/>
      <c r="H69" s="4"/>
    </row>
    <row r="70" spans="5:8" x14ac:dyDescent="0.3">
      <c r="E70">
        <v>49</v>
      </c>
      <c r="F70" s="35">
        <v>345745741.2171247</v>
      </c>
      <c r="G70" s="4"/>
      <c r="H70" s="4"/>
    </row>
    <row r="71" spans="5:8" x14ac:dyDescent="0.3">
      <c r="E71">
        <v>50</v>
      </c>
      <c r="F71" s="35">
        <v>346494940.25082791</v>
      </c>
      <c r="G71" s="4"/>
      <c r="H71" s="4"/>
    </row>
    <row r="72" spans="5:8" x14ac:dyDescent="0.3">
      <c r="E72">
        <v>51</v>
      </c>
      <c r="F72" s="35">
        <v>324009004.54285115</v>
      </c>
      <c r="G72" s="4"/>
      <c r="H72" s="4"/>
    </row>
    <row r="73" spans="5:8" x14ac:dyDescent="0.3">
      <c r="E73">
        <v>52</v>
      </c>
      <c r="F73" s="35">
        <v>335942590.72955</v>
      </c>
      <c r="G73" s="4"/>
      <c r="H73" s="4"/>
    </row>
    <row r="74" spans="5:8" x14ac:dyDescent="0.3">
      <c r="E74">
        <v>53</v>
      </c>
      <c r="F74" s="35">
        <v>334762123.43737531</v>
      </c>
      <c r="G74" s="4"/>
      <c r="H74" s="4"/>
    </row>
    <row r="75" spans="5:8" x14ac:dyDescent="0.3">
      <c r="E75">
        <v>54</v>
      </c>
      <c r="F75" s="35">
        <v>300049620.28203452</v>
      </c>
      <c r="G75" s="4"/>
      <c r="H75" s="4"/>
    </row>
    <row r="76" spans="5:8" x14ac:dyDescent="0.3">
      <c r="E76">
        <v>55</v>
      </c>
      <c r="F76" s="35">
        <v>282587208.54346406</v>
      </c>
      <c r="G76" s="4"/>
      <c r="H76" s="4"/>
    </row>
    <row r="77" spans="5:8" x14ac:dyDescent="0.3">
      <c r="E77">
        <v>56</v>
      </c>
      <c r="F77" s="35">
        <v>320953844.49804997</v>
      </c>
      <c r="G77" s="4"/>
      <c r="H77" s="4"/>
    </row>
    <row r="78" spans="5:8" x14ac:dyDescent="0.3">
      <c r="E78">
        <v>57</v>
      </c>
      <c r="F78" s="35">
        <v>345578835.33025742</v>
      </c>
      <c r="G78" s="4"/>
      <c r="H78" s="4"/>
    </row>
    <row r="79" spans="5:8" x14ac:dyDescent="0.3">
      <c r="E79">
        <v>58</v>
      </c>
      <c r="F79" s="35">
        <v>311198235.02613145</v>
      </c>
      <c r="G79" s="4"/>
      <c r="H79" s="4"/>
    </row>
    <row r="80" spans="5:8" x14ac:dyDescent="0.3">
      <c r="E80">
        <v>59</v>
      </c>
      <c r="F80" s="35">
        <v>321984686.22400099</v>
      </c>
      <c r="G80" s="4"/>
      <c r="H80" s="4"/>
    </row>
    <row r="81" spans="5:8" x14ac:dyDescent="0.3">
      <c r="E81">
        <v>60</v>
      </c>
      <c r="F81" s="35">
        <v>387032024.54907858</v>
      </c>
      <c r="G81" s="4"/>
      <c r="H81" s="4"/>
    </row>
    <row r="82" spans="5:8" x14ac:dyDescent="0.3">
      <c r="E82">
        <v>61</v>
      </c>
      <c r="F82" s="35">
        <v>323797496.78676122</v>
      </c>
      <c r="G82" s="4"/>
      <c r="H82" s="4"/>
    </row>
    <row r="83" spans="5:8" x14ac:dyDescent="0.3">
      <c r="E83">
        <v>62</v>
      </c>
      <c r="F83" s="35">
        <v>331617994.66880834</v>
      </c>
      <c r="G83" s="4"/>
      <c r="H83" s="4"/>
    </row>
    <row r="84" spans="5:8" x14ac:dyDescent="0.3">
      <c r="E84">
        <v>63</v>
      </c>
      <c r="F84" s="35">
        <v>324893703.18175936</v>
      </c>
      <c r="G84" s="4"/>
      <c r="H84" s="4"/>
    </row>
    <row r="85" spans="5:8" x14ac:dyDescent="0.3">
      <c r="E85">
        <v>64</v>
      </c>
      <c r="F85" s="35">
        <v>328958854.99249029</v>
      </c>
      <c r="G85" s="4"/>
      <c r="H85" s="4"/>
    </row>
    <row r="86" spans="5:8" x14ac:dyDescent="0.3">
      <c r="E86">
        <v>65</v>
      </c>
      <c r="F86" s="35">
        <v>311775554.41354173</v>
      </c>
      <c r="G86" s="4"/>
      <c r="H86" s="4"/>
    </row>
    <row r="87" spans="5:8" x14ac:dyDescent="0.3">
      <c r="E87">
        <v>66</v>
      </c>
      <c r="F87" s="35">
        <v>427412935.81927979</v>
      </c>
      <c r="G87" s="4"/>
      <c r="H87" s="4"/>
    </row>
    <row r="88" spans="5:8" x14ac:dyDescent="0.3">
      <c r="E88">
        <v>67</v>
      </c>
      <c r="F88" s="35">
        <v>357998935.92517698</v>
      </c>
      <c r="G88" s="4"/>
      <c r="H88" s="4"/>
    </row>
    <row r="89" spans="5:8" x14ac:dyDescent="0.3">
      <c r="E89">
        <v>68</v>
      </c>
      <c r="F89" s="35">
        <v>364635372.88781822</v>
      </c>
      <c r="G89" s="4"/>
      <c r="H89" s="4"/>
    </row>
    <row r="90" spans="5:8" x14ac:dyDescent="0.3">
      <c r="E90">
        <v>69</v>
      </c>
      <c r="F90" s="35">
        <v>297834270.32455742</v>
      </c>
      <c r="G90" s="4"/>
      <c r="H90" s="4"/>
    </row>
    <row r="91" spans="5:8" x14ac:dyDescent="0.3">
      <c r="E91">
        <v>70</v>
      </c>
      <c r="F91" s="35">
        <v>271348037.56228071</v>
      </c>
      <c r="G91" s="4"/>
      <c r="H91" s="4"/>
    </row>
    <row r="92" spans="5:8" x14ac:dyDescent="0.3">
      <c r="E92">
        <v>71</v>
      </c>
      <c r="F92" s="35">
        <v>302826951.23081392</v>
      </c>
      <c r="G92" s="4"/>
      <c r="H92" s="4"/>
    </row>
    <row r="93" spans="5:8" x14ac:dyDescent="0.3">
      <c r="E93">
        <v>72</v>
      </c>
      <c r="F93" s="35">
        <v>331184530.24330276</v>
      </c>
      <c r="G93" s="4"/>
      <c r="H93" s="4"/>
    </row>
    <row r="94" spans="5:8" x14ac:dyDescent="0.3">
      <c r="E94">
        <v>73</v>
      </c>
      <c r="F94" s="35">
        <v>349826002.34636527</v>
      </c>
      <c r="G94" s="4"/>
      <c r="H94" s="4"/>
    </row>
    <row r="95" spans="5:8" x14ac:dyDescent="0.3">
      <c r="E95">
        <v>74</v>
      </c>
      <c r="F95" s="35">
        <v>347988565.81400537</v>
      </c>
      <c r="G95" s="4"/>
      <c r="H95" s="4"/>
    </row>
    <row r="96" spans="5:8" x14ac:dyDescent="0.3">
      <c r="E96">
        <v>75</v>
      </c>
      <c r="F96" s="35">
        <v>342156546.47079301</v>
      </c>
      <c r="G96" s="4"/>
      <c r="H96" s="4"/>
    </row>
    <row r="97" spans="5:8" x14ac:dyDescent="0.3">
      <c r="E97">
        <v>76</v>
      </c>
      <c r="F97" s="35">
        <v>378202412.28033733</v>
      </c>
      <c r="G97" s="4"/>
      <c r="H97" s="4"/>
    </row>
    <row r="98" spans="5:8" x14ac:dyDescent="0.3">
      <c r="E98">
        <v>77</v>
      </c>
      <c r="F98" s="35">
        <v>346219415.56831264</v>
      </c>
      <c r="G98" s="4"/>
      <c r="H98" s="4"/>
    </row>
    <row r="99" spans="5:8" x14ac:dyDescent="0.3">
      <c r="E99">
        <v>78</v>
      </c>
      <c r="F99" s="35">
        <v>341175634.65182</v>
      </c>
      <c r="G99" s="4"/>
      <c r="H99" s="4"/>
    </row>
    <row r="100" spans="5:8" x14ac:dyDescent="0.3">
      <c r="E100">
        <v>79</v>
      </c>
      <c r="F100" s="35">
        <v>335098721.60816407</v>
      </c>
      <c r="G100" s="4"/>
      <c r="H100" s="4"/>
    </row>
    <row r="101" spans="5:8" x14ac:dyDescent="0.3">
      <c r="E101">
        <v>80</v>
      </c>
      <c r="F101" s="35">
        <v>326039418.98386526</v>
      </c>
      <c r="G101" s="4"/>
      <c r="H101" s="4"/>
    </row>
    <row r="102" spans="5:8" x14ac:dyDescent="0.3">
      <c r="E102">
        <v>81</v>
      </c>
      <c r="F102" s="35">
        <v>280653571.05521715</v>
      </c>
      <c r="G102" s="4"/>
      <c r="H102" s="4"/>
    </row>
    <row r="103" spans="5:8" x14ac:dyDescent="0.3">
      <c r="E103">
        <v>82</v>
      </c>
      <c r="F103" s="35">
        <v>331318343.24667656</v>
      </c>
      <c r="G103" s="4"/>
      <c r="H103" s="4"/>
    </row>
    <row r="104" spans="5:8" x14ac:dyDescent="0.3">
      <c r="E104">
        <v>83</v>
      </c>
      <c r="F104" s="35">
        <v>358491801.57253867</v>
      </c>
      <c r="G104" s="4"/>
      <c r="H104" s="4"/>
    </row>
    <row r="105" spans="5:8" x14ac:dyDescent="0.3">
      <c r="E105">
        <v>84</v>
      </c>
      <c r="F105" s="35">
        <v>297227199.44912457</v>
      </c>
      <c r="G105" s="4"/>
      <c r="H105" s="4"/>
    </row>
    <row r="106" spans="5:8" x14ac:dyDescent="0.3">
      <c r="E106">
        <v>85</v>
      </c>
      <c r="F106" s="35">
        <v>336888277.53387767</v>
      </c>
      <c r="G106" s="4"/>
      <c r="H106" s="4"/>
    </row>
    <row r="107" spans="5:8" x14ac:dyDescent="0.3">
      <c r="E107">
        <v>86</v>
      </c>
      <c r="F107" s="35">
        <v>390653157.54764855</v>
      </c>
      <c r="G107" s="4"/>
      <c r="H107" s="4"/>
    </row>
    <row r="108" spans="5:8" x14ac:dyDescent="0.3">
      <c r="E108">
        <v>87</v>
      </c>
      <c r="F108" s="35">
        <v>317097525.8401798</v>
      </c>
      <c r="G108" s="4"/>
      <c r="H108" s="4"/>
    </row>
    <row r="109" spans="5:8" x14ac:dyDescent="0.3">
      <c r="E109">
        <v>88</v>
      </c>
      <c r="F109" s="35">
        <v>337810172.84402198</v>
      </c>
      <c r="G109" s="4"/>
      <c r="H109" s="4"/>
    </row>
    <row r="110" spans="5:8" x14ac:dyDescent="0.3">
      <c r="E110">
        <v>89</v>
      </c>
      <c r="F110" s="35">
        <v>351867296.04158252</v>
      </c>
      <c r="G110" s="4"/>
      <c r="H110" s="4"/>
    </row>
    <row r="111" spans="5:8" x14ac:dyDescent="0.3">
      <c r="E111">
        <v>90</v>
      </c>
      <c r="F111" s="35">
        <v>312242504.33898032</v>
      </c>
      <c r="G111" s="4"/>
      <c r="H111" s="4"/>
    </row>
    <row r="112" spans="5:8" x14ac:dyDescent="0.3">
      <c r="E112">
        <v>91</v>
      </c>
      <c r="F112" s="35">
        <v>309511584.90804744</v>
      </c>
      <c r="G112" s="4"/>
      <c r="H112" s="4"/>
    </row>
    <row r="113" spans="5:8" x14ac:dyDescent="0.3">
      <c r="E113">
        <v>92</v>
      </c>
      <c r="F113" s="35">
        <v>293126773.77127808</v>
      </c>
      <c r="G113" s="4"/>
      <c r="H113" s="4"/>
    </row>
    <row r="114" spans="5:8" x14ac:dyDescent="0.3">
      <c r="E114">
        <v>93</v>
      </c>
      <c r="F114" s="35">
        <v>340311269.29917216</v>
      </c>
      <c r="G114" s="4"/>
      <c r="H114" s="4"/>
    </row>
    <row r="115" spans="5:8" x14ac:dyDescent="0.3">
      <c r="E115">
        <v>94</v>
      </c>
      <c r="F115" s="35">
        <v>313734959.77434576</v>
      </c>
      <c r="G115" s="4"/>
      <c r="H115" s="4"/>
    </row>
    <row r="116" spans="5:8" x14ac:dyDescent="0.3">
      <c r="E116">
        <v>95</v>
      </c>
      <c r="F116" s="35">
        <v>315768555.47281456</v>
      </c>
      <c r="G116" s="4"/>
      <c r="H116" s="4"/>
    </row>
    <row r="117" spans="5:8" x14ac:dyDescent="0.3">
      <c r="E117">
        <v>96</v>
      </c>
      <c r="F117" s="35">
        <v>369351583.83564627</v>
      </c>
      <c r="G117" s="4"/>
      <c r="H117" s="4"/>
    </row>
    <row r="118" spans="5:8" x14ac:dyDescent="0.3">
      <c r="E118">
        <v>97</v>
      </c>
      <c r="F118" s="35">
        <v>383712333.18000031</v>
      </c>
      <c r="G118" s="4"/>
      <c r="H118" s="4"/>
    </row>
    <row r="119" spans="5:8" x14ac:dyDescent="0.3">
      <c r="E119">
        <v>98</v>
      </c>
      <c r="F119" s="35">
        <v>342033577.86138093</v>
      </c>
      <c r="G119" s="4"/>
      <c r="H119" s="4"/>
    </row>
    <row r="120" spans="5:8" x14ac:dyDescent="0.3">
      <c r="E120">
        <v>99</v>
      </c>
      <c r="F120" s="35">
        <v>365823864.83744943</v>
      </c>
      <c r="G120" s="4"/>
      <c r="H120" s="4"/>
    </row>
    <row r="121" spans="5:8" x14ac:dyDescent="0.3">
      <c r="E121">
        <v>100</v>
      </c>
      <c r="F121" s="35">
        <v>362187217.43894351</v>
      </c>
      <c r="G121" s="4"/>
      <c r="H121" s="4"/>
    </row>
    <row r="122" spans="5:8" x14ac:dyDescent="0.3">
      <c r="E122">
        <v>101</v>
      </c>
      <c r="F122" s="35">
        <v>283271500.04161179</v>
      </c>
      <c r="G122" s="4"/>
      <c r="H122" s="4"/>
    </row>
    <row r="123" spans="5:8" x14ac:dyDescent="0.3">
      <c r="E123">
        <v>102</v>
      </c>
      <c r="F123" s="35">
        <v>373071697.10786963</v>
      </c>
      <c r="G123" s="4"/>
      <c r="H123" s="4"/>
    </row>
    <row r="124" spans="5:8" x14ac:dyDescent="0.3">
      <c r="E124">
        <v>103</v>
      </c>
      <c r="F124" s="35">
        <v>326470184.65848565</v>
      </c>
      <c r="G124" s="4"/>
      <c r="H124" s="4"/>
    </row>
    <row r="125" spans="5:8" x14ac:dyDescent="0.3">
      <c r="E125">
        <v>104</v>
      </c>
      <c r="F125" s="35">
        <v>340308922.93947077</v>
      </c>
      <c r="G125" s="4"/>
      <c r="H125" s="4"/>
    </row>
    <row r="126" spans="5:8" x14ac:dyDescent="0.3">
      <c r="E126">
        <v>105</v>
      </c>
      <c r="F126" s="35">
        <v>345023494.64172918</v>
      </c>
      <c r="G126" s="4"/>
      <c r="H126" s="4"/>
    </row>
    <row r="127" spans="5:8" x14ac:dyDescent="0.3">
      <c r="E127">
        <v>106</v>
      </c>
      <c r="F127" s="35">
        <v>319528591.47002363</v>
      </c>
      <c r="G127" s="4"/>
      <c r="H127" s="4"/>
    </row>
    <row r="128" spans="5:8" x14ac:dyDescent="0.3">
      <c r="E128">
        <v>107</v>
      </c>
      <c r="F128" s="35">
        <v>353703252.96431923</v>
      </c>
      <c r="G128" s="4"/>
      <c r="H128" s="4"/>
    </row>
    <row r="129" spans="5:8" x14ac:dyDescent="0.3">
      <c r="E129">
        <v>108</v>
      </c>
      <c r="F129" s="35">
        <v>300334455.19394708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C8" sqref="C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6" t="str">
        <f>Mappings!B7</f>
        <v>Local-only</v>
      </c>
      <c r="D1" s="11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7" t="str">
        <f>MC_High_ambition!A4</f>
        <v>Random value income per cow (USD/yr)</v>
      </c>
      <c r="B4" s="21">
        <f ca="1">_xlfn.NORM.INV(RAND(),Mappings!N14,Mappings!O14)</f>
        <v>1515.3265168977082</v>
      </c>
      <c r="C4" s="21">
        <f ca="1">_xlfn.NORM.INV(RAND(),Mappings!N15,Mappings!O15)</f>
        <v>323.13206443075666</v>
      </c>
      <c r="D4" s="21">
        <f ca="1">_xlfn.NORM.INV(RAND(),Mappings!N16,Mappings!O16)</f>
        <v>1618.1319103913611</v>
      </c>
    </row>
    <row r="5" spans="1:8" x14ac:dyDescent="0.3">
      <c r="A5" s="117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7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7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7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3" customFormat="1" x14ac:dyDescent="0.3">
      <c r="A9" s="117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3" customFormat="1" x14ac:dyDescent="0.3">
      <c r="A10" s="117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152.02445148005472</v>
      </c>
      <c r="C10" s="21">
        <f ca="1">IF(C9&gt;0,_xlfn.NORM.INV(RAND(),C9,C9*Dairy_Income_Roadmap!L36),_xlfn.NORM.INV(RAND(),ABS(C9),ABS(C9)*Dairy_Income_Roadmap!L36))</f>
        <v>639.07647857069526</v>
      </c>
      <c r="D10" s="21">
        <f ca="1">IF(D9&gt;0,_xlfn.NORM.INV(RAND(),D9,D9*Dairy_Income_Roadmap!L38),_xlfn.NORM.INV(RAND(),ABS(D9),ABS(D9)*Dairy_Income_Roadmap!L38))</f>
        <v>217.74837372981131</v>
      </c>
    </row>
    <row r="11" spans="1:8" x14ac:dyDescent="0.3">
      <c r="A11" s="117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7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7"/>
      <c r="B13" s="21"/>
    </row>
    <row r="14" spans="1:8" x14ac:dyDescent="0.3">
      <c r="A14" s="117" t="str">
        <f>MC_High_ambition!A14</f>
        <v>Dairy Income (USD/household/year)</v>
      </c>
      <c r="B14" s="21">
        <f ca="1">B4*B6</f>
        <v>1309.7616082976415</v>
      </c>
      <c r="C14" s="21">
        <f ca="1">C4*C6</f>
        <v>954.52290813148466</v>
      </c>
      <c r="D14" s="21">
        <f ca="1">D4*D6</f>
        <v>2804.4609607876318</v>
      </c>
    </row>
    <row r="15" spans="1:8" x14ac:dyDescent="0.3">
      <c r="A15" s="117" t="str">
        <f>MC_High_ambition!A15</f>
        <v>Non dairy income (USD/household/year)</v>
      </c>
      <c r="B15" s="21">
        <f ca="1">B8-IF(B9&gt;0,B8-B10,B8+B10)</f>
        <v>152.02445148005472</v>
      </c>
      <c r="C15" s="21">
        <f t="shared" ref="C15:D15" ca="1" si="0">C8-IF(C9&gt;0,C8-C10,C8+C10)</f>
        <v>639.07647857069526</v>
      </c>
      <c r="D15" s="21">
        <f t="shared" ca="1" si="0"/>
        <v>217.74837372981142</v>
      </c>
    </row>
    <row r="16" spans="1:8" x14ac:dyDescent="0.3">
      <c r="A16" s="117" t="str">
        <f>MC_High_ambition!A16</f>
        <v>Quantity households</v>
      </c>
      <c r="B16" s="21">
        <f ca="1">_xlfn.NORM.INV(RAND(),B11,B12)</f>
        <v>1316.8893252279727</v>
      </c>
      <c r="C16" s="21">
        <f ca="1">_xlfn.NORM.INV(RAND(),C11,C12)</f>
        <v>62134.622318923939</v>
      </c>
      <c r="D16" s="21">
        <f t="shared" ref="D16" ca="1" si="1">_xlfn.NORM.INV(RAND(),D11,D12)</f>
        <v>84648.459263275377</v>
      </c>
    </row>
    <row r="17" spans="1:10" x14ac:dyDescent="0.3">
      <c r="A17" s="117"/>
    </row>
    <row r="18" spans="1:10" x14ac:dyDescent="0.3">
      <c r="A18" s="117" t="str">
        <f>MC_High_ambition!A18</f>
        <v>Estimated population income (USD/yr)</v>
      </c>
      <c r="B18" s="10">
        <f ca="1">(B14+B15)*B16</f>
        <v>1925010.4578883073</v>
      </c>
      <c r="C18" s="10">
        <f ca="1">(C14+C15)*C16</f>
        <v>99017696.020408764</v>
      </c>
      <c r="D18" s="10">
        <f ca="1">(D14+D15)*D16</f>
        <v>255825363.73799041</v>
      </c>
      <c r="F18">
        <f ca="1">B18+C18+D18</f>
        <v>356768070.21628749</v>
      </c>
    </row>
    <row r="19" spans="1:10" x14ac:dyDescent="0.3">
      <c r="A19" s="117" t="str">
        <f>MC_High_ambition!A19</f>
        <v>SE population income (USD/yr)</v>
      </c>
      <c r="B19" t="s">
        <v>57</v>
      </c>
      <c r="C19" t="s">
        <v>57</v>
      </c>
      <c r="D19" t="s">
        <v>57</v>
      </c>
      <c r="F19">
        <f ca="1">STDEV(F22:F129)</f>
        <v>30992201.668035597</v>
      </c>
    </row>
    <row r="20" spans="1:10" x14ac:dyDescent="0.3">
      <c r="A20" s="117" t="str">
        <f>MC_High_ambition!A20</f>
        <v>Mean population income (USD/yr)</v>
      </c>
      <c r="B20" s="4" t="s">
        <v>57</v>
      </c>
      <c r="C20" s="4" t="s">
        <v>57</v>
      </c>
      <c r="D20" s="4" t="s">
        <v>57</v>
      </c>
      <c r="E20" s="4"/>
      <c r="F20" s="4">
        <f ca="1">AVERAGE(F22:F129)</f>
        <v>373626335.64546341</v>
      </c>
      <c r="G20" s="4"/>
      <c r="H20" s="131" t="s">
        <v>65</v>
      </c>
      <c r="I20" s="46">
        <f ca="1">100*F19/F20</f>
        <v>8.294972466139086</v>
      </c>
    </row>
    <row r="21" spans="1:10" x14ac:dyDescent="0.3">
      <c r="F21" s="4"/>
      <c r="G21" s="4"/>
      <c r="H21" s="131"/>
    </row>
    <row r="22" spans="1:10" x14ac:dyDescent="0.3">
      <c r="B22" s="4"/>
      <c r="E22">
        <v>1</v>
      </c>
      <c r="F22" s="35">
        <f ca="1">F18</f>
        <v>356768070.21628749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435292466.19366491</v>
      </c>
      <c r="G23" s="4"/>
      <c r="H23" s="4"/>
      <c r="I23" s="130"/>
    </row>
    <row r="24" spans="1:10" x14ac:dyDescent="0.3">
      <c r="E24">
        <v>3</v>
      </c>
      <c r="F24" s="35">
        <v>402740352.70324188</v>
      </c>
      <c r="G24" s="4"/>
      <c r="H24" s="4"/>
      <c r="I24" s="130"/>
      <c r="J24" s="46"/>
    </row>
    <row r="25" spans="1:10" x14ac:dyDescent="0.3">
      <c r="E25">
        <v>4</v>
      </c>
      <c r="F25" s="35">
        <v>379997927.3625806</v>
      </c>
      <c r="G25" s="4"/>
      <c r="H25" s="4"/>
    </row>
    <row r="26" spans="1:10" x14ac:dyDescent="0.3">
      <c r="E26">
        <v>5</v>
      </c>
      <c r="F26" s="35">
        <v>377338923.31243074</v>
      </c>
      <c r="G26" s="4"/>
      <c r="H26" s="4"/>
    </row>
    <row r="27" spans="1:10" x14ac:dyDescent="0.3">
      <c r="E27">
        <v>6</v>
      </c>
      <c r="F27" s="35">
        <v>309357559.6557923</v>
      </c>
      <c r="G27" s="4"/>
      <c r="H27" s="4"/>
    </row>
    <row r="28" spans="1:10" x14ac:dyDescent="0.3">
      <c r="E28">
        <v>7</v>
      </c>
      <c r="F28" s="35">
        <v>354532866.08118486</v>
      </c>
      <c r="G28" s="4"/>
      <c r="H28" s="4"/>
    </row>
    <row r="29" spans="1:10" x14ac:dyDescent="0.3">
      <c r="E29">
        <v>8</v>
      </c>
      <c r="F29" s="35">
        <v>445009465.60509908</v>
      </c>
      <c r="G29" s="4"/>
      <c r="H29" s="4"/>
    </row>
    <row r="30" spans="1:10" x14ac:dyDescent="0.3">
      <c r="E30">
        <v>9</v>
      </c>
      <c r="F30" s="35">
        <v>349213302.12652183</v>
      </c>
      <c r="G30" s="4"/>
      <c r="H30" s="4"/>
    </row>
    <row r="31" spans="1:10" x14ac:dyDescent="0.3">
      <c r="E31">
        <v>10</v>
      </c>
      <c r="F31" s="35">
        <v>343029189.54964066</v>
      </c>
      <c r="G31" s="4"/>
      <c r="H31" s="4"/>
    </row>
    <row r="32" spans="1:10" x14ac:dyDescent="0.3">
      <c r="E32">
        <v>11</v>
      </c>
      <c r="F32" s="35">
        <v>393270010.33957398</v>
      </c>
      <c r="G32" s="4"/>
      <c r="H32" s="4"/>
    </row>
    <row r="33" spans="5:8" x14ac:dyDescent="0.3">
      <c r="E33">
        <v>12</v>
      </c>
      <c r="F33" s="35">
        <v>371972374.16929209</v>
      </c>
      <c r="G33" s="4"/>
      <c r="H33" s="4"/>
    </row>
    <row r="34" spans="5:8" x14ac:dyDescent="0.3">
      <c r="E34">
        <v>13</v>
      </c>
      <c r="F34" s="35">
        <v>345690378.75209427</v>
      </c>
      <c r="G34" s="4"/>
      <c r="H34" s="4"/>
    </row>
    <row r="35" spans="5:8" x14ac:dyDescent="0.3">
      <c r="E35">
        <v>14</v>
      </c>
      <c r="F35" s="35">
        <v>381367528.96431524</v>
      </c>
      <c r="G35" s="4"/>
      <c r="H35" s="4"/>
    </row>
    <row r="36" spans="5:8" x14ac:dyDescent="0.3">
      <c r="E36">
        <v>15</v>
      </c>
      <c r="F36" s="35">
        <v>399569841.95849168</v>
      </c>
      <c r="G36" s="4"/>
      <c r="H36" s="4"/>
    </row>
    <row r="37" spans="5:8" x14ac:dyDescent="0.3">
      <c r="E37">
        <v>16</v>
      </c>
      <c r="F37" s="35">
        <v>363683242.96504515</v>
      </c>
      <c r="G37" s="4"/>
      <c r="H37" s="4"/>
    </row>
    <row r="38" spans="5:8" x14ac:dyDescent="0.3">
      <c r="E38">
        <v>17</v>
      </c>
      <c r="F38" s="35">
        <v>384491321.43335485</v>
      </c>
      <c r="G38" s="4"/>
      <c r="H38" s="4"/>
    </row>
    <row r="39" spans="5:8" x14ac:dyDescent="0.3">
      <c r="E39">
        <v>18</v>
      </c>
      <c r="F39" s="35">
        <v>470706472.56854957</v>
      </c>
      <c r="G39" s="4"/>
      <c r="H39" s="4"/>
    </row>
    <row r="40" spans="5:8" x14ac:dyDescent="0.3">
      <c r="E40">
        <v>19</v>
      </c>
      <c r="F40" s="35">
        <v>368962905.8412652</v>
      </c>
      <c r="G40" s="4"/>
      <c r="H40" s="4"/>
    </row>
    <row r="41" spans="5:8" x14ac:dyDescent="0.3">
      <c r="E41">
        <v>20</v>
      </c>
      <c r="F41" s="35">
        <v>371597461.19336516</v>
      </c>
      <c r="G41" s="4"/>
      <c r="H41" s="4"/>
    </row>
    <row r="42" spans="5:8" x14ac:dyDescent="0.3">
      <c r="E42">
        <v>21</v>
      </c>
      <c r="F42" s="35">
        <v>355853070.03852391</v>
      </c>
      <c r="G42" s="4"/>
      <c r="H42" s="4"/>
    </row>
    <row r="43" spans="5:8" x14ac:dyDescent="0.3">
      <c r="E43">
        <v>22</v>
      </c>
      <c r="F43" s="35">
        <v>314880804.65348566</v>
      </c>
      <c r="G43" s="4"/>
      <c r="H43" s="4"/>
    </row>
    <row r="44" spans="5:8" x14ac:dyDescent="0.3">
      <c r="E44">
        <v>23</v>
      </c>
      <c r="F44" s="35">
        <v>366325998.30626237</v>
      </c>
      <c r="G44" s="4"/>
      <c r="H44" s="4"/>
    </row>
    <row r="45" spans="5:8" x14ac:dyDescent="0.3">
      <c r="E45">
        <v>24</v>
      </c>
      <c r="F45" s="35">
        <v>414409779.35174239</v>
      </c>
      <c r="G45" s="4"/>
      <c r="H45" s="4"/>
    </row>
    <row r="46" spans="5:8" x14ac:dyDescent="0.3">
      <c r="E46">
        <v>25</v>
      </c>
      <c r="F46" s="35">
        <v>392912363.42741537</v>
      </c>
      <c r="G46" s="4"/>
      <c r="H46" s="4"/>
    </row>
    <row r="47" spans="5:8" x14ac:dyDescent="0.3">
      <c r="E47">
        <v>26</v>
      </c>
      <c r="F47" s="35">
        <v>373076435.29270196</v>
      </c>
      <c r="G47" s="4"/>
      <c r="H47" s="4"/>
    </row>
    <row r="48" spans="5:8" x14ac:dyDescent="0.3">
      <c r="E48">
        <v>27</v>
      </c>
      <c r="F48" s="35">
        <v>417416118.89632803</v>
      </c>
      <c r="G48" s="4"/>
      <c r="H48" s="4"/>
    </row>
    <row r="49" spans="5:8" x14ac:dyDescent="0.3">
      <c r="E49">
        <v>28</v>
      </c>
      <c r="F49" s="35">
        <v>369272285.39951718</v>
      </c>
      <c r="G49" s="4"/>
      <c r="H49" s="4"/>
    </row>
    <row r="50" spans="5:8" x14ac:dyDescent="0.3">
      <c r="E50">
        <v>29</v>
      </c>
      <c r="F50" s="35">
        <v>371132065.34345639</v>
      </c>
      <c r="G50" s="4"/>
      <c r="H50" s="4"/>
    </row>
    <row r="51" spans="5:8" x14ac:dyDescent="0.3">
      <c r="E51">
        <v>30</v>
      </c>
      <c r="F51" s="35">
        <v>366204634.74372333</v>
      </c>
      <c r="G51" s="4"/>
      <c r="H51" s="4"/>
    </row>
    <row r="52" spans="5:8" x14ac:dyDescent="0.3">
      <c r="E52">
        <v>31</v>
      </c>
      <c r="F52" s="35">
        <v>401433533.77943146</v>
      </c>
      <c r="G52" s="4"/>
      <c r="H52" s="4"/>
    </row>
    <row r="53" spans="5:8" x14ac:dyDescent="0.3">
      <c r="E53">
        <v>32</v>
      </c>
      <c r="F53" s="35">
        <v>415621545.84026456</v>
      </c>
      <c r="G53" s="4"/>
      <c r="H53" s="4"/>
    </row>
    <row r="54" spans="5:8" x14ac:dyDescent="0.3">
      <c r="E54">
        <v>33</v>
      </c>
      <c r="F54" s="35">
        <v>359353578.64361477</v>
      </c>
      <c r="G54" s="4"/>
      <c r="H54" s="4"/>
    </row>
    <row r="55" spans="5:8" x14ac:dyDescent="0.3">
      <c r="E55">
        <v>34</v>
      </c>
      <c r="F55" s="35">
        <v>400900271.7512911</v>
      </c>
      <c r="G55" s="4"/>
      <c r="H55" s="4"/>
    </row>
    <row r="56" spans="5:8" x14ac:dyDescent="0.3">
      <c r="E56">
        <v>35</v>
      </c>
      <c r="F56" s="35">
        <v>383423953.62110299</v>
      </c>
      <c r="G56" s="4"/>
      <c r="H56" s="4"/>
    </row>
    <row r="57" spans="5:8" x14ac:dyDescent="0.3">
      <c r="E57">
        <v>36</v>
      </c>
      <c r="F57" s="35">
        <v>397900632.0146842</v>
      </c>
      <c r="G57" s="4"/>
      <c r="H57" s="4"/>
    </row>
    <row r="58" spans="5:8" x14ac:dyDescent="0.3">
      <c r="E58">
        <v>37</v>
      </c>
      <c r="F58" s="35">
        <v>402724230.40759975</v>
      </c>
      <c r="G58" s="4"/>
      <c r="H58" s="4"/>
    </row>
    <row r="59" spans="5:8" x14ac:dyDescent="0.3">
      <c r="E59">
        <v>38</v>
      </c>
      <c r="F59" s="35">
        <v>349451699.50352687</v>
      </c>
      <c r="G59" s="4"/>
      <c r="H59" s="4"/>
    </row>
    <row r="60" spans="5:8" x14ac:dyDescent="0.3">
      <c r="E60">
        <v>39</v>
      </c>
      <c r="F60" s="35">
        <v>360323872.39344168</v>
      </c>
      <c r="G60" s="4"/>
      <c r="H60" s="4"/>
    </row>
    <row r="61" spans="5:8" x14ac:dyDescent="0.3">
      <c r="E61">
        <v>40</v>
      </c>
      <c r="F61" s="35">
        <v>438537124.94264632</v>
      </c>
      <c r="G61" s="4"/>
      <c r="H61" s="4"/>
    </row>
    <row r="62" spans="5:8" x14ac:dyDescent="0.3">
      <c r="E62">
        <v>41</v>
      </c>
      <c r="F62" s="35">
        <v>385645090.03897828</v>
      </c>
      <c r="G62" s="4"/>
      <c r="H62" s="4"/>
    </row>
    <row r="63" spans="5:8" x14ac:dyDescent="0.3">
      <c r="E63">
        <v>42</v>
      </c>
      <c r="F63" s="35">
        <v>374929286.5663693</v>
      </c>
      <c r="G63" s="4"/>
      <c r="H63" s="4"/>
    </row>
    <row r="64" spans="5:8" x14ac:dyDescent="0.3">
      <c r="E64">
        <v>43</v>
      </c>
      <c r="F64" s="35">
        <v>349752150.15886283</v>
      </c>
      <c r="G64" s="4"/>
      <c r="H64" s="4"/>
    </row>
    <row r="65" spans="5:8" x14ac:dyDescent="0.3">
      <c r="E65">
        <v>44</v>
      </c>
      <c r="F65" s="35">
        <v>398608054.81007206</v>
      </c>
      <c r="G65" s="4"/>
      <c r="H65" s="4"/>
    </row>
    <row r="66" spans="5:8" x14ac:dyDescent="0.3">
      <c r="E66">
        <v>45</v>
      </c>
      <c r="F66" s="35">
        <v>381093661.72955918</v>
      </c>
      <c r="G66" s="4"/>
      <c r="H66" s="4"/>
    </row>
    <row r="67" spans="5:8" x14ac:dyDescent="0.3">
      <c r="E67">
        <v>46</v>
      </c>
      <c r="F67" s="35">
        <v>353569155.02070045</v>
      </c>
      <c r="G67" s="4"/>
      <c r="H67" s="4"/>
    </row>
    <row r="68" spans="5:8" x14ac:dyDescent="0.3">
      <c r="E68">
        <v>47</v>
      </c>
      <c r="F68" s="35">
        <v>396104948.07137692</v>
      </c>
      <c r="G68" s="4"/>
      <c r="H68" s="4"/>
    </row>
    <row r="69" spans="5:8" x14ac:dyDescent="0.3">
      <c r="E69">
        <v>48</v>
      </c>
      <c r="F69" s="35">
        <v>362952716.27152711</v>
      </c>
      <c r="G69" s="4"/>
      <c r="H69" s="4"/>
    </row>
    <row r="70" spans="5:8" x14ac:dyDescent="0.3">
      <c r="E70">
        <v>49</v>
      </c>
      <c r="F70" s="35">
        <v>349429732.20126289</v>
      </c>
      <c r="G70" s="4"/>
      <c r="H70" s="4"/>
    </row>
    <row r="71" spans="5:8" x14ac:dyDescent="0.3">
      <c r="E71">
        <v>50</v>
      </c>
      <c r="F71" s="35">
        <v>391353718.11347896</v>
      </c>
      <c r="G71" s="4"/>
      <c r="H71" s="4"/>
    </row>
    <row r="72" spans="5:8" x14ac:dyDescent="0.3">
      <c r="E72">
        <v>51</v>
      </c>
      <c r="F72" s="35">
        <v>331169465.45158696</v>
      </c>
      <c r="G72" s="4"/>
      <c r="H72" s="4"/>
    </row>
    <row r="73" spans="5:8" x14ac:dyDescent="0.3">
      <c r="E73">
        <v>52</v>
      </c>
      <c r="F73" s="35">
        <v>359890818.43079078</v>
      </c>
      <c r="G73" s="4"/>
      <c r="H73" s="4"/>
    </row>
    <row r="74" spans="5:8" x14ac:dyDescent="0.3">
      <c r="E74">
        <v>53</v>
      </c>
      <c r="F74" s="35">
        <v>410915828.74363369</v>
      </c>
      <c r="G74" s="4"/>
      <c r="H74" s="4"/>
    </row>
    <row r="75" spans="5:8" x14ac:dyDescent="0.3">
      <c r="E75">
        <v>54</v>
      </c>
      <c r="F75" s="35">
        <v>355853562.89951891</v>
      </c>
      <c r="G75" s="4"/>
      <c r="H75" s="4"/>
    </row>
    <row r="76" spans="5:8" x14ac:dyDescent="0.3">
      <c r="E76">
        <v>55</v>
      </c>
      <c r="F76" s="35">
        <v>372835437.90442312</v>
      </c>
      <c r="G76" s="4"/>
      <c r="H76" s="4"/>
    </row>
    <row r="77" spans="5:8" x14ac:dyDescent="0.3">
      <c r="E77">
        <v>56</v>
      </c>
      <c r="F77" s="35">
        <v>331529638.35004795</v>
      </c>
      <c r="G77" s="4"/>
      <c r="H77" s="4"/>
    </row>
    <row r="78" spans="5:8" x14ac:dyDescent="0.3">
      <c r="E78">
        <v>57</v>
      </c>
      <c r="F78" s="35">
        <v>364821618.52919471</v>
      </c>
      <c r="G78" s="4"/>
      <c r="H78" s="4"/>
    </row>
    <row r="79" spans="5:8" x14ac:dyDescent="0.3">
      <c r="E79">
        <v>58</v>
      </c>
      <c r="F79" s="35">
        <v>399394921.56258887</v>
      </c>
      <c r="G79" s="4"/>
      <c r="H79" s="4"/>
    </row>
    <row r="80" spans="5:8" x14ac:dyDescent="0.3">
      <c r="E80">
        <v>59</v>
      </c>
      <c r="F80" s="35">
        <v>401253100.77726972</v>
      </c>
      <c r="G80" s="4"/>
      <c r="H80" s="4"/>
    </row>
    <row r="81" spans="5:8" x14ac:dyDescent="0.3">
      <c r="E81">
        <v>60</v>
      </c>
      <c r="F81" s="35">
        <v>386324497.99551249</v>
      </c>
      <c r="G81" s="4"/>
      <c r="H81" s="4"/>
    </row>
    <row r="82" spans="5:8" x14ac:dyDescent="0.3">
      <c r="E82">
        <v>61</v>
      </c>
      <c r="F82" s="35">
        <v>357669879.50014693</v>
      </c>
      <c r="G82" s="4"/>
      <c r="H82" s="4"/>
    </row>
    <row r="83" spans="5:8" x14ac:dyDescent="0.3">
      <c r="E83">
        <v>62</v>
      </c>
      <c r="F83" s="35">
        <v>373296591.35278171</v>
      </c>
      <c r="G83" s="4"/>
      <c r="H83" s="4"/>
    </row>
    <row r="84" spans="5:8" x14ac:dyDescent="0.3">
      <c r="E84">
        <v>63</v>
      </c>
      <c r="F84" s="35">
        <v>351643368.8861987</v>
      </c>
      <c r="G84" s="4"/>
      <c r="H84" s="4"/>
    </row>
    <row r="85" spans="5:8" x14ac:dyDescent="0.3">
      <c r="E85">
        <v>64</v>
      </c>
      <c r="F85" s="35">
        <v>380232728.34330624</v>
      </c>
      <c r="G85" s="4"/>
      <c r="H85" s="4"/>
    </row>
    <row r="86" spans="5:8" x14ac:dyDescent="0.3">
      <c r="E86">
        <v>65</v>
      </c>
      <c r="F86" s="35">
        <v>364681033.04053551</v>
      </c>
      <c r="G86" s="4"/>
      <c r="H86" s="4"/>
    </row>
    <row r="87" spans="5:8" x14ac:dyDescent="0.3">
      <c r="E87">
        <v>66</v>
      </c>
      <c r="F87" s="35">
        <v>376575394.8958922</v>
      </c>
      <c r="G87" s="4"/>
      <c r="H87" s="4"/>
    </row>
    <row r="88" spans="5:8" x14ac:dyDescent="0.3">
      <c r="E88">
        <v>67</v>
      </c>
      <c r="F88" s="35">
        <v>421453730.30463648</v>
      </c>
      <c r="G88" s="4"/>
      <c r="H88" s="4"/>
    </row>
    <row r="89" spans="5:8" x14ac:dyDescent="0.3">
      <c r="E89">
        <v>68</v>
      </c>
      <c r="F89" s="35">
        <v>344678249.0567205</v>
      </c>
      <c r="G89" s="4"/>
      <c r="H89" s="4"/>
    </row>
    <row r="90" spans="5:8" x14ac:dyDescent="0.3">
      <c r="E90">
        <v>69</v>
      </c>
      <c r="F90" s="35">
        <v>326817060.59853673</v>
      </c>
      <c r="G90" s="4"/>
      <c r="H90" s="4"/>
    </row>
    <row r="91" spans="5:8" x14ac:dyDescent="0.3">
      <c r="E91">
        <v>70</v>
      </c>
      <c r="F91" s="35">
        <v>406449910.68337262</v>
      </c>
      <c r="G91" s="4"/>
      <c r="H91" s="4"/>
    </row>
    <row r="92" spans="5:8" x14ac:dyDescent="0.3">
      <c r="E92">
        <v>71</v>
      </c>
      <c r="F92" s="35">
        <v>356769312.30260819</v>
      </c>
      <c r="G92" s="4"/>
      <c r="H92" s="4"/>
    </row>
    <row r="93" spans="5:8" x14ac:dyDescent="0.3">
      <c r="E93">
        <v>72</v>
      </c>
      <c r="F93" s="35">
        <v>308551675.67202491</v>
      </c>
      <c r="G93" s="4"/>
      <c r="H93" s="4"/>
    </row>
    <row r="94" spans="5:8" x14ac:dyDescent="0.3">
      <c r="E94">
        <v>73</v>
      </c>
      <c r="F94" s="35">
        <v>348871212.83094919</v>
      </c>
      <c r="G94" s="4"/>
      <c r="H94" s="4"/>
    </row>
    <row r="95" spans="5:8" x14ac:dyDescent="0.3">
      <c r="E95">
        <v>74</v>
      </c>
      <c r="F95" s="35">
        <v>434718622.37888432</v>
      </c>
      <c r="G95" s="4"/>
      <c r="H95" s="4"/>
    </row>
    <row r="96" spans="5:8" x14ac:dyDescent="0.3">
      <c r="E96">
        <v>75</v>
      </c>
      <c r="F96" s="35">
        <v>389654915.25487161</v>
      </c>
      <c r="G96" s="4"/>
      <c r="H96" s="4"/>
    </row>
    <row r="97" spans="5:8" x14ac:dyDescent="0.3">
      <c r="E97">
        <v>76</v>
      </c>
      <c r="F97" s="35">
        <v>414360395.19533801</v>
      </c>
      <c r="G97" s="4"/>
      <c r="H97" s="4"/>
    </row>
    <row r="98" spans="5:8" x14ac:dyDescent="0.3">
      <c r="E98">
        <v>77</v>
      </c>
      <c r="F98" s="35">
        <v>422137135.17062694</v>
      </c>
      <c r="G98" s="4"/>
      <c r="H98" s="4"/>
    </row>
    <row r="99" spans="5:8" x14ac:dyDescent="0.3">
      <c r="E99">
        <v>78</v>
      </c>
      <c r="F99" s="35">
        <v>383270970.30750895</v>
      </c>
      <c r="G99" s="4"/>
      <c r="H99" s="4"/>
    </row>
    <row r="100" spans="5:8" x14ac:dyDescent="0.3">
      <c r="E100">
        <v>79</v>
      </c>
      <c r="F100" s="35">
        <v>394470641.19329035</v>
      </c>
      <c r="G100" s="4"/>
      <c r="H100" s="4"/>
    </row>
    <row r="101" spans="5:8" x14ac:dyDescent="0.3">
      <c r="E101">
        <v>80</v>
      </c>
      <c r="F101" s="35">
        <v>355769003.16191041</v>
      </c>
      <c r="G101" s="4"/>
      <c r="H101" s="4"/>
    </row>
    <row r="102" spans="5:8" x14ac:dyDescent="0.3">
      <c r="E102">
        <v>81</v>
      </c>
      <c r="F102" s="35">
        <v>419044340.95048183</v>
      </c>
      <c r="G102" s="4"/>
      <c r="H102" s="4"/>
    </row>
    <row r="103" spans="5:8" x14ac:dyDescent="0.3">
      <c r="E103">
        <v>82</v>
      </c>
      <c r="F103" s="35">
        <v>359629783.49208057</v>
      </c>
      <c r="G103" s="4"/>
      <c r="H103" s="4"/>
    </row>
    <row r="104" spans="5:8" x14ac:dyDescent="0.3">
      <c r="E104">
        <v>83</v>
      </c>
      <c r="F104" s="35">
        <v>397565127.37001944</v>
      </c>
      <c r="G104" s="4"/>
      <c r="H104" s="4"/>
    </row>
    <row r="105" spans="5:8" x14ac:dyDescent="0.3">
      <c r="E105">
        <v>84</v>
      </c>
      <c r="F105" s="35">
        <v>359832859.625211</v>
      </c>
      <c r="G105" s="4"/>
      <c r="H105" s="4"/>
    </row>
    <row r="106" spans="5:8" x14ac:dyDescent="0.3">
      <c r="E106">
        <v>85</v>
      </c>
      <c r="F106" s="35">
        <v>371287907.98460454</v>
      </c>
      <c r="G106" s="4"/>
      <c r="H106" s="4"/>
    </row>
    <row r="107" spans="5:8" x14ac:dyDescent="0.3">
      <c r="E107">
        <v>86</v>
      </c>
      <c r="F107" s="35">
        <v>353789347.91471827</v>
      </c>
      <c r="G107" s="4"/>
      <c r="H107" s="4"/>
    </row>
    <row r="108" spans="5:8" x14ac:dyDescent="0.3">
      <c r="E108">
        <v>87</v>
      </c>
      <c r="F108" s="35">
        <v>344835830.47415483</v>
      </c>
      <c r="G108" s="4"/>
      <c r="H108" s="4"/>
    </row>
    <row r="109" spans="5:8" x14ac:dyDescent="0.3">
      <c r="E109">
        <v>88</v>
      </c>
      <c r="F109" s="35">
        <v>389559226.419662</v>
      </c>
      <c r="G109" s="4"/>
      <c r="H109" s="4"/>
    </row>
    <row r="110" spans="5:8" x14ac:dyDescent="0.3">
      <c r="E110">
        <v>89</v>
      </c>
      <c r="F110" s="35">
        <v>391791171.05075276</v>
      </c>
      <c r="G110" s="4"/>
      <c r="H110" s="4"/>
    </row>
    <row r="111" spans="5:8" x14ac:dyDescent="0.3">
      <c r="E111">
        <v>90</v>
      </c>
      <c r="F111" s="35">
        <v>317880981.75885624</v>
      </c>
      <c r="G111" s="4"/>
      <c r="H111" s="4"/>
    </row>
    <row r="112" spans="5:8" x14ac:dyDescent="0.3">
      <c r="E112">
        <v>91</v>
      </c>
      <c r="F112" s="35">
        <v>354216789.07000375</v>
      </c>
      <c r="G112" s="4"/>
      <c r="H112" s="4"/>
    </row>
    <row r="113" spans="5:8" x14ac:dyDescent="0.3">
      <c r="E113">
        <v>92</v>
      </c>
      <c r="F113" s="35">
        <v>387892592.13343668</v>
      </c>
      <c r="G113" s="4"/>
      <c r="H113" s="4"/>
    </row>
    <row r="114" spans="5:8" x14ac:dyDescent="0.3">
      <c r="E114">
        <v>93</v>
      </c>
      <c r="F114" s="35">
        <v>304278721.01468372</v>
      </c>
      <c r="G114" s="4"/>
      <c r="H114" s="4"/>
    </row>
    <row r="115" spans="5:8" x14ac:dyDescent="0.3">
      <c r="E115">
        <v>94</v>
      </c>
      <c r="F115" s="35">
        <v>350529737.07407379</v>
      </c>
      <c r="G115" s="4"/>
      <c r="H115" s="4"/>
    </row>
    <row r="116" spans="5:8" x14ac:dyDescent="0.3">
      <c r="E116">
        <v>95</v>
      </c>
      <c r="F116" s="35">
        <v>410202428.43393224</v>
      </c>
      <c r="G116" s="4"/>
      <c r="H116" s="4"/>
    </row>
    <row r="117" spans="5:8" x14ac:dyDescent="0.3">
      <c r="E117">
        <v>96</v>
      </c>
      <c r="F117" s="35">
        <v>344792287.31157398</v>
      </c>
      <c r="G117" s="4"/>
      <c r="H117" s="4"/>
    </row>
    <row r="118" spans="5:8" x14ac:dyDescent="0.3">
      <c r="E118">
        <v>97</v>
      </c>
      <c r="F118" s="35">
        <v>365449985.91593945</v>
      </c>
      <c r="G118" s="4"/>
      <c r="H118" s="4"/>
    </row>
    <row r="119" spans="5:8" x14ac:dyDescent="0.3">
      <c r="E119">
        <v>98</v>
      </c>
      <c r="F119" s="35">
        <v>348517501.37005997</v>
      </c>
      <c r="G119" s="4"/>
      <c r="H119" s="4"/>
    </row>
    <row r="120" spans="5:8" x14ac:dyDescent="0.3">
      <c r="E120">
        <v>99</v>
      </c>
      <c r="F120" s="35">
        <v>370882889.97009474</v>
      </c>
      <c r="G120" s="4"/>
      <c r="H120" s="4"/>
    </row>
    <row r="121" spans="5:8" x14ac:dyDescent="0.3">
      <c r="E121">
        <v>100</v>
      </c>
      <c r="F121" s="35">
        <v>362586407.98256278</v>
      </c>
      <c r="G121" s="4"/>
      <c r="H121" s="4"/>
    </row>
    <row r="122" spans="5:8" x14ac:dyDescent="0.3">
      <c r="E122">
        <v>101</v>
      </c>
      <c r="F122" s="35">
        <v>364714163.06816804</v>
      </c>
      <c r="G122" s="4"/>
      <c r="H122" s="4"/>
    </row>
    <row r="123" spans="5:8" x14ac:dyDescent="0.3">
      <c r="E123">
        <v>102</v>
      </c>
      <c r="F123" s="35">
        <v>380504469.68098223</v>
      </c>
      <c r="G123" s="4"/>
      <c r="H123" s="4"/>
    </row>
    <row r="124" spans="5:8" x14ac:dyDescent="0.3">
      <c r="E124">
        <v>103</v>
      </c>
      <c r="F124" s="35">
        <v>340639306.59012002</v>
      </c>
      <c r="G124" s="4"/>
      <c r="H124" s="4"/>
    </row>
    <row r="125" spans="5:8" x14ac:dyDescent="0.3">
      <c r="E125">
        <v>104</v>
      </c>
      <c r="F125" s="35">
        <v>369288327.30123723</v>
      </c>
      <c r="G125" s="4"/>
      <c r="H125" s="4"/>
    </row>
    <row r="126" spans="5:8" x14ac:dyDescent="0.3">
      <c r="E126">
        <v>105</v>
      </c>
      <c r="F126" s="35">
        <v>302434387.03956836</v>
      </c>
      <c r="G126" s="4"/>
      <c r="H126" s="4"/>
    </row>
    <row r="127" spans="5:8" x14ac:dyDescent="0.3">
      <c r="E127">
        <v>106</v>
      </c>
      <c r="F127" s="35">
        <v>334040145.55151111</v>
      </c>
      <c r="G127" s="4"/>
      <c r="H127" s="4"/>
    </row>
    <row r="128" spans="5:8" x14ac:dyDescent="0.3">
      <c r="E128">
        <v>107</v>
      </c>
      <c r="F128" s="35">
        <v>346699660.57391381</v>
      </c>
      <c r="G128" s="4"/>
      <c r="H128" s="4"/>
    </row>
    <row r="129" spans="5:8" x14ac:dyDescent="0.3">
      <c r="E129">
        <v>108</v>
      </c>
      <c r="F129" s="35">
        <v>383512979.48817122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6" t="str">
        <f>Mappings!B7</f>
        <v>Local-only</v>
      </c>
      <c r="D1" s="11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7" t="str">
        <f>MC_High_ambition!A4</f>
        <v>Random value income per cow (USD/yr)</v>
      </c>
      <c r="B4" s="21">
        <f ca="1">_xlfn.NORM.INV(RAND(),Mappings!N18,Mappings!O18)</f>
        <v>1558.2130589037827</v>
      </c>
      <c r="C4" s="21">
        <f ca="1">_xlfn.NORM.INV(RAND(),Mappings!N19,Mappings!O19)</f>
        <v>337.60441598760565</v>
      </c>
      <c r="D4" s="21">
        <f ca="1">_xlfn.NORM.INV(RAND(),Mappings!N20,Mappings!O20)</f>
        <v>1751.7703808227297</v>
      </c>
    </row>
    <row r="5" spans="1:8" x14ac:dyDescent="0.3">
      <c r="A5" s="117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7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7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7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3" customFormat="1" x14ac:dyDescent="0.3">
      <c r="A9" s="117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3" customFormat="1" x14ac:dyDescent="0.3">
      <c r="A10" s="117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210.25772840114706</v>
      </c>
      <c r="C10" s="21">
        <f ca="1">IF(C9&gt;0,_xlfn.NORM.INV(RAND(),C9,C9*[6]Dairy_Income_Roadmap!L36),_xlfn.NORM.INV(RAND(),ABS(C9),ABS(C9)*[6]Dairy_Income_Roadmap!L36))</f>
        <v>1012.0327283570175</v>
      </c>
      <c r="D10" s="21">
        <f ca="1">IF(D9&gt;0,_xlfn.NORM.INV(RAND(),D9,D9*[6]Dairy_Income_Roadmap!L38),_xlfn.NORM.INV(RAND(),ABS(D9),ABS(D9)*[6]Dairy_Income_Roadmap!L38))</f>
        <v>808.42039801981468</v>
      </c>
    </row>
    <row r="11" spans="1:8" x14ac:dyDescent="0.3">
      <c r="A11" s="117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7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7"/>
      <c r="B13" s="21"/>
    </row>
    <row r="14" spans="1:8" x14ac:dyDescent="0.3">
      <c r="A14" s="117" t="str">
        <f>MC_High_ambition!A14</f>
        <v>Dairy Income (USD/household/year)</v>
      </c>
      <c r="B14" s="21">
        <f ca="1">B4*B6</f>
        <v>1063.5382049592886</v>
      </c>
      <c r="C14" s="21">
        <f ca="1">C4*C6</f>
        <v>982.04411926448483</v>
      </c>
      <c r="D14" s="21">
        <f ca="1">D4*D6</f>
        <v>3450.9013756342388</v>
      </c>
    </row>
    <row r="15" spans="1:8" x14ac:dyDescent="0.3">
      <c r="A15" s="117" t="str">
        <f>MC_High_ambition!A15</f>
        <v>Non dairy income (USD/household/year)</v>
      </c>
      <c r="B15" s="21">
        <f ca="1">B8-IF(B9&gt;0,B8-B10,B8+B10)</f>
        <v>210.25772840114701</v>
      </c>
      <c r="C15" s="21">
        <f t="shared" ref="C15:D15" ca="1" si="0">C8-IF(C9&gt;0,C8-C10,C8+C10)</f>
        <v>1012.0327283570175</v>
      </c>
      <c r="D15" s="21">
        <f t="shared" ca="1" si="0"/>
        <v>808.42039801981468</v>
      </c>
    </row>
    <row r="16" spans="1:8" x14ac:dyDescent="0.3">
      <c r="A16" s="117" t="str">
        <f>MC_High_ambition!A16</f>
        <v>Quantity households</v>
      </c>
      <c r="B16" s="21">
        <f ca="1">_xlfn.NORM.INV(RAND(),B11,B12)</f>
        <v>10043.000307113682</v>
      </c>
      <c r="C16" s="21">
        <f ca="1">_xlfn.NORM.INV(RAND(),C11,C12)</f>
        <v>56673.686486871498</v>
      </c>
      <c r="D16" s="21">
        <f t="shared" ref="D16" ca="1" si="1">_xlfn.NORM.INV(RAND(),D11,D12)</f>
        <v>82619.924444552584</v>
      </c>
    </row>
    <row r="17" spans="1:9" x14ac:dyDescent="0.3">
      <c r="A17" s="117"/>
    </row>
    <row r="18" spans="1:9" x14ac:dyDescent="0.3">
      <c r="A18" s="117" t="str">
        <f>MC_High_ambition!A18</f>
        <v>Estimated population income (USD/yr)</v>
      </c>
      <c r="B18" s="4">
        <f ca="1">(B14+B15)*B16</f>
        <v>12792732.949939013</v>
      </c>
      <c r="C18" s="4">
        <f t="shared" ref="C18:D18" ca="1" si="2">(C14+C15)*C16</f>
        <v>113011686.09283005</v>
      </c>
      <c r="D18" s="4">
        <f t="shared" ca="1" si="2"/>
        <v>351904843.12433565</v>
      </c>
      <c r="E18" s="4"/>
      <c r="F18" s="4">
        <f ca="1">SUM(B18:D18)</f>
        <v>477709262.16710472</v>
      </c>
      <c r="G18" s="4"/>
      <c r="H18" s="47"/>
      <c r="I18" s="46"/>
    </row>
    <row r="19" spans="1:9" x14ac:dyDescent="0.3">
      <c r="A19" s="117" t="str">
        <f>MC_High_ambition!A19</f>
        <v>SE population income (USD/yr)</v>
      </c>
      <c r="B19" s="4"/>
      <c r="C19" s="4"/>
      <c r="D19" s="4"/>
      <c r="E19" s="4"/>
      <c r="F19" s="4">
        <f ca="1">STDEV(F22:F129)</f>
        <v>57229178.092804961</v>
      </c>
      <c r="G19" s="4"/>
      <c r="H19" s="47"/>
      <c r="I19" s="46"/>
    </row>
    <row r="20" spans="1:9" x14ac:dyDescent="0.3">
      <c r="A20" s="117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416078921.1997788</v>
      </c>
      <c r="G20" s="4"/>
      <c r="H20" s="131" t="s">
        <v>65</v>
      </c>
      <c r="I20" s="46">
        <f ca="1">100*F19/F20</f>
        <v>13.754404555698839</v>
      </c>
    </row>
    <row r="21" spans="1:9" x14ac:dyDescent="0.3">
      <c r="F21" s="4"/>
      <c r="G21" s="4"/>
      <c r="H21" s="131"/>
    </row>
    <row r="22" spans="1:9" x14ac:dyDescent="0.3">
      <c r="B22" s="4"/>
      <c r="E22">
        <v>1</v>
      </c>
      <c r="F22" s="35">
        <f ca="1">F18</f>
        <v>477709262.16710472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423534344.74135125</v>
      </c>
      <c r="G23" s="4"/>
      <c r="H23" s="4"/>
      <c r="I23" s="131"/>
    </row>
    <row r="24" spans="1:9" x14ac:dyDescent="0.3">
      <c r="E24">
        <v>3</v>
      </c>
      <c r="F24" s="35">
        <v>447208051.89387107</v>
      </c>
      <c r="G24" s="4"/>
      <c r="H24" s="4"/>
      <c r="I24" s="131"/>
    </row>
    <row r="25" spans="1:9" x14ac:dyDescent="0.3">
      <c r="E25">
        <v>4</v>
      </c>
      <c r="F25" s="35">
        <v>377423489.01452857</v>
      </c>
      <c r="G25" s="4"/>
      <c r="H25" s="4"/>
    </row>
    <row r="26" spans="1:9" x14ac:dyDescent="0.3">
      <c r="E26">
        <v>5</v>
      </c>
      <c r="F26" s="35">
        <v>463303597.1362071</v>
      </c>
      <c r="G26" s="4"/>
      <c r="H26" s="4"/>
    </row>
    <row r="27" spans="1:9" x14ac:dyDescent="0.3">
      <c r="E27">
        <v>6</v>
      </c>
      <c r="F27" s="35">
        <v>376784277.93802989</v>
      </c>
      <c r="G27" s="4"/>
      <c r="H27" s="4"/>
    </row>
    <row r="28" spans="1:9" x14ac:dyDescent="0.3">
      <c r="E28">
        <v>7</v>
      </c>
      <c r="F28" s="35">
        <v>395007142.89512122</v>
      </c>
      <c r="G28" s="4"/>
      <c r="H28" s="4"/>
    </row>
    <row r="29" spans="1:9" x14ac:dyDescent="0.3">
      <c r="E29">
        <v>8</v>
      </c>
      <c r="F29" s="35">
        <v>472860279.56624961</v>
      </c>
      <c r="G29" s="4"/>
      <c r="H29" s="4"/>
    </row>
    <row r="30" spans="1:9" x14ac:dyDescent="0.3">
      <c r="E30">
        <v>9</v>
      </c>
      <c r="F30" s="35">
        <v>385936133.87156063</v>
      </c>
      <c r="G30" s="4"/>
      <c r="H30" s="4"/>
    </row>
    <row r="31" spans="1:9" x14ac:dyDescent="0.3">
      <c r="E31">
        <v>10</v>
      </c>
      <c r="F31" s="35">
        <v>445961716.65086305</v>
      </c>
      <c r="G31" s="4"/>
      <c r="H31" s="4"/>
    </row>
    <row r="32" spans="1:9" x14ac:dyDescent="0.3">
      <c r="E32">
        <v>11</v>
      </c>
      <c r="F32" s="35">
        <v>368985978.45596981</v>
      </c>
      <c r="G32" s="4"/>
      <c r="H32" s="4"/>
    </row>
    <row r="33" spans="5:8" x14ac:dyDescent="0.3">
      <c r="E33">
        <v>12</v>
      </c>
      <c r="F33" s="35">
        <v>436085794.83813524</v>
      </c>
      <c r="G33" s="4"/>
      <c r="H33" s="4"/>
    </row>
    <row r="34" spans="5:8" x14ac:dyDescent="0.3">
      <c r="E34">
        <v>13</v>
      </c>
      <c r="F34" s="35">
        <v>374608388.9104386</v>
      </c>
      <c r="G34" s="4"/>
      <c r="H34" s="4"/>
    </row>
    <row r="35" spans="5:8" x14ac:dyDescent="0.3">
      <c r="E35">
        <v>14</v>
      </c>
      <c r="F35" s="35">
        <v>371759394.4038443</v>
      </c>
      <c r="G35" s="4"/>
      <c r="H35" s="4"/>
    </row>
    <row r="36" spans="5:8" x14ac:dyDescent="0.3">
      <c r="E36">
        <v>15</v>
      </c>
      <c r="F36" s="35">
        <v>378394356.67059851</v>
      </c>
      <c r="G36" s="4"/>
      <c r="H36" s="4"/>
    </row>
    <row r="37" spans="5:8" x14ac:dyDescent="0.3">
      <c r="E37">
        <v>16</v>
      </c>
      <c r="F37" s="35">
        <v>396600833.96255249</v>
      </c>
      <c r="G37" s="4"/>
      <c r="H37" s="4"/>
    </row>
    <row r="38" spans="5:8" x14ac:dyDescent="0.3">
      <c r="E38">
        <v>17</v>
      </c>
      <c r="F38" s="35">
        <v>392036991.22513676</v>
      </c>
      <c r="G38" s="4"/>
      <c r="H38" s="4"/>
    </row>
    <row r="39" spans="5:8" x14ac:dyDescent="0.3">
      <c r="E39">
        <v>18</v>
      </c>
      <c r="F39" s="35">
        <v>518120370.03596938</v>
      </c>
      <c r="G39" s="4"/>
      <c r="H39" s="4"/>
    </row>
    <row r="40" spans="5:8" x14ac:dyDescent="0.3">
      <c r="E40">
        <v>19</v>
      </c>
      <c r="F40" s="35">
        <v>461711166.10167915</v>
      </c>
      <c r="G40" s="4"/>
      <c r="H40" s="4"/>
    </row>
    <row r="41" spans="5:8" x14ac:dyDescent="0.3">
      <c r="E41">
        <v>20</v>
      </c>
      <c r="F41" s="35">
        <v>417978715.7749055</v>
      </c>
      <c r="G41" s="4"/>
      <c r="H41" s="4"/>
    </row>
    <row r="42" spans="5:8" x14ac:dyDescent="0.3">
      <c r="E42">
        <v>21</v>
      </c>
      <c r="F42" s="35">
        <v>391591837.35008389</v>
      </c>
      <c r="G42" s="4"/>
      <c r="H42" s="4"/>
    </row>
    <row r="43" spans="5:8" x14ac:dyDescent="0.3">
      <c r="E43">
        <v>22</v>
      </c>
      <c r="F43" s="35">
        <v>310412554.99331635</v>
      </c>
      <c r="G43" s="4"/>
      <c r="H43" s="4"/>
    </row>
    <row r="44" spans="5:8" x14ac:dyDescent="0.3">
      <c r="E44">
        <v>23</v>
      </c>
      <c r="F44" s="35">
        <v>483085541.29557085</v>
      </c>
      <c r="G44" s="4"/>
      <c r="H44" s="4"/>
    </row>
    <row r="45" spans="5:8" x14ac:dyDescent="0.3">
      <c r="E45">
        <v>24</v>
      </c>
      <c r="F45" s="35">
        <v>347203981.12955034</v>
      </c>
      <c r="G45" s="4"/>
      <c r="H45" s="4"/>
    </row>
    <row r="46" spans="5:8" x14ac:dyDescent="0.3">
      <c r="E46">
        <v>25</v>
      </c>
      <c r="F46" s="35">
        <v>382281007.49514389</v>
      </c>
      <c r="G46" s="4"/>
      <c r="H46" s="4"/>
    </row>
    <row r="47" spans="5:8" x14ac:dyDescent="0.3">
      <c r="E47">
        <v>26</v>
      </c>
      <c r="F47" s="35">
        <v>417927090.97706163</v>
      </c>
      <c r="G47" s="4"/>
      <c r="H47" s="4"/>
    </row>
    <row r="48" spans="5:8" x14ac:dyDescent="0.3">
      <c r="E48">
        <v>27</v>
      </c>
      <c r="F48" s="35">
        <v>434602853.79502541</v>
      </c>
      <c r="G48" s="4"/>
      <c r="H48" s="4"/>
    </row>
    <row r="49" spans="5:8" x14ac:dyDescent="0.3">
      <c r="E49">
        <v>28</v>
      </c>
      <c r="F49" s="35">
        <v>422024949.91236091</v>
      </c>
      <c r="G49" s="4"/>
      <c r="H49" s="4"/>
    </row>
    <row r="50" spans="5:8" x14ac:dyDescent="0.3">
      <c r="E50">
        <v>29</v>
      </c>
      <c r="F50" s="35">
        <v>426898208.99091512</v>
      </c>
      <c r="G50" s="4"/>
      <c r="H50" s="4"/>
    </row>
    <row r="51" spans="5:8" x14ac:dyDescent="0.3">
      <c r="E51">
        <v>30</v>
      </c>
      <c r="F51" s="35">
        <v>458562130.64812052</v>
      </c>
      <c r="G51" s="4"/>
      <c r="H51" s="4"/>
    </row>
    <row r="52" spans="5:8" x14ac:dyDescent="0.3">
      <c r="E52">
        <v>31</v>
      </c>
      <c r="F52" s="35">
        <v>465791526.94362056</v>
      </c>
      <c r="G52" s="4"/>
      <c r="H52" s="4"/>
    </row>
    <row r="53" spans="5:8" x14ac:dyDescent="0.3">
      <c r="E53">
        <v>32</v>
      </c>
      <c r="F53" s="35">
        <v>484522078.45492256</v>
      </c>
      <c r="G53" s="4"/>
      <c r="H53" s="4"/>
    </row>
    <row r="54" spans="5:8" x14ac:dyDescent="0.3">
      <c r="E54">
        <v>33</v>
      </c>
      <c r="F54" s="35">
        <v>277230190.48333502</v>
      </c>
      <c r="G54" s="4"/>
      <c r="H54" s="4"/>
    </row>
    <row r="55" spans="5:8" x14ac:dyDescent="0.3">
      <c r="E55">
        <v>34</v>
      </c>
      <c r="F55" s="35">
        <v>418241302.85060793</v>
      </c>
      <c r="G55" s="4"/>
      <c r="H55" s="4"/>
    </row>
    <row r="56" spans="5:8" x14ac:dyDescent="0.3">
      <c r="E56">
        <v>35</v>
      </c>
      <c r="F56" s="35">
        <v>405245738.85105366</v>
      </c>
      <c r="G56" s="4"/>
      <c r="H56" s="4"/>
    </row>
    <row r="57" spans="5:8" x14ac:dyDescent="0.3">
      <c r="E57">
        <v>36</v>
      </c>
      <c r="F57" s="35">
        <v>388029804.55080926</v>
      </c>
      <c r="G57" s="4"/>
      <c r="H57" s="4"/>
    </row>
    <row r="58" spans="5:8" x14ac:dyDescent="0.3">
      <c r="E58">
        <v>37</v>
      </c>
      <c r="F58" s="35">
        <v>553256071.77346635</v>
      </c>
      <c r="G58" s="4"/>
      <c r="H58" s="4"/>
    </row>
    <row r="59" spans="5:8" x14ac:dyDescent="0.3">
      <c r="E59">
        <v>38</v>
      </c>
      <c r="F59" s="35">
        <v>341639093.14469498</v>
      </c>
      <c r="G59" s="4"/>
      <c r="H59" s="4"/>
    </row>
    <row r="60" spans="5:8" x14ac:dyDescent="0.3">
      <c r="E60">
        <v>39</v>
      </c>
      <c r="F60" s="35">
        <v>359371821.00733143</v>
      </c>
      <c r="G60" s="4"/>
      <c r="H60" s="4"/>
    </row>
    <row r="61" spans="5:8" x14ac:dyDescent="0.3">
      <c r="E61">
        <v>40</v>
      </c>
      <c r="F61" s="35">
        <v>464563122.19447929</v>
      </c>
      <c r="G61" s="4"/>
      <c r="H61" s="4"/>
    </row>
    <row r="62" spans="5:8" x14ac:dyDescent="0.3">
      <c r="E62">
        <v>41</v>
      </c>
      <c r="F62" s="35">
        <v>281629474.20030308</v>
      </c>
      <c r="G62" s="4"/>
      <c r="H62" s="4"/>
    </row>
    <row r="63" spans="5:8" x14ac:dyDescent="0.3">
      <c r="E63">
        <v>42</v>
      </c>
      <c r="F63" s="35">
        <v>345987522.1129998</v>
      </c>
      <c r="G63" s="4"/>
      <c r="H63" s="4"/>
    </row>
    <row r="64" spans="5:8" x14ac:dyDescent="0.3">
      <c r="E64">
        <v>43</v>
      </c>
      <c r="F64" s="35">
        <v>318465522.32692474</v>
      </c>
      <c r="G64" s="4"/>
      <c r="H64" s="4"/>
    </row>
    <row r="65" spans="5:8" x14ac:dyDescent="0.3">
      <c r="E65">
        <v>44</v>
      </c>
      <c r="F65" s="35">
        <v>505860131.24698663</v>
      </c>
      <c r="G65" s="4"/>
      <c r="H65" s="4"/>
    </row>
    <row r="66" spans="5:8" x14ac:dyDescent="0.3">
      <c r="E66">
        <v>45</v>
      </c>
      <c r="F66" s="35">
        <v>439051855.84935158</v>
      </c>
      <c r="G66" s="4"/>
      <c r="H66" s="4"/>
    </row>
    <row r="67" spans="5:8" x14ac:dyDescent="0.3">
      <c r="E67">
        <v>46</v>
      </c>
      <c r="F67" s="35">
        <v>405676069.10972196</v>
      </c>
      <c r="G67" s="4"/>
      <c r="H67" s="4"/>
    </row>
    <row r="68" spans="5:8" x14ac:dyDescent="0.3">
      <c r="E68">
        <v>47</v>
      </c>
      <c r="F68" s="35">
        <v>375305524.47568744</v>
      </c>
      <c r="G68" s="4"/>
      <c r="H68" s="4"/>
    </row>
    <row r="69" spans="5:8" x14ac:dyDescent="0.3">
      <c r="E69">
        <v>48</v>
      </c>
      <c r="F69" s="35">
        <v>365928733.78720313</v>
      </c>
      <c r="G69" s="4"/>
      <c r="H69" s="4"/>
    </row>
    <row r="70" spans="5:8" x14ac:dyDescent="0.3">
      <c r="E70">
        <v>49</v>
      </c>
      <c r="F70" s="35">
        <v>415569852.11294907</v>
      </c>
      <c r="G70" s="4"/>
      <c r="H70" s="4"/>
    </row>
    <row r="71" spans="5:8" x14ac:dyDescent="0.3">
      <c r="E71">
        <v>50</v>
      </c>
      <c r="F71" s="35">
        <v>379854933.94717896</v>
      </c>
      <c r="G71" s="4"/>
      <c r="H71" s="4"/>
    </row>
    <row r="72" spans="5:8" x14ac:dyDescent="0.3">
      <c r="E72">
        <v>51</v>
      </c>
      <c r="F72" s="35">
        <v>379978640.79623973</v>
      </c>
      <c r="G72" s="4"/>
      <c r="H72" s="4"/>
    </row>
    <row r="73" spans="5:8" x14ac:dyDescent="0.3">
      <c r="E73">
        <v>52</v>
      </c>
      <c r="F73" s="35">
        <v>455051301.04953098</v>
      </c>
      <c r="G73" s="4"/>
      <c r="H73" s="4"/>
    </row>
    <row r="74" spans="5:8" x14ac:dyDescent="0.3">
      <c r="E74">
        <v>53</v>
      </c>
      <c r="F74" s="35">
        <v>378520980.68657863</v>
      </c>
      <c r="G74" s="4"/>
      <c r="H74" s="4"/>
    </row>
    <row r="75" spans="5:8" x14ac:dyDescent="0.3">
      <c r="E75">
        <v>54</v>
      </c>
      <c r="F75" s="35">
        <v>437721884.76599336</v>
      </c>
      <c r="G75" s="4"/>
      <c r="H75" s="4"/>
    </row>
    <row r="76" spans="5:8" x14ac:dyDescent="0.3">
      <c r="E76">
        <v>55</v>
      </c>
      <c r="F76" s="35">
        <v>377597657.68546057</v>
      </c>
      <c r="G76" s="4"/>
      <c r="H76" s="4"/>
    </row>
    <row r="77" spans="5:8" x14ac:dyDescent="0.3">
      <c r="E77">
        <v>56</v>
      </c>
      <c r="F77" s="35">
        <v>400845602.87008321</v>
      </c>
      <c r="G77" s="4"/>
      <c r="H77" s="4"/>
    </row>
    <row r="78" spans="5:8" x14ac:dyDescent="0.3">
      <c r="E78">
        <v>57</v>
      </c>
      <c r="F78" s="35">
        <v>471217830.4244352</v>
      </c>
      <c r="G78" s="4"/>
      <c r="H78" s="4"/>
    </row>
    <row r="79" spans="5:8" x14ac:dyDescent="0.3">
      <c r="E79">
        <v>58</v>
      </c>
      <c r="F79" s="35">
        <v>477151849.85770738</v>
      </c>
      <c r="G79" s="4"/>
      <c r="H79" s="4"/>
    </row>
    <row r="80" spans="5:8" x14ac:dyDescent="0.3">
      <c r="E80">
        <v>59</v>
      </c>
      <c r="F80" s="35">
        <v>414750710.13897514</v>
      </c>
      <c r="G80" s="4"/>
      <c r="H80" s="4"/>
    </row>
    <row r="81" spans="5:8" x14ac:dyDescent="0.3">
      <c r="E81">
        <v>60</v>
      </c>
      <c r="F81" s="35">
        <v>422546799.76915967</v>
      </c>
      <c r="G81" s="4"/>
      <c r="H81" s="4"/>
    </row>
    <row r="82" spans="5:8" x14ac:dyDescent="0.3">
      <c r="E82">
        <v>61</v>
      </c>
      <c r="F82" s="35">
        <v>404101129.2750079</v>
      </c>
      <c r="G82" s="4"/>
      <c r="H82" s="4"/>
    </row>
    <row r="83" spans="5:8" x14ac:dyDescent="0.3">
      <c r="E83">
        <v>62</v>
      </c>
      <c r="F83" s="35">
        <v>398996477.20194525</v>
      </c>
      <c r="G83" s="4"/>
      <c r="H83" s="4"/>
    </row>
    <row r="84" spans="5:8" x14ac:dyDescent="0.3">
      <c r="E84">
        <v>63</v>
      </c>
      <c r="F84" s="35">
        <v>351761779.97001743</v>
      </c>
      <c r="G84" s="4"/>
      <c r="H84" s="4"/>
    </row>
    <row r="85" spans="5:8" x14ac:dyDescent="0.3">
      <c r="E85">
        <v>64</v>
      </c>
      <c r="F85" s="35">
        <v>414632016.87771326</v>
      </c>
      <c r="G85" s="4"/>
      <c r="H85" s="4"/>
    </row>
    <row r="86" spans="5:8" x14ac:dyDescent="0.3">
      <c r="E86">
        <v>65</v>
      </c>
      <c r="F86" s="35">
        <v>416172280.96576053</v>
      </c>
      <c r="G86" s="4"/>
      <c r="H86" s="4"/>
    </row>
    <row r="87" spans="5:8" x14ac:dyDescent="0.3">
      <c r="E87">
        <v>66</v>
      </c>
      <c r="F87" s="35">
        <v>327861756.46230185</v>
      </c>
      <c r="G87" s="4"/>
      <c r="H87" s="4"/>
    </row>
    <row r="88" spans="5:8" x14ac:dyDescent="0.3">
      <c r="E88">
        <v>67</v>
      </c>
      <c r="F88" s="35">
        <v>325569161.51256108</v>
      </c>
      <c r="G88" s="4"/>
      <c r="H88" s="4"/>
    </row>
    <row r="89" spans="5:8" x14ac:dyDescent="0.3">
      <c r="E89">
        <v>68</v>
      </c>
      <c r="F89" s="35">
        <v>494978580.9012028</v>
      </c>
      <c r="G89" s="4"/>
      <c r="H89" s="4"/>
    </row>
    <row r="90" spans="5:8" x14ac:dyDescent="0.3">
      <c r="E90">
        <v>69</v>
      </c>
      <c r="F90" s="35">
        <v>384125069.92134786</v>
      </c>
      <c r="G90" s="4"/>
      <c r="H90" s="4"/>
    </row>
    <row r="91" spans="5:8" x14ac:dyDescent="0.3">
      <c r="E91">
        <v>70</v>
      </c>
      <c r="F91" s="35">
        <v>448707263.80282879</v>
      </c>
      <c r="G91" s="4"/>
      <c r="H91" s="4"/>
    </row>
    <row r="92" spans="5:8" x14ac:dyDescent="0.3">
      <c r="E92">
        <v>71</v>
      </c>
      <c r="F92" s="35">
        <v>356948297.51775342</v>
      </c>
      <c r="G92" s="4"/>
      <c r="H92" s="4"/>
    </row>
    <row r="93" spans="5:8" x14ac:dyDescent="0.3">
      <c r="E93">
        <v>72</v>
      </c>
      <c r="F93" s="35">
        <v>406884392.49397051</v>
      </c>
      <c r="G93" s="4"/>
      <c r="H93" s="4"/>
    </row>
    <row r="94" spans="5:8" x14ac:dyDescent="0.3">
      <c r="E94">
        <v>73</v>
      </c>
      <c r="F94" s="35">
        <v>445411485.65101963</v>
      </c>
      <c r="G94" s="4"/>
      <c r="H94" s="4"/>
    </row>
    <row r="95" spans="5:8" x14ac:dyDescent="0.3">
      <c r="E95">
        <v>74</v>
      </c>
      <c r="F95" s="35">
        <v>483225335.36397731</v>
      </c>
      <c r="G95" s="4"/>
      <c r="H95" s="4"/>
    </row>
    <row r="96" spans="5:8" x14ac:dyDescent="0.3">
      <c r="E96">
        <v>75</v>
      </c>
      <c r="F96" s="35">
        <v>341125101.84459186</v>
      </c>
      <c r="G96" s="4"/>
      <c r="H96" s="4"/>
    </row>
    <row r="97" spans="5:8" x14ac:dyDescent="0.3">
      <c r="E97">
        <v>76</v>
      </c>
      <c r="F97" s="35">
        <v>437963083.68795657</v>
      </c>
      <c r="G97" s="4"/>
      <c r="H97" s="4"/>
    </row>
    <row r="98" spans="5:8" x14ac:dyDescent="0.3">
      <c r="E98">
        <v>77</v>
      </c>
      <c r="F98" s="35">
        <v>512253896.41816568</v>
      </c>
      <c r="G98" s="4"/>
      <c r="H98" s="4"/>
    </row>
    <row r="99" spans="5:8" x14ac:dyDescent="0.3">
      <c r="E99">
        <v>78</v>
      </c>
      <c r="F99" s="35">
        <v>322007774.27102441</v>
      </c>
      <c r="G99" s="4"/>
      <c r="H99" s="4"/>
    </row>
    <row r="100" spans="5:8" x14ac:dyDescent="0.3">
      <c r="E100">
        <v>79</v>
      </c>
      <c r="F100" s="35">
        <v>412868589.25491726</v>
      </c>
      <c r="G100" s="4"/>
      <c r="H100" s="4"/>
    </row>
    <row r="101" spans="5:8" x14ac:dyDescent="0.3">
      <c r="E101">
        <v>80</v>
      </c>
      <c r="F101" s="35">
        <v>455878354.24796057</v>
      </c>
      <c r="G101" s="4"/>
      <c r="H101" s="4"/>
    </row>
    <row r="102" spans="5:8" x14ac:dyDescent="0.3">
      <c r="E102">
        <v>81</v>
      </c>
      <c r="F102" s="35">
        <v>367293265.59209543</v>
      </c>
      <c r="G102" s="4"/>
      <c r="H102" s="4"/>
    </row>
    <row r="103" spans="5:8" x14ac:dyDescent="0.3">
      <c r="E103">
        <v>82</v>
      </c>
      <c r="F103" s="35">
        <v>404026092.77464759</v>
      </c>
      <c r="G103" s="4"/>
      <c r="H103" s="4"/>
    </row>
    <row r="104" spans="5:8" x14ac:dyDescent="0.3">
      <c r="E104">
        <v>83</v>
      </c>
      <c r="F104" s="35">
        <v>443404977.48205501</v>
      </c>
      <c r="G104" s="4"/>
      <c r="H104" s="4"/>
    </row>
    <row r="105" spans="5:8" x14ac:dyDescent="0.3">
      <c r="E105">
        <v>84</v>
      </c>
      <c r="F105" s="35">
        <v>498349719.14829814</v>
      </c>
      <c r="G105" s="4"/>
      <c r="H105" s="4"/>
    </row>
    <row r="106" spans="5:8" x14ac:dyDescent="0.3">
      <c r="E106">
        <v>85</v>
      </c>
      <c r="F106" s="35">
        <v>459165599.34423399</v>
      </c>
      <c r="G106" s="4"/>
      <c r="H106" s="4"/>
    </row>
    <row r="107" spans="5:8" x14ac:dyDescent="0.3">
      <c r="E107">
        <v>86</v>
      </c>
      <c r="F107" s="35">
        <v>460406895.78073788</v>
      </c>
      <c r="G107" s="4"/>
      <c r="H107" s="4"/>
    </row>
    <row r="108" spans="5:8" x14ac:dyDescent="0.3">
      <c r="E108">
        <v>87</v>
      </c>
      <c r="F108" s="35">
        <v>417571967.51116025</v>
      </c>
      <c r="G108" s="4"/>
      <c r="H108" s="4"/>
    </row>
    <row r="109" spans="5:8" x14ac:dyDescent="0.3">
      <c r="E109">
        <v>88</v>
      </c>
      <c r="F109" s="35">
        <v>453761472.66085434</v>
      </c>
      <c r="G109" s="4"/>
      <c r="H109" s="4"/>
    </row>
    <row r="110" spans="5:8" x14ac:dyDescent="0.3">
      <c r="E110">
        <v>89</v>
      </c>
      <c r="F110" s="35">
        <v>459033310.33913314</v>
      </c>
      <c r="G110" s="4"/>
      <c r="H110" s="4"/>
    </row>
    <row r="111" spans="5:8" x14ac:dyDescent="0.3">
      <c r="E111">
        <v>90</v>
      </c>
      <c r="F111" s="35">
        <v>482673427.91417724</v>
      </c>
      <c r="G111" s="4"/>
      <c r="H111" s="4"/>
    </row>
    <row r="112" spans="5:8" x14ac:dyDescent="0.3">
      <c r="E112">
        <v>91</v>
      </c>
      <c r="F112" s="35">
        <v>438986665.95270801</v>
      </c>
      <c r="G112" s="4"/>
      <c r="H112" s="4"/>
    </row>
    <row r="113" spans="5:8" x14ac:dyDescent="0.3">
      <c r="E113">
        <v>92</v>
      </c>
      <c r="F113" s="35">
        <v>422046668.85588092</v>
      </c>
      <c r="G113" s="4"/>
      <c r="H113" s="4"/>
    </row>
    <row r="114" spans="5:8" x14ac:dyDescent="0.3">
      <c r="E114">
        <v>93</v>
      </c>
      <c r="F114" s="35">
        <v>277776618.3246786</v>
      </c>
      <c r="G114" s="4"/>
      <c r="H114" s="4"/>
    </row>
    <row r="115" spans="5:8" x14ac:dyDescent="0.3">
      <c r="E115">
        <v>94</v>
      </c>
      <c r="F115" s="35">
        <v>412284448.28280199</v>
      </c>
      <c r="G115" s="4"/>
      <c r="H115" s="4"/>
    </row>
    <row r="116" spans="5:8" x14ac:dyDescent="0.3">
      <c r="E116">
        <v>95</v>
      </c>
      <c r="F116" s="35">
        <v>367802520.76913524</v>
      </c>
      <c r="G116" s="4"/>
      <c r="H116" s="4"/>
    </row>
    <row r="117" spans="5:8" x14ac:dyDescent="0.3">
      <c r="E117">
        <v>96</v>
      </c>
      <c r="F117" s="35">
        <v>506705516.44771111</v>
      </c>
      <c r="G117" s="4"/>
      <c r="H117" s="4"/>
    </row>
    <row r="118" spans="5:8" x14ac:dyDescent="0.3">
      <c r="E118">
        <v>97</v>
      </c>
      <c r="F118" s="35">
        <v>557130945.65994906</v>
      </c>
      <c r="G118" s="4"/>
      <c r="H118" s="4"/>
    </row>
    <row r="119" spans="5:8" x14ac:dyDescent="0.3">
      <c r="E119">
        <v>98</v>
      </c>
      <c r="F119" s="35">
        <v>327753713.41167688</v>
      </c>
      <c r="G119" s="4"/>
      <c r="H119" s="4"/>
    </row>
    <row r="120" spans="5:8" x14ac:dyDescent="0.3">
      <c r="E120">
        <v>99</v>
      </c>
      <c r="F120" s="35">
        <v>490378565.76049447</v>
      </c>
      <c r="G120" s="4"/>
      <c r="H120" s="4"/>
    </row>
    <row r="121" spans="5:8" x14ac:dyDescent="0.3">
      <c r="E121">
        <v>100</v>
      </c>
      <c r="F121" s="35">
        <v>475504225.08680332</v>
      </c>
      <c r="G121" s="4"/>
      <c r="H121" s="4"/>
    </row>
    <row r="122" spans="5:8" x14ac:dyDescent="0.3">
      <c r="E122">
        <v>101</v>
      </c>
      <c r="F122" s="35">
        <v>375529403.21405381</v>
      </c>
      <c r="G122" s="4"/>
      <c r="H122" s="4"/>
    </row>
    <row r="123" spans="5:8" x14ac:dyDescent="0.3">
      <c r="E123">
        <v>102</v>
      </c>
      <c r="F123" s="35">
        <v>409844135.08113575</v>
      </c>
      <c r="G123" s="4"/>
      <c r="H123" s="4"/>
    </row>
    <row r="124" spans="5:8" x14ac:dyDescent="0.3">
      <c r="E124">
        <v>103</v>
      </c>
      <c r="F124" s="35">
        <v>427820351.73224455</v>
      </c>
      <c r="G124" s="4"/>
      <c r="H124" s="4"/>
    </row>
    <row r="125" spans="5:8" x14ac:dyDescent="0.3">
      <c r="E125">
        <v>104</v>
      </c>
      <c r="F125" s="35">
        <v>415211499.19103491</v>
      </c>
      <c r="G125" s="4"/>
      <c r="H125" s="4"/>
    </row>
    <row r="126" spans="5:8" x14ac:dyDescent="0.3">
      <c r="E126">
        <v>105</v>
      </c>
      <c r="F126" s="35">
        <v>473983600.91087502</v>
      </c>
      <c r="G126" s="4"/>
      <c r="H126" s="4"/>
    </row>
    <row r="127" spans="5:8" x14ac:dyDescent="0.3">
      <c r="E127">
        <v>106</v>
      </c>
      <c r="F127" s="35">
        <v>497217374.12418401</v>
      </c>
      <c r="G127" s="4"/>
      <c r="H127" s="4"/>
    </row>
    <row r="128" spans="5:8" x14ac:dyDescent="0.3">
      <c r="E128">
        <v>107</v>
      </c>
      <c r="F128" s="35">
        <v>342237975.32665843</v>
      </c>
      <c r="G128" s="4"/>
      <c r="H128" s="4"/>
    </row>
    <row r="129" spans="5:8" x14ac:dyDescent="0.3">
      <c r="E129">
        <v>108</v>
      </c>
      <c r="F129" s="35">
        <v>467946634.94562769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2022-04-08T09:31:45Z</dcterms:modified>
</cp:coreProperties>
</file>