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6A579E64-CF94-4776-A861-16EC7ABFBBD5}" xr6:coauthVersionLast="47" xr6:coauthVersionMax="47" xr10:uidLastSave="{00000000-0000-0000-0000-000000000000}"/>
  <bookViews>
    <workbookView xWindow="-108" yWindow="-108" windowWidth="23256" windowHeight="12456" firstSheet="2" activeTab="2" xr2:uid="{64B7B528-6AFC-453E-A699-FBF307BA8192}"/>
  </bookViews>
  <sheets>
    <sheet name="Dairy_Income_Roadmap" sheetId="29" r:id="rId1"/>
    <sheet name="Dairy_Income_Baseline" sheetId="28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21" l="1"/>
  <c r="A19" i="21"/>
  <c r="A20" i="21"/>
  <c r="A18" i="19"/>
  <c r="A19" i="19"/>
  <c r="A20" i="19"/>
  <c r="A18" i="18"/>
  <c r="A19" i="18"/>
  <c r="A20" i="18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9" i="20"/>
  <c r="A20" i="20"/>
  <c r="A3" i="20"/>
  <c r="E1" i="25"/>
  <c r="F1" i="21"/>
  <c r="F1" i="19"/>
  <c r="F1" i="18"/>
  <c r="B1" i="18"/>
  <c r="D1" i="21" l="1"/>
  <c r="C1" i="21"/>
  <c r="B1" i="21"/>
  <c r="D1" i="19"/>
  <c r="C1" i="19"/>
  <c r="B1" i="19"/>
  <c r="D1" i="18"/>
  <c r="C1" i="18"/>
  <c r="D1" i="20"/>
  <c r="C1" i="20"/>
  <c r="B1" i="20"/>
  <c r="B11" i="1"/>
  <c r="B12" i="1"/>
  <c r="B16" i="1" s="1"/>
  <c r="B20" i="1" s="1"/>
  <c r="B15" i="1"/>
  <c r="B19" i="1" s="1"/>
  <c r="B10" i="1"/>
  <c r="B14" i="1" s="1"/>
  <c r="B18" i="1" s="1"/>
  <c r="C26" i="1" l="1"/>
  <c r="K8" i="1"/>
  <c r="C29" i="1"/>
  <c r="C22" i="29" l="1"/>
  <c r="C30" i="1" l="1"/>
  <c r="C33" i="1" s="1"/>
  <c r="C24" i="1" l="1"/>
  <c r="C23" i="1"/>
  <c r="C28" i="1" l="1"/>
  <c r="C32" i="1"/>
  <c r="C25" i="1"/>
  <c r="C31" i="1" l="1"/>
  <c r="A10" i="21"/>
  <c r="A9" i="21"/>
  <c r="A10" i="19"/>
  <c r="A9" i="19"/>
  <c r="A10" i="18"/>
  <c r="A9" i="18"/>
  <c r="C5" i="28" l="1"/>
  <c r="E5" i="29" s="1"/>
  <c r="A5" i="28"/>
  <c r="D5" i="28"/>
  <c r="C5" i="29" s="1"/>
  <c r="G5" i="29" l="1"/>
  <c r="C27" i="1" l="1"/>
  <c r="L15" i="28" l="1"/>
  <c r="L14" i="29" s="1"/>
  <c r="C16" i="29" s="1"/>
  <c r="L39" i="28"/>
  <c r="L37" i="28"/>
  <c r="O3" i="1"/>
  <c r="V3" i="1"/>
  <c r="W3" i="1"/>
  <c r="L17" i="29"/>
  <c r="L36" i="29" l="1"/>
  <c r="L38" i="29"/>
  <c r="G20" i="29" s="1"/>
  <c r="L31" i="29"/>
  <c r="L32" i="28" s="1"/>
  <c r="L30" i="29"/>
  <c r="L18" i="28"/>
  <c r="V4" i="1"/>
  <c r="C9" i="29" l="1"/>
  <c r="E9" i="29"/>
  <c r="G9" i="29"/>
  <c r="B20" i="28"/>
  <c r="D3" i="28"/>
  <c r="D20" i="28"/>
  <c r="L31" i="28"/>
  <c r="E20" i="29"/>
  <c r="C20" i="29"/>
  <c r="L38" i="28"/>
  <c r="L37" i="29" s="1"/>
  <c r="L40" i="28"/>
  <c r="L39" i="29" s="1"/>
  <c r="O4" i="1"/>
  <c r="D12" i="28"/>
  <c r="L15" i="29"/>
  <c r="L28" i="29"/>
  <c r="L27" i="29"/>
  <c r="L24" i="29"/>
  <c r="L20" i="29"/>
  <c r="D9" i="28" l="1"/>
  <c r="C9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K40" i="28"/>
  <c r="K39" i="28"/>
  <c r="K38" i="28"/>
  <c r="K37" i="28"/>
  <c r="L35" i="28"/>
  <c r="K35" i="28"/>
  <c r="L34" i="28"/>
  <c r="K34" i="28"/>
  <c r="K32" i="28"/>
  <c r="K31" i="28"/>
  <c r="L29" i="28"/>
  <c r="K29" i="28"/>
  <c r="L28" i="28"/>
  <c r="K28" i="28"/>
  <c r="L26" i="28"/>
  <c r="K26" i="28"/>
  <c r="K24" i="28"/>
  <c r="K21" i="28"/>
  <c r="K18" i="28"/>
  <c r="K16" i="28"/>
  <c r="K15" i="28"/>
  <c r="H3" i="1" l="1"/>
  <c r="H6" i="1" s="1"/>
  <c r="H10" i="1" s="1"/>
  <c r="H14" i="1" s="1"/>
  <c r="H18" i="1" s="1"/>
  <c r="H4" i="1"/>
  <c r="H8" i="1" s="1"/>
  <c r="H12" i="1" s="1"/>
  <c r="H16" i="1" s="1"/>
  <c r="H20" i="1" s="1"/>
  <c r="H13" i="1"/>
  <c r="H17" i="1" l="1"/>
  <c r="H7" i="1"/>
  <c r="H11" i="1" s="1"/>
  <c r="H15" i="1" s="1"/>
  <c r="H19" i="1" s="1"/>
  <c r="C7" i="25" l="1"/>
  <c r="C8" i="25" s="1"/>
  <c r="B7" i="25" l="1"/>
  <c r="B8" i="25" s="1"/>
  <c r="A16" i="2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4" i="18"/>
  <c r="A15" i="18"/>
  <c r="A16" i="18"/>
  <c r="A4" i="18"/>
  <c r="A5" i="18"/>
  <c r="A6" i="18"/>
  <c r="A7" i="18"/>
  <c r="A8" i="18"/>
  <c r="A11" i="18"/>
  <c r="A12" i="18"/>
  <c r="A3" i="18"/>
  <c r="F4" i="1" l="1"/>
  <c r="F3" i="1"/>
  <c r="N35" i="1"/>
  <c r="K20" i="1" l="1"/>
  <c r="K18" i="1"/>
  <c r="K6" i="1" l="1"/>
  <c r="K14" i="1" l="1"/>
  <c r="K10" i="1"/>
  <c r="K12" i="1" l="1"/>
  <c r="K16" i="1"/>
  <c r="L16" i="28" l="1"/>
  <c r="W4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4" i="1"/>
  <c r="I6" i="1" s="1"/>
  <c r="I10" i="1" s="1"/>
  <c r="I3" i="1"/>
  <c r="T3" i="1" s="1"/>
  <c r="E4" i="1"/>
  <c r="E3" i="1"/>
  <c r="E7" i="1" l="1"/>
  <c r="B5" i="25"/>
  <c r="I15" i="1"/>
  <c r="I7" i="1"/>
  <c r="C5" i="25"/>
  <c r="I8" i="1"/>
  <c r="E6" i="1"/>
  <c r="E8" i="1"/>
  <c r="C6" i="25" l="1"/>
  <c r="B6" i="25"/>
  <c r="E12" i="1"/>
  <c r="E16" i="1" s="1"/>
  <c r="E20" i="1" s="1"/>
  <c r="E10" i="1"/>
  <c r="E11" i="1"/>
  <c r="I11" i="1"/>
  <c r="I19" i="1"/>
  <c r="I12" i="1"/>
  <c r="E15" i="1" l="1"/>
  <c r="E14" i="1"/>
  <c r="I16" i="1"/>
  <c r="I14" i="1"/>
  <c r="E18" i="1" l="1"/>
  <c r="E19" i="1"/>
  <c r="I18" i="1"/>
  <c r="I20" i="1"/>
  <c r="L21" i="28" l="1"/>
  <c r="C12" i="29" l="1"/>
  <c r="G12" i="29"/>
  <c r="D10" i="28"/>
  <c r="E42" i="28"/>
  <c r="D13" i="28"/>
  <c r="E43" i="28" s="1"/>
  <c r="G39" i="29" s="1"/>
  <c r="C13" i="28"/>
  <c r="C43" i="28" s="1"/>
  <c r="E39" i="29" s="1"/>
  <c r="E40" i="28"/>
  <c r="C40" i="28"/>
  <c r="E36" i="29" s="1"/>
  <c r="D11" i="28"/>
  <c r="C11" i="28"/>
  <c r="E39" i="28"/>
  <c r="G35" i="29" s="1"/>
  <c r="C10" i="28"/>
  <c r="E41" i="28"/>
  <c r="C37" i="28"/>
  <c r="E33" i="29" s="1"/>
  <c r="C41" i="28"/>
  <c r="E37" i="29" s="1"/>
  <c r="E37" i="28"/>
  <c r="C12" i="28"/>
  <c r="C39" i="28"/>
  <c r="C42" i="28"/>
  <c r="E38" i="29" s="1"/>
  <c r="G11" i="29"/>
  <c r="C11" i="29"/>
  <c r="C10" i="29"/>
  <c r="G10" i="29"/>
  <c r="E12" i="29"/>
  <c r="E11" i="29"/>
  <c r="E10" i="29"/>
  <c r="C15" i="28" l="1"/>
  <c r="E35" i="29"/>
  <c r="C35" i="29"/>
  <c r="D15" i="28"/>
  <c r="C52" i="28"/>
  <c r="E47" i="29"/>
  <c r="E52" i="28"/>
  <c r="C53" i="28"/>
  <c r="E48" i="29"/>
  <c r="C33" i="29"/>
  <c r="G33" i="29"/>
  <c r="C36" i="29"/>
  <c r="C46" i="29" s="1"/>
  <c r="G36" i="29"/>
  <c r="G46" i="29" s="1"/>
  <c r="E46" i="29"/>
  <c r="C50" i="28"/>
  <c r="E50" i="28"/>
  <c r="E53" i="28"/>
  <c r="G38" i="29"/>
  <c r="G48" i="29" s="1"/>
  <c r="C38" i="29"/>
  <c r="C48" i="29" s="1"/>
  <c r="G37" i="29"/>
  <c r="G47" i="29" s="1"/>
  <c r="C37" i="29"/>
  <c r="C47" i="29" s="1"/>
  <c r="C51" i="28"/>
  <c r="E51" i="28"/>
  <c r="C39" i="29"/>
  <c r="E56" i="28" l="1"/>
  <c r="C56" i="28"/>
  <c r="L24" i="28" l="1"/>
  <c r="N21" i="1" l="1"/>
  <c r="T4" i="1" l="1"/>
  <c r="C3" i="28" l="1"/>
  <c r="C47" i="28" s="1"/>
  <c r="E3" i="29" l="1"/>
  <c r="G3" i="29"/>
  <c r="C3" i="29" l="1"/>
  <c r="C42" i="29" s="1"/>
  <c r="G42" i="29"/>
  <c r="E47" i="28"/>
  <c r="E42" i="29"/>
  <c r="C14" i="29" l="1"/>
  <c r="C45" i="29"/>
  <c r="C51" i="29" s="1"/>
  <c r="E14" i="29"/>
  <c r="E45" i="29"/>
  <c r="E51" i="29" s="1"/>
  <c r="G14" i="29" l="1"/>
  <c r="G45" i="29"/>
  <c r="G51" i="29" s="1"/>
  <c r="G22" i="29" l="1"/>
  <c r="E22" i="29"/>
  <c r="B23" i="28" l="1"/>
  <c r="B24" i="28" s="1"/>
  <c r="D23" i="28"/>
  <c r="D24" i="28" s="1"/>
  <c r="C21" i="29" l="1"/>
  <c r="E21" i="29"/>
  <c r="G21" i="29"/>
  <c r="C24" i="29" l="1"/>
  <c r="C25" i="29" s="1"/>
  <c r="D21" i="28"/>
  <c r="D22" i="28" s="1"/>
  <c r="B21" i="28"/>
  <c r="B22" i="28" s="1"/>
  <c r="C23" i="29"/>
  <c r="E24" i="29"/>
  <c r="E25" i="29" s="1"/>
  <c r="E23" i="29"/>
  <c r="G24" i="29"/>
  <c r="G25" i="29" s="1"/>
  <c r="G23" i="29"/>
  <c r="B26" i="28" l="1"/>
  <c r="B27" i="28" s="1"/>
  <c r="B25" i="28"/>
  <c r="D26" i="28"/>
  <c r="D27" i="28" s="1"/>
  <c r="D25" i="28"/>
  <c r="L4" i="1" l="1"/>
  <c r="D4" i="1" s="1"/>
  <c r="L3" i="1"/>
  <c r="D3" i="1" s="1"/>
  <c r="M3" i="1" l="1"/>
  <c r="C3" i="1"/>
  <c r="D6" i="1"/>
  <c r="D11" i="1"/>
  <c r="D15" i="1"/>
  <c r="B11" i="25"/>
  <c r="D14" i="1"/>
  <c r="J3" i="1"/>
  <c r="D18" i="1"/>
  <c r="D19" i="1"/>
  <c r="D10" i="1"/>
  <c r="D8" i="1"/>
  <c r="C11" i="25"/>
  <c r="J4" i="1"/>
  <c r="M4" i="1"/>
  <c r="D7" i="1" l="1"/>
  <c r="C11" i="19"/>
  <c r="C11" i="18"/>
  <c r="C4" i="1"/>
  <c r="Z4" i="1" s="1"/>
  <c r="Z3" i="1"/>
  <c r="G3" i="1"/>
  <c r="B11" i="19"/>
  <c r="D11" i="20"/>
  <c r="D12" i="1"/>
  <c r="B11" i="20"/>
  <c r="B11" i="18"/>
  <c r="G4" i="1"/>
  <c r="C11" i="21"/>
  <c r="B11" i="21"/>
  <c r="C7" i="1" l="1"/>
  <c r="C11" i="20"/>
  <c r="C8" i="1"/>
  <c r="C6" i="1"/>
  <c r="C10" i="1"/>
  <c r="P3" i="1"/>
  <c r="P4" i="1"/>
  <c r="Z7" i="1"/>
  <c r="B12" i="25"/>
  <c r="B16" i="25" s="1"/>
  <c r="Z6" i="1"/>
  <c r="Z11" i="1"/>
  <c r="C11" i="1"/>
  <c r="Z8" i="1"/>
  <c r="C12" i="25"/>
  <c r="C16" i="25" s="1"/>
  <c r="D16" i="1"/>
  <c r="C12" i="1"/>
  <c r="D11" i="18"/>
  <c r="C4" i="28"/>
  <c r="C6" i="28" s="1"/>
  <c r="D4" i="28"/>
  <c r="M6" i="1"/>
  <c r="J6" i="1" s="1"/>
  <c r="M8" i="1"/>
  <c r="J8" i="1" s="1"/>
  <c r="M7" i="1"/>
  <c r="J7" i="1" s="1"/>
  <c r="D30" i="1" l="1"/>
  <c r="F8" i="1"/>
  <c r="D31" i="1"/>
  <c r="R3" i="1"/>
  <c r="Q3" i="1"/>
  <c r="R4" i="1"/>
  <c r="Q4" i="1"/>
  <c r="Z12" i="1"/>
  <c r="D12" i="20"/>
  <c r="D16" i="20" s="1"/>
  <c r="C12" i="18"/>
  <c r="C16" i="18" s="1"/>
  <c r="Z15" i="1"/>
  <c r="B12" i="20"/>
  <c r="B16" i="20" s="1"/>
  <c r="Z10" i="1"/>
  <c r="D20" i="1"/>
  <c r="D11" i="19"/>
  <c r="C16" i="1"/>
  <c r="C14" i="1"/>
  <c r="C15" i="1"/>
  <c r="F6" i="1"/>
  <c r="F7" i="1"/>
  <c r="M18" i="1"/>
  <c r="M19" i="1"/>
  <c r="J19" i="1" s="1"/>
  <c r="E48" i="28"/>
  <c r="E58" i="28" s="1"/>
  <c r="E64" i="28" s="1"/>
  <c r="D6" i="28"/>
  <c r="D29" i="28" s="1"/>
  <c r="N4" i="1" s="1"/>
  <c r="M14" i="1"/>
  <c r="M15" i="1"/>
  <c r="J15" i="1" s="1"/>
  <c r="M10" i="1"/>
  <c r="M11" i="1"/>
  <c r="J11" i="1" s="1"/>
  <c r="C48" i="28"/>
  <c r="C58" i="28" s="1"/>
  <c r="C64" i="28" s="1"/>
  <c r="C29" i="28"/>
  <c r="N3" i="1" s="1"/>
  <c r="P7" i="1" l="1"/>
  <c r="Q7" i="1" s="1"/>
  <c r="C5" i="20"/>
  <c r="C6" i="20" s="1"/>
  <c r="S3" i="1"/>
  <c r="U3" i="1"/>
  <c r="X3" i="1" s="1"/>
  <c r="B5" i="20"/>
  <c r="B6" i="20" s="1"/>
  <c r="P6" i="1"/>
  <c r="F15" i="1"/>
  <c r="D32" i="1"/>
  <c r="Z14" i="1"/>
  <c r="B12" i="18"/>
  <c r="B16" i="18" s="1"/>
  <c r="D11" i="21"/>
  <c r="C20" i="1"/>
  <c r="C18" i="1"/>
  <c r="C19" i="1"/>
  <c r="P8" i="1"/>
  <c r="Q8" i="1" s="1"/>
  <c r="Z19" i="1"/>
  <c r="C12" i="21" s="1"/>
  <c r="C16" i="21" s="1"/>
  <c r="C12" i="19"/>
  <c r="C16" i="19" s="1"/>
  <c r="D5" i="20"/>
  <c r="D6" i="20" s="1"/>
  <c r="F11" i="1"/>
  <c r="F19" i="1"/>
  <c r="Z16" i="1"/>
  <c r="D12" i="18"/>
  <c r="D16" i="18" s="1"/>
  <c r="B3" i="25"/>
  <c r="B4" i="25"/>
  <c r="B14" i="25" s="1"/>
  <c r="U4" i="1"/>
  <c r="C3" i="25"/>
  <c r="S4" i="1"/>
  <c r="C4" i="25"/>
  <c r="C14" i="25" s="1"/>
  <c r="C60" i="28"/>
  <c r="C61" i="28"/>
  <c r="M12" i="1"/>
  <c r="J12" i="1" s="1"/>
  <c r="J10" i="1"/>
  <c r="E61" i="28"/>
  <c r="E60" i="28"/>
  <c r="M16" i="1"/>
  <c r="J16" i="1" s="1"/>
  <c r="J14" i="1"/>
  <c r="M20" i="1"/>
  <c r="J20" i="1" s="1"/>
  <c r="J18" i="1"/>
  <c r="E4" i="29"/>
  <c r="R6" i="1" l="1"/>
  <c r="Q6" i="1"/>
  <c r="B9" i="20" s="1"/>
  <c r="B10" i="20" s="1"/>
  <c r="R7" i="1"/>
  <c r="V7" i="1" s="1"/>
  <c r="C12" i="20"/>
  <c r="C16" i="20" s="1"/>
  <c r="Y4" i="1"/>
  <c r="Y3" i="1"/>
  <c r="R8" i="1"/>
  <c r="V8" i="1" s="1"/>
  <c r="C5" i="19"/>
  <c r="C6" i="19" s="1"/>
  <c r="P15" i="1"/>
  <c r="Q15" i="1" s="1"/>
  <c r="C5" i="21"/>
  <c r="P19" i="1"/>
  <c r="Q19" i="1" s="1"/>
  <c r="C5" i="18"/>
  <c r="C6" i="18" s="1"/>
  <c r="F14" i="1"/>
  <c r="F16" i="1"/>
  <c r="P11" i="1"/>
  <c r="Q11" i="1" s="1"/>
  <c r="D33" i="1"/>
  <c r="F18" i="1"/>
  <c r="F20" i="1"/>
  <c r="Z20" i="1"/>
  <c r="D12" i="21" s="1"/>
  <c r="D16" i="21" s="1"/>
  <c r="D12" i="19"/>
  <c r="D16" i="19" s="1"/>
  <c r="B12" i="19"/>
  <c r="B16" i="19" s="1"/>
  <c r="Z18" i="1"/>
  <c r="B12" i="21" s="1"/>
  <c r="B16" i="21" s="1"/>
  <c r="F12" i="1"/>
  <c r="F10" i="1"/>
  <c r="U6" i="1"/>
  <c r="U10" i="1" s="1"/>
  <c r="U14" i="1" s="1"/>
  <c r="U18" i="1" s="1"/>
  <c r="U7" i="1"/>
  <c r="U11" i="1" s="1"/>
  <c r="U15" i="1" s="1"/>
  <c r="U19" i="1" s="1"/>
  <c r="C4" i="29"/>
  <c r="G4" i="29"/>
  <c r="E43" i="29"/>
  <c r="E53" i="29" s="1"/>
  <c r="E59" i="29" s="1"/>
  <c r="E6" i="29"/>
  <c r="AA4" i="1"/>
  <c r="U8" i="1"/>
  <c r="U12" i="1" s="1"/>
  <c r="U16" i="1" s="1"/>
  <c r="U20" i="1" s="1"/>
  <c r="X4" i="1"/>
  <c r="X8" i="1" s="1"/>
  <c r="X12" i="1" s="1"/>
  <c r="X16" i="1" s="1"/>
  <c r="X20" i="1" s="1"/>
  <c r="C9" i="20"/>
  <c r="C10" i="20" s="1"/>
  <c r="AA3" i="1"/>
  <c r="D9" i="20"/>
  <c r="D10" i="20" s="1"/>
  <c r="AB3" i="1" l="1"/>
  <c r="AB4" i="1"/>
  <c r="R19" i="1"/>
  <c r="V19" i="1" s="1"/>
  <c r="R15" i="1"/>
  <c r="V15" i="1" s="1"/>
  <c r="V6" i="1"/>
  <c r="B7" i="20" s="1"/>
  <c r="B5" i="19"/>
  <c r="B6" i="19" s="1"/>
  <c r="P20" i="1"/>
  <c r="R20" i="1" s="1"/>
  <c r="P14" i="1"/>
  <c r="R14" i="1" s="1"/>
  <c r="P10" i="1"/>
  <c r="R10" i="1" s="1"/>
  <c r="D5" i="19"/>
  <c r="D6" i="19" s="1"/>
  <c r="P16" i="1"/>
  <c r="R16" i="1" s="1"/>
  <c r="R11" i="1"/>
  <c r="V11" i="1" s="1"/>
  <c r="D5" i="21"/>
  <c r="D6" i="21" s="1"/>
  <c r="B5" i="21"/>
  <c r="C6" i="21" s="1"/>
  <c r="P18" i="1"/>
  <c r="R18" i="1" s="1"/>
  <c r="B5" i="18"/>
  <c r="B6" i="18" s="1"/>
  <c r="P12" i="1"/>
  <c r="R12" i="1" s="1"/>
  <c r="D5" i="18"/>
  <c r="D6" i="18" s="1"/>
  <c r="D7" i="20"/>
  <c r="C9" i="18"/>
  <c r="C10" i="18" s="1"/>
  <c r="G43" i="29"/>
  <c r="G53" i="29" s="1"/>
  <c r="G59" i="29" s="1"/>
  <c r="G6" i="29"/>
  <c r="C9" i="21"/>
  <c r="C10" i="21" s="1"/>
  <c r="C9" i="19"/>
  <c r="C10" i="19" s="1"/>
  <c r="C43" i="29"/>
  <c r="C53" i="29" s="1"/>
  <c r="C59" i="29" s="1"/>
  <c r="C6" i="29"/>
  <c r="C28" i="29" s="1"/>
  <c r="C7" i="20"/>
  <c r="X7" i="1"/>
  <c r="X11" i="1" s="1"/>
  <c r="X15" i="1" s="1"/>
  <c r="X19" i="1" s="1"/>
  <c r="X6" i="1"/>
  <c r="X10" i="1" s="1"/>
  <c r="X14" i="1" s="1"/>
  <c r="X18" i="1" s="1"/>
  <c r="E56" i="29"/>
  <c r="E55" i="29"/>
  <c r="B8" i="20" l="1"/>
  <c r="B15" i="20" s="1"/>
  <c r="C8" i="20"/>
  <c r="C15" i="20" s="1"/>
  <c r="D8" i="20"/>
  <c r="D15" i="20" s="1"/>
  <c r="Q14" i="1"/>
  <c r="B9" i="19" s="1"/>
  <c r="B10" i="19" s="1"/>
  <c r="Q20" i="1"/>
  <c r="V20" i="1" s="1"/>
  <c r="Q16" i="1"/>
  <c r="D9" i="19" s="1"/>
  <c r="D10" i="19" s="1"/>
  <c r="Q10" i="1"/>
  <c r="B9" i="18" s="1"/>
  <c r="B10" i="18" s="1"/>
  <c r="B6" i="21"/>
  <c r="Q12" i="1"/>
  <c r="D9" i="18" s="1"/>
  <c r="D10" i="18" s="1"/>
  <c r="Q18" i="1"/>
  <c r="V18" i="1" s="1"/>
  <c r="O19" i="1"/>
  <c r="T19" i="1" s="1"/>
  <c r="O11" i="1"/>
  <c r="T11" i="1" s="1"/>
  <c r="O7" i="1"/>
  <c r="T7" i="1" s="1"/>
  <c r="O15" i="1"/>
  <c r="T15" i="1" s="1"/>
  <c r="N14" i="1"/>
  <c r="N10" i="1"/>
  <c r="C29" i="29"/>
  <c r="N6" i="1"/>
  <c r="S6" i="1" s="1"/>
  <c r="N18" i="1"/>
  <c r="C7" i="18"/>
  <c r="C55" i="29"/>
  <c r="C56" i="29"/>
  <c r="C7" i="19"/>
  <c r="C7" i="21"/>
  <c r="G55" i="29"/>
  <c r="G56" i="29"/>
  <c r="C8" i="18" l="1"/>
  <c r="C15" i="18" s="1"/>
  <c r="C8" i="21"/>
  <c r="C15" i="21" s="1"/>
  <c r="V16" i="1"/>
  <c r="D7" i="19" s="1"/>
  <c r="C8" i="19"/>
  <c r="C15" i="19" s="1"/>
  <c r="V14" i="1"/>
  <c r="B7" i="19" s="1"/>
  <c r="D9" i="21"/>
  <c r="D10" i="21" s="1"/>
  <c r="B9" i="21"/>
  <c r="B10" i="21" s="1"/>
  <c r="V10" i="1"/>
  <c r="B7" i="18" s="1"/>
  <c r="V12" i="1"/>
  <c r="D7" i="18" s="1"/>
  <c r="B3" i="18"/>
  <c r="S10" i="1"/>
  <c r="B3" i="19"/>
  <c r="S14" i="1"/>
  <c r="D7" i="21"/>
  <c r="D8" i="21" s="1"/>
  <c r="O20" i="1"/>
  <c r="T20" i="1" s="1"/>
  <c r="O12" i="1"/>
  <c r="T12" i="1" s="1"/>
  <c r="O16" i="1"/>
  <c r="T16" i="1" s="1"/>
  <c r="O8" i="1"/>
  <c r="T8" i="1" s="1"/>
  <c r="O14" i="1"/>
  <c r="O18" i="1"/>
  <c r="O6" i="1"/>
  <c r="O10" i="1"/>
  <c r="B7" i="21"/>
  <c r="B8" i="21" s="1"/>
  <c r="B3" i="21"/>
  <c r="S18" i="1"/>
  <c r="B3" i="20"/>
  <c r="D8" i="19" l="1"/>
  <c r="D15" i="19" s="1"/>
  <c r="B8" i="19"/>
  <c r="B15" i="19" s="1"/>
  <c r="D8" i="18"/>
  <c r="D15" i="18" s="1"/>
  <c r="B8" i="18"/>
  <c r="B15" i="18" s="1"/>
  <c r="D15" i="21"/>
  <c r="T14" i="1"/>
  <c r="T10" i="1"/>
  <c r="T6" i="1"/>
  <c r="T18" i="1"/>
  <c r="B15" i="21"/>
  <c r="Y14" i="1"/>
  <c r="Y18" i="1"/>
  <c r="AA14" i="1"/>
  <c r="AA10" i="1"/>
  <c r="AA18" i="1"/>
  <c r="B4" i="21"/>
  <c r="B14" i="21" s="1"/>
  <c r="AA6" i="1"/>
  <c r="Y6" i="1"/>
  <c r="AB6" i="1" s="1"/>
  <c r="B4" i="18"/>
  <c r="B14" i="18" s="1"/>
  <c r="B4" i="20"/>
  <c r="Y10" i="1"/>
  <c r="B4" i="19"/>
  <c r="B14" i="19" s="1"/>
  <c r="B18" i="18" l="1"/>
  <c r="B18" i="19"/>
  <c r="B14" i="20"/>
  <c r="B18" i="20" s="1"/>
  <c r="AB18" i="1"/>
  <c r="AB10" i="1"/>
  <c r="AB14" i="1"/>
  <c r="B18" i="21"/>
  <c r="E16" i="29" l="1"/>
  <c r="E28" i="29" s="1"/>
  <c r="N7" i="1" l="1"/>
  <c r="E29" i="29"/>
  <c r="N11" i="1"/>
  <c r="N15" i="1"/>
  <c r="N19" i="1"/>
  <c r="S15" i="1" l="1"/>
  <c r="C3" i="19"/>
  <c r="C4" i="19"/>
  <c r="C14" i="19" s="1"/>
  <c r="C18" i="19" s="1"/>
  <c r="D3" i="21"/>
  <c r="C3" i="21"/>
  <c r="S19" i="1"/>
  <c r="C4" i="21"/>
  <c r="C14" i="21" s="1"/>
  <c r="C18" i="21" s="1"/>
  <c r="C3" i="18"/>
  <c r="S11" i="1"/>
  <c r="C4" i="18"/>
  <c r="C14" i="18" s="1"/>
  <c r="C18" i="18" s="1"/>
  <c r="C3" i="20"/>
  <c r="C4" i="20"/>
  <c r="C14" i="20" s="1"/>
  <c r="C18" i="20" s="1"/>
  <c r="S7" i="1"/>
  <c r="Y19" i="1" l="1"/>
  <c r="AA19" i="1"/>
  <c r="AA11" i="1"/>
  <c r="Y11" i="1"/>
  <c r="AA7" i="1"/>
  <c r="Y7" i="1"/>
  <c r="AB7" i="1" s="1"/>
  <c r="Y15" i="1"/>
  <c r="AA15" i="1"/>
  <c r="AB15" i="1" l="1"/>
  <c r="AB11" i="1"/>
  <c r="AB19" i="1"/>
  <c r="G16" i="29" l="1"/>
  <c r="G28" i="29" s="1"/>
  <c r="G29" i="29" l="1"/>
  <c r="N12" i="1"/>
  <c r="N8" i="1"/>
  <c r="N16" i="1"/>
  <c r="N20" i="1"/>
  <c r="D3" i="19" l="1"/>
  <c r="D4" i="19"/>
  <c r="D14" i="19" s="1"/>
  <c r="D18" i="19" s="1"/>
  <c r="F18" i="19" s="1"/>
  <c r="F22" i="19" s="1"/>
  <c r="S16" i="1"/>
  <c r="D4" i="21"/>
  <c r="D14" i="21" s="1"/>
  <c r="D18" i="21" s="1"/>
  <c r="F18" i="21" s="1"/>
  <c r="F22" i="21" s="1"/>
  <c r="S20" i="1"/>
  <c r="S8" i="1"/>
  <c r="D3" i="20"/>
  <c r="D4" i="20"/>
  <c r="D14" i="20" s="1"/>
  <c r="D18" i="20" s="1"/>
  <c r="F18" i="20" s="1"/>
  <c r="F22" i="20" s="1"/>
  <c r="D3" i="18"/>
  <c r="S12" i="1"/>
  <c r="D4" i="18"/>
  <c r="D14" i="18" s="1"/>
  <c r="D18" i="18" s="1"/>
  <c r="F18" i="18" s="1"/>
  <c r="F22" i="18" s="1"/>
  <c r="AA12" i="1" l="1"/>
  <c r="Y12" i="1"/>
  <c r="Y16" i="1"/>
  <c r="AA16" i="1"/>
  <c r="F20" i="18"/>
  <c r="F19" i="18"/>
  <c r="AA20" i="1"/>
  <c r="Y20" i="1"/>
  <c r="F20" i="19"/>
  <c r="F19" i="19"/>
  <c r="F20" i="20"/>
  <c r="F19" i="20"/>
  <c r="Y8" i="1"/>
  <c r="AA8" i="1"/>
  <c r="F19" i="21"/>
  <c r="F20" i="21"/>
  <c r="AB20" i="1" l="1"/>
  <c r="AB16" i="1"/>
  <c r="AB12" i="1"/>
  <c r="AB8" i="1"/>
  <c r="I20" i="20"/>
  <c r="I20" i="18"/>
  <c r="I20" i="19"/>
  <c r="I20" i="21"/>
  <c r="AD20" i="1" s="1"/>
  <c r="AC8" i="1" l="1"/>
  <c r="AD16" i="1"/>
  <c r="AD12" i="1"/>
  <c r="AD8" i="1"/>
  <c r="AC16" i="1"/>
  <c r="AC20" i="1"/>
  <c r="AC12" i="1"/>
  <c r="B9" i="25" l="1"/>
  <c r="B10" i="25" s="1"/>
  <c r="B15" i="25" s="1"/>
  <c r="B18" i="25" s="1"/>
  <c r="C9" i="25"/>
  <c r="C10" i="25" s="1"/>
  <c r="C15" i="25" s="1"/>
  <c r="C18" i="25" s="1"/>
  <c r="E18" i="25" l="1"/>
  <c r="E22" i="25" s="1"/>
  <c r="E19" i="25" s="1"/>
  <c r="E20" i="25" l="1"/>
  <c r="H20" i="25" s="1"/>
  <c r="AD4" i="1" s="1"/>
</calcChain>
</file>

<file path=xl/sharedStrings.xml><?xml version="1.0" encoding="utf-8"?>
<sst xmlns="http://schemas.openxmlformats.org/spreadsheetml/2006/main" count="228" uniqueCount="141">
  <si>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</si>
  <si>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</si>
  <si>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</si>
  <si>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</si>
  <si>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</si>
  <si>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</si>
  <si>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</si>
  <si>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</si>
  <si>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</si>
  <si>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</si>
  <si>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</si>
  <si>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</si>
  <si>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</si>
  <si>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</si>
  <si>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Milk price (USD / l)</t>
  </si>
  <si>
    <t>Yield (L/year)</t>
  </si>
  <si>
    <t>Milk price</t>
  </si>
  <si>
    <t>Total expenses</t>
  </si>
  <si>
    <t>Scenario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</si>
  <si>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</si>
  <si>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</si>
  <si>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</si>
  <si>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</si>
  <si>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</si>
  <si>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</si>
  <si>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</si>
  <si>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</si>
  <si>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</si>
  <si>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</si>
  <si>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</si>
  <si>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</si>
  <si>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</si>
  <si>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</si>
  <si>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</si>
  <si>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</si>
  <si>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</si>
  <si>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</si>
  <si>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</si>
  <si>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</si>
  <si>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</si>
  <si>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Estimated population income (USD/yr)</t>
  </si>
  <si>
    <t>Mean population income (USD/yr)</t>
  </si>
  <si>
    <t>Quantity households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</si>
  <si>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</si>
  <si>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</si>
  <si>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</si>
  <si>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</si>
  <si>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</si>
  <si>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</si>
  <si>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</si>
  <si>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 xml:space="preserve"> Dairy NPV by household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</si>
  <si>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</si>
  <si>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</si>
  <si>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</si>
  <si>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</si>
  <si>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</si>
  <si>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</si>
  <si>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</si>
  <si>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</si>
  <si>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</si>
  <si>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</si>
  <si>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 xml:space="preserve">Cropping expenses 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</si>
  <si>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</si>
  <si>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</si>
  <si>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</si>
  <si>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</si>
  <si>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</si>
  <si>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</si>
  <si>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</si>
  <si>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</si>
  <si>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</si>
  <si>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</si>
  <si>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</si>
  <si>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</si>
  <si>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</si>
  <si>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</si>
  <si>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</si>
  <si>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</si>
  <si>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Parameters (as defined in Table 1 and other sections of text) (based on TLSA, URT 2017)</t>
  </si>
  <si>
    <t>Baseline</t>
  </si>
  <si>
    <t>Total planted forage allocation (ha)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</si>
  <si>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</si>
  <si>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</si>
  <si>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</si>
  <si>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</si>
  <si>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</si>
  <si>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Amortization period (years)</t>
  </si>
  <si>
    <t>Ratio improved cattle for which new adopters adopt (inclusive)</t>
  </si>
  <si>
    <t xml:space="preserve"> Dairy income by household</t>
  </si>
  <si>
    <t>Basic income parameters</t>
  </si>
  <si>
    <t>Change in income from cropping (USD)</t>
  </si>
  <si>
    <t xml:space="preserve">Standard error (%) of net household income intervention scenario not including dairy </t>
  </si>
  <si>
    <t>Price deflator</t>
  </si>
  <si>
    <t>Change in forage land area (ha)</t>
  </si>
  <si>
    <t>Forage seeding cost (USD)</t>
  </si>
  <si>
    <t>Adoption rate (% of hholds) toggle</t>
  </si>
  <si>
    <t>High ambition</t>
  </si>
  <si>
    <t>Middle road</t>
  </si>
  <si>
    <t>Status quo</t>
  </si>
  <si>
    <t>Local-owning</t>
  </si>
  <si>
    <t>Improved-owning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</si>
  <si>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</si>
  <si>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</si>
  <si>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</si>
  <si>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</si>
  <si>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</si>
  <si>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</si>
  <si>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High ambition ++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</si>
  <si>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</si>
  <si>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</si>
  <si>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</si>
  <si>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New-improved</t>
  </si>
  <si>
    <t>Local-only</t>
  </si>
  <si>
    <t>Extant-improved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</si>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</sst>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0" fillId="0" borderId="0" xfId="0" applyFont="1"/>
    <xf numFmtId="0" fontId="17" fillId="0" borderId="0" xfId="0" applyFont="1"/>
    <xf numFmtId="0" fontId="0" fillId="0" borderId="0" xfId="0" quotePrefix="1"/>
    <xf numFmtId="166" fontId="0" fillId="0" borderId="0" xfId="1" applyNumberFormat="1" applyFont="1"/>
    <xf numFmtId="16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1" applyNumberFormat="1" applyFont="1" applyAlignment="1"/>
    <xf numFmtId="168" fontId="11" fillId="0" borderId="0" xfId="1" applyNumberFormat="1" applyFont="1"/>
    <xf numFmtId="168" fontId="3" fillId="0" borderId="0" xfId="0" applyNumberFormat="1" applyFont="1" applyAlignment="1">
      <alignment horizontal="center"/>
    </xf>
    <xf numFmtId="168" fontId="0" fillId="0" borderId="0" xfId="1" applyNumberFormat="1" applyFont="1"/>
    <xf numFmtId="168" fontId="4" fillId="0" borderId="0" xfId="0" applyNumberFormat="1" applyFont="1"/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0" applyFont="1"/>
    <xf numFmtId="167" fontId="18" fillId="0" borderId="0" xfId="0" applyNumberFormat="1" applyFont="1"/>
    <xf numFmtId="167" fontId="6" fillId="0" borderId="0" xfId="0" applyNumberFormat="1" applyFont="1"/>
    <xf numFmtId="43" fontId="11" fillId="0" borderId="0" xfId="0" applyNumberFormat="1" applyFont="1"/>
    <xf numFmtId="168" fontId="11" fillId="0" borderId="0" xfId="0" applyNumberFormat="1" applyFont="1"/>
    <xf numFmtId="167" fontId="11" fillId="0" borderId="0" xfId="0" applyNumberFormat="1" applyFont="1"/>
    <xf numFmtId="0" fontId="11" fillId="0" borderId="0" xfId="0" applyFont="1"/>
    <xf numFmtId="168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167" fontId="19" fillId="0" borderId="0" xfId="0" applyNumberFormat="1" applyFont="1"/>
    <xf numFmtId="168" fontId="19" fillId="0" borderId="0" xfId="0" applyNumberFormat="1" applyFont="1"/>
    <xf numFmtId="166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0" fontId="4" fillId="0" borderId="0" xfId="0" applyFon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9" fontId="18" fillId="0" borderId="0" xfId="0" applyNumberFormat="1" applyFont="1"/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0" fontId="22" fillId="0" borderId="0" xfId="0" applyFon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9" fontId="19" fillId="0" borderId="0" xfId="0" applyNumberFormat="1" applyFont="1"/>
    <xf numFmtId="169" fontId="11" fillId="0" borderId="0" xfId="0" applyNumberFormat="1" applyFont="1"/>
    <xf numFmtId="0" fontId="0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B0F0"/>
      <color rgb="FFCC00CC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9">
          <cell r="B9">
            <v>296</v>
          </cell>
          <cell r="E9">
            <v>1865.9</v>
          </cell>
          <cell r="F9">
            <v>78</v>
          </cell>
          <cell r="G9">
            <v>8.9</v>
          </cell>
          <cell r="H9">
            <v>0.53</v>
          </cell>
          <cell r="I9">
            <v>0.40200000000000002</v>
          </cell>
          <cell r="J9">
            <v>5.95</v>
          </cell>
          <cell r="L9">
            <v>0.36859999999999998</v>
          </cell>
          <cell r="M9">
            <v>479.5</v>
          </cell>
          <cell r="N9">
            <v>225.71</v>
          </cell>
          <cell r="P9">
            <v>3.5</v>
          </cell>
          <cell r="Q9">
            <v>13</v>
          </cell>
          <cell r="R9">
            <v>0.2</v>
          </cell>
          <cell r="S9">
            <v>0.11</v>
          </cell>
          <cell r="U9">
            <v>141.5</v>
          </cell>
          <cell r="V9">
            <v>79</v>
          </cell>
          <cell r="W9">
            <v>30.4</v>
          </cell>
          <cell r="X9">
            <v>13.7</v>
          </cell>
          <cell r="Y9">
            <v>1.1000000000000001</v>
          </cell>
        </row>
        <row r="10">
          <cell r="E10">
            <v>5841.26</v>
          </cell>
          <cell r="F10">
            <v>97.05503607098467</v>
          </cell>
          <cell r="G10">
            <v>2.54067</v>
          </cell>
          <cell r="H10">
            <v>0.43</v>
          </cell>
          <cell r="I10">
            <v>0.51839999999999997</v>
          </cell>
          <cell r="J10">
            <v>5</v>
          </cell>
          <cell r="L10">
            <v>0.53349999999999997</v>
          </cell>
          <cell r="N10">
            <v>146.02000000000001</v>
          </cell>
          <cell r="P10">
            <v>7.2</v>
          </cell>
          <cell r="Q10">
            <v>12.7</v>
          </cell>
          <cell r="R10">
            <v>0.6</v>
          </cell>
          <cell r="S10">
            <v>0.81</v>
          </cell>
          <cell r="U10">
            <v>152.30000000000001</v>
          </cell>
          <cell r="V10">
            <v>66.5</v>
          </cell>
          <cell r="W10">
            <v>48.5</v>
          </cell>
          <cell r="X10">
            <v>8.6</v>
          </cell>
          <cell r="Y10">
            <v>2.5</v>
          </cell>
        </row>
        <row r="12"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  <row r="9">
          <cell r="D9">
            <v>507477.11569739622</v>
          </cell>
          <cell r="E9">
            <v>61193.835362505924</v>
          </cell>
        </row>
        <row r="10">
          <cell r="D10">
            <v>321216.15729978087</v>
          </cell>
          <cell r="E10">
            <v>38733.665100478247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D25">
            <v>0.6</v>
          </cell>
          <cell r="E25">
            <v>0.6</v>
          </cell>
        </row>
        <row r="26">
          <cell r="D26">
            <v>0.4</v>
          </cell>
          <cell r="E26">
            <v>0.4</v>
          </cell>
        </row>
        <row r="31">
          <cell r="D31">
            <v>747044.805528761</v>
          </cell>
          <cell r="E31">
            <v>73036.281765654683</v>
          </cell>
        </row>
        <row r="34">
          <cell r="D34">
            <v>0.59109999999999996</v>
          </cell>
          <cell r="E34">
            <v>0.59109999999999996</v>
          </cell>
        </row>
        <row r="35">
          <cell r="D35">
            <v>0.40890000000000004</v>
          </cell>
          <cell r="E35">
            <v>0.40890000000000004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D40">
            <v>754673.38838331774</v>
          </cell>
          <cell r="E40">
            <v>73747.88749583179</v>
          </cell>
        </row>
        <row r="43">
          <cell r="D43">
            <v>0.58220000000000005</v>
          </cell>
          <cell r="E43">
            <v>0.58220000000000005</v>
          </cell>
        </row>
        <row r="44">
          <cell r="D44">
            <v>0.41779999999999995</v>
          </cell>
          <cell r="E44">
            <v>0.41779999999999995</v>
          </cell>
        </row>
        <row r="49">
          <cell r="D49">
            <v>762459.37994648598</v>
          </cell>
          <cell r="E49">
            <v>74473.496267376759</v>
          </cell>
        </row>
        <row r="52">
          <cell r="D52">
            <v>0.6</v>
          </cell>
          <cell r="E52">
            <v>0.6</v>
          </cell>
        </row>
        <row r="53">
          <cell r="D53">
            <v>0.4</v>
          </cell>
          <cell r="E53">
            <v>0.4</v>
          </cell>
        </row>
        <row r="58">
          <cell r="D58">
            <v>945841.4141266346</v>
          </cell>
          <cell r="E58">
            <v>92472.017095256495</v>
          </cell>
        </row>
      </sheetData>
      <sheetData sheetId="4">
        <row r="17">
          <cell r="D17">
            <v>147</v>
          </cell>
        </row>
        <row r="18">
          <cell r="D18">
            <v>147</v>
          </cell>
        </row>
        <row r="20">
          <cell r="D20">
            <v>575.06983317707409</v>
          </cell>
        </row>
        <row r="21">
          <cell r="D21">
            <v>575.06983317707409</v>
          </cell>
        </row>
        <row r="23">
          <cell r="D23">
            <v>575.06983317707409</v>
          </cell>
        </row>
        <row r="24">
          <cell r="D24">
            <v>575.06983317707409</v>
          </cell>
        </row>
      </sheetData>
      <sheetData sheetId="5">
        <row r="4">
          <cell r="D4">
            <v>0.13015924266423304</v>
          </cell>
          <cell r="E4">
            <v>1.5695177221061046E-2</v>
          </cell>
        </row>
        <row r="19">
          <cell r="D19">
            <v>308.31197982075707</v>
          </cell>
        </row>
        <row r="22">
          <cell r="D22">
            <v>582.57521070911355</v>
          </cell>
        </row>
        <row r="25">
          <cell r="D25">
            <v>744.99419511724682</v>
          </cell>
        </row>
      </sheetData>
      <sheetData sheetId="6">
        <row r="17">
          <cell r="D17">
            <v>3.6798211462832722</v>
          </cell>
        </row>
        <row r="18">
          <cell r="D18">
            <v>307.66786245237182</v>
          </cell>
        </row>
        <row r="23">
          <cell r="D23">
            <v>418.9662153789161</v>
          </cell>
        </row>
        <row r="24">
          <cell r="D24">
            <v>426.98084238545584</v>
          </cell>
        </row>
      </sheetData>
      <sheetData sheetId="7">
        <row r="4">
          <cell r="E4">
            <v>1.5695177221061046E-2</v>
          </cell>
        </row>
        <row r="19">
          <cell r="D19">
            <v>-115.06886643918423</v>
          </cell>
        </row>
        <row r="22">
          <cell r="D22">
            <v>442.93858536349643</v>
          </cell>
        </row>
        <row r="25">
          <cell r="D25">
            <v>750.02116465656729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</sheetData>
      <sheetData sheetId="1">
        <row r="12">
          <cell r="B12">
            <v>0</v>
          </cell>
          <cell r="D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38">
          <cell r="QG38">
            <v>225.27645636135421</v>
          </cell>
          <cell r="QH38">
            <v>10.686210284412841</v>
          </cell>
          <cell r="QO38">
            <v>430.24211526249343</v>
          </cell>
          <cell r="QP38">
            <v>45.002914171323539</v>
          </cell>
        </row>
        <row r="47">
          <cell r="QG47">
            <v>282.44455811758797</v>
          </cell>
          <cell r="QH47">
            <v>126.3166152135192</v>
          </cell>
          <cell r="QO47">
            <v>173.35450549329761</v>
          </cell>
          <cell r="QP47">
            <v>32.402987238208929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/>
      <sheetData sheetId="1"/>
      <sheetData sheetId="2">
        <row r="3">
          <cell r="Q3">
            <v>44.606958098634109</v>
          </cell>
        </row>
        <row r="4">
          <cell r="Q4">
            <v>30.361004885281496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58"/>
  <sheetViews>
    <sheetView workbookViewId="0">
      <selection activeCell="C2" sqref="C2:G2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5.21875" customWidth="1"/>
    <col min="5" max="5" width="12.21875" bestFit="1" customWidth="1"/>
    <col min="6" max="6" width="3.77734375" customWidth="1"/>
    <col min="7" max="7" width="16.5546875" customWidth="1"/>
  </cols>
  <sheetData>
    <row r="1" spans="1:12" x14ac:dyDescent="0.3">
      <c r="C1" s="90" t="s">
        <v>50</v>
      </c>
      <c r="D1" s="90"/>
      <c r="E1" s="90"/>
      <c r="F1" s="90"/>
      <c r="G1" s="90"/>
    </row>
    <row r="2" spans="1:12" x14ac:dyDescent="0.3">
      <c r="A2" s="2" t="s">
        <v>51</v>
      </c>
      <c r="C2" s="93" t="s">
        <v>111</v>
      </c>
      <c r="D2" s="93"/>
      <c r="E2" s="93" t="s">
        <v>112</v>
      </c>
      <c r="F2" s="93"/>
      <c r="G2" s="87" t="s">
        <v>113</v>
      </c>
    </row>
    <row r="3" spans="1:12" x14ac:dyDescent="0.3">
      <c r="A3" t="s">
        <v>63</v>
      </c>
      <c r="C3" s="92">
        <f>G3</f>
        <v>0.68136304356303046</v>
      </c>
      <c r="D3" s="92"/>
      <c r="E3" s="92">
        <f>Dairy_Income_Baseline!C3</f>
        <v>0.47075992100718467</v>
      </c>
      <c r="F3" s="92"/>
      <c r="G3" s="45">
        <f>[1]All!$L$10*L17</f>
        <v>0.68136304356303046</v>
      </c>
    </row>
    <row r="4" spans="1:12" x14ac:dyDescent="0.3">
      <c r="A4" t="s">
        <v>64</v>
      </c>
      <c r="C4" s="88">
        <f>[2]prod_herd_data!J39</f>
        <v>3007.9506358527424</v>
      </c>
      <c r="D4" s="88"/>
      <c r="E4" s="88">
        <f>[2]prod_herd_data!J38</f>
        <v>757.75586056583484</v>
      </c>
      <c r="F4" s="88"/>
      <c r="G4" s="47">
        <f>[2]prod_herd_data!J39</f>
        <v>3007.9506358527424</v>
      </c>
    </row>
    <row r="5" spans="1:12" x14ac:dyDescent="0.3">
      <c r="A5" t="s">
        <v>35</v>
      </c>
      <c r="C5" s="89">
        <f>Dairy_Income_Baseline!D5</f>
        <v>0.51839999999999997</v>
      </c>
      <c r="D5" s="89"/>
      <c r="E5" s="89">
        <f>Dairy_Income_Baseline!C5</f>
        <v>0.40200000000000002</v>
      </c>
      <c r="F5" s="89"/>
      <c r="G5" s="78">
        <f>C5</f>
        <v>0.51839999999999997</v>
      </c>
    </row>
    <row r="6" spans="1:12" x14ac:dyDescent="0.3">
      <c r="A6" t="s">
        <v>65</v>
      </c>
      <c r="C6" s="88">
        <f>C4*C3*(12*L12-9)/(12*L12)</f>
        <v>1921.4122501237289</v>
      </c>
      <c r="D6" s="88"/>
      <c r="E6" s="88">
        <f>E4*E3</f>
        <v>356.72108906270364</v>
      </c>
      <c r="F6" s="88"/>
      <c r="G6" s="47">
        <f>G4*G3</f>
        <v>2049.5064001319774</v>
      </c>
    </row>
    <row r="7" spans="1:12" x14ac:dyDescent="0.3">
      <c r="C7" s="91"/>
      <c r="D7" s="91"/>
      <c r="E7" s="91"/>
      <c r="F7" s="91"/>
      <c r="G7" s="43"/>
    </row>
    <row r="8" spans="1:12" x14ac:dyDescent="0.3">
      <c r="A8" s="2" t="s">
        <v>52</v>
      </c>
      <c r="C8" s="91"/>
      <c r="D8" s="91"/>
      <c r="E8" s="91"/>
      <c r="F8" s="91"/>
      <c r="G8" s="43"/>
    </row>
    <row r="9" spans="1:12" x14ac:dyDescent="0.3">
      <c r="A9" t="s">
        <v>29</v>
      </c>
      <c r="C9" s="88">
        <f>(([2]concentrate_feeding!$D$23*L30)+([2]concentrate_feeding!$D$24*L31))</f>
        <v>337.84894587744157</v>
      </c>
      <c r="D9" s="88"/>
      <c r="E9" s="88">
        <f>(([2]concentrate_feeding!$D$17*L30)+([2]concentrate_feeding!$D$18*L31))</f>
        <v>86.361328970444461</v>
      </c>
      <c r="F9" s="88"/>
      <c r="G9" s="47">
        <f>(([2]concentrate_feeding!$D$20*L30)+([2]concentrate_feeding!$D$21*L31))</f>
        <v>337.84894587744157</v>
      </c>
    </row>
    <row r="10" spans="1:12" x14ac:dyDescent="0.3">
      <c r="A10" t="s">
        <v>1</v>
      </c>
      <c r="C10" s="88">
        <f>[3]NPV_Baseline!E9</f>
        <v>2.4640522792596169</v>
      </c>
      <c r="D10" s="88"/>
      <c r="E10" s="88">
        <f>[3]NPV_Baseline!C9</f>
        <v>3.8125058757578052</v>
      </c>
      <c r="F10" s="88"/>
      <c r="G10" s="47">
        <f>[3]NPV_Baseline!E9</f>
        <v>2.4640522792596169</v>
      </c>
    </row>
    <row r="11" spans="1:12" x14ac:dyDescent="0.3">
      <c r="A11" t="s">
        <v>53</v>
      </c>
      <c r="C11" s="88">
        <f>[3]NPV_Baseline!E10</f>
        <v>10.524515875107813</v>
      </c>
      <c r="D11" s="88"/>
      <c r="E11" s="88">
        <f>[3]NPV_Baseline!C10</f>
        <v>14.319919412568568</v>
      </c>
      <c r="F11" s="88"/>
      <c r="G11" s="47">
        <f>[3]NPV_Baseline!E10</f>
        <v>10.524515875107813</v>
      </c>
      <c r="K11" s="2" t="s">
        <v>89</v>
      </c>
    </row>
    <row r="12" spans="1:12" x14ac:dyDescent="0.3">
      <c r="A12" t="s">
        <v>54</v>
      </c>
      <c r="C12" s="88">
        <f>[3]NPV_Baseline!E11</f>
        <v>1.7120179889182412E-4</v>
      </c>
      <c r="D12" s="88"/>
      <c r="E12" s="88">
        <f>[3]NPV_Baseline!C11</f>
        <v>1.7120179889182412E-4</v>
      </c>
      <c r="F12" s="88"/>
      <c r="G12" s="47">
        <f>[3]NPV_Baseline!E11</f>
        <v>1.7120179889182412E-4</v>
      </c>
      <c r="K12" t="s">
        <v>86</v>
      </c>
      <c r="L12">
        <v>12</v>
      </c>
    </row>
    <row r="13" spans="1:12" x14ac:dyDescent="0.3">
      <c r="C13" s="91"/>
      <c r="D13" s="91"/>
      <c r="E13" s="91"/>
      <c r="F13" s="91"/>
      <c r="G13" s="43"/>
    </row>
    <row r="14" spans="1:12" x14ac:dyDescent="0.3">
      <c r="A14" s="2" t="s">
        <v>85</v>
      </c>
      <c r="C14" s="88">
        <f>SUM(C9:C12)</f>
        <v>350.83768523360783</v>
      </c>
      <c r="D14" s="88"/>
      <c r="E14" s="88">
        <f>SUM(E9:E12)</f>
        <v>104.49392546056973</v>
      </c>
      <c r="F14" s="88"/>
      <c r="G14" s="47">
        <f>SUM(G9:G12)</f>
        <v>350.83768523360783</v>
      </c>
      <c r="K14" t="s">
        <v>66</v>
      </c>
      <c r="L14">
        <f>Dairy_Income_Baseline!L15</f>
        <v>479.5</v>
      </c>
    </row>
    <row r="15" spans="1:12" x14ac:dyDescent="0.3">
      <c r="C15" s="91"/>
      <c r="D15" s="91"/>
      <c r="E15" s="91"/>
      <c r="F15" s="91"/>
      <c r="G15" s="43"/>
      <c r="K15" t="s">
        <v>67</v>
      </c>
      <c r="L15">
        <f>[1]All!$T$12/L14</f>
        <v>0</v>
      </c>
    </row>
    <row r="16" spans="1:12" x14ac:dyDescent="0.3">
      <c r="A16" s="2" t="s">
        <v>101</v>
      </c>
      <c r="C16" s="88">
        <f>L14/L12</f>
        <v>39.958333333333336</v>
      </c>
      <c r="D16" s="88"/>
      <c r="E16" s="88">
        <f>[4]Dairy_Income_Baseline!B12</f>
        <v>0</v>
      </c>
      <c r="F16" s="88"/>
      <c r="G16" s="79">
        <f>[4]Dairy_Income_Baseline!D12</f>
        <v>0</v>
      </c>
    </row>
    <row r="17" spans="1:12" x14ac:dyDescent="0.3">
      <c r="C17" s="91"/>
      <c r="D17" s="91"/>
      <c r="E17" s="91"/>
      <c r="F17" s="91"/>
      <c r="K17" t="s">
        <v>92</v>
      </c>
      <c r="L17" s="17">
        <f>[5]Sheet1!$B$6</f>
        <v>1.2771565952446682</v>
      </c>
    </row>
    <row r="18" spans="1:12" x14ac:dyDescent="0.3">
      <c r="C18" s="91"/>
      <c r="D18" s="91"/>
      <c r="E18" s="91"/>
      <c r="F18" s="91"/>
    </row>
    <row r="19" spans="1:12" x14ac:dyDescent="0.3">
      <c r="C19" s="90" t="s">
        <v>68</v>
      </c>
      <c r="D19" s="90"/>
      <c r="E19" s="90"/>
      <c r="F19" s="90"/>
      <c r="G19" s="90"/>
      <c r="K19" s="2"/>
    </row>
    <row r="20" spans="1:12" x14ac:dyDescent="0.3">
      <c r="A20" t="s">
        <v>7</v>
      </c>
      <c r="C20" s="89">
        <f>L36*L17</f>
        <v>288.26701511267407</v>
      </c>
      <c r="D20" s="89"/>
      <c r="E20" s="89">
        <f>L36*L17</f>
        <v>288.26701511267407</v>
      </c>
      <c r="F20" s="89"/>
      <c r="G20" s="17">
        <f>L38*L17</f>
        <v>186.49040603762646</v>
      </c>
      <c r="K20" t="s">
        <v>69</v>
      </c>
      <c r="L20">
        <f>[6]Sheet1!$B$5</f>
        <v>28</v>
      </c>
    </row>
    <row r="21" spans="1:12" x14ac:dyDescent="0.3">
      <c r="A21" t="s">
        <v>47</v>
      </c>
      <c r="C21" s="89">
        <f>(((1/1000)*(1/L24)*[2]feeding_change_data!$D$25/L33))</f>
        <v>7.6409661037666346E-2</v>
      </c>
      <c r="D21" s="89"/>
      <c r="E21" s="89">
        <f>(((1/1000)*(1/L24)*[2]feeding_change_data!$D$19/L33))</f>
        <v>3.1621741520077642E-2</v>
      </c>
      <c r="F21" s="89"/>
      <c r="G21" s="17">
        <f>(((1/1000)*(1/L24)*[2]feeding_change_data!$D$22/L33))</f>
        <v>5.9751303662473179E-2</v>
      </c>
    </row>
    <row r="22" spans="1:12" x14ac:dyDescent="0.3">
      <c r="A22" t="s">
        <v>70</v>
      </c>
      <c r="C22" s="89">
        <f>(((1/1000)*(1/L25)*[2]feeding_change_data_pasture!$D$25/L34))</f>
        <v>0.30000846586262692</v>
      </c>
      <c r="D22" s="89"/>
      <c r="E22" s="89">
        <f>(((1/1000)*(1/L25)*[2]feeding_change_data_pasture!$D$19/L34))</f>
        <v>-4.6027546575673692E-2</v>
      </c>
      <c r="F22" s="89"/>
      <c r="G22" s="17">
        <f>(((1/1000)*(1/L25)*[2]feeding_change_data_pasture!$D$22/L34))</f>
        <v>0.17717543414539857</v>
      </c>
      <c r="K22" t="s">
        <v>105</v>
      </c>
      <c r="L22">
        <v>0.14000000000000001</v>
      </c>
    </row>
    <row r="23" spans="1:12" x14ac:dyDescent="0.3">
      <c r="A23" t="s">
        <v>80</v>
      </c>
      <c r="C23" s="89">
        <f>SUM(C21:D22)</f>
        <v>0.37641812690029325</v>
      </c>
      <c r="D23" s="89"/>
      <c r="E23" s="89">
        <f>SUM(E21:F22)</f>
        <v>-1.4405805055596049E-2</v>
      </c>
      <c r="F23" s="89"/>
      <c r="G23" s="17">
        <f>SUM(G21:G22)</f>
        <v>0.23692673780787177</v>
      </c>
    </row>
    <row r="24" spans="1:12" x14ac:dyDescent="0.3">
      <c r="A24" t="s">
        <v>71</v>
      </c>
      <c r="C24" s="89">
        <f>L20*(C21+C22)</f>
        <v>10.539707553208212</v>
      </c>
      <c r="D24" s="89"/>
      <c r="E24" s="89">
        <f>L20*(E21+E22)</f>
        <v>-0.40336254155668938</v>
      </c>
      <c r="F24" s="89"/>
      <c r="G24" s="17">
        <f>L20*(G21+G22)</f>
        <v>6.6339486586204099</v>
      </c>
      <c r="K24" t="s">
        <v>72</v>
      </c>
      <c r="L24">
        <f>[6]Sheet1!$B$6</f>
        <v>0.75</v>
      </c>
    </row>
    <row r="25" spans="1:12" x14ac:dyDescent="0.3">
      <c r="A25" t="s">
        <v>8</v>
      </c>
      <c r="C25" s="89">
        <f>(C21+C22)*C20+C24</f>
        <v>119.04863742905951</v>
      </c>
      <c r="D25" s="89"/>
      <c r="E25" s="89">
        <f>(E21+E22)*E20+E24</f>
        <v>-4.5560809652284329</v>
      </c>
      <c r="F25" s="89"/>
      <c r="G25" s="17">
        <f>(G21+G22)*G20+G24</f>
        <v>50.818512193580681</v>
      </c>
      <c r="K25" t="s">
        <v>73</v>
      </c>
      <c r="L25">
        <v>0.5</v>
      </c>
    </row>
    <row r="26" spans="1:12" x14ac:dyDescent="0.3">
      <c r="C26" s="91"/>
      <c r="D26" s="91"/>
      <c r="E26" s="91"/>
      <c r="F26" s="91"/>
    </row>
    <row r="27" spans="1:12" x14ac:dyDescent="0.3">
      <c r="C27" s="91"/>
      <c r="D27" s="91"/>
      <c r="E27" s="91"/>
      <c r="F27" s="91"/>
      <c r="K27" t="s">
        <v>23</v>
      </c>
      <c r="L27">
        <f>7.5</f>
        <v>7.5</v>
      </c>
    </row>
    <row r="28" spans="1:12" x14ac:dyDescent="0.3">
      <c r="A28" t="s">
        <v>45</v>
      </c>
      <c r="C28" s="88">
        <f>(134/144)*C6-C14-C16</f>
        <v>1397.1848252981956</v>
      </c>
      <c r="D28" s="88"/>
      <c r="E28" s="88">
        <f>E6-E14-E16/L12</f>
        <v>252.22716360213391</v>
      </c>
      <c r="F28" s="88"/>
      <c r="G28" s="88">
        <f>G6-G14-G16/L12</f>
        <v>1698.6687148983697</v>
      </c>
      <c r="H28" s="88"/>
      <c r="K28" t="s">
        <v>23</v>
      </c>
      <c r="L28">
        <f>20</f>
        <v>20</v>
      </c>
    </row>
    <row r="29" spans="1:12" x14ac:dyDescent="0.3">
      <c r="A29" t="s">
        <v>6</v>
      </c>
      <c r="C29" s="88">
        <f>C28-Dairy_Income_Baseline!C29</f>
        <v>1329.2916527127579</v>
      </c>
      <c r="D29" s="88"/>
      <c r="E29" s="88">
        <f>E28-Dairy_Income_Baseline!D29</f>
        <v>-434.18421162459117</v>
      </c>
      <c r="F29" s="88"/>
      <c r="G29" s="27">
        <f>G28-Dairy_Income_Baseline!D29</f>
        <v>1012.2573396716446</v>
      </c>
    </row>
    <row r="30" spans="1:12" x14ac:dyDescent="0.3">
      <c r="C30" s="91"/>
      <c r="D30" s="91"/>
      <c r="E30" s="91"/>
      <c r="F30" s="91"/>
      <c r="K30" t="s">
        <v>25</v>
      </c>
      <c r="L30" s="17">
        <f>0.25*L17*'[1]Sensitiity analysis'!$C$4</f>
        <v>0.31928914881116705</v>
      </c>
    </row>
    <row r="31" spans="1:12" x14ac:dyDescent="0.3">
      <c r="A31" s="90" t="s">
        <v>57</v>
      </c>
      <c r="B31" s="90"/>
      <c r="C31" s="90"/>
      <c r="D31" s="90"/>
      <c r="E31" s="90"/>
      <c r="F31" s="90"/>
      <c r="G31" s="90"/>
      <c r="K31" t="s">
        <v>24</v>
      </c>
      <c r="L31" s="17">
        <f>0.21*L17*'[1]Sensitiity analysis'!$C$5</f>
        <v>0.26820288500138029</v>
      </c>
    </row>
    <row r="32" spans="1:12" x14ac:dyDescent="0.3">
      <c r="A32" t="s">
        <v>58</v>
      </c>
      <c r="C32" s="91"/>
      <c r="D32" s="91"/>
      <c r="E32" s="91"/>
      <c r="F32" s="91"/>
    </row>
    <row r="33" spans="1:12" x14ac:dyDescent="0.3">
      <c r="A33" t="s">
        <v>16</v>
      </c>
      <c r="C33" s="92">
        <f>Dairy_Income_Baseline!E37</f>
        <v>1.0344968421481813</v>
      </c>
      <c r="D33" s="92"/>
      <c r="E33" s="92">
        <f>Dairy_Income_Baseline!C37</f>
        <v>0.1404872254769135</v>
      </c>
      <c r="F33" s="92"/>
      <c r="G33" s="44">
        <f>Dairy_Income_Baseline!E37</f>
        <v>1.0344968421481813</v>
      </c>
      <c r="K33" t="s">
        <v>26</v>
      </c>
      <c r="L33">
        <v>13</v>
      </c>
    </row>
    <row r="34" spans="1:12" x14ac:dyDescent="0.3">
      <c r="C34" s="91"/>
      <c r="D34" s="91"/>
      <c r="E34" s="91"/>
      <c r="F34" s="91"/>
      <c r="K34" t="s">
        <v>48</v>
      </c>
      <c r="L34">
        <v>5</v>
      </c>
    </row>
    <row r="35" spans="1:12" x14ac:dyDescent="0.3">
      <c r="A35" t="s">
        <v>0</v>
      </c>
      <c r="C35" s="88">
        <f>Dairy_Income_Baseline!C39</f>
        <v>100.89537102432878</v>
      </c>
      <c r="D35" s="88"/>
      <c r="E35" s="88">
        <f>Dairy_Income_Baseline!C39</f>
        <v>100.89537102432878</v>
      </c>
      <c r="F35" s="88"/>
      <c r="G35" s="27">
        <f>Dairy_Income_Baseline!E39</f>
        <v>84.930913583770433</v>
      </c>
    </row>
    <row r="36" spans="1:12" x14ac:dyDescent="0.3">
      <c r="A36" t="s">
        <v>1</v>
      </c>
      <c r="C36" s="88">
        <f>Dairy_Income_Baseline!E40</f>
        <v>61.942094869366407</v>
      </c>
      <c r="D36" s="88"/>
      <c r="E36" s="88">
        <f>Dairy_Income_Baseline!C40</f>
        <v>38.825560495437912</v>
      </c>
      <c r="F36" s="88"/>
      <c r="G36" s="27">
        <f>Dairy_Income_Baseline!E40</f>
        <v>61.942094869366407</v>
      </c>
      <c r="K36" t="s">
        <v>30</v>
      </c>
      <c r="L36" s="41">
        <f>Dairy_Income_Baseline!L37</f>
        <v>225.71</v>
      </c>
    </row>
    <row r="37" spans="1:12" x14ac:dyDescent="0.3">
      <c r="A37" t="s">
        <v>2</v>
      </c>
      <c r="C37" s="88">
        <f>Dairy_Income_Baseline!E41</f>
        <v>10.983546719104146</v>
      </c>
      <c r="D37" s="88"/>
      <c r="E37" s="88">
        <f>Dairy_Income_Baseline!C41</f>
        <v>17.497045354851952</v>
      </c>
      <c r="F37" s="88"/>
      <c r="G37" s="27">
        <f>Dairy_Income_Baseline!E41</f>
        <v>10.983546719104146</v>
      </c>
      <c r="K37" t="s">
        <v>21</v>
      </c>
      <c r="L37" s="17">
        <f>Dairy_Income_Baseline!L38</f>
        <v>0.80066305536804105</v>
      </c>
    </row>
    <row r="38" spans="1:12" x14ac:dyDescent="0.3">
      <c r="A38" t="s">
        <v>5</v>
      </c>
      <c r="C38" s="88">
        <f>Dairy_Income_Baseline!E42</f>
        <v>3.1928914881116706</v>
      </c>
      <c r="D38" s="88"/>
      <c r="E38" s="88">
        <f>Dairy_Income_Baseline!C42</f>
        <v>1.404872254769135</v>
      </c>
      <c r="F38" s="88"/>
      <c r="G38" s="27">
        <f>Dairy_Income_Baseline!E42</f>
        <v>3.1928914881116706</v>
      </c>
      <c r="K38" t="s">
        <v>31</v>
      </c>
      <c r="L38" s="41">
        <f>Dairy_Income_Baseline!L39</f>
        <v>146.02000000000001</v>
      </c>
    </row>
    <row r="39" spans="1:12" x14ac:dyDescent="0.3">
      <c r="A39" t="s">
        <v>3</v>
      </c>
      <c r="C39" s="88">
        <f>[3]NPV_Baseline!E47</f>
        <v>0</v>
      </c>
      <c r="D39" s="88"/>
      <c r="E39" s="88">
        <f>Dairy_Income_Baseline!C43</f>
        <v>0</v>
      </c>
      <c r="F39" s="88"/>
      <c r="G39" s="27">
        <f>Dairy_Income_Baseline!E43</f>
        <v>0</v>
      </c>
      <c r="K39" t="s">
        <v>21</v>
      </c>
      <c r="L39" s="17">
        <f>Dairy_Income_Baseline!L40</f>
        <v>1.3320842997929254</v>
      </c>
    </row>
    <row r="40" spans="1:12" x14ac:dyDescent="0.3">
      <c r="C40" s="91"/>
      <c r="D40" s="91"/>
      <c r="E40" s="91"/>
      <c r="F40" s="91"/>
    </row>
    <row r="41" spans="1:12" x14ac:dyDescent="0.3">
      <c r="B41" s="90" t="s">
        <v>59</v>
      </c>
      <c r="C41" s="90"/>
      <c r="D41" s="90"/>
      <c r="E41" s="90"/>
      <c r="F41" s="90"/>
      <c r="G41" s="90"/>
    </row>
    <row r="42" spans="1:12" x14ac:dyDescent="0.3">
      <c r="A42" t="s">
        <v>9</v>
      </c>
      <c r="C42" s="89">
        <f ca="1">_xlfn.NORM.INV(RAND(),C3,C33)</f>
        <v>-0.22516444212146014</v>
      </c>
      <c r="D42" s="89"/>
      <c r="E42" s="89">
        <f ca="1">_xlfn.NORM.INV(RAND(),E3,E33)</f>
        <v>0.38532826921740221</v>
      </c>
      <c r="F42" s="89"/>
      <c r="G42" s="17">
        <f ca="1">_xlfn.NORM.INV(RAND(),G3,G33)</f>
        <v>4.9943144161298858E-2</v>
      </c>
    </row>
    <row r="43" spans="1:12" x14ac:dyDescent="0.3">
      <c r="A43" t="s">
        <v>104</v>
      </c>
      <c r="C43" s="89">
        <f ca="1">_xlfn.NORM.INV(RAND(),C4,C4*L22)</f>
        <v>2493.1842492981114</v>
      </c>
      <c r="D43" s="89"/>
      <c r="E43" s="89">
        <f ca="1">_xlfn.NORM.INV(RAND(),E4,E4*L22)</f>
        <v>870.96353780485276</v>
      </c>
      <c r="F43" s="89"/>
      <c r="G43" s="81">
        <f ca="1">_xlfn.NORM.INV(RAND(),G4,G4*L22)</f>
        <v>2887.0835245202347</v>
      </c>
      <c r="H43" s="81"/>
    </row>
    <row r="44" spans="1:12" x14ac:dyDescent="0.3">
      <c r="C44" s="91"/>
      <c r="D44" s="91"/>
      <c r="E44" s="91"/>
      <c r="F44" s="91"/>
    </row>
    <row r="45" spans="1:12" x14ac:dyDescent="0.3">
      <c r="A45" t="s">
        <v>10</v>
      </c>
      <c r="C45" s="88">
        <f ca="1">_xlfn.NORM.INV(RAND(),C9,C35)</f>
        <v>254.4325603208153</v>
      </c>
      <c r="D45" s="88"/>
      <c r="E45" s="88">
        <f ca="1">_xlfn.NORM.INV(RAND(),E9,E35)</f>
        <v>180.58891049892677</v>
      </c>
      <c r="F45" s="88"/>
      <c r="G45" s="27">
        <f ca="1">_xlfn.NORM.INV(RAND(),G9,G35)</f>
        <v>455.32801156549925</v>
      </c>
    </row>
    <row r="46" spans="1:12" x14ac:dyDescent="0.3">
      <c r="A46" t="s">
        <v>1</v>
      </c>
      <c r="C46" s="88">
        <f ca="1">_xlfn.NORM.INV(RAND(),C10,C36)</f>
        <v>-111.12224117642546</v>
      </c>
      <c r="D46" s="88"/>
      <c r="E46" s="88">
        <f ca="1">_xlfn.NORM.INV(RAND(),E10,E36)</f>
        <v>23.060157698084712</v>
      </c>
      <c r="F46" s="88"/>
      <c r="G46" s="27">
        <f ca="1">_xlfn.NORM.INV(RAND(),G10,G36)</f>
        <v>-3.3647440834355242</v>
      </c>
    </row>
    <row r="47" spans="1:12" x14ac:dyDescent="0.3">
      <c r="A47" t="s">
        <v>2</v>
      </c>
      <c r="C47" s="88">
        <f ca="1">_xlfn.NORM.INV(RAND(),C11,C37)</f>
        <v>16.139512569875706</v>
      </c>
      <c r="D47" s="88"/>
      <c r="E47" s="88">
        <f ca="1">_xlfn.NORM.INV(RAND(),E11,E37)</f>
        <v>1.7418845067531255</v>
      </c>
      <c r="F47" s="88"/>
      <c r="G47" s="27">
        <f ca="1">_xlfn.NORM.INV(RAND(),G11,G37)</f>
        <v>2.2840684206841217</v>
      </c>
    </row>
    <row r="48" spans="1:12" x14ac:dyDescent="0.3">
      <c r="A48" t="s">
        <v>12</v>
      </c>
      <c r="C48" s="88">
        <f ca="1">_xlfn.NORM.INV(RAND(),C12,C38)</f>
        <v>-2.7835849944090785</v>
      </c>
      <c r="D48" s="88"/>
      <c r="E48" s="88">
        <f ca="1">_xlfn.NORM.INV(RAND(),E12,E38)</f>
        <v>-1.3674351349200473</v>
      </c>
      <c r="F48" s="88"/>
      <c r="G48" s="27">
        <f ca="1">_xlfn.NORM.INV(RAND(),G12,G38)</f>
        <v>-2.2960487154138396</v>
      </c>
    </row>
    <row r="49" spans="1:7" x14ac:dyDescent="0.3">
      <c r="A49" t="s">
        <v>3</v>
      </c>
      <c r="C49" s="88">
        <v>1E-4</v>
      </c>
      <c r="D49" s="88"/>
      <c r="E49" s="88">
        <v>1E-4</v>
      </c>
      <c r="F49" s="88"/>
      <c r="G49" s="27">
        <v>1E-4</v>
      </c>
    </row>
    <row r="50" spans="1:7" x14ac:dyDescent="0.3">
      <c r="C50" s="89"/>
      <c r="D50" s="89"/>
      <c r="E50" s="89"/>
      <c r="F50" s="89"/>
      <c r="G50" s="17"/>
    </row>
    <row r="51" spans="1:7" x14ac:dyDescent="0.3">
      <c r="A51" t="s">
        <v>17</v>
      </c>
      <c r="C51" s="88">
        <f ca="1">SUM(C45:C49)</f>
        <v>156.66634671985648</v>
      </c>
      <c r="D51" s="88"/>
      <c r="E51" s="88">
        <f ca="1">SUM(E45:E49)</f>
        <v>204.02361756884457</v>
      </c>
      <c r="F51" s="88"/>
      <c r="G51" s="27">
        <f ca="1">SUM(G45:G49)</f>
        <v>451.95138718733398</v>
      </c>
    </row>
    <row r="52" spans="1:7" x14ac:dyDescent="0.3">
      <c r="C52" s="88"/>
      <c r="D52" s="88"/>
      <c r="E52" s="88"/>
      <c r="F52" s="88"/>
      <c r="G52" s="27"/>
    </row>
    <row r="53" spans="1:7" x14ac:dyDescent="0.3">
      <c r="A53" s="2" t="s">
        <v>45</v>
      </c>
      <c r="C53" s="88">
        <f ca="1">C42*C43-C51</f>
        <v>-718.04278731907709</v>
      </c>
      <c r="D53" s="88"/>
      <c r="E53" s="88">
        <f ca="1">E42*E43-E51</f>
        <v>131.5832550049648</v>
      </c>
      <c r="F53" s="88"/>
      <c r="G53" s="27">
        <f ca="1">G42*G43-G51</f>
        <v>-307.76135851650906</v>
      </c>
    </row>
    <row r="54" spans="1:7" x14ac:dyDescent="0.3">
      <c r="A54" s="2"/>
      <c r="C54" s="88"/>
      <c r="D54" s="88"/>
      <c r="E54" s="88"/>
      <c r="F54" s="88"/>
      <c r="G54" s="27"/>
    </row>
    <row r="55" spans="1:7" x14ac:dyDescent="0.3">
      <c r="A55" s="2" t="s">
        <v>13</v>
      </c>
      <c r="C55" s="88">
        <f ca="1">AVERAGE(C59:C558)</f>
        <v>913.39392221791616</v>
      </c>
      <c r="D55" s="88"/>
      <c r="E55" s="88">
        <f ca="1">AVERAGE(E59:E558)</f>
        <v>5.0672285653061993</v>
      </c>
      <c r="F55" s="88"/>
      <c r="G55" s="27">
        <f ca="1">AVERAGE(G59:G558)</f>
        <v>953.37926998125261</v>
      </c>
    </row>
    <row r="56" spans="1:7" x14ac:dyDescent="0.3">
      <c r="A56" s="2" t="s">
        <v>11</v>
      </c>
      <c r="C56" s="88">
        <f ca="1">STDEVA(C59:C558)</f>
        <v>329.142684091371</v>
      </c>
      <c r="D56" s="88"/>
      <c r="E56" s="88">
        <f t="shared" ref="E56:G56" ca="1" si="0">STDEVA(E59:E558)</f>
        <v>27.17820831127468</v>
      </c>
      <c r="F56" s="88"/>
      <c r="G56" s="27">
        <f t="shared" ca="1" si="0"/>
        <v>301.14660119113933</v>
      </c>
    </row>
    <row r="57" spans="1:7" x14ac:dyDescent="0.3">
      <c r="C57" s="91"/>
      <c r="D57" s="91"/>
      <c r="E57" s="91"/>
      <c r="F57" s="91"/>
    </row>
    <row r="58" spans="1:7" x14ac:dyDescent="0.3">
      <c r="A58" s="2" t="s">
        <v>60</v>
      </c>
      <c r="C58" s="91"/>
      <c r="D58" s="91"/>
      <c r="E58" s="91"/>
      <c r="F58" s="91"/>
    </row>
    <row r="59" spans="1:7" x14ac:dyDescent="0.3">
      <c r="B59" s="43">
        <v>1</v>
      </c>
      <c r="C59" s="47">
        <f ca="1">C53</f>
        <v>-718.04278731907709</v>
      </c>
      <c r="D59" s="43">
        <v>1</v>
      </c>
      <c r="E59" s="47">
        <f ca="1">E53</f>
        <v>131.5832550049648</v>
      </c>
      <c r="F59" s="43">
        <v>1</v>
      </c>
      <c r="G59" s="47">
        <f ca="1">G53</f>
        <v>-307.76135851650906</v>
      </c>
    </row>
    <row r="60" spans="1:7" x14ac:dyDescent="0.3">
      <c r="B60" s="43">
        <v>2</v>
      </c>
      <c r="C60" s="47">
        <v>1209.4952966448632</v>
      </c>
      <c r="D60" s="43">
        <v>2</v>
      </c>
      <c r="E60" s="47">
        <v>16.897338719107275</v>
      </c>
      <c r="F60" s="43">
        <v>2</v>
      </c>
      <c r="G60" s="47">
        <v>865.1234896150188</v>
      </c>
    </row>
    <row r="61" spans="1:7" x14ac:dyDescent="0.3">
      <c r="B61" s="43">
        <v>3</v>
      </c>
      <c r="C61" s="47">
        <v>1186.7130195034872</v>
      </c>
      <c r="D61" s="43">
        <v>3</v>
      </c>
      <c r="E61" s="47">
        <v>18.978332557209583</v>
      </c>
      <c r="F61" s="43">
        <v>3</v>
      </c>
      <c r="G61" s="47">
        <v>523.12439385596622</v>
      </c>
    </row>
    <row r="62" spans="1:7" x14ac:dyDescent="0.3">
      <c r="B62" s="43">
        <v>4</v>
      </c>
      <c r="C62" s="47">
        <v>820.72535683923979</v>
      </c>
      <c r="D62" s="43">
        <v>4</v>
      </c>
      <c r="E62" s="47">
        <v>-27.106683249287055</v>
      </c>
      <c r="F62" s="43">
        <v>4</v>
      </c>
      <c r="G62" s="47">
        <v>516.50034654640172</v>
      </c>
    </row>
    <row r="63" spans="1:7" x14ac:dyDescent="0.3">
      <c r="B63" s="43">
        <v>5</v>
      </c>
      <c r="C63" s="47">
        <v>1210.4157675146328</v>
      </c>
      <c r="D63" s="43">
        <v>5</v>
      </c>
      <c r="E63" s="47">
        <v>-35.098900314270324</v>
      </c>
      <c r="F63" s="43">
        <v>5</v>
      </c>
      <c r="G63" s="47">
        <v>980.63671420511548</v>
      </c>
    </row>
    <row r="64" spans="1:7" x14ac:dyDescent="0.3">
      <c r="B64" s="43">
        <v>6</v>
      </c>
      <c r="C64" s="47">
        <v>947.52778460506829</v>
      </c>
      <c r="D64" s="43">
        <v>6</v>
      </c>
      <c r="E64" s="47">
        <v>-31.200278662505191</v>
      </c>
      <c r="F64" s="43">
        <v>6</v>
      </c>
      <c r="G64" s="47">
        <v>384.41391091878461</v>
      </c>
    </row>
    <row r="65" spans="2:7" x14ac:dyDescent="0.3">
      <c r="B65" s="43">
        <v>7</v>
      </c>
      <c r="C65" s="47">
        <v>1024.1315482223436</v>
      </c>
      <c r="D65" s="43">
        <v>7</v>
      </c>
      <c r="E65" s="47">
        <v>5.0255574541282897</v>
      </c>
      <c r="F65" s="43">
        <v>7</v>
      </c>
      <c r="G65" s="47">
        <v>1343.663099956223</v>
      </c>
    </row>
    <row r="66" spans="2:7" x14ac:dyDescent="0.3">
      <c r="B66" s="43">
        <v>8</v>
      </c>
      <c r="C66" s="47">
        <v>1119.9710307193802</v>
      </c>
      <c r="D66" s="43">
        <v>8</v>
      </c>
      <c r="E66" s="47">
        <v>9.1847972174788293</v>
      </c>
      <c r="F66" s="43">
        <v>8</v>
      </c>
      <c r="G66" s="47">
        <v>1127.1204589317226</v>
      </c>
    </row>
    <row r="67" spans="2:7" x14ac:dyDescent="0.3">
      <c r="B67" s="43">
        <v>9</v>
      </c>
      <c r="C67" s="47">
        <v>666.33041479699125</v>
      </c>
      <c r="D67" s="43">
        <v>9</v>
      </c>
      <c r="E67" s="47">
        <v>16.599483870973806</v>
      </c>
      <c r="F67" s="43">
        <v>9</v>
      </c>
      <c r="G67" s="47">
        <v>691.74182902573648</v>
      </c>
    </row>
    <row r="68" spans="2:7" x14ac:dyDescent="0.3">
      <c r="B68" s="43">
        <v>10</v>
      </c>
      <c r="C68" s="47">
        <v>1226.6847517507836</v>
      </c>
      <c r="D68" s="43">
        <v>10</v>
      </c>
      <c r="E68" s="47">
        <v>-27.508891795380116</v>
      </c>
      <c r="F68" s="43">
        <v>10</v>
      </c>
      <c r="G68" s="47">
        <v>932.29781960479943</v>
      </c>
    </row>
    <row r="69" spans="2:7" x14ac:dyDescent="0.3">
      <c r="B69" s="43">
        <v>11</v>
      </c>
      <c r="C69" s="47">
        <v>1249.6585939020363</v>
      </c>
      <c r="D69" s="43">
        <v>11</v>
      </c>
      <c r="E69" s="47">
        <v>-35.514515638129609</v>
      </c>
      <c r="F69" s="43">
        <v>11</v>
      </c>
      <c r="G69" s="47">
        <v>1055.6529185683773</v>
      </c>
    </row>
    <row r="70" spans="2:7" x14ac:dyDescent="0.3">
      <c r="B70" s="43">
        <v>12</v>
      </c>
      <c r="C70" s="47">
        <v>1166.5889077924546</v>
      </c>
      <c r="D70" s="43">
        <v>12</v>
      </c>
      <c r="E70" s="47">
        <v>-24.362573399099258</v>
      </c>
      <c r="F70" s="43">
        <v>12</v>
      </c>
      <c r="G70" s="47">
        <v>781.99850561361779</v>
      </c>
    </row>
    <row r="71" spans="2:7" x14ac:dyDescent="0.3">
      <c r="B71" s="43">
        <v>13</v>
      </c>
      <c r="C71" s="47">
        <v>1381.3500634870211</v>
      </c>
      <c r="D71" s="43">
        <v>13</v>
      </c>
      <c r="E71" s="47">
        <v>16.121409422599221</v>
      </c>
      <c r="F71" s="43">
        <v>13</v>
      </c>
      <c r="G71" s="47">
        <v>930.40554785693655</v>
      </c>
    </row>
    <row r="72" spans="2:7" x14ac:dyDescent="0.3">
      <c r="B72" s="43">
        <v>14</v>
      </c>
      <c r="C72" s="47">
        <v>1129.5540082589428</v>
      </c>
      <c r="D72" s="43">
        <v>14</v>
      </c>
      <c r="E72" s="47">
        <v>14.8053371346733</v>
      </c>
      <c r="F72" s="43">
        <v>14</v>
      </c>
      <c r="G72" s="47">
        <v>750.10294191409287</v>
      </c>
    </row>
    <row r="73" spans="2:7" x14ac:dyDescent="0.3">
      <c r="B73" s="43">
        <v>15</v>
      </c>
      <c r="C73" s="47">
        <v>762.18801997198557</v>
      </c>
      <c r="D73" s="43">
        <v>15</v>
      </c>
      <c r="E73" s="47">
        <v>-66.833002667694657</v>
      </c>
      <c r="F73" s="43">
        <v>15</v>
      </c>
      <c r="G73" s="47">
        <v>1182.2051368827199</v>
      </c>
    </row>
    <row r="74" spans="2:7" x14ac:dyDescent="0.3">
      <c r="B74" s="43">
        <v>16</v>
      </c>
      <c r="C74" s="47">
        <v>1177.3221948040659</v>
      </c>
      <c r="D74" s="43">
        <v>16</v>
      </c>
      <c r="E74" s="47">
        <v>-27.66827756007865</v>
      </c>
      <c r="F74" s="43">
        <v>16</v>
      </c>
      <c r="G74" s="47">
        <v>1299.9759430950708</v>
      </c>
    </row>
    <row r="75" spans="2:7" x14ac:dyDescent="0.3">
      <c r="B75" s="43">
        <v>17</v>
      </c>
      <c r="C75" s="47">
        <v>1179.4517266819416</v>
      </c>
      <c r="D75" s="43">
        <v>17</v>
      </c>
      <c r="E75" s="47">
        <v>30.757133812697411</v>
      </c>
      <c r="F75" s="43">
        <v>17</v>
      </c>
      <c r="G75" s="47">
        <v>1202.9093687683496</v>
      </c>
    </row>
    <row r="76" spans="2:7" x14ac:dyDescent="0.3">
      <c r="B76" s="43">
        <v>18</v>
      </c>
      <c r="C76" s="47">
        <v>1213.7391404099649</v>
      </c>
      <c r="D76" s="43">
        <v>18</v>
      </c>
      <c r="E76" s="47">
        <v>2.5776787173358331</v>
      </c>
      <c r="F76" s="43">
        <v>18</v>
      </c>
      <c r="G76" s="47">
        <v>1412.2582856418044</v>
      </c>
    </row>
    <row r="77" spans="2:7" x14ac:dyDescent="0.3">
      <c r="B77" s="43">
        <v>19</v>
      </c>
      <c r="C77" s="47">
        <v>900.89979484660876</v>
      </c>
      <c r="D77" s="43">
        <v>19</v>
      </c>
      <c r="E77" s="47">
        <v>-36.84583950358374</v>
      </c>
      <c r="F77" s="43">
        <v>19</v>
      </c>
      <c r="G77" s="47">
        <v>1057.4108865045853</v>
      </c>
    </row>
    <row r="78" spans="2:7" x14ac:dyDescent="0.3">
      <c r="B78" s="43">
        <v>20</v>
      </c>
      <c r="C78" s="47">
        <v>1160.0167785167996</v>
      </c>
      <c r="D78" s="43">
        <v>20</v>
      </c>
      <c r="E78" s="47">
        <v>21.5163673471782</v>
      </c>
      <c r="F78" s="43">
        <v>20</v>
      </c>
      <c r="G78" s="47">
        <v>1108.0554288833375</v>
      </c>
    </row>
    <row r="79" spans="2:7" x14ac:dyDescent="0.3">
      <c r="B79" s="43">
        <v>21</v>
      </c>
      <c r="C79" s="47">
        <v>831.40458592802565</v>
      </c>
      <c r="D79" s="43">
        <v>21</v>
      </c>
      <c r="E79" s="47">
        <v>-6.6846700134803978</v>
      </c>
      <c r="F79" s="43">
        <v>21</v>
      </c>
      <c r="G79" s="47">
        <v>1002.8450792242193</v>
      </c>
    </row>
    <row r="80" spans="2:7" x14ac:dyDescent="0.3">
      <c r="B80" s="43">
        <v>22</v>
      </c>
      <c r="C80" s="47">
        <v>221.74649875096907</v>
      </c>
      <c r="D80" s="43">
        <v>22</v>
      </c>
      <c r="E80" s="47">
        <v>-22.011912363996323</v>
      </c>
      <c r="F80" s="43">
        <v>22</v>
      </c>
      <c r="G80" s="47">
        <v>1282.6313980957455</v>
      </c>
    </row>
    <row r="81" spans="2:7" x14ac:dyDescent="0.3">
      <c r="B81" s="43">
        <v>23</v>
      </c>
      <c r="C81" s="47">
        <v>-9.6639510512115372</v>
      </c>
      <c r="D81" s="43">
        <v>23</v>
      </c>
      <c r="E81" s="47">
        <v>12.384778359522192</v>
      </c>
      <c r="F81" s="43">
        <v>23</v>
      </c>
      <c r="G81" s="47">
        <v>1190.0342921657129</v>
      </c>
    </row>
    <row r="82" spans="2:7" x14ac:dyDescent="0.3">
      <c r="B82" s="43">
        <v>24</v>
      </c>
      <c r="C82" s="47">
        <v>607.83108065473994</v>
      </c>
      <c r="D82" s="43">
        <v>24</v>
      </c>
      <c r="E82" s="47">
        <v>0.91531611636099797</v>
      </c>
      <c r="F82" s="43">
        <v>24</v>
      </c>
      <c r="G82" s="47">
        <v>411.96690151183657</v>
      </c>
    </row>
    <row r="83" spans="2:7" x14ac:dyDescent="0.3">
      <c r="B83" s="43">
        <v>25</v>
      </c>
      <c r="C83" s="47">
        <v>678.85784081033944</v>
      </c>
      <c r="D83" s="43">
        <v>25</v>
      </c>
      <c r="E83" s="47">
        <v>7.3912764947893566</v>
      </c>
      <c r="F83" s="43">
        <v>25</v>
      </c>
      <c r="G83" s="47">
        <v>1066.8949173269546</v>
      </c>
    </row>
    <row r="84" spans="2:7" x14ac:dyDescent="0.3">
      <c r="B84" s="43">
        <v>26</v>
      </c>
      <c r="C84" s="47">
        <v>1455.6759445345504</v>
      </c>
      <c r="D84" s="43">
        <v>26</v>
      </c>
      <c r="E84" s="47">
        <v>-18.530417954738819</v>
      </c>
      <c r="F84" s="43">
        <v>26</v>
      </c>
      <c r="G84" s="47">
        <v>1140.1419089352407</v>
      </c>
    </row>
    <row r="85" spans="2:7" x14ac:dyDescent="0.3">
      <c r="B85" s="43">
        <v>27</v>
      </c>
      <c r="C85" s="47">
        <v>1380.5071275197938</v>
      </c>
      <c r="D85" s="43">
        <v>27</v>
      </c>
      <c r="E85" s="47">
        <v>33.807460259872123</v>
      </c>
      <c r="F85" s="43">
        <v>27</v>
      </c>
      <c r="G85" s="47">
        <v>637.78174296784209</v>
      </c>
    </row>
    <row r="86" spans="2:7" x14ac:dyDescent="0.3">
      <c r="B86" s="43">
        <v>28</v>
      </c>
      <c r="C86" s="47">
        <v>1162.0293273103428</v>
      </c>
      <c r="D86" s="43">
        <v>28</v>
      </c>
      <c r="E86" s="47">
        <v>15.600960750333323</v>
      </c>
      <c r="F86" s="43">
        <v>28</v>
      </c>
      <c r="G86" s="47">
        <v>928.36119726099207</v>
      </c>
    </row>
    <row r="87" spans="2:7" x14ac:dyDescent="0.3">
      <c r="B87" s="43">
        <v>29</v>
      </c>
      <c r="C87" s="47">
        <v>1350.9985335512868</v>
      </c>
      <c r="D87" s="43">
        <v>29</v>
      </c>
      <c r="E87" s="47">
        <v>31.158189323201533</v>
      </c>
      <c r="F87" s="43">
        <v>29</v>
      </c>
      <c r="G87" s="47">
        <v>1093.9754773622415</v>
      </c>
    </row>
    <row r="88" spans="2:7" x14ac:dyDescent="0.3">
      <c r="B88" s="43">
        <v>30</v>
      </c>
      <c r="C88" s="47">
        <v>1450.7591381611071</v>
      </c>
      <c r="D88" s="43">
        <v>30</v>
      </c>
      <c r="E88" s="47">
        <v>16.261160694350753</v>
      </c>
      <c r="F88" s="43">
        <v>30</v>
      </c>
      <c r="G88" s="47">
        <v>829.55348478830274</v>
      </c>
    </row>
    <row r="89" spans="2:7" x14ac:dyDescent="0.3">
      <c r="B89" s="43">
        <v>31</v>
      </c>
      <c r="C89" s="47">
        <v>1476.6638892010778</v>
      </c>
      <c r="D89" s="43">
        <v>31</v>
      </c>
      <c r="E89" s="47">
        <v>-8.9753237975822309</v>
      </c>
      <c r="F89" s="43">
        <v>31</v>
      </c>
      <c r="G89" s="47">
        <v>1017.7048296638255</v>
      </c>
    </row>
    <row r="90" spans="2:7" x14ac:dyDescent="0.3">
      <c r="B90" s="43">
        <v>32</v>
      </c>
      <c r="C90" s="47">
        <v>313.09294815286671</v>
      </c>
      <c r="D90" s="43">
        <v>32</v>
      </c>
      <c r="E90" s="47">
        <v>9.2284060111189472</v>
      </c>
      <c r="F90" s="43">
        <v>32</v>
      </c>
      <c r="G90" s="47">
        <v>1501.4341670398705</v>
      </c>
    </row>
    <row r="91" spans="2:7" x14ac:dyDescent="0.3">
      <c r="B91" s="43">
        <v>33</v>
      </c>
      <c r="C91" s="47">
        <v>883.92533028764683</v>
      </c>
      <c r="D91" s="43">
        <v>33</v>
      </c>
      <c r="E91" s="47">
        <v>-17.563965331955682</v>
      </c>
      <c r="F91" s="43">
        <v>33</v>
      </c>
      <c r="G91" s="47">
        <v>961.19900303985742</v>
      </c>
    </row>
    <row r="92" spans="2:7" x14ac:dyDescent="0.3">
      <c r="B92" s="43">
        <v>34</v>
      </c>
      <c r="C92" s="47">
        <v>402.80922950868398</v>
      </c>
      <c r="D92" s="43">
        <v>34</v>
      </c>
      <c r="E92" s="47">
        <v>7.8238944678713533</v>
      </c>
      <c r="F92" s="43">
        <v>34</v>
      </c>
      <c r="G92" s="47">
        <v>226.56066703606075</v>
      </c>
    </row>
    <row r="93" spans="2:7" x14ac:dyDescent="0.3">
      <c r="B93" s="43">
        <v>35</v>
      </c>
      <c r="C93" s="47">
        <v>715.29931948456851</v>
      </c>
      <c r="D93" s="43">
        <v>35</v>
      </c>
      <c r="E93" s="47">
        <v>19.593617077505947</v>
      </c>
      <c r="F93" s="43">
        <v>35</v>
      </c>
      <c r="G93" s="47">
        <v>1316.7439423079456</v>
      </c>
    </row>
    <row r="94" spans="2:7" x14ac:dyDescent="0.3">
      <c r="B94" s="43">
        <v>36</v>
      </c>
      <c r="C94" s="47">
        <v>747.14032700888606</v>
      </c>
      <c r="D94" s="43">
        <v>36</v>
      </c>
      <c r="E94" s="47">
        <v>-27.146026731874677</v>
      </c>
      <c r="F94" s="43">
        <v>36</v>
      </c>
      <c r="G94" s="47">
        <v>477.52188501798764</v>
      </c>
    </row>
    <row r="95" spans="2:7" x14ac:dyDescent="0.3">
      <c r="B95" s="43">
        <v>37</v>
      </c>
      <c r="C95" s="47">
        <v>558.98112623988595</v>
      </c>
      <c r="D95" s="43">
        <v>37</v>
      </c>
      <c r="E95" s="47">
        <v>-2.3326565537794535</v>
      </c>
      <c r="F95" s="43">
        <v>37</v>
      </c>
      <c r="G95" s="47">
        <v>1370.6996142954533</v>
      </c>
    </row>
    <row r="96" spans="2:7" x14ac:dyDescent="0.3">
      <c r="B96" s="43">
        <v>38</v>
      </c>
      <c r="C96" s="47">
        <v>1357.2967622645087</v>
      </c>
      <c r="D96" s="43">
        <v>38</v>
      </c>
      <c r="E96" s="47">
        <v>1.2382150841169388</v>
      </c>
      <c r="F96" s="43">
        <v>38</v>
      </c>
      <c r="G96" s="47">
        <v>522.31991149746693</v>
      </c>
    </row>
    <row r="97" spans="2:7" x14ac:dyDescent="0.3">
      <c r="B97" s="43">
        <v>39</v>
      </c>
      <c r="C97" s="47">
        <v>797.62869832115734</v>
      </c>
      <c r="D97" s="43">
        <v>39</v>
      </c>
      <c r="E97" s="47">
        <v>57.206855998436708</v>
      </c>
      <c r="F97" s="43">
        <v>39</v>
      </c>
      <c r="G97" s="47">
        <v>967.66170857237614</v>
      </c>
    </row>
    <row r="98" spans="2:7" x14ac:dyDescent="0.3">
      <c r="B98" s="43">
        <v>40</v>
      </c>
      <c r="C98" s="47">
        <v>931.80562886498683</v>
      </c>
      <c r="D98" s="43">
        <v>40</v>
      </c>
      <c r="E98" s="47">
        <v>8.8690550986894383</v>
      </c>
      <c r="F98" s="43">
        <v>40</v>
      </c>
      <c r="G98" s="47">
        <v>405.1311323091943</v>
      </c>
    </row>
    <row r="99" spans="2:7" x14ac:dyDescent="0.3">
      <c r="B99" s="43">
        <v>41</v>
      </c>
      <c r="C99" s="47">
        <v>749.9979817653043</v>
      </c>
      <c r="D99" s="43">
        <v>41</v>
      </c>
      <c r="E99" s="47">
        <v>-34.397344137769196</v>
      </c>
      <c r="F99" s="43">
        <v>41</v>
      </c>
      <c r="G99" s="47">
        <v>831.10881356069456</v>
      </c>
    </row>
    <row r="100" spans="2:7" x14ac:dyDescent="0.3">
      <c r="B100" s="43">
        <v>42</v>
      </c>
      <c r="C100" s="47">
        <v>167.28047393098871</v>
      </c>
      <c r="D100" s="43">
        <v>42</v>
      </c>
      <c r="E100" s="47">
        <v>14.334942554521884</v>
      </c>
      <c r="F100" s="43">
        <v>42</v>
      </c>
      <c r="G100" s="47">
        <v>1536.8803721511254</v>
      </c>
    </row>
    <row r="101" spans="2:7" x14ac:dyDescent="0.3">
      <c r="B101" s="43">
        <v>43</v>
      </c>
      <c r="C101" s="47">
        <v>956.45478166202372</v>
      </c>
      <c r="D101" s="43">
        <v>43</v>
      </c>
      <c r="E101" s="47">
        <v>74.270755643363685</v>
      </c>
      <c r="F101" s="43">
        <v>43</v>
      </c>
      <c r="G101" s="47">
        <v>1373.4869723832451</v>
      </c>
    </row>
    <row r="102" spans="2:7" x14ac:dyDescent="0.3">
      <c r="B102" s="43">
        <v>44</v>
      </c>
      <c r="C102" s="47">
        <v>1271.3166490067674</v>
      </c>
      <c r="D102" s="43">
        <v>44</v>
      </c>
      <c r="E102" s="47">
        <v>25.70664262821284</v>
      </c>
      <c r="F102" s="43">
        <v>44</v>
      </c>
      <c r="G102" s="47">
        <v>978.16512219341928</v>
      </c>
    </row>
    <row r="103" spans="2:7" x14ac:dyDescent="0.3">
      <c r="B103" s="43">
        <v>45</v>
      </c>
      <c r="C103" s="47">
        <v>979.38407626231401</v>
      </c>
      <c r="D103" s="43">
        <v>45</v>
      </c>
      <c r="E103" s="47">
        <v>-11.892870308425943</v>
      </c>
      <c r="F103" s="43">
        <v>45</v>
      </c>
      <c r="G103" s="47">
        <v>1154.3236462270168</v>
      </c>
    </row>
    <row r="104" spans="2:7" x14ac:dyDescent="0.3">
      <c r="B104" s="43">
        <v>46</v>
      </c>
      <c r="C104" s="47">
        <v>929.08506141047746</v>
      </c>
      <c r="D104" s="43">
        <v>46</v>
      </c>
      <c r="E104" s="47">
        <v>19.703740836944331</v>
      </c>
      <c r="F104" s="43">
        <v>46</v>
      </c>
      <c r="G104" s="47">
        <v>1556.3821089796543</v>
      </c>
    </row>
    <row r="105" spans="2:7" x14ac:dyDescent="0.3">
      <c r="B105" s="43">
        <v>47</v>
      </c>
      <c r="C105" s="47">
        <v>831.7725799215898</v>
      </c>
      <c r="D105" s="43">
        <v>47</v>
      </c>
      <c r="E105" s="47">
        <v>2.1422726837584607</v>
      </c>
      <c r="F105" s="43">
        <v>47</v>
      </c>
      <c r="G105" s="47">
        <v>1751.0910547307569</v>
      </c>
    </row>
    <row r="106" spans="2:7" x14ac:dyDescent="0.3">
      <c r="B106" s="43">
        <v>48</v>
      </c>
      <c r="C106" s="47">
        <v>1010.4880330779852</v>
      </c>
      <c r="D106" s="43">
        <v>48</v>
      </c>
      <c r="E106" s="47">
        <v>-31.700801565371524</v>
      </c>
      <c r="F106" s="43">
        <v>48</v>
      </c>
      <c r="G106" s="47">
        <v>862.3572144919201</v>
      </c>
    </row>
    <row r="107" spans="2:7" x14ac:dyDescent="0.3">
      <c r="B107" s="43">
        <v>49</v>
      </c>
      <c r="C107" s="47">
        <v>1361.9143937650808</v>
      </c>
      <c r="D107" s="43">
        <v>49</v>
      </c>
      <c r="E107" s="47">
        <v>-31.470174662267191</v>
      </c>
      <c r="F107" s="43">
        <v>49</v>
      </c>
      <c r="G107" s="47">
        <v>1128.457112082099</v>
      </c>
    </row>
    <row r="108" spans="2:7" x14ac:dyDescent="0.3">
      <c r="B108" s="43">
        <v>50</v>
      </c>
      <c r="C108" s="47">
        <v>713.55370421205521</v>
      </c>
      <c r="D108" s="43">
        <v>50</v>
      </c>
      <c r="E108" s="47">
        <v>5.5577871960849006</v>
      </c>
      <c r="F108" s="43">
        <v>50</v>
      </c>
      <c r="G108" s="47">
        <v>914.02160947698576</v>
      </c>
    </row>
    <row r="109" spans="2:7" x14ac:dyDescent="0.3">
      <c r="B109" s="43">
        <v>51</v>
      </c>
      <c r="C109" s="47">
        <v>519.34915563316792</v>
      </c>
      <c r="D109" s="43">
        <v>51</v>
      </c>
      <c r="E109" s="47">
        <v>23.055177238860285</v>
      </c>
      <c r="F109" s="43">
        <v>51</v>
      </c>
      <c r="G109" s="47">
        <v>835.429210975366</v>
      </c>
    </row>
    <row r="110" spans="2:7" x14ac:dyDescent="0.3">
      <c r="B110" s="43">
        <v>52</v>
      </c>
      <c r="C110" s="47">
        <v>340.50216008511507</v>
      </c>
      <c r="D110" s="43">
        <v>52</v>
      </c>
      <c r="E110" s="47">
        <v>10.048819808420712</v>
      </c>
      <c r="F110" s="43">
        <v>52</v>
      </c>
      <c r="G110" s="47">
        <v>1367.1050122545582</v>
      </c>
    </row>
    <row r="111" spans="2:7" x14ac:dyDescent="0.3">
      <c r="B111" s="43">
        <v>53</v>
      </c>
      <c r="C111" s="47">
        <v>1079.7183468415546</v>
      </c>
      <c r="D111" s="43">
        <v>53</v>
      </c>
      <c r="E111" s="47">
        <v>-1.5295485280845995</v>
      </c>
      <c r="F111" s="43">
        <v>53</v>
      </c>
      <c r="G111" s="47">
        <v>1373.3406822059003</v>
      </c>
    </row>
    <row r="112" spans="2:7" x14ac:dyDescent="0.3">
      <c r="B112" s="43">
        <v>54</v>
      </c>
      <c r="C112" s="47">
        <v>1405.6168441989219</v>
      </c>
      <c r="D112" s="43">
        <v>54</v>
      </c>
      <c r="E112" s="47">
        <v>51.731960849675282</v>
      </c>
      <c r="F112" s="43">
        <v>54</v>
      </c>
      <c r="G112" s="47">
        <v>461.50752724270279</v>
      </c>
    </row>
    <row r="113" spans="2:7" x14ac:dyDescent="0.3">
      <c r="B113" s="43">
        <v>55</v>
      </c>
      <c r="C113" s="47">
        <v>456.53943691252044</v>
      </c>
      <c r="D113" s="43">
        <v>55</v>
      </c>
      <c r="E113" s="47">
        <v>12.115551902104011</v>
      </c>
      <c r="F113" s="43">
        <v>55</v>
      </c>
      <c r="G113" s="47">
        <v>783.80391193314188</v>
      </c>
    </row>
    <row r="114" spans="2:7" x14ac:dyDescent="0.3">
      <c r="B114" s="43">
        <v>56</v>
      </c>
      <c r="C114" s="47">
        <v>1038.5433547429093</v>
      </c>
      <c r="D114" s="43">
        <v>56</v>
      </c>
      <c r="E114" s="47">
        <v>-36.992575859423319</v>
      </c>
      <c r="F114" s="43">
        <v>56</v>
      </c>
      <c r="G114" s="47">
        <v>1329.3980362964376</v>
      </c>
    </row>
    <row r="115" spans="2:7" x14ac:dyDescent="0.3">
      <c r="B115" s="43">
        <v>57</v>
      </c>
      <c r="C115" s="47">
        <v>862.84620423106003</v>
      </c>
      <c r="D115" s="43">
        <v>57</v>
      </c>
      <c r="E115" s="47">
        <v>-8.4143038296325052</v>
      </c>
      <c r="F115" s="43">
        <v>57</v>
      </c>
      <c r="G115" s="47">
        <v>1028.3154405710986</v>
      </c>
    </row>
    <row r="116" spans="2:7" x14ac:dyDescent="0.3">
      <c r="B116" s="43">
        <v>58</v>
      </c>
      <c r="C116" s="47">
        <v>1094.0035654483613</v>
      </c>
      <c r="D116" s="43">
        <v>58</v>
      </c>
      <c r="E116" s="47">
        <v>-17.207690208168419</v>
      </c>
      <c r="F116" s="43">
        <v>58</v>
      </c>
      <c r="G116" s="47">
        <v>1350.2250841893074</v>
      </c>
    </row>
    <row r="117" spans="2:7" x14ac:dyDescent="0.3">
      <c r="B117" s="43">
        <v>59</v>
      </c>
      <c r="C117" s="47">
        <v>613.84359440977414</v>
      </c>
      <c r="D117" s="43">
        <v>59</v>
      </c>
      <c r="E117" s="47">
        <v>-1.2884345196815308</v>
      </c>
      <c r="F117" s="43">
        <v>59</v>
      </c>
      <c r="G117" s="47">
        <v>827.57597221324193</v>
      </c>
    </row>
    <row r="118" spans="2:7" x14ac:dyDescent="0.3">
      <c r="B118" s="43">
        <v>60</v>
      </c>
      <c r="C118" s="47">
        <v>736.35885521232228</v>
      </c>
      <c r="D118" s="43">
        <v>60</v>
      </c>
      <c r="E118" s="47">
        <v>-21.325993165449162</v>
      </c>
      <c r="F118" s="43">
        <v>60</v>
      </c>
      <c r="G118" s="47">
        <v>999.78265135175957</v>
      </c>
    </row>
    <row r="119" spans="2:7" x14ac:dyDescent="0.3">
      <c r="B119" s="43">
        <v>61</v>
      </c>
      <c r="C119" s="47">
        <v>661.84672167141957</v>
      </c>
      <c r="D119" s="43">
        <v>61</v>
      </c>
      <c r="E119" s="47">
        <v>-19.932338528331165</v>
      </c>
      <c r="F119" s="43">
        <v>61</v>
      </c>
      <c r="G119" s="47">
        <v>736.53276122948466</v>
      </c>
    </row>
    <row r="120" spans="2:7" x14ac:dyDescent="0.3">
      <c r="B120" s="43">
        <v>62</v>
      </c>
      <c r="C120" s="47">
        <v>862.74299737073522</v>
      </c>
      <c r="D120" s="43">
        <v>62</v>
      </c>
      <c r="E120" s="47">
        <v>-2.5357321651147844</v>
      </c>
      <c r="F120" s="43">
        <v>62</v>
      </c>
      <c r="G120" s="47">
        <v>1020.3809626646741</v>
      </c>
    </row>
    <row r="121" spans="2:7" x14ac:dyDescent="0.3">
      <c r="B121" s="43">
        <v>63</v>
      </c>
      <c r="C121" s="47">
        <v>775.91631593061811</v>
      </c>
      <c r="D121" s="43">
        <v>63</v>
      </c>
      <c r="E121" s="47">
        <v>39.928961553164186</v>
      </c>
      <c r="F121" s="43">
        <v>63</v>
      </c>
      <c r="G121" s="47">
        <v>1040.93475108797</v>
      </c>
    </row>
    <row r="122" spans="2:7" x14ac:dyDescent="0.3">
      <c r="B122" s="43">
        <v>64</v>
      </c>
      <c r="C122" s="47">
        <v>835.62900795662858</v>
      </c>
      <c r="D122" s="43">
        <v>64</v>
      </c>
      <c r="E122" s="47">
        <v>-12.540934875031883</v>
      </c>
      <c r="F122" s="43">
        <v>64</v>
      </c>
      <c r="G122" s="47">
        <v>1050.0067956670525</v>
      </c>
    </row>
    <row r="123" spans="2:7" x14ac:dyDescent="0.3">
      <c r="B123" s="43">
        <v>65</v>
      </c>
      <c r="C123" s="47">
        <v>945.32177470924398</v>
      </c>
      <c r="D123" s="43">
        <v>65</v>
      </c>
      <c r="E123" s="47">
        <v>34.103395892279153</v>
      </c>
      <c r="F123" s="43">
        <v>65</v>
      </c>
      <c r="G123" s="47">
        <v>1075.8953966841455</v>
      </c>
    </row>
    <row r="124" spans="2:7" x14ac:dyDescent="0.3">
      <c r="B124" s="43">
        <v>66</v>
      </c>
      <c r="C124" s="47">
        <v>1234.1099351407372</v>
      </c>
      <c r="D124" s="43">
        <v>66</v>
      </c>
      <c r="E124" s="47">
        <v>-15.520004770459533</v>
      </c>
      <c r="F124" s="43">
        <v>66</v>
      </c>
      <c r="G124" s="47">
        <v>832.19564488300546</v>
      </c>
    </row>
    <row r="125" spans="2:7" x14ac:dyDescent="0.3">
      <c r="B125" s="43">
        <v>67</v>
      </c>
      <c r="C125" s="47">
        <v>959.26770197707572</v>
      </c>
      <c r="D125" s="43">
        <v>67</v>
      </c>
      <c r="E125" s="47">
        <v>3.6689082172726586</v>
      </c>
      <c r="F125" s="43">
        <v>67</v>
      </c>
      <c r="G125" s="47">
        <v>1029.070372313297</v>
      </c>
    </row>
    <row r="126" spans="2:7" x14ac:dyDescent="0.3">
      <c r="B126" s="43">
        <v>68</v>
      </c>
      <c r="C126" s="47">
        <v>-51.252075823903752</v>
      </c>
      <c r="D126" s="43">
        <v>68</v>
      </c>
      <c r="E126" s="47">
        <v>10.734147569309631</v>
      </c>
      <c r="F126" s="43">
        <v>68</v>
      </c>
      <c r="G126" s="47">
        <v>1436.8023130925044</v>
      </c>
    </row>
    <row r="127" spans="2:7" x14ac:dyDescent="0.3">
      <c r="B127" s="43">
        <v>69</v>
      </c>
      <c r="C127" s="47">
        <v>1290.3179509976753</v>
      </c>
      <c r="D127" s="43">
        <v>69</v>
      </c>
      <c r="E127" s="47">
        <v>64.89765810706912</v>
      </c>
      <c r="F127" s="43">
        <v>69</v>
      </c>
      <c r="G127" s="47">
        <v>1298.5412642049555</v>
      </c>
    </row>
    <row r="128" spans="2:7" x14ac:dyDescent="0.3">
      <c r="B128" s="43">
        <v>70</v>
      </c>
      <c r="C128" s="47">
        <v>485.17968079229348</v>
      </c>
      <c r="D128" s="43">
        <v>70</v>
      </c>
      <c r="E128" s="47">
        <v>20.581668314518726</v>
      </c>
      <c r="F128" s="43">
        <v>70</v>
      </c>
      <c r="G128" s="47">
        <v>417.9284291542711</v>
      </c>
    </row>
    <row r="129" spans="2:7" x14ac:dyDescent="0.3">
      <c r="B129" s="43">
        <v>71</v>
      </c>
      <c r="C129" s="47">
        <v>776.8740791746111</v>
      </c>
      <c r="D129" s="43">
        <v>71</v>
      </c>
      <c r="E129" s="47">
        <v>21.313995032862458</v>
      </c>
      <c r="F129" s="43">
        <v>71</v>
      </c>
      <c r="G129" s="47">
        <v>854.17737757624764</v>
      </c>
    </row>
    <row r="130" spans="2:7" x14ac:dyDescent="0.3">
      <c r="B130" s="43">
        <v>72</v>
      </c>
      <c r="C130" s="47">
        <v>1317.1483596204412</v>
      </c>
      <c r="D130" s="43">
        <v>72</v>
      </c>
      <c r="E130" s="47">
        <v>-28.971184495155285</v>
      </c>
      <c r="F130" s="43">
        <v>72</v>
      </c>
      <c r="G130" s="47">
        <v>1026.8425412644228</v>
      </c>
    </row>
    <row r="131" spans="2:7" x14ac:dyDescent="0.3">
      <c r="B131" s="43">
        <v>73</v>
      </c>
      <c r="C131" s="47">
        <v>844.24487026756856</v>
      </c>
      <c r="D131" s="43">
        <v>73</v>
      </c>
      <c r="E131" s="47">
        <v>-26.749847168349117</v>
      </c>
      <c r="F131" s="43">
        <v>73</v>
      </c>
      <c r="G131" s="47">
        <v>1171.8544438900337</v>
      </c>
    </row>
    <row r="132" spans="2:7" x14ac:dyDescent="0.3">
      <c r="B132" s="43">
        <v>74</v>
      </c>
      <c r="C132" s="47">
        <v>412.69592697601377</v>
      </c>
      <c r="D132" s="43">
        <v>74</v>
      </c>
      <c r="E132" s="47">
        <v>-46.709057814897925</v>
      </c>
      <c r="F132" s="43">
        <v>74</v>
      </c>
      <c r="G132" s="47">
        <v>1164.5062047244551</v>
      </c>
    </row>
    <row r="133" spans="2:7" x14ac:dyDescent="0.3">
      <c r="B133" s="43">
        <v>75</v>
      </c>
      <c r="C133" s="47">
        <v>1219.3093134117566</v>
      </c>
      <c r="D133" s="43">
        <v>75</v>
      </c>
      <c r="E133" s="47">
        <v>38.137274182603768</v>
      </c>
      <c r="F133" s="43">
        <v>75</v>
      </c>
      <c r="G133" s="47">
        <v>1006.8136496179939</v>
      </c>
    </row>
    <row r="134" spans="2:7" x14ac:dyDescent="0.3">
      <c r="B134" s="43">
        <v>76</v>
      </c>
      <c r="C134" s="47">
        <v>1036.2012982553861</v>
      </c>
      <c r="D134" s="43">
        <v>76</v>
      </c>
      <c r="E134" s="47">
        <v>32.440119143375924</v>
      </c>
      <c r="F134" s="43">
        <v>76</v>
      </c>
      <c r="G134" s="47">
        <v>1167.0024057602436</v>
      </c>
    </row>
    <row r="135" spans="2:7" x14ac:dyDescent="0.3">
      <c r="B135" s="43">
        <v>77</v>
      </c>
      <c r="C135" s="47">
        <v>786.88684391357083</v>
      </c>
      <c r="D135" s="43">
        <v>77</v>
      </c>
      <c r="E135" s="47">
        <v>1.9937980851053947</v>
      </c>
      <c r="F135" s="43">
        <v>77</v>
      </c>
      <c r="G135" s="47">
        <v>1071.9905410863562</v>
      </c>
    </row>
    <row r="136" spans="2:7" x14ac:dyDescent="0.3">
      <c r="B136" s="43">
        <v>78</v>
      </c>
      <c r="C136" s="47">
        <v>507.43249844667923</v>
      </c>
      <c r="D136" s="43">
        <v>78</v>
      </c>
      <c r="E136" s="47">
        <v>9.6038557360184793</v>
      </c>
      <c r="F136" s="43">
        <v>78</v>
      </c>
      <c r="G136" s="47">
        <v>1352.9392552713703</v>
      </c>
    </row>
    <row r="137" spans="2:7" x14ac:dyDescent="0.3">
      <c r="B137" s="43">
        <v>79</v>
      </c>
      <c r="C137" s="47">
        <v>883.21615081278924</v>
      </c>
      <c r="D137" s="43">
        <v>79</v>
      </c>
      <c r="E137" s="47">
        <v>46.967808941801579</v>
      </c>
      <c r="F137" s="43">
        <v>79</v>
      </c>
      <c r="G137" s="47">
        <v>308.26082000383587</v>
      </c>
    </row>
    <row r="138" spans="2:7" x14ac:dyDescent="0.3">
      <c r="B138" s="43">
        <v>80</v>
      </c>
      <c r="C138" s="47">
        <v>1360.5094500672665</v>
      </c>
      <c r="D138" s="43">
        <v>80</v>
      </c>
      <c r="E138" s="47">
        <v>-9.7792278760395703</v>
      </c>
      <c r="F138" s="43">
        <v>80</v>
      </c>
      <c r="G138" s="47">
        <v>678.57012989826728</v>
      </c>
    </row>
    <row r="139" spans="2:7" x14ac:dyDescent="0.3">
      <c r="B139" s="43">
        <v>81</v>
      </c>
      <c r="C139" s="47">
        <v>1230.3175721835419</v>
      </c>
      <c r="D139" s="43">
        <v>81</v>
      </c>
      <c r="E139" s="47">
        <v>9.4409048073207735</v>
      </c>
      <c r="F139" s="43">
        <v>81</v>
      </c>
      <c r="G139" s="47">
        <v>960.59341711535706</v>
      </c>
    </row>
    <row r="140" spans="2:7" x14ac:dyDescent="0.3">
      <c r="B140" s="43">
        <v>82</v>
      </c>
      <c r="C140" s="47">
        <v>598.67481456301516</v>
      </c>
      <c r="D140" s="43">
        <v>82</v>
      </c>
      <c r="E140" s="47">
        <v>10.245778891411128</v>
      </c>
      <c r="F140" s="43">
        <v>82</v>
      </c>
      <c r="G140" s="47">
        <v>784.18756240075629</v>
      </c>
    </row>
    <row r="141" spans="2:7" x14ac:dyDescent="0.3">
      <c r="B141" s="43">
        <v>83</v>
      </c>
      <c r="C141" s="47">
        <v>1271.0179541200321</v>
      </c>
      <c r="D141" s="43">
        <v>83</v>
      </c>
      <c r="E141" s="47">
        <v>-47.419804302323712</v>
      </c>
      <c r="F141" s="43">
        <v>83</v>
      </c>
      <c r="G141" s="47">
        <v>722.66361860136578</v>
      </c>
    </row>
    <row r="142" spans="2:7" x14ac:dyDescent="0.3">
      <c r="B142" s="43">
        <v>84</v>
      </c>
      <c r="C142" s="47">
        <v>1325.3333878695812</v>
      </c>
      <c r="D142" s="43">
        <v>84</v>
      </c>
      <c r="E142" s="47">
        <v>19.963957283641641</v>
      </c>
      <c r="F142" s="43">
        <v>84</v>
      </c>
      <c r="G142" s="47">
        <v>853.19307346023015</v>
      </c>
    </row>
    <row r="143" spans="2:7" x14ac:dyDescent="0.3">
      <c r="B143" s="43">
        <v>85</v>
      </c>
      <c r="C143" s="47">
        <v>1703.8633723103874</v>
      </c>
      <c r="D143" s="43">
        <v>85</v>
      </c>
      <c r="E143" s="47">
        <v>-30.937412260947987</v>
      </c>
      <c r="F143" s="43">
        <v>85</v>
      </c>
      <c r="G143" s="47">
        <v>1364.0113946383321</v>
      </c>
    </row>
    <row r="144" spans="2:7" x14ac:dyDescent="0.3">
      <c r="B144" s="43">
        <v>86</v>
      </c>
      <c r="C144" s="47">
        <v>990.46858410915286</v>
      </c>
      <c r="D144" s="43">
        <v>86</v>
      </c>
      <c r="E144" s="47">
        <v>16.72536777712752</v>
      </c>
      <c r="F144" s="43">
        <v>86</v>
      </c>
      <c r="G144" s="47">
        <v>703.0267711936101</v>
      </c>
    </row>
    <row r="145" spans="2:7" x14ac:dyDescent="0.3">
      <c r="B145" s="43">
        <v>87</v>
      </c>
      <c r="C145" s="47">
        <v>1009.0263010103241</v>
      </c>
      <c r="D145" s="43">
        <v>87</v>
      </c>
      <c r="E145" s="47">
        <v>69.777335275442638</v>
      </c>
      <c r="F145" s="43">
        <v>87</v>
      </c>
      <c r="G145" s="47">
        <v>354.62333089304207</v>
      </c>
    </row>
    <row r="146" spans="2:7" x14ac:dyDescent="0.3">
      <c r="B146" s="43">
        <v>88</v>
      </c>
      <c r="C146" s="47">
        <v>559.94465564191228</v>
      </c>
      <c r="D146" s="43">
        <v>88</v>
      </c>
      <c r="E146" s="47">
        <v>21.555549574344855</v>
      </c>
      <c r="F146" s="43">
        <v>88</v>
      </c>
      <c r="G146" s="47">
        <v>1055.9487856106693</v>
      </c>
    </row>
    <row r="147" spans="2:7" x14ac:dyDescent="0.3">
      <c r="B147" s="43">
        <v>89</v>
      </c>
      <c r="C147" s="47">
        <v>1009.2898586165305</v>
      </c>
      <c r="D147" s="43">
        <v>89</v>
      </c>
      <c r="E147" s="47">
        <v>2.4615135896416303</v>
      </c>
      <c r="F147" s="43">
        <v>89</v>
      </c>
      <c r="G147" s="47">
        <v>931.05363402455555</v>
      </c>
    </row>
    <row r="148" spans="2:7" x14ac:dyDescent="0.3">
      <c r="B148" s="43">
        <v>90</v>
      </c>
      <c r="C148" s="47">
        <v>1023.0925257752764</v>
      </c>
      <c r="D148" s="43">
        <v>90</v>
      </c>
      <c r="E148" s="47">
        <v>-8.7356370228409812</v>
      </c>
      <c r="F148" s="43">
        <v>90</v>
      </c>
      <c r="G148" s="47">
        <v>1007.9648307413654</v>
      </c>
    </row>
    <row r="149" spans="2:7" x14ac:dyDescent="0.3">
      <c r="B149" s="43">
        <v>91</v>
      </c>
      <c r="C149" s="47">
        <v>506.10574486872758</v>
      </c>
      <c r="D149" s="43">
        <v>91</v>
      </c>
      <c r="E149" s="47">
        <v>-13.319361870610194</v>
      </c>
      <c r="F149" s="43">
        <v>91</v>
      </c>
      <c r="G149" s="47">
        <v>1223.5761912577295</v>
      </c>
    </row>
    <row r="150" spans="2:7" x14ac:dyDescent="0.3">
      <c r="B150" s="43">
        <v>92</v>
      </c>
      <c r="C150" s="47">
        <v>427.86506768665174</v>
      </c>
      <c r="D150" s="43">
        <v>92</v>
      </c>
      <c r="E150" s="47">
        <v>-46.49303721356533</v>
      </c>
      <c r="F150" s="43">
        <v>92</v>
      </c>
      <c r="G150" s="47">
        <v>621.09074063528703</v>
      </c>
    </row>
    <row r="151" spans="2:7" x14ac:dyDescent="0.3">
      <c r="B151" s="43">
        <v>93</v>
      </c>
      <c r="C151" s="47">
        <v>1072.0550873899874</v>
      </c>
      <c r="D151" s="43">
        <v>93</v>
      </c>
      <c r="E151" s="47">
        <v>-26.633979882886177</v>
      </c>
      <c r="F151" s="43">
        <v>93</v>
      </c>
      <c r="G151" s="47">
        <v>1329.0377134494506</v>
      </c>
    </row>
    <row r="152" spans="2:7" x14ac:dyDescent="0.3">
      <c r="B152" s="43">
        <v>94</v>
      </c>
      <c r="C152" s="47">
        <v>792.04328386098064</v>
      </c>
      <c r="D152" s="43">
        <v>94</v>
      </c>
      <c r="E152" s="47">
        <v>23.157394966110751</v>
      </c>
      <c r="F152" s="43">
        <v>94</v>
      </c>
      <c r="G152" s="47">
        <v>853.98584119712655</v>
      </c>
    </row>
    <row r="153" spans="2:7" x14ac:dyDescent="0.3">
      <c r="B153" s="43">
        <v>95</v>
      </c>
      <c r="C153" s="47">
        <v>672.10028682493862</v>
      </c>
      <c r="D153" s="43">
        <v>95</v>
      </c>
      <c r="E153" s="47">
        <v>5.5619415163197052</v>
      </c>
      <c r="F153" s="43">
        <v>95</v>
      </c>
      <c r="G153" s="47">
        <v>1111.7415713449664</v>
      </c>
    </row>
    <row r="154" spans="2:7" x14ac:dyDescent="0.3">
      <c r="B154" s="43">
        <v>96</v>
      </c>
      <c r="C154" s="47">
        <v>730.32873701301628</v>
      </c>
      <c r="D154" s="43">
        <v>96</v>
      </c>
      <c r="E154" s="47">
        <v>19.310693191763995</v>
      </c>
      <c r="F154" s="43">
        <v>96</v>
      </c>
      <c r="G154" s="47">
        <v>1011.4940198431663</v>
      </c>
    </row>
    <row r="155" spans="2:7" x14ac:dyDescent="0.3">
      <c r="B155" s="43">
        <v>97</v>
      </c>
      <c r="C155" s="47">
        <v>882.21119196212544</v>
      </c>
      <c r="D155" s="43">
        <v>97</v>
      </c>
      <c r="E155" s="47">
        <v>46.833157971002663</v>
      </c>
      <c r="F155" s="43">
        <v>97</v>
      </c>
      <c r="G155" s="47">
        <v>986.09903186876488</v>
      </c>
    </row>
    <row r="156" spans="2:7" x14ac:dyDescent="0.3">
      <c r="B156" s="43">
        <v>98</v>
      </c>
      <c r="C156" s="47">
        <v>827.3617447565515</v>
      </c>
      <c r="D156" s="43">
        <v>98</v>
      </c>
      <c r="E156" s="47">
        <v>-28.274301024151242</v>
      </c>
      <c r="F156" s="43">
        <v>98</v>
      </c>
      <c r="G156" s="47">
        <v>692.1142689535028</v>
      </c>
    </row>
    <row r="157" spans="2:7" x14ac:dyDescent="0.3">
      <c r="B157" s="43">
        <v>99</v>
      </c>
      <c r="C157" s="47">
        <v>741.9303748364747</v>
      </c>
      <c r="D157" s="43">
        <v>99</v>
      </c>
      <c r="E157" s="47">
        <v>50.647670193734342</v>
      </c>
      <c r="F157" s="43">
        <v>99</v>
      </c>
      <c r="G157" s="47">
        <v>1530.6173794410777</v>
      </c>
    </row>
    <row r="158" spans="2:7" x14ac:dyDescent="0.3">
      <c r="B158" s="43">
        <v>100</v>
      </c>
      <c r="C158" s="47">
        <v>301.43387728875814</v>
      </c>
      <c r="D158" s="43">
        <v>100</v>
      </c>
      <c r="E158" s="47">
        <v>0.39787183024175155</v>
      </c>
      <c r="F158" s="43">
        <v>100</v>
      </c>
      <c r="G158" s="47">
        <v>1041.3338542409842</v>
      </c>
    </row>
    <row r="159" spans="2:7" x14ac:dyDescent="0.3">
      <c r="B159" s="43">
        <v>101</v>
      </c>
      <c r="C159" s="47">
        <v>1294.0887749717165</v>
      </c>
      <c r="D159" s="43">
        <v>101</v>
      </c>
      <c r="E159" s="47">
        <v>-11.887123100830967</v>
      </c>
      <c r="F159" s="43">
        <v>101</v>
      </c>
      <c r="G159" s="47">
        <v>973.15806714160442</v>
      </c>
    </row>
    <row r="160" spans="2:7" x14ac:dyDescent="0.3">
      <c r="B160" s="43">
        <v>102</v>
      </c>
      <c r="C160" s="47">
        <v>782.33150571151305</v>
      </c>
      <c r="D160" s="43">
        <v>102</v>
      </c>
      <c r="E160" s="47">
        <v>2.4293601635670954</v>
      </c>
      <c r="F160" s="43">
        <v>102</v>
      </c>
      <c r="G160" s="47">
        <v>1442.0423760829774</v>
      </c>
    </row>
    <row r="161" spans="2:7" x14ac:dyDescent="0.3">
      <c r="B161" s="43">
        <v>103</v>
      </c>
      <c r="C161" s="47">
        <v>981.30240099903426</v>
      </c>
      <c r="D161" s="43">
        <v>103</v>
      </c>
      <c r="E161" s="47">
        <v>33.208910803894511</v>
      </c>
      <c r="F161" s="43">
        <v>103</v>
      </c>
      <c r="G161" s="47">
        <v>701.73346392198437</v>
      </c>
    </row>
    <row r="162" spans="2:7" x14ac:dyDescent="0.3">
      <c r="B162" s="43">
        <v>104</v>
      </c>
      <c r="C162" s="47">
        <v>736.74589796269527</v>
      </c>
      <c r="D162" s="43">
        <v>104</v>
      </c>
      <c r="E162" s="47">
        <v>5.6917269463530804</v>
      </c>
      <c r="F162" s="43">
        <v>104</v>
      </c>
      <c r="G162" s="47">
        <v>944.04440495449251</v>
      </c>
    </row>
    <row r="163" spans="2:7" x14ac:dyDescent="0.3">
      <c r="B163" s="43">
        <v>105</v>
      </c>
      <c r="C163" s="47">
        <v>657.56123989815455</v>
      </c>
      <c r="D163" s="43">
        <v>105</v>
      </c>
      <c r="E163" s="47">
        <v>-45.82382336359008</v>
      </c>
      <c r="F163" s="43">
        <v>105</v>
      </c>
      <c r="G163" s="47">
        <v>463.70807618639958</v>
      </c>
    </row>
    <row r="164" spans="2:7" x14ac:dyDescent="0.3">
      <c r="B164" s="43">
        <v>106</v>
      </c>
      <c r="C164" s="47">
        <v>1053.4535882134858</v>
      </c>
      <c r="D164" s="43">
        <v>106</v>
      </c>
      <c r="E164" s="47">
        <v>-23.988257879175134</v>
      </c>
      <c r="F164" s="43">
        <v>106</v>
      </c>
      <c r="G164" s="47">
        <v>1352.1743736023141</v>
      </c>
    </row>
    <row r="165" spans="2:7" x14ac:dyDescent="0.3">
      <c r="B165" s="43">
        <v>107</v>
      </c>
      <c r="C165" s="47">
        <v>1066.8475415161456</v>
      </c>
      <c r="D165" s="43">
        <v>107</v>
      </c>
      <c r="E165" s="47">
        <v>33.814508111159434</v>
      </c>
      <c r="F165" s="43">
        <v>107</v>
      </c>
      <c r="G165" s="47">
        <v>1028.3650244976457</v>
      </c>
    </row>
    <row r="166" spans="2:7" x14ac:dyDescent="0.3">
      <c r="B166" s="43">
        <v>108</v>
      </c>
      <c r="C166" s="47">
        <v>829.77628062132135</v>
      </c>
      <c r="D166" s="43">
        <v>108</v>
      </c>
      <c r="E166" s="47">
        <v>-16.175250452658027</v>
      </c>
      <c r="F166" s="43">
        <v>108</v>
      </c>
      <c r="G166" s="47">
        <v>1189.5533599050714</v>
      </c>
    </row>
    <row r="167" spans="2:7" x14ac:dyDescent="0.3">
      <c r="B167" s="43">
        <v>109</v>
      </c>
      <c r="C167" s="47">
        <v>801.92423684323137</v>
      </c>
      <c r="D167" s="43">
        <v>109</v>
      </c>
      <c r="E167" s="47">
        <v>5.3711788521222328</v>
      </c>
      <c r="F167" s="43">
        <v>109</v>
      </c>
      <c r="G167" s="47">
        <v>1254.6134065044771</v>
      </c>
    </row>
    <row r="168" spans="2:7" x14ac:dyDescent="0.3">
      <c r="B168" s="43">
        <v>110</v>
      </c>
      <c r="C168" s="47">
        <v>853.39817935100257</v>
      </c>
      <c r="D168" s="43">
        <v>110</v>
      </c>
      <c r="E168" s="47">
        <v>7.6484084267894676</v>
      </c>
      <c r="F168" s="43">
        <v>110</v>
      </c>
      <c r="G168" s="47">
        <v>705.20633882107688</v>
      </c>
    </row>
    <row r="169" spans="2:7" x14ac:dyDescent="0.3">
      <c r="B169" s="43">
        <v>111</v>
      </c>
      <c r="C169" s="47">
        <v>1085.522415178491</v>
      </c>
      <c r="D169" s="43">
        <v>111</v>
      </c>
      <c r="E169" s="47">
        <v>6.3152870737321951</v>
      </c>
      <c r="F169" s="43">
        <v>111</v>
      </c>
      <c r="G169" s="47">
        <v>1046.3025906717858</v>
      </c>
    </row>
    <row r="170" spans="2:7" x14ac:dyDescent="0.3">
      <c r="B170" s="43">
        <v>112</v>
      </c>
      <c r="C170" s="47">
        <v>525.06807054337037</v>
      </c>
      <c r="D170" s="43">
        <v>112</v>
      </c>
      <c r="E170" s="47">
        <v>22.93004334343734</v>
      </c>
      <c r="F170" s="43">
        <v>112</v>
      </c>
      <c r="G170" s="47">
        <v>1527.585939557918</v>
      </c>
    </row>
    <row r="171" spans="2:7" x14ac:dyDescent="0.3">
      <c r="B171" s="43">
        <v>113</v>
      </c>
      <c r="C171" s="47">
        <v>1009.2181960704896</v>
      </c>
      <c r="D171" s="43">
        <v>113</v>
      </c>
      <c r="E171" s="47">
        <v>11.465743650716835</v>
      </c>
      <c r="F171" s="43">
        <v>113</v>
      </c>
      <c r="G171" s="47">
        <v>660.58066329827375</v>
      </c>
    </row>
    <row r="172" spans="2:7" x14ac:dyDescent="0.3">
      <c r="B172" s="43">
        <v>114</v>
      </c>
      <c r="C172" s="47">
        <v>1124.5380764198212</v>
      </c>
      <c r="D172" s="43">
        <v>114</v>
      </c>
      <c r="E172" s="47">
        <v>28.445558227208721</v>
      </c>
      <c r="F172" s="43">
        <v>114</v>
      </c>
      <c r="G172" s="47">
        <v>1076.8863209092556</v>
      </c>
    </row>
    <row r="173" spans="2:7" x14ac:dyDescent="0.3">
      <c r="B173" s="43">
        <v>115</v>
      </c>
      <c r="C173" s="47">
        <v>1182.0436303550364</v>
      </c>
      <c r="D173" s="43">
        <v>115</v>
      </c>
      <c r="E173" s="47">
        <v>22.612949879164368</v>
      </c>
      <c r="F173" s="43">
        <v>115</v>
      </c>
      <c r="G173" s="47">
        <v>1287.4281083024698</v>
      </c>
    </row>
    <row r="174" spans="2:7" x14ac:dyDescent="0.3">
      <c r="B174" s="43">
        <v>116</v>
      </c>
      <c r="C174" s="47">
        <v>1365.2618648116963</v>
      </c>
      <c r="D174" s="43">
        <v>116</v>
      </c>
      <c r="E174" s="47">
        <v>31.249613367824178</v>
      </c>
      <c r="F174" s="43">
        <v>116</v>
      </c>
      <c r="G174" s="47">
        <v>793.2859924069711</v>
      </c>
    </row>
    <row r="175" spans="2:7" x14ac:dyDescent="0.3">
      <c r="B175" s="43">
        <v>117</v>
      </c>
      <c r="C175" s="47">
        <v>970.04241208039389</v>
      </c>
      <c r="D175" s="43">
        <v>117</v>
      </c>
      <c r="E175" s="47">
        <v>12.045817082406355</v>
      </c>
      <c r="F175" s="43">
        <v>117</v>
      </c>
      <c r="G175" s="47">
        <v>1149.1023954216771</v>
      </c>
    </row>
    <row r="176" spans="2:7" x14ac:dyDescent="0.3">
      <c r="B176" s="43">
        <v>118</v>
      </c>
      <c r="C176" s="47">
        <v>488.07033027296177</v>
      </c>
      <c r="D176" s="43">
        <v>118</v>
      </c>
      <c r="E176" s="47">
        <v>-23.227149527020156</v>
      </c>
      <c r="F176" s="43">
        <v>118</v>
      </c>
      <c r="G176" s="47">
        <v>1002.1648104683585</v>
      </c>
    </row>
    <row r="177" spans="2:7" x14ac:dyDescent="0.3">
      <c r="B177" s="43">
        <v>119</v>
      </c>
      <c r="C177" s="47">
        <v>642.38202626249347</v>
      </c>
      <c r="D177" s="43">
        <v>119</v>
      </c>
      <c r="E177" s="47">
        <v>13.838161396781242</v>
      </c>
      <c r="F177" s="43">
        <v>119</v>
      </c>
      <c r="G177" s="47">
        <v>1019.0051900809194</v>
      </c>
    </row>
    <row r="178" spans="2:7" x14ac:dyDescent="0.3">
      <c r="B178" s="43">
        <v>120</v>
      </c>
      <c r="C178" s="47">
        <v>776.86163300362909</v>
      </c>
      <c r="D178" s="43">
        <v>120</v>
      </c>
      <c r="E178" s="47">
        <v>18.446422742139987</v>
      </c>
      <c r="F178" s="43">
        <v>120</v>
      </c>
      <c r="G178" s="47">
        <v>1214.6139428054539</v>
      </c>
    </row>
    <row r="179" spans="2:7" x14ac:dyDescent="0.3">
      <c r="B179" s="43">
        <v>121</v>
      </c>
      <c r="C179" s="47">
        <v>998.3068987179355</v>
      </c>
      <c r="D179" s="43">
        <v>121</v>
      </c>
      <c r="E179" s="47">
        <v>21.925506844159319</v>
      </c>
      <c r="F179" s="43">
        <v>121</v>
      </c>
      <c r="G179" s="47">
        <v>869.85671406520009</v>
      </c>
    </row>
    <row r="180" spans="2:7" x14ac:dyDescent="0.3">
      <c r="B180" s="43">
        <v>122</v>
      </c>
      <c r="C180" s="47">
        <v>1219.6129110599795</v>
      </c>
      <c r="D180" s="43">
        <v>122</v>
      </c>
      <c r="E180" s="47">
        <v>14.80572838888607</v>
      </c>
      <c r="F180" s="43">
        <v>122</v>
      </c>
      <c r="G180" s="47">
        <v>912.12750593377712</v>
      </c>
    </row>
    <row r="181" spans="2:7" x14ac:dyDescent="0.3">
      <c r="B181" s="43">
        <v>123</v>
      </c>
      <c r="C181" s="47">
        <v>954.32197632662462</v>
      </c>
      <c r="D181" s="43">
        <v>123</v>
      </c>
      <c r="E181" s="47">
        <v>-7.7783541771062854</v>
      </c>
      <c r="F181" s="43">
        <v>123</v>
      </c>
      <c r="G181" s="47">
        <v>857.69208677974893</v>
      </c>
    </row>
    <row r="182" spans="2:7" x14ac:dyDescent="0.3">
      <c r="B182" s="43">
        <v>124</v>
      </c>
      <c r="C182" s="47">
        <v>1114.0729619938011</v>
      </c>
      <c r="D182" s="43">
        <v>124</v>
      </c>
      <c r="E182" s="47">
        <v>7.6509027140708836</v>
      </c>
      <c r="F182" s="43">
        <v>124</v>
      </c>
      <c r="G182" s="47">
        <v>292.85289350937626</v>
      </c>
    </row>
    <row r="183" spans="2:7" x14ac:dyDescent="0.3">
      <c r="B183" s="43">
        <v>125</v>
      </c>
      <c r="C183" s="47">
        <v>1203.0377526955635</v>
      </c>
      <c r="D183" s="43">
        <v>125</v>
      </c>
      <c r="E183" s="47">
        <v>2.6231719058454646</v>
      </c>
      <c r="F183" s="43">
        <v>125</v>
      </c>
      <c r="G183" s="47">
        <v>920.92638890350395</v>
      </c>
    </row>
    <row r="184" spans="2:7" x14ac:dyDescent="0.3">
      <c r="B184" s="43">
        <v>126</v>
      </c>
      <c r="C184" s="47">
        <v>789.77936083319048</v>
      </c>
      <c r="D184" s="43">
        <v>126</v>
      </c>
      <c r="E184" s="47">
        <v>5.6154974801464617</v>
      </c>
      <c r="F184" s="43">
        <v>126</v>
      </c>
      <c r="G184" s="47">
        <v>875.30444730328179</v>
      </c>
    </row>
    <row r="185" spans="2:7" x14ac:dyDescent="0.3">
      <c r="B185" s="43">
        <v>127</v>
      </c>
      <c r="C185" s="47">
        <v>1292.8013218872854</v>
      </c>
      <c r="D185" s="43">
        <v>127</v>
      </c>
      <c r="E185" s="47">
        <v>4.3565188555145475</v>
      </c>
      <c r="F185" s="43">
        <v>127</v>
      </c>
      <c r="G185" s="47">
        <v>1202.5539198178826</v>
      </c>
    </row>
    <row r="186" spans="2:7" x14ac:dyDescent="0.3">
      <c r="B186" s="43">
        <v>128</v>
      </c>
      <c r="C186" s="47">
        <v>650.92971505256344</v>
      </c>
      <c r="D186" s="43">
        <v>128</v>
      </c>
      <c r="E186" s="47">
        <v>23.228045647872428</v>
      </c>
      <c r="F186" s="43">
        <v>128</v>
      </c>
      <c r="G186" s="47">
        <v>1236.2330678671083</v>
      </c>
    </row>
    <row r="187" spans="2:7" x14ac:dyDescent="0.3">
      <c r="B187" s="43">
        <v>129</v>
      </c>
      <c r="C187" s="47">
        <v>934.60423639730413</v>
      </c>
      <c r="D187" s="43">
        <v>129</v>
      </c>
      <c r="E187" s="47">
        <v>40.89123852665513</v>
      </c>
      <c r="F187" s="43">
        <v>129</v>
      </c>
      <c r="G187" s="47">
        <v>1402.1871431445306</v>
      </c>
    </row>
    <row r="188" spans="2:7" x14ac:dyDescent="0.3">
      <c r="B188" s="43">
        <v>130</v>
      </c>
      <c r="C188" s="47">
        <v>655.25661443310355</v>
      </c>
      <c r="D188" s="43">
        <v>130</v>
      </c>
      <c r="E188" s="47">
        <v>19.393189883025347</v>
      </c>
      <c r="F188" s="43">
        <v>130</v>
      </c>
      <c r="G188" s="47">
        <v>982.73366778096499</v>
      </c>
    </row>
    <row r="189" spans="2:7" x14ac:dyDescent="0.3">
      <c r="B189" s="43">
        <v>131</v>
      </c>
      <c r="C189" s="47">
        <v>751.03363819143692</v>
      </c>
      <c r="D189" s="43">
        <v>131</v>
      </c>
      <c r="E189" s="47">
        <v>7.0923631625287999</v>
      </c>
      <c r="F189" s="43">
        <v>131</v>
      </c>
      <c r="G189" s="47">
        <v>1520.2717135261241</v>
      </c>
    </row>
    <row r="190" spans="2:7" x14ac:dyDescent="0.3">
      <c r="B190" s="43">
        <v>132</v>
      </c>
      <c r="C190" s="47">
        <v>688.47381646607573</v>
      </c>
      <c r="D190" s="43">
        <v>132</v>
      </c>
      <c r="E190" s="47">
        <v>-38.919266505993761</v>
      </c>
      <c r="F190" s="43">
        <v>132</v>
      </c>
      <c r="G190" s="47">
        <v>916.65204126475237</v>
      </c>
    </row>
    <row r="191" spans="2:7" x14ac:dyDescent="0.3">
      <c r="B191" s="43">
        <v>133</v>
      </c>
      <c r="C191" s="47">
        <v>825.6741082036591</v>
      </c>
      <c r="D191" s="43">
        <v>133</v>
      </c>
      <c r="E191" s="47">
        <v>-4.3736818687561465</v>
      </c>
      <c r="F191" s="43">
        <v>133</v>
      </c>
      <c r="G191" s="47">
        <v>852.34810097296645</v>
      </c>
    </row>
    <row r="192" spans="2:7" x14ac:dyDescent="0.3">
      <c r="B192" s="43">
        <v>134</v>
      </c>
      <c r="C192" s="47">
        <v>575.27303875231496</v>
      </c>
      <c r="D192" s="43">
        <v>134</v>
      </c>
      <c r="E192" s="47">
        <v>1.5313121997718739</v>
      </c>
      <c r="F192" s="43">
        <v>134</v>
      </c>
      <c r="G192" s="47">
        <v>795.00826116215717</v>
      </c>
    </row>
    <row r="193" spans="2:7" x14ac:dyDescent="0.3">
      <c r="B193" s="43">
        <v>135</v>
      </c>
      <c r="C193" s="47">
        <v>728.83094487118194</v>
      </c>
      <c r="D193" s="43">
        <v>135</v>
      </c>
      <c r="E193" s="47">
        <v>-0.62501598942664072</v>
      </c>
      <c r="F193" s="43">
        <v>135</v>
      </c>
      <c r="G193" s="47">
        <v>393.11903809489684</v>
      </c>
    </row>
    <row r="194" spans="2:7" x14ac:dyDescent="0.3">
      <c r="B194" s="43">
        <v>136</v>
      </c>
      <c r="C194" s="47">
        <v>982.23019650464153</v>
      </c>
      <c r="D194" s="43">
        <v>136</v>
      </c>
      <c r="E194" s="47">
        <v>8.6484633427375321</v>
      </c>
      <c r="F194" s="43">
        <v>136</v>
      </c>
      <c r="G194" s="47">
        <v>1074.4185859421525</v>
      </c>
    </row>
    <row r="195" spans="2:7" x14ac:dyDescent="0.3">
      <c r="B195" s="43">
        <v>137</v>
      </c>
      <c r="C195" s="47">
        <v>593.93729617476038</v>
      </c>
      <c r="D195" s="43">
        <v>137</v>
      </c>
      <c r="E195" s="47">
        <v>12.106444339201877</v>
      </c>
      <c r="F195" s="43">
        <v>137</v>
      </c>
      <c r="G195" s="47">
        <v>888.0484246109645</v>
      </c>
    </row>
    <row r="196" spans="2:7" x14ac:dyDescent="0.3">
      <c r="B196" s="43">
        <v>138</v>
      </c>
      <c r="C196" s="47">
        <v>1177.7934124806379</v>
      </c>
      <c r="D196" s="43">
        <v>138</v>
      </c>
      <c r="E196" s="47">
        <v>37.232483786629182</v>
      </c>
      <c r="F196" s="43">
        <v>138</v>
      </c>
      <c r="G196" s="47">
        <v>1247.1207803131256</v>
      </c>
    </row>
    <row r="197" spans="2:7" x14ac:dyDescent="0.3">
      <c r="B197" s="43">
        <v>139</v>
      </c>
      <c r="C197" s="47">
        <v>828.43277103846049</v>
      </c>
      <c r="D197" s="43">
        <v>139</v>
      </c>
      <c r="E197" s="47">
        <v>-18.970523369265369</v>
      </c>
      <c r="F197" s="43">
        <v>139</v>
      </c>
      <c r="G197" s="47">
        <v>942.41132021780481</v>
      </c>
    </row>
    <row r="198" spans="2:7" x14ac:dyDescent="0.3">
      <c r="B198" s="43">
        <v>140</v>
      </c>
      <c r="C198" s="47">
        <v>732.0735160020489</v>
      </c>
      <c r="D198" s="43">
        <v>140</v>
      </c>
      <c r="E198" s="47">
        <v>-11.32223075473728</v>
      </c>
      <c r="F198" s="43">
        <v>140</v>
      </c>
      <c r="G198" s="47">
        <v>533.87914576098024</v>
      </c>
    </row>
    <row r="199" spans="2:7" x14ac:dyDescent="0.3">
      <c r="B199" s="43">
        <v>141</v>
      </c>
      <c r="C199" s="47">
        <v>1189.1330742344951</v>
      </c>
      <c r="D199" s="43">
        <v>141</v>
      </c>
      <c r="E199" s="47">
        <v>12.160116961410822</v>
      </c>
      <c r="F199" s="43">
        <v>141</v>
      </c>
      <c r="G199" s="47">
        <v>657.97787460399616</v>
      </c>
    </row>
    <row r="200" spans="2:7" x14ac:dyDescent="0.3">
      <c r="B200" s="43">
        <v>142</v>
      </c>
      <c r="C200" s="47">
        <v>919.30978174205097</v>
      </c>
      <c r="D200" s="43">
        <v>142</v>
      </c>
      <c r="E200" s="47">
        <v>-54.526384691437748</v>
      </c>
      <c r="F200" s="43">
        <v>142</v>
      </c>
      <c r="G200" s="47">
        <v>916.857600724745</v>
      </c>
    </row>
    <row r="201" spans="2:7" x14ac:dyDescent="0.3">
      <c r="B201" s="43">
        <v>143</v>
      </c>
      <c r="C201" s="47">
        <v>934.90653765894899</v>
      </c>
      <c r="D201" s="43">
        <v>143</v>
      </c>
      <c r="E201" s="47">
        <v>63.354199869422203</v>
      </c>
      <c r="F201" s="43">
        <v>143</v>
      </c>
      <c r="G201" s="47">
        <v>1297.9351269137451</v>
      </c>
    </row>
    <row r="202" spans="2:7" x14ac:dyDescent="0.3">
      <c r="B202" s="43">
        <v>144</v>
      </c>
      <c r="C202" s="47">
        <v>946.6203233981563</v>
      </c>
      <c r="D202" s="43">
        <v>144</v>
      </c>
      <c r="E202" s="47">
        <v>33.221797354386439</v>
      </c>
      <c r="F202" s="43">
        <v>144</v>
      </c>
      <c r="G202" s="47">
        <v>1185.9355701064319</v>
      </c>
    </row>
    <row r="203" spans="2:7" x14ac:dyDescent="0.3">
      <c r="B203" s="43">
        <v>145</v>
      </c>
      <c r="C203" s="47">
        <v>395.55696342618148</v>
      </c>
      <c r="D203" s="43">
        <v>145</v>
      </c>
      <c r="E203" s="47">
        <v>25.541037260551906</v>
      </c>
      <c r="F203" s="43">
        <v>145</v>
      </c>
      <c r="G203" s="47">
        <v>1451.0391621649603</v>
      </c>
    </row>
    <row r="204" spans="2:7" x14ac:dyDescent="0.3">
      <c r="B204" s="43">
        <v>146</v>
      </c>
      <c r="C204" s="47">
        <v>223.49512731538798</v>
      </c>
      <c r="D204" s="43">
        <v>146</v>
      </c>
      <c r="E204" s="47">
        <v>-0.24849015882380035</v>
      </c>
      <c r="F204" s="43">
        <v>146</v>
      </c>
      <c r="G204" s="47">
        <v>1341.5193528956504</v>
      </c>
    </row>
    <row r="205" spans="2:7" x14ac:dyDescent="0.3">
      <c r="B205" s="43">
        <v>147</v>
      </c>
      <c r="C205" s="47">
        <v>908.64807697360015</v>
      </c>
      <c r="D205" s="43">
        <v>147</v>
      </c>
      <c r="E205" s="47">
        <v>-2.2118556681899824</v>
      </c>
      <c r="F205" s="43">
        <v>147</v>
      </c>
      <c r="G205" s="47">
        <v>793.47833432503398</v>
      </c>
    </row>
    <row r="206" spans="2:7" x14ac:dyDescent="0.3">
      <c r="B206" s="43">
        <v>148</v>
      </c>
      <c r="C206" s="47">
        <v>1637.4356759846257</v>
      </c>
      <c r="D206" s="43">
        <v>148</v>
      </c>
      <c r="E206" s="47">
        <v>13.981560252562982</v>
      </c>
      <c r="F206" s="43">
        <v>148</v>
      </c>
      <c r="G206" s="47">
        <v>1056.6863812326005</v>
      </c>
    </row>
    <row r="207" spans="2:7" x14ac:dyDescent="0.3">
      <c r="B207" s="43">
        <v>149</v>
      </c>
      <c r="C207" s="47">
        <v>1050.9118614130525</v>
      </c>
      <c r="D207" s="43">
        <v>149</v>
      </c>
      <c r="E207" s="47">
        <v>-3.302572181547478</v>
      </c>
      <c r="F207" s="43">
        <v>149</v>
      </c>
      <c r="G207" s="47">
        <v>1221.7315786472013</v>
      </c>
    </row>
    <row r="208" spans="2:7" x14ac:dyDescent="0.3">
      <c r="B208" s="43">
        <v>150</v>
      </c>
      <c r="C208" s="47">
        <v>1149.0418852986518</v>
      </c>
      <c r="D208" s="43">
        <v>150</v>
      </c>
      <c r="E208" s="47">
        <v>4.8172063455085796</v>
      </c>
      <c r="F208" s="43">
        <v>150</v>
      </c>
      <c r="G208" s="47">
        <v>686.36769879871406</v>
      </c>
    </row>
    <row r="209" spans="2:7" x14ac:dyDescent="0.3">
      <c r="B209" s="43">
        <v>151</v>
      </c>
      <c r="C209" s="47">
        <v>803.2658666459879</v>
      </c>
      <c r="D209" s="43">
        <v>151</v>
      </c>
      <c r="E209" s="47">
        <v>26.542950813295686</v>
      </c>
      <c r="F209" s="43">
        <v>151</v>
      </c>
      <c r="G209" s="47">
        <v>1005.3328284233755</v>
      </c>
    </row>
    <row r="210" spans="2:7" x14ac:dyDescent="0.3">
      <c r="B210" s="43">
        <v>152</v>
      </c>
      <c r="C210" s="47">
        <v>1103.038614773775</v>
      </c>
      <c r="D210" s="43">
        <v>152</v>
      </c>
      <c r="E210" s="47">
        <v>5.9491436701590192</v>
      </c>
      <c r="F210" s="43">
        <v>152</v>
      </c>
      <c r="G210" s="47">
        <v>839.72725782991949</v>
      </c>
    </row>
    <row r="211" spans="2:7" x14ac:dyDescent="0.3">
      <c r="B211" s="43">
        <v>153</v>
      </c>
      <c r="C211" s="47">
        <v>754.74366343420809</v>
      </c>
      <c r="D211" s="43">
        <v>153</v>
      </c>
      <c r="E211" s="47">
        <v>-3.1372180508594179</v>
      </c>
      <c r="F211" s="43">
        <v>153</v>
      </c>
      <c r="G211" s="47">
        <v>921.69793658276069</v>
      </c>
    </row>
    <row r="212" spans="2:7" x14ac:dyDescent="0.3">
      <c r="B212" s="43">
        <v>154</v>
      </c>
      <c r="C212" s="47">
        <v>865.0163503214535</v>
      </c>
      <c r="D212" s="43">
        <v>154</v>
      </c>
      <c r="E212" s="47">
        <v>14.601441436963842</v>
      </c>
      <c r="F212" s="43">
        <v>154</v>
      </c>
      <c r="G212" s="47">
        <v>979.42554796857928</v>
      </c>
    </row>
    <row r="213" spans="2:7" x14ac:dyDescent="0.3">
      <c r="B213" s="43">
        <v>155</v>
      </c>
      <c r="C213" s="47">
        <v>1455.9480712804036</v>
      </c>
      <c r="D213" s="43">
        <v>155</v>
      </c>
      <c r="E213" s="47">
        <v>-3.5243547597952398</v>
      </c>
      <c r="F213" s="43">
        <v>155</v>
      </c>
      <c r="G213" s="47">
        <v>1221.1110197523954</v>
      </c>
    </row>
    <row r="214" spans="2:7" x14ac:dyDescent="0.3">
      <c r="B214" s="43">
        <v>156</v>
      </c>
      <c r="C214" s="47">
        <v>1048.076428690078</v>
      </c>
      <c r="D214" s="43">
        <v>156</v>
      </c>
      <c r="E214" s="47">
        <v>23.851699856444945</v>
      </c>
      <c r="F214" s="43">
        <v>156</v>
      </c>
      <c r="G214" s="47">
        <v>589.3316161685002</v>
      </c>
    </row>
    <row r="215" spans="2:7" x14ac:dyDescent="0.3">
      <c r="B215" s="43">
        <v>157</v>
      </c>
      <c r="C215" s="47">
        <v>1310.4091342924753</v>
      </c>
      <c r="D215" s="43">
        <v>157</v>
      </c>
      <c r="E215" s="47">
        <v>-13.709131486901972</v>
      </c>
      <c r="F215" s="43">
        <v>157</v>
      </c>
      <c r="G215" s="47">
        <v>1447.2841675555351</v>
      </c>
    </row>
    <row r="216" spans="2:7" x14ac:dyDescent="0.3">
      <c r="B216" s="43">
        <v>158</v>
      </c>
      <c r="C216" s="47">
        <v>282.55769328845901</v>
      </c>
      <c r="D216" s="43">
        <v>158</v>
      </c>
      <c r="E216" s="47">
        <v>16.862149564156805</v>
      </c>
      <c r="F216" s="43">
        <v>158</v>
      </c>
      <c r="G216" s="47">
        <v>1118.6621375601294</v>
      </c>
    </row>
    <row r="217" spans="2:7" x14ac:dyDescent="0.3">
      <c r="B217" s="43">
        <v>159</v>
      </c>
      <c r="C217" s="47">
        <v>791.57564417618164</v>
      </c>
      <c r="D217" s="43">
        <v>159</v>
      </c>
      <c r="E217" s="47">
        <v>14.042730580484283</v>
      </c>
      <c r="F217" s="43">
        <v>159</v>
      </c>
      <c r="G217" s="47">
        <v>978.33887104401367</v>
      </c>
    </row>
    <row r="218" spans="2:7" x14ac:dyDescent="0.3">
      <c r="B218" s="43">
        <v>160</v>
      </c>
      <c r="C218" s="47">
        <v>484.92347474022017</v>
      </c>
      <c r="D218" s="43">
        <v>160</v>
      </c>
      <c r="E218" s="47">
        <v>-48.232469075744788</v>
      </c>
      <c r="F218" s="43">
        <v>160</v>
      </c>
      <c r="G218" s="47">
        <v>456.3137500317672</v>
      </c>
    </row>
    <row r="219" spans="2:7" x14ac:dyDescent="0.3">
      <c r="B219" s="43">
        <v>161</v>
      </c>
      <c r="C219" s="47">
        <v>529.16518166440483</v>
      </c>
      <c r="D219" s="43">
        <v>161</v>
      </c>
      <c r="E219" s="47">
        <v>-12.997696477887979</v>
      </c>
      <c r="F219" s="43">
        <v>161</v>
      </c>
      <c r="G219" s="47">
        <v>1091.8029556146789</v>
      </c>
    </row>
    <row r="220" spans="2:7" x14ac:dyDescent="0.3">
      <c r="B220" s="43">
        <v>162</v>
      </c>
      <c r="C220" s="47">
        <v>773.1841859463517</v>
      </c>
      <c r="D220" s="43">
        <v>162</v>
      </c>
      <c r="E220" s="47">
        <v>-29.153294242691764</v>
      </c>
      <c r="F220" s="43">
        <v>162</v>
      </c>
      <c r="G220" s="47">
        <v>958.23632921152534</v>
      </c>
    </row>
    <row r="221" spans="2:7" x14ac:dyDescent="0.3">
      <c r="B221" s="43">
        <v>163</v>
      </c>
      <c r="C221" s="47">
        <v>860.15065237825797</v>
      </c>
      <c r="D221" s="43">
        <v>163</v>
      </c>
      <c r="E221" s="47">
        <v>45.118150986053301</v>
      </c>
      <c r="F221" s="43">
        <v>163</v>
      </c>
      <c r="G221" s="47">
        <v>983.23384911075266</v>
      </c>
    </row>
    <row r="222" spans="2:7" x14ac:dyDescent="0.3">
      <c r="B222" s="43">
        <v>164</v>
      </c>
      <c r="C222" s="47">
        <v>1433.0362423967522</v>
      </c>
      <c r="D222" s="43">
        <v>164</v>
      </c>
      <c r="E222" s="47">
        <v>47.384488128112622</v>
      </c>
      <c r="F222" s="43">
        <v>164</v>
      </c>
      <c r="G222" s="47">
        <v>561.97255230534051</v>
      </c>
    </row>
    <row r="223" spans="2:7" x14ac:dyDescent="0.3">
      <c r="B223" s="43">
        <v>165</v>
      </c>
      <c r="C223" s="47">
        <v>845.00552506792997</v>
      </c>
      <c r="D223" s="43">
        <v>165</v>
      </c>
      <c r="E223" s="47">
        <v>-9.9241910884594464</v>
      </c>
      <c r="F223" s="43">
        <v>165</v>
      </c>
      <c r="G223" s="47">
        <v>1197.7359672202585</v>
      </c>
    </row>
    <row r="224" spans="2:7" x14ac:dyDescent="0.3">
      <c r="B224" s="43">
        <v>166</v>
      </c>
      <c r="C224" s="47">
        <v>1143.6322595785919</v>
      </c>
      <c r="D224" s="43">
        <v>166</v>
      </c>
      <c r="E224" s="47">
        <v>18.84041656845157</v>
      </c>
      <c r="F224" s="43">
        <v>166</v>
      </c>
      <c r="G224" s="47">
        <v>1204.7601873810704</v>
      </c>
    </row>
    <row r="225" spans="2:7" x14ac:dyDescent="0.3">
      <c r="B225" s="43">
        <v>167</v>
      </c>
      <c r="C225" s="47">
        <v>852.53539773295893</v>
      </c>
      <c r="D225" s="43">
        <v>167</v>
      </c>
      <c r="E225" s="47">
        <v>-28.949221869124472</v>
      </c>
      <c r="F225" s="43">
        <v>167</v>
      </c>
      <c r="G225" s="47">
        <v>1258.3837227997999</v>
      </c>
    </row>
    <row r="226" spans="2:7" x14ac:dyDescent="0.3">
      <c r="B226" s="43">
        <v>168</v>
      </c>
      <c r="C226" s="47">
        <v>638.41325466692172</v>
      </c>
      <c r="D226" s="43">
        <v>168</v>
      </c>
      <c r="E226" s="47">
        <v>-16.464986899098832</v>
      </c>
      <c r="F226" s="43">
        <v>168</v>
      </c>
      <c r="G226" s="47">
        <v>981.62851886515762</v>
      </c>
    </row>
    <row r="227" spans="2:7" x14ac:dyDescent="0.3">
      <c r="B227" s="43">
        <v>169</v>
      </c>
      <c r="C227" s="47">
        <v>517.60304049278659</v>
      </c>
      <c r="D227" s="43">
        <v>169</v>
      </c>
      <c r="E227" s="47">
        <v>-2.9438217036203982</v>
      </c>
      <c r="F227" s="43">
        <v>169</v>
      </c>
      <c r="G227" s="47">
        <v>1081.8402760277381</v>
      </c>
    </row>
    <row r="228" spans="2:7" x14ac:dyDescent="0.3">
      <c r="B228" s="43">
        <v>170</v>
      </c>
      <c r="C228" s="47">
        <v>1215.4945732153496</v>
      </c>
      <c r="D228" s="43">
        <v>170</v>
      </c>
      <c r="E228" s="47">
        <v>16.807009039786809</v>
      </c>
      <c r="F228" s="43">
        <v>170</v>
      </c>
      <c r="G228" s="47">
        <v>1537.7454550177679</v>
      </c>
    </row>
    <row r="229" spans="2:7" x14ac:dyDescent="0.3">
      <c r="B229" s="43">
        <v>171</v>
      </c>
      <c r="C229" s="47">
        <v>1539.3812339726644</v>
      </c>
      <c r="D229" s="43">
        <v>171</v>
      </c>
      <c r="E229" s="47">
        <v>-6.5061323880227757</v>
      </c>
      <c r="F229" s="43">
        <v>171</v>
      </c>
      <c r="G229" s="47">
        <v>658.00838681960226</v>
      </c>
    </row>
    <row r="230" spans="2:7" x14ac:dyDescent="0.3">
      <c r="B230" s="43">
        <v>172</v>
      </c>
      <c r="C230" s="47">
        <v>1432.5142051147163</v>
      </c>
      <c r="D230" s="43">
        <v>172</v>
      </c>
      <c r="E230" s="47">
        <v>-22.366153206788979</v>
      </c>
      <c r="F230" s="43">
        <v>172</v>
      </c>
      <c r="G230" s="47">
        <v>747.26101610278374</v>
      </c>
    </row>
    <row r="231" spans="2:7" x14ac:dyDescent="0.3">
      <c r="B231" s="43">
        <v>173</v>
      </c>
      <c r="C231" s="47">
        <v>1587.291160321942</v>
      </c>
      <c r="D231" s="43">
        <v>173</v>
      </c>
      <c r="E231" s="47">
        <v>2.6386815486112671</v>
      </c>
      <c r="F231" s="43">
        <v>173</v>
      </c>
      <c r="G231" s="47">
        <v>646.32405032911095</v>
      </c>
    </row>
    <row r="232" spans="2:7" x14ac:dyDescent="0.3">
      <c r="B232" s="43">
        <v>174</v>
      </c>
      <c r="C232" s="47">
        <v>919.91336973151647</v>
      </c>
      <c r="D232" s="43">
        <v>174</v>
      </c>
      <c r="E232" s="47">
        <v>21.302068991311121</v>
      </c>
      <c r="F232" s="43">
        <v>174</v>
      </c>
      <c r="G232" s="47">
        <v>966.35749640303277</v>
      </c>
    </row>
    <row r="233" spans="2:7" x14ac:dyDescent="0.3">
      <c r="B233" s="43">
        <v>175</v>
      </c>
      <c r="C233" s="47">
        <v>449.36365703098045</v>
      </c>
      <c r="D233" s="43">
        <v>175</v>
      </c>
      <c r="E233" s="47">
        <v>39.523569755588454</v>
      </c>
      <c r="F233" s="43">
        <v>175</v>
      </c>
      <c r="G233" s="47">
        <v>736.05095889796132</v>
      </c>
    </row>
    <row r="234" spans="2:7" x14ac:dyDescent="0.3">
      <c r="B234" s="43">
        <v>176</v>
      </c>
      <c r="C234" s="47">
        <v>1191.0064849598866</v>
      </c>
      <c r="D234" s="43">
        <v>176</v>
      </c>
      <c r="E234" s="47">
        <v>11.183556199211663</v>
      </c>
      <c r="F234" s="43">
        <v>176</v>
      </c>
      <c r="G234" s="47">
        <v>915.91433093860758</v>
      </c>
    </row>
    <row r="235" spans="2:7" x14ac:dyDescent="0.3">
      <c r="B235" s="43">
        <v>177</v>
      </c>
      <c r="C235" s="47">
        <v>1021.6741081480507</v>
      </c>
      <c r="D235" s="43">
        <v>177</v>
      </c>
      <c r="E235" s="47">
        <v>-25.586642418654204</v>
      </c>
      <c r="F235" s="43">
        <v>177</v>
      </c>
      <c r="G235" s="47">
        <v>1288.3341312454772</v>
      </c>
    </row>
    <row r="236" spans="2:7" x14ac:dyDescent="0.3">
      <c r="B236" s="43">
        <v>178</v>
      </c>
      <c r="C236" s="47">
        <v>600.00260091809673</v>
      </c>
      <c r="D236" s="43">
        <v>178</v>
      </c>
      <c r="E236" s="47">
        <v>-43.981601266947045</v>
      </c>
      <c r="F236" s="43">
        <v>178</v>
      </c>
      <c r="G236" s="47">
        <v>1007.274773326731</v>
      </c>
    </row>
    <row r="237" spans="2:7" x14ac:dyDescent="0.3">
      <c r="B237" s="43">
        <v>179</v>
      </c>
      <c r="C237" s="47">
        <v>610.5548966873323</v>
      </c>
      <c r="D237" s="43">
        <v>179</v>
      </c>
      <c r="E237" s="47">
        <v>-16.414531947158036</v>
      </c>
      <c r="F237" s="43">
        <v>179</v>
      </c>
      <c r="G237" s="47">
        <v>1565.2610078788252</v>
      </c>
    </row>
    <row r="238" spans="2:7" x14ac:dyDescent="0.3">
      <c r="B238" s="43">
        <v>180</v>
      </c>
      <c r="C238" s="47">
        <v>777.58046986250895</v>
      </c>
      <c r="D238" s="43">
        <v>180</v>
      </c>
      <c r="E238" s="47">
        <v>-19.30189267269591</v>
      </c>
      <c r="F238" s="43">
        <v>180</v>
      </c>
      <c r="G238" s="47">
        <v>743.1327025093093</v>
      </c>
    </row>
    <row r="239" spans="2:7" x14ac:dyDescent="0.3">
      <c r="B239" s="43">
        <v>181</v>
      </c>
      <c r="C239" s="47">
        <v>1381.4484771060575</v>
      </c>
      <c r="D239" s="43">
        <v>181</v>
      </c>
      <c r="E239" s="47">
        <v>-7.462794386866352</v>
      </c>
      <c r="F239" s="43">
        <v>181</v>
      </c>
      <c r="G239" s="47">
        <v>1116.9164474181941</v>
      </c>
    </row>
    <row r="240" spans="2:7" x14ac:dyDescent="0.3">
      <c r="B240" s="43">
        <v>182</v>
      </c>
      <c r="C240" s="47">
        <v>1188.2692126143845</v>
      </c>
      <c r="D240" s="43">
        <v>182</v>
      </c>
      <c r="E240" s="47">
        <v>22.555065097479943</v>
      </c>
      <c r="F240" s="43">
        <v>182</v>
      </c>
      <c r="G240" s="47">
        <v>1276.4359481674469</v>
      </c>
    </row>
    <row r="241" spans="2:7" x14ac:dyDescent="0.3">
      <c r="B241" s="43">
        <v>183</v>
      </c>
      <c r="C241" s="47">
        <v>1051.9776207864506</v>
      </c>
      <c r="D241" s="43">
        <v>183</v>
      </c>
      <c r="E241" s="47">
        <v>15.369393519288957</v>
      </c>
      <c r="F241" s="43">
        <v>183</v>
      </c>
      <c r="G241" s="47">
        <v>840.58081792178712</v>
      </c>
    </row>
    <row r="242" spans="2:7" x14ac:dyDescent="0.3">
      <c r="B242" s="43">
        <v>184</v>
      </c>
      <c r="C242" s="47">
        <v>616.40275437939522</v>
      </c>
      <c r="D242" s="43">
        <v>184</v>
      </c>
      <c r="E242" s="47">
        <v>-4.6255344288440368</v>
      </c>
      <c r="F242" s="43">
        <v>184</v>
      </c>
      <c r="G242" s="47">
        <v>587.44727789081855</v>
      </c>
    </row>
    <row r="243" spans="2:7" x14ac:dyDescent="0.3">
      <c r="B243" s="43">
        <v>185</v>
      </c>
      <c r="C243" s="47">
        <v>813.2457842135683</v>
      </c>
      <c r="D243" s="43">
        <v>185</v>
      </c>
      <c r="E243" s="47">
        <v>-12.694501371152215</v>
      </c>
      <c r="F243" s="43">
        <v>185</v>
      </c>
      <c r="G243" s="47">
        <v>913.82844861328772</v>
      </c>
    </row>
    <row r="244" spans="2:7" x14ac:dyDescent="0.3">
      <c r="B244" s="43">
        <v>186</v>
      </c>
      <c r="C244" s="47">
        <v>872.96763029598424</v>
      </c>
      <c r="D244" s="43">
        <v>186</v>
      </c>
      <c r="E244" s="47">
        <v>-8.0634800245007447</v>
      </c>
      <c r="F244" s="43">
        <v>186</v>
      </c>
      <c r="G244" s="47">
        <v>747.54338967945682</v>
      </c>
    </row>
    <row r="245" spans="2:7" x14ac:dyDescent="0.3">
      <c r="B245" s="43">
        <v>187</v>
      </c>
      <c r="C245" s="47">
        <v>1120.2392071401041</v>
      </c>
      <c r="D245" s="43">
        <v>187</v>
      </c>
      <c r="E245" s="47">
        <v>4.0406248564516485</v>
      </c>
      <c r="F245" s="43">
        <v>187</v>
      </c>
      <c r="G245" s="47">
        <v>1233.3039706681029</v>
      </c>
    </row>
    <row r="246" spans="2:7" x14ac:dyDescent="0.3">
      <c r="B246" s="43">
        <v>188</v>
      </c>
      <c r="C246" s="47">
        <v>438.64363611149702</v>
      </c>
      <c r="D246" s="43">
        <v>188</v>
      </c>
      <c r="E246" s="47">
        <v>58.256401091912025</v>
      </c>
      <c r="F246" s="43">
        <v>188</v>
      </c>
      <c r="G246" s="47">
        <v>1463.2214918566006</v>
      </c>
    </row>
    <row r="247" spans="2:7" x14ac:dyDescent="0.3">
      <c r="B247" s="43">
        <v>189</v>
      </c>
      <c r="C247" s="47">
        <v>634.81232023348844</v>
      </c>
      <c r="D247" s="43">
        <v>189</v>
      </c>
      <c r="E247" s="47">
        <v>15.930347198781675</v>
      </c>
      <c r="F247" s="43">
        <v>189</v>
      </c>
      <c r="G247" s="47">
        <v>1131.4633383372989</v>
      </c>
    </row>
    <row r="248" spans="2:7" x14ac:dyDescent="0.3">
      <c r="B248" s="43">
        <v>190</v>
      </c>
      <c r="C248" s="47">
        <v>583.03915568140246</v>
      </c>
      <c r="D248" s="43">
        <v>190</v>
      </c>
      <c r="E248" s="47">
        <v>-16.358576967385694</v>
      </c>
      <c r="F248" s="43">
        <v>190</v>
      </c>
      <c r="G248" s="47">
        <v>1089.0195025915652</v>
      </c>
    </row>
    <row r="249" spans="2:7" x14ac:dyDescent="0.3">
      <c r="B249" s="43">
        <v>191</v>
      </c>
      <c r="C249" s="47">
        <v>878.72532758219654</v>
      </c>
      <c r="D249" s="43">
        <v>191</v>
      </c>
      <c r="E249" s="47">
        <v>-8.9262415596278011</v>
      </c>
      <c r="F249" s="43">
        <v>191</v>
      </c>
      <c r="G249" s="47">
        <v>1323.0626780661157</v>
      </c>
    </row>
    <row r="250" spans="2:7" x14ac:dyDescent="0.3">
      <c r="B250" s="43">
        <v>192</v>
      </c>
      <c r="C250" s="47">
        <v>1032.4832834002154</v>
      </c>
      <c r="D250" s="43">
        <v>192</v>
      </c>
      <c r="E250" s="47">
        <v>-18.395712404449448</v>
      </c>
      <c r="F250" s="43">
        <v>192</v>
      </c>
      <c r="G250" s="47">
        <v>923.05201181641348</v>
      </c>
    </row>
    <row r="251" spans="2:7" x14ac:dyDescent="0.3">
      <c r="B251" s="43">
        <v>193</v>
      </c>
      <c r="C251" s="47">
        <v>1048.3859110817223</v>
      </c>
      <c r="D251" s="43">
        <v>193</v>
      </c>
      <c r="E251" s="47">
        <v>6.5315913667343342</v>
      </c>
      <c r="F251" s="43">
        <v>193</v>
      </c>
      <c r="G251" s="47">
        <v>1261.8607767609951</v>
      </c>
    </row>
    <row r="252" spans="2:7" x14ac:dyDescent="0.3">
      <c r="B252" s="43">
        <v>194</v>
      </c>
      <c r="C252" s="47">
        <v>992.53592686674006</v>
      </c>
      <c r="D252" s="43">
        <v>194</v>
      </c>
      <c r="E252" s="47">
        <v>3.5556081819105225</v>
      </c>
      <c r="F252" s="43">
        <v>194</v>
      </c>
      <c r="G252" s="47">
        <v>841.01824763773254</v>
      </c>
    </row>
    <row r="253" spans="2:7" x14ac:dyDescent="0.3">
      <c r="B253" s="43">
        <v>195</v>
      </c>
      <c r="C253" s="47">
        <v>116.25999409503319</v>
      </c>
      <c r="D253" s="43">
        <v>195</v>
      </c>
      <c r="E253" s="47">
        <v>12.733245341410806</v>
      </c>
      <c r="F253" s="43">
        <v>195</v>
      </c>
      <c r="G253" s="47">
        <v>826.44898770789257</v>
      </c>
    </row>
    <row r="254" spans="2:7" x14ac:dyDescent="0.3">
      <c r="B254" s="43">
        <v>196</v>
      </c>
      <c r="C254" s="47">
        <v>894.3402407014122</v>
      </c>
      <c r="D254" s="43">
        <v>196</v>
      </c>
      <c r="E254" s="47">
        <v>18.796117255586164</v>
      </c>
      <c r="F254" s="43">
        <v>196</v>
      </c>
      <c r="G254" s="47">
        <v>459.82287378690353</v>
      </c>
    </row>
    <row r="255" spans="2:7" x14ac:dyDescent="0.3">
      <c r="B255" s="43">
        <v>197</v>
      </c>
      <c r="C255" s="47">
        <v>1107.3005891218334</v>
      </c>
      <c r="D255" s="43">
        <v>197</v>
      </c>
      <c r="E255" s="47">
        <v>-23.339143841119512</v>
      </c>
      <c r="F255" s="43">
        <v>197</v>
      </c>
      <c r="G255" s="47">
        <v>897.32437739330089</v>
      </c>
    </row>
    <row r="256" spans="2:7" x14ac:dyDescent="0.3">
      <c r="B256" s="43">
        <v>198</v>
      </c>
      <c r="C256" s="47">
        <v>740.6034208523364</v>
      </c>
      <c r="D256" s="43">
        <v>198</v>
      </c>
      <c r="E256" s="47">
        <v>-27.962896932447357</v>
      </c>
      <c r="F256" s="43">
        <v>198</v>
      </c>
      <c r="G256" s="47">
        <v>717.61905499651266</v>
      </c>
    </row>
    <row r="257" spans="2:7" x14ac:dyDescent="0.3">
      <c r="B257" s="43">
        <v>199</v>
      </c>
      <c r="C257" s="47">
        <v>736.84126206038468</v>
      </c>
      <c r="D257" s="43">
        <v>199</v>
      </c>
      <c r="E257" s="47">
        <v>6.3392675018657805</v>
      </c>
      <c r="F257" s="43">
        <v>199</v>
      </c>
      <c r="G257" s="47">
        <v>952.11646597726974</v>
      </c>
    </row>
    <row r="258" spans="2:7" x14ac:dyDescent="0.3">
      <c r="B258" s="43">
        <v>200</v>
      </c>
      <c r="C258" s="47">
        <v>959.1023921694574</v>
      </c>
      <c r="D258" s="43">
        <v>200</v>
      </c>
      <c r="E258" s="47">
        <v>7.0986805099401753</v>
      </c>
      <c r="F258" s="43">
        <v>200</v>
      </c>
      <c r="G258" s="47">
        <v>881.7107565599797</v>
      </c>
    </row>
    <row r="259" spans="2:7" x14ac:dyDescent="0.3">
      <c r="B259" s="43">
        <v>201</v>
      </c>
      <c r="C259" s="47">
        <v>365.084977475492</v>
      </c>
      <c r="D259" s="43">
        <v>201</v>
      </c>
      <c r="E259" s="47">
        <v>-50.513392755531605</v>
      </c>
      <c r="F259" s="43">
        <v>201</v>
      </c>
      <c r="G259" s="47">
        <v>1132.1934163228225</v>
      </c>
    </row>
    <row r="260" spans="2:7" x14ac:dyDescent="0.3">
      <c r="B260" s="43">
        <v>202</v>
      </c>
      <c r="C260" s="47">
        <v>1334.779981039562</v>
      </c>
      <c r="D260" s="43">
        <v>202</v>
      </c>
      <c r="E260" s="47">
        <v>3.5590505523860516</v>
      </c>
      <c r="F260" s="43">
        <v>202</v>
      </c>
      <c r="G260" s="47">
        <v>989.33886506916497</v>
      </c>
    </row>
    <row r="261" spans="2:7" x14ac:dyDescent="0.3">
      <c r="B261" s="43">
        <v>203</v>
      </c>
      <c r="C261" s="47">
        <v>669.94071809113643</v>
      </c>
      <c r="D261" s="43">
        <v>203</v>
      </c>
      <c r="E261" s="47">
        <v>-52.179913439116959</v>
      </c>
      <c r="F261" s="43">
        <v>203</v>
      </c>
      <c r="G261" s="47">
        <v>360.85765491444829</v>
      </c>
    </row>
    <row r="262" spans="2:7" x14ac:dyDescent="0.3">
      <c r="B262" s="43">
        <v>204</v>
      </c>
      <c r="C262" s="47">
        <v>879.86853721768603</v>
      </c>
      <c r="D262" s="43">
        <v>204</v>
      </c>
      <c r="E262" s="47">
        <v>1.0932633850563003</v>
      </c>
      <c r="F262" s="43">
        <v>204</v>
      </c>
      <c r="G262" s="47">
        <v>1189.7656368950145</v>
      </c>
    </row>
    <row r="263" spans="2:7" x14ac:dyDescent="0.3">
      <c r="B263" s="43">
        <v>205</v>
      </c>
      <c r="C263" s="47">
        <v>1001.2297677081839</v>
      </c>
      <c r="D263" s="43">
        <v>205</v>
      </c>
      <c r="E263" s="47">
        <v>-11.348499703785176</v>
      </c>
      <c r="F263" s="43">
        <v>205</v>
      </c>
      <c r="G263" s="47">
        <v>621.78579500957051</v>
      </c>
    </row>
    <row r="264" spans="2:7" x14ac:dyDescent="0.3">
      <c r="B264" s="43">
        <v>206</v>
      </c>
      <c r="C264" s="47">
        <v>624.27083227994331</v>
      </c>
      <c r="D264" s="43">
        <v>206</v>
      </c>
      <c r="E264" s="47">
        <v>-1.5947078102732737</v>
      </c>
      <c r="F264" s="43">
        <v>206</v>
      </c>
      <c r="G264" s="47">
        <v>1056.7893839415401</v>
      </c>
    </row>
    <row r="265" spans="2:7" x14ac:dyDescent="0.3">
      <c r="B265" s="43">
        <v>207</v>
      </c>
      <c r="C265" s="47">
        <v>1095.6410140371863</v>
      </c>
      <c r="D265" s="43">
        <v>207</v>
      </c>
      <c r="E265" s="47">
        <v>-6.7537840588509255</v>
      </c>
      <c r="F265" s="43">
        <v>207</v>
      </c>
      <c r="G265" s="47">
        <v>715.87759585077879</v>
      </c>
    </row>
    <row r="266" spans="2:7" x14ac:dyDescent="0.3">
      <c r="B266" s="43">
        <v>208</v>
      </c>
      <c r="C266" s="47">
        <v>839.82163278249209</v>
      </c>
      <c r="D266" s="43">
        <v>208</v>
      </c>
      <c r="E266" s="47">
        <v>8.9226911008382626</v>
      </c>
      <c r="F266" s="43">
        <v>208</v>
      </c>
      <c r="G266" s="47">
        <v>750.99461245319935</v>
      </c>
    </row>
    <row r="267" spans="2:7" x14ac:dyDescent="0.3">
      <c r="B267" s="43">
        <v>209</v>
      </c>
      <c r="C267" s="47">
        <v>1266.4763782488765</v>
      </c>
      <c r="D267" s="43">
        <v>209</v>
      </c>
      <c r="E267" s="47">
        <v>-1.3604000537808145</v>
      </c>
      <c r="F267" s="43">
        <v>209</v>
      </c>
      <c r="G267" s="47">
        <v>475.01171085264775</v>
      </c>
    </row>
    <row r="268" spans="2:7" x14ac:dyDescent="0.3">
      <c r="B268" s="43">
        <v>210</v>
      </c>
      <c r="C268" s="47">
        <v>1533.4712064658131</v>
      </c>
      <c r="D268" s="43">
        <v>210</v>
      </c>
      <c r="E268" s="47">
        <v>-29.322602825212179</v>
      </c>
      <c r="F268" s="43">
        <v>210</v>
      </c>
      <c r="G268" s="47">
        <v>675.00245017062832</v>
      </c>
    </row>
    <row r="269" spans="2:7" x14ac:dyDescent="0.3">
      <c r="B269" s="43">
        <v>211</v>
      </c>
      <c r="C269" s="47">
        <v>408.87936338164866</v>
      </c>
      <c r="D269" s="43">
        <v>211</v>
      </c>
      <c r="E269" s="47">
        <v>-29.763761069906558</v>
      </c>
      <c r="F269" s="43">
        <v>211</v>
      </c>
      <c r="G269" s="47">
        <v>1051.433105599644</v>
      </c>
    </row>
    <row r="270" spans="2:7" x14ac:dyDescent="0.3">
      <c r="B270" s="43">
        <v>212</v>
      </c>
      <c r="C270" s="47">
        <v>1013.597754870839</v>
      </c>
      <c r="D270" s="43">
        <v>212</v>
      </c>
      <c r="E270" s="47">
        <v>-21.179174203959509</v>
      </c>
      <c r="F270" s="43">
        <v>212</v>
      </c>
      <c r="G270" s="47">
        <v>1013.3656160691714</v>
      </c>
    </row>
    <row r="271" spans="2:7" x14ac:dyDescent="0.3">
      <c r="B271" s="43">
        <v>213</v>
      </c>
      <c r="C271" s="47">
        <v>1164.9471688386077</v>
      </c>
      <c r="D271" s="43">
        <v>213</v>
      </c>
      <c r="E271" s="47">
        <v>34.029274961017627</v>
      </c>
      <c r="F271" s="43">
        <v>213</v>
      </c>
      <c r="G271" s="47">
        <v>921.22120587758911</v>
      </c>
    </row>
    <row r="272" spans="2:7" x14ac:dyDescent="0.3">
      <c r="B272" s="43">
        <v>214</v>
      </c>
      <c r="C272" s="47">
        <v>871.04996462280121</v>
      </c>
      <c r="D272" s="43">
        <v>214</v>
      </c>
      <c r="E272" s="47">
        <v>-8.9035169885138377</v>
      </c>
      <c r="F272" s="43">
        <v>214</v>
      </c>
      <c r="G272" s="47">
        <v>992.79120085213196</v>
      </c>
    </row>
    <row r="273" spans="2:7" x14ac:dyDescent="0.3">
      <c r="B273" s="43">
        <v>215</v>
      </c>
      <c r="C273" s="47">
        <v>202.32360764601722</v>
      </c>
      <c r="D273" s="43">
        <v>215</v>
      </c>
      <c r="E273" s="47">
        <v>1.8617972425179619</v>
      </c>
      <c r="F273" s="43">
        <v>215</v>
      </c>
      <c r="G273" s="47">
        <v>1251.172993099412</v>
      </c>
    </row>
    <row r="274" spans="2:7" x14ac:dyDescent="0.3">
      <c r="B274" s="43">
        <v>216</v>
      </c>
      <c r="C274" s="47">
        <v>1129.1408127509956</v>
      </c>
      <c r="D274" s="43">
        <v>216</v>
      </c>
      <c r="E274" s="47">
        <v>-12.963763692919381</v>
      </c>
      <c r="F274" s="43">
        <v>216</v>
      </c>
      <c r="G274" s="47">
        <v>1004.2185695978026</v>
      </c>
    </row>
    <row r="275" spans="2:7" x14ac:dyDescent="0.3">
      <c r="B275" s="43">
        <v>217</v>
      </c>
      <c r="C275" s="47">
        <v>812.23955258842977</v>
      </c>
      <c r="D275" s="43">
        <v>217</v>
      </c>
      <c r="E275" s="47">
        <v>-14.814688800944449</v>
      </c>
      <c r="F275" s="43">
        <v>217</v>
      </c>
      <c r="G275" s="47">
        <v>1175.2237903640482</v>
      </c>
    </row>
    <row r="276" spans="2:7" x14ac:dyDescent="0.3">
      <c r="B276" s="43">
        <v>218</v>
      </c>
      <c r="C276" s="47">
        <v>510.5778820378714</v>
      </c>
      <c r="D276" s="43">
        <v>218</v>
      </c>
      <c r="E276" s="47">
        <v>26.247965506519627</v>
      </c>
      <c r="F276" s="43">
        <v>218</v>
      </c>
      <c r="G276" s="47">
        <v>790.36325107693733</v>
      </c>
    </row>
    <row r="277" spans="2:7" x14ac:dyDescent="0.3">
      <c r="B277" s="43">
        <v>219</v>
      </c>
      <c r="C277" s="47">
        <v>757.98881637084776</v>
      </c>
      <c r="D277" s="43">
        <v>219</v>
      </c>
      <c r="E277" s="47">
        <v>-47.702718846342449</v>
      </c>
      <c r="F277" s="43">
        <v>219</v>
      </c>
      <c r="G277" s="47">
        <v>799.7834711653652</v>
      </c>
    </row>
    <row r="278" spans="2:7" x14ac:dyDescent="0.3">
      <c r="B278" s="43">
        <v>220</v>
      </c>
      <c r="C278" s="47">
        <v>917.90180324919277</v>
      </c>
      <c r="D278" s="43">
        <v>220</v>
      </c>
      <c r="E278" s="47">
        <v>-30.740357226318565</v>
      </c>
      <c r="F278" s="43">
        <v>220</v>
      </c>
      <c r="G278" s="47">
        <v>1077.5062010392107</v>
      </c>
    </row>
    <row r="279" spans="2:7" x14ac:dyDescent="0.3">
      <c r="B279" s="43">
        <v>221</v>
      </c>
      <c r="C279" s="47">
        <v>877.42025478081848</v>
      </c>
      <c r="D279" s="43">
        <v>221</v>
      </c>
      <c r="E279" s="47">
        <v>1.1371924330719629</v>
      </c>
      <c r="F279" s="43">
        <v>221</v>
      </c>
      <c r="G279" s="47">
        <v>1160.8630593132029</v>
      </c>
    </row>
    <row r="280" spans="2:7" x14ac:dyDescent="0.3">
      <c r="B280" s="43">
        <v>222</v>
      </c>
      <c r="C280" s="47">
        <v>1008.8445841830595</v>
      </c>
      <c r="D280" s="43">
        <v>222</v>
      </c>
      <c r="E280" s="47">
        <v>22.891907820530879</v>
      </c>
      <c r="F280" s="43">
        <v>222</v>
      </c>
      <c r="G280" s="47">
        <v>907.65900710683161</v>
      </c>
    </row>
    <row r="281" spans="2:7" x14ac:dyDescent="0.3">
      <c r="B281" s="43">
        <v>223</v>
      </c>
      <c r="C281" s="47">
        <v>1066.4733204969691</v>
      </c>
      <c r="D281" s="43">
        <v>223</v>
      </c>
      <c r="E281" s="47">
        <v>8.1151268922114976</v>
      </c>
      <c r="F281" s="43">
        <v>223</v>
      </c>
      <c r="G281" s="47">
        <v>1312.720965373162</v>
      </c>
    </row>
    <row r="282" spans="2:7" x14ac:dyDescent="0.3">
      <c r="B282" s="43">
        <v>224</v>
      </c>
      <c r="C282" s="47">
        <v>891.18250006295818</v>
      </c>
      <c r="D282" s="43">
        <v>224</v>
      </c>
      <c r="E282" s="47">
        <v>28.079476324560591</v>
      </c>
      <c r="F282" s="43">
        <v>224</v>
      </c>
      <c r="G282" s="47">
        <v>1452.0753017986051</v>
      </c>
    </row>
    <row r="283" spans="2:7" x14ac:dyDescent="0.3">
      <c r="B283" s="43">
        <v>225</v>
      </c>
      <c r="C283" s="47">
        <v>1728.5808584112469</v>
      </c>
      <c r="D283" s="43">
        <v>225</v>
      </c>
      <c r="E283" s="47">
        <v>24.977355646200763</v>
      </c>
      <c r="F283" s="43">
        <v>225</v>
      </c>
      <c r="G283" s="47">
        <v>538.84529381285893</v>
      </c>
    </row>
    <row r="284" spans="2:7" x14ac:dyDescent="0.3">
      <c r="B284" s="43">
        <v>226</v>
      </c>
      <c r="C284" s="47">
        <v>638.61643002771598</v>
      </c>
      <c r="D284" s="43">
        <v>226</v>
      </c>
      <c r="E284" s="47">
        <v>3.8620587483633586</v>
      </c>
      <c r="F284" s="43">
        <v>226</v>
      </c>
      <c r="G284" s="47">
        <v>993.12857910792479</v>
      </c>
    </row>
    <row r="285" spans="2:7" x14ac:dyDescent="0.3">
      <c r="B285" s="43">
        <v>227</v>
      </c>
      <c r="C285" s="47">
        <v>1332.6934645572787</v>
      </c>
      <c r="D285" s="43">
        <v>227</v>
      </c>
      <c r="E285" s="47">
        <v>-27.057069568217635</v>
      </c>
      <c r="F285" s="43">
        <v>227</v>
      </c>
      <c r="G285" s="47">
        <v>936.55108919523025</v>
      </c>
    </row>
    <row r="286" spans="2:7" x14ac:dyDescent="0.3">
      <c r="B286" s="43">
        <v>228</v>
      </c>
      <c r="C286" s="47">
        <v>555.38797906280706</v>
      </c>
      <c r="D286" s="43">
        <v>228</v>
      </c>
      <c r="E286" s="47">
        <v>-0.33314847274627324</v>
      </c>
      <c r="F286" s="43">
        <v>228</v>
      </c>
      <c r="G286" s="47">
        <v>1300.6825914978676</v>
      </c>
    </row>
    <row r="287" spans="2:7" x14ac:dyDescent="0.3">
      <c r="B287" s="43">
        <v>229</v>
      </c>
      <c r="C287" s="47">
        <v>1014.0154975987014</v>
      </c>
      <c r="D287" s="43">
        <v>229</v>
      </c>
      <c r="E287" s="47">
        <v>3.2686143399318874</v>
      </c>
      <c r="F287" s="43">
        <v>229</v>
      </c>
      <c r="G287" s="47">
        <v>417.72438342930445</v>
      </c>
    </row>
    <row r="288" spans="2:7" x14ac:dyDescent="0.3">
      <c r="B288" s="43">
        <v>230</v>
      </c>
      <c r="C288" s="47">
        <v>1108.4014321019388</v>
      </c>
      <c r="D288" s="43">
        <v>230</v>
      </c>
      <c r="E288" s="47">
        <v>33.537038600127531</v>
      </c>
      <c r="F288" s="43">
        <v>230</v>
      </c>
      <c r="G288" s="47">
        <v>616.08307607477764</v>
      </c>
    </row>
    <row r="289" spans="2:7" x14ac:dyDescent="0.3">
      <c r="B289" s="43">
        <v>231</v>
      </c>
      <c r="C289" s="47">
        <v>1099.422927466326</v>
      </c>
      <c r="D289" s="43">
        <v>231</v>
      </c>
      <c r="E289" s="47">
        <v>38.14218828787876</v>
      </c>
      <c r="F289" s="43">
        <v>231</v>
      </c>
      <c r="G289" s="47">
        <v>979.02500724874403</v>
      </c>
    </row>
    <row r="290" spans="2:7" x14ac:dyDescent="0.3">
      <c r="B290" s="43">
        <v>232</v>
      </c>
      <c r="C290" s="47">
        <v>622.73336088041469</v>
      </c>
      <c r="D290" s="43">
        <v>232</v>
      </c>
      <c r="E290" s="47">
        <v>5.935474676779271</v>
      </c>
      <c r="F290" s="43">
        <v>232</v>
      </c>
      <c r="G290" s="47">
        <v>629.37937571854604</v>
      </c>
    </row>
    <row r="291" spans="2:7" x14ac:dyDescent="0.3">
      <c r="B291" s="43">
        <v>233</v>
      </c>
      <c r="C291" s="47">
        <v>832.45195423284349</v>
      </c>
      <c r="D291" s="43">
        <v>233</v>
      </c>
      <c r="E291" s="47">
        <v>-28.343678614238872</v>
      </c>
      <c r="F291" s="43">
        <v>233</v>
      </c>
      <c r="G291" s="47">
        <v>677.8535108544786</v>
      </c>
    </row>
    <row r="292" spans="2:7" x14ac:dyDescent="0.3">
      <c r="B292" s="43">
        <v>234</v>
      </c>
      <c r="C292" s="47">
        <v>825.36760858966659</v>
      </c>
      <c r="D292" s="43">
        <v>234</v>
      </c>
      <c r="E292" s="47">
        <v>-6.7682462693274932</v>
      </c>
      <c r="F292" s="43">
        <v>234</v>
      </c>
      <c r="G292" s="47">
        <v>915.13647752974452</v>
      </c>
    </row>
    <row r="293" spans="2:7" x14ac:dyDescent="0.3">
      <c r="B293" s="43">
        <v>235</v>
      </c>
      <c r="C293" s="47">
        <v>789.21789859567696</v>
      </c>
      <c r="D293" s="43">
        <v>235</v>
      </c>
      <c r="E293" s="47">
        <v>-8.3179732535874908</v>
      </c>
      <c r="F293" s="43">
        <v>235</v>
      </c>
      <c r="G293" s="47">
        <v>665.27146076652537</v>
      </c>
    </row>
    <row r="294" spans="2:7" x14ac:dyDescent="0.3">
      <c r="B294" s="43">
        <v>236</v>
      </c>
      <c r="C294" s="47">
        <v>957.20661186461462</v>
      </c>
      <c r="D294" s="43">
        <v>236</v>
      </c>
      <c r="E294" s="47">
        <v>12.781000288702533</v>
      </c>
      <c r="F294" s="43">
        <v>236</v>
      </c>
      <c r="G294" s="47">
        <v>833.37733302281379</v>
      </c>
    </row>
    <row r="295" spans="2:7" x14ac:dyDescent="0.3">
      <c r="B295" s="43">
        <v>237</v>
      </c>
      <c r="C295" s="47">
        <v>1586.0527376037312</v>
      </c>
      <c r="D295" s="43">
        <v>237</v>
      </c>
      <c r="E295" s="47">
        <v>17.655822547457582</v>
      </c>
      <c r="F295" s="43">
        <v>237</v>
      </c>
      <c r="G295" s="47">
        <v>585.98953806203042</v>
      </c>
    </row>
    <row r="296" spans="2:7" x14ac:dyDescent="0.3">
      <c r="B296" s="43">
        <v>238</v>
      </c>
      <c r="C296" s="47">
        <v>372.21647836094985</v>
      </c>
      <c r="D296" s="43">
        <v>238</v>
      </c>
      <c r="E296" s="47">
        <v>9.4203702931330398</v>
      </c>
      <c r="F296" s="43">
        <v>238</v>
      </c>
      <c r="G296" s="47">
        <v>893.38719788044568</v>
      </c>
    </row>
    <row r="297" spans="2:7" x14ac:dyDescent="0.3">
      <c r="B297" s="43">
        <v>239</v>
      </c>
      <c r="C297" s="47">
        <v>667.74825960653084</v>
      </c>
      <c r="D297" s="43">
        <v>239</v>
      </c>
      <c r="E297" s="47">
        <v>24.492141764180634</v>
      </c>
      <c r="F297" s="43">
        <v>239</v>
      </c>
      <c r="G297" s="47">
        <v>537.64554208641778</v>
      </c>
    </row>
    <row r="298" spans="2:7" x14ac:dyDescent="0.3">
      <c r="B298" s="43">
        <v>240</v>
      </c>
      <c r="C298" s="47">
        <v>1143.9360443744013</v>
      </c>
      <c r="D298" s="43">
        <v>240</v>
      </c>
      <c r="E298" s="47">
        <v>-7.11294466975761</v>
      </c>
      <c r="F298" s="43">
        <v>240</v>
      </c>
      <c r="G298" s="47">
        <v>817.97860872532578</v>
      </c>
    </row>
    <row r="299" spans="2:7" x14ac:dyDescent="0.3">
      <c r="B299" s="43">
        <v>241</v>
      </c>
      <c r="C299" s="47">
        <v>1200.2781667639767</v>
      </c>
      <c r="D299" s="43">
        <v>241</v>
      </c>
      <c r="E299" s="47">
        <v>-8.0320130582389666</v>
      </c>
      <c r="F299" s="43">
        <v>241</v>
      </c>
      <c r="G299" s="47">
        <v>471.3610675517487</v>
      </c>
    </row>
    <row r="300" spans="2:7" x14ac:dyDescent="0.3">
      <c r="B300" s="43">
        <v>242</v>
      </c>
      <c r="C300" s="47">
        <v>1261.0390565800712</v>
      </c>
      <c r="D300" s="43">
        <v>242</v>
      </c>
      <c r="E300" s="47">
        <v>4.0346558104910439</v>
      </c>
      <c r="F300" s="43">
        <v>242</v>
      </c>
      <c r="G300" s="47">
        <v>1155.0589800953946</v>
      </c>
    </row>
    <row r="301" spans="2:7" x14ac:dyDescent="0.3">
      <c r="B301" s="43">
        <v>243</v>
      </c>
      <c r="C301" s="47">
        <v>1105.7390337128522</v>
      </c>
      <c r="D301" s="43">
        <v>243</v>
      </c>
      <c r="E301" s="47">
        <v>16.451875805832316</v>
      </c>
      <c r="F301" s="43">
        <v>243</v>
      </c>
      <c r="G301" s="47">
        <v>976.26696435441681</v>
      </c>
    </row>
    <row r="302" spans="2:7" x14ac:dyDescent="0.3">
      <c r="B302" s="43">
        <v>244</v>
      </c>
      <c r="C302" s="47">
        <v>879.37828397180817</v>
      </c>
      <c r="D302" s="43">
        <v>244</v>
      </c>
      <c r="E302" s="47">
        <v>-0.99918684574157735</v>
      </c>
      <c r="F302" s="43">
        <v>244</v>
      </c>
      <c r="G302" s="47">
        <v>975.74728787180811</v>
      </c>
    </row>
    <row r="303" spans="2:7" x14ac:dyDescent="0.3">
      <c r="B303" s="43">
        <v>245</v>
      </c>
      <c r="C303" s="47">
        <v>962.22989523632896</v>
      </c>
      <c r="D303" s="43">
        <v>245</v>
      </c>
      <c r="E303" s="47">
        <v>-11.431345120940403</v>
      </c>
      <c r="F303" s="43">
        <v>245</v>
      </c>
      <c r="G303" s="47">
        <v>638.62568675491059</v>
      </c>
    </row>
    <row r="304" spans="2:7" x14ac:dyDescent="0.3">
      <c r="B304" s="43">
        <v>246</v>
      </c>
      <c r="C304" s="47">
        <v>754.96315514806554</v>
      </c>
      <c r="D304" s="43">
        <v>246</v>
      </c>
      <c r="E304" s="47">
        <v>23.879293841381251</v>
      </c>
      <c r="F304" s="43">
        <v>246</v>
      </c>
      <c r="G304" s="47">
        <v>1140.0151044139609</v>
      </c>
    </row>
    <row r="305" spans="2:7" x14ac:dyDescent="0.3">
      <c r="B305" s="43">
        <v>247</v>
      </c>
      <c r="C305" s="47">
        <v>1214.6600770785699</v>
      </c>
      <c r="D305" s="43">
        <v>247</v>
      </c>
      <c r="E305" s="47">
        <v>25.227365433609044</v>
      </c>
      <c r="F305" s="43">
        <v>247</v>
      </c>
      <c r="G305" s="47">
        <v>1412.8711912170038</v>
      </c>
    </row>
    <row r="306" spans="2:7" x14ac:dyDescent="0.3">
      <c r="B306" s="43">
        <v>248</v>
      </c>
      <c r="C306" s="47">
        <v>1005.8156410311107</v>
      </c>
      <c r="D306" s="43">
        <v>248</v>
      </c>
      <c r="E306" s="47">
        <v>-32.306218012429312</v>
      </c>
      <c r="F306" s="43">
        <v>248</v>
      </c>
      <c r="G306" s="47">
        <v>763.76066329406274</v>
      </c>
    </row>
    <row r="307" spans="2:7" x14ac:dyDescent="0.3">
      <c r="B307" s="43">
        <v>249</v>
      </c>
      <c r="C307" s="47">
        <v>594.13844757718948</v>
      </c>
      <c r="D307" s="43">
        <v>249</v>
      </c>
      <c r="E307" s="47">
        <v>-34.512454001290138</v>
      </c>
      <c r="F307" s="43">
        <v>249</v>
      </c>
      <c r="G307" s="47">
        <v>1239.4524626749662</v>
      </c>
    </row>
    <row r="308" spans="2:7" x14ac:dyDescent="0.3">
      <c r="B308" s="43">
        <v>250</v>
      </c>
      <c r="C308" s="47">
        <v>1499.4641307923409</v>
      </c>
      <c r="D308" s="43">
        <v>250</v>
      </c>
      <c r="E308" s="47">
        <v>2.4353662247825372</v>
      </c>
      <c r="F308" s="43">
        <v>250</v>
      </c>
      <c r="G308" s="47">
        <v>789.63624360486222</v>
      </c>
    </row>
    <row r="309" spans="2:7" x14ac:dyDescent="0.3">
      <c r="B309" s="43">
        <v>251</v>
      </c>
      <c r="C309" s="47">
        <v>1295.4896694180179</v>
      </c>
      <c r="D309" s="43">
        <v>251</v>
      </c>
      <c r="E309" s="47">
        <v>36.302473739810253</v>
      </c>
      <c r="F309" s="43">
        <v>251</v>
      </c>
      <c r="G309" s="47">
        <v>1358.7919722783577</v>
      </c>
    </row>
    <row r="310" spans="2:7" x14ac:dyDescent="0.3">
      <c r="B310" s="43">
        <v>252</v>
      </c>
      <c r="C310" s="47">
        <v>821.15248079825687</v>
      </c>
      <c r="D310" s="43">
        <v>252</v>
      </c>
      <c r="E310" s="47">
        <v>-21.136255490252836</v>
      </c>
      <c r="F310" s="43">
        <v>252</v>
      </c>
      <c r="G310" s="47">
        <v>1310.7568802087549</v>
      </c>
    </row>
    <row r="311" spans="2:7" x14ac:dyDescent="0.3">
      <c r="B311" s="43">
        <v>253</v>
      </c>
      <c r="C311" s="47">
        <v>599.32633827127916</v>
      </c>
      <c r="D311" s="43">
        <v>253</v>
      </c>
      <c r="E311" s="47">
        <v>-6.1957117664450028</v>
      </c>
      <c r="F311" s="43">
        <v>253</v>
      </c>
      <c r="G311" s="47">
        <v>857.08424558210334</v>
      </c>
    </row>
    <row r="312" spans="2:7" x14ac:dyDescent="0.3">
      <c r="B312" s="43">
        <v>254</v>
      </c>
      <c r="C312" s="47">
        <v>439.11313160319907</v>
      </c>
      <c r="D312" s="43">
        <v>254</v>
      </c>
      <c r="E312" s="47">
        <v>8.5884869229208682</v>
      </c>
      <c r="F312" s="43">
        <v>254</v>
      </c>
      <c r="G312" s="47">
        <v>912.05413246115677</v>
      </c>
    </row>
    <row r="313" spans="2:7" x14ac:dyDescent="0.3">
      <c r="B313" s="43">
        <v>255</v>
      </c>
      <c r="C313" s="47">
        <v>839.39367378651093</v>
      </c>
      <c r="D313" s="43">
        <v>255</v>
      </c>
      <c r="E313" s="47">
        <v>-1.417912162822897</v>
      </c>
      <c r="F313" s="43">
        <v>255</v>
      </c>
      <c r="G313" s="47">
        <v>922.63619788531992</v>
      </c>
    </row>
    <row r="314" spans="2:7" x14ac:dyDescent="0.3">
      <c r="B314" s="43">
        <v>256</v>
      </c>
      <c r="C314" s="47">
        <v>1254.2629776371898</v>
      </c>
      <c r="D314" s="43">
        <v>256</v>
      </c>
      <c r="E314" s="47">
        <v>49.852190883675746</v>
      </c>
      <c r="F314" s="43">
        <v>256</v>
      </c>
      <c r="G314" s="47">
        <v>1036.5049747445539</v>
      </c>
    </row>
    <row r="315" spans="2:7" x14ac:dyDescent="0.3">
      <c r="B315" s="43">
        <v>257</v>
      </c>
      <c r="C315" s="47">
        <v>649.70634730892823</v>
      </c>
      <c r="D315" s="43">
        <v>257</v>
      </c>
      <c r="E315" s="47">
        <v>31.742878413502115</v>
      </c>
      <c r="F315" s="43">
        <v>257</v>
      </c>
      <c r="G315" s="47">
        <v>737.7277678139983</v>
      </c>
    </row>
    <row r="316" spans="2:7" x14ac:dyDescent="0.3">
      <c r="B316" s="43">
        <v>258</v>
      </c>
      <c r="C316" s="47">
        <v>890.66453057726756</v>
      </c>
      <c r="D316" s="43">
        <v>258</v>
      </c>
      <c r="E316" s="47">
        <v>34.482930885989276</v>
      </c>
      <c r="F316" s="43">
        <v>258</v>
      </c>
      <c r="G316" s="47">
        <v>573.40469089650901</v>
      </c>
    </row>
    <row r="317" spans="2:7" x14ac:dyDescent="0.3">
      <c r="B317" s="43">
        <v>259</v>
      </c>
      <c r="C317" s="47">
        <v>1540.1420526530651</v>
      </c>
      <c r="D317" s="43">
        <v>259</v>
      </c>
      <c r="E317" s="47">
        <v>61.392917064071071</v>
      </c>
      <c r="F317" s="43">
        <v>259</v>
      </c>
      <c r="G317" s="47">
        <v>891.21737361262581</v>
      </c>
    </row>
    <row r="318" spans="2:7" x14ac:dyDescent="0.3">
      <c r="B318" s="43">
        <v>260</v>
      </c>
      <c r="C318" s="47">
        <v>420.63549989052069</v>
      </c>
      <c r="D318" s="43">
        <v>260</v>
      </c>
      <c r="E318" s="47">
        <v>-42.889983324330082</v>
      </c>
      <c r="F318" s="43">
        <v>260</v>
      </c>
      <c r="G318" s="47">
        <v>1114.72705733258</v>
      </c>
    </row>
    <row r="319" spans="2:7" x14ac:dyDescent="0.3">
      <c r="B319" s="43">
        <v>261</v>
      </c>
      <c r="C319" s="47">
        <v>1377.8200042107349</v>
      </c>
      <c r="D319" s="43">
        <v>261</v>
      </c>
      <c r="E319" s="47">
        <v>12.448898522694554</v>
      </c>
      <c r="F319" s="43">
        <v>261</v>
      </c>
      <c r="G319" s="47">
        <v>1500.9229950084068</v>
      </c>
    </row>
    <row r="320" spans="2:7" x14ac:dyDescent="0.3">
      <c r="B320" s="43">
        <v>262</v>
      </c>
      <c r="C320" s="47">
        <v>797.50711376035099</v>
      </c>
      <c r="D320" s="43">
        <v>262</v>
      </c>
      <c r="E320" s="47">
        <v>7.5932465962706006</v>
      </c>
      <c r="F320" s="43">
        <v>262</v>
      </c>
      <c r="G320" s="47">
        <v>555.028630542717</v>
      </c>
    </row>
    <row r="321" spans="2:7" x14ac:dyDescent="0.3">
      <c r="B321" s="43">
        <v>263</v>
      </c>
      <c r="C321" s="47">
        <v>670.55279829280676</v>
      </c>
      <c r="D321" s="43">
        <v>263</v>
      </c>
      <c r="E321" s="47">
        <v>26.524905359206418</v>
      </c>
      <c r="F321" s="43">
        <v>263</v>
      </c>
      <c r="G321" s="47">
        <v>1053.2678870047289</v>
      </c>
    </row>
    <row r="322" spans="2:7" x14ac:dyDescent="0.3">
      <c r="B322" s="43">
        <v>264</v>
      </c>
      <c r="C322" s="47">
        <v>1424.2340760378406</v>
      </c>
      <c r="D322" s="43">
        <v>264</v>
      </c>
      <c r="E322" s="47">
        <v>8.8125865233097702</v>
      </c>
      <c r="F322" s="43">
        <v>264</v>
      </c>
      <c r="G322" s="47">
        <v>1273.8834565224331</v>
      </c>
    </row>
    <row r="323" spans="2:7" x14ac:dyDescent="0.3">
      <c r="B323" s="43">
        <v>265</v>
      </c>
      <c r="C323" s="47">
        <v>757.40787084913165</v>
      </c>
      <c r="D323" s="43">
        <v>265</v>
      </c>
      <c r="E323" s="47">
        <v>14.584360009732782</v>
      </c>
      <c r="F323" s="43">
        <v>265</v>
      </c>
      <c r="G323" s="47">
        <v>739.70679372296695</v>
      </c>
    </row>
    <row r="324" spans="2:7" x14ac:dyDescent="0.3">
      <c r="B324" s="43">
        <v>266</v>
      </c>
      <c r="C324" s="47">
        <v>997.30672507773545</v>
      </c>
      <c r="D324" s="43">
        <v>266</v>
      </c>
      <c r="E324" s="47">
        <v>23.756279232533927</v>
      </c>
      <c r="F324" s="43">
        <v>266</v>
      </c>
      <c r="G324" s="47">
        <v>354.56031363493742</v>
      </c>
    </row>
    <row r="325" spans="2:7" x14ac:dyDescent="0.3">
      <c r="B325" s="43">
        <v>267</v>
      </c>
      <c r="C325" s="47">
        <v>622.98921802061238</v>
      </c>
      <c r="D325" s="43">
        <v>267</v>
      </c>
      <c r="E325" s="47">
        <v>5.261107602619262</v>
      </c>
      <c r="F325" s="43">
        <v>267</v>
      </c>
      <c r="G325" s="47">
        <v>1112.3771902470103</v>
      </c>
    </row>
    <row r="326" spans="2:7" x14ac:dyDescent="0.3">
      <c r="B326" s="43">
        <v>268</v>
      </c>
      <c r="C326" s="47">
        <v>873.54839276819473</v>
      </c>
      <c r="D326" s="43">
        <v>268</v>
      </c>
      <c r="E326" s="47">
        <v>19.665509291321925</v>
      </c>
      <c r="F326" s="43">
        <v>268</v>
      </c>
      <c r="G326" s="47">
        <v>1238.378763087424</v>
      </c>
    </row>
    <row r="327" spans="2:7" x14ac:dyDescent="0.3">
      <c r="B327" s="43">
        <v>269</v>
      </c>
      <c r="C327" s="47">
        <v>1168.7077786795658</v>
      </c>
      <c r="D327" s="43">
        <v>269</v>
      </c>
      <c r="E327" s="47">
        <v>24.256969223995416</v>
      </c>
      <c r="F327" s="43">
        <v>269</v>
      </c>
      <c r="G327" s="47">
        <v>272.27633259395827</v>
      </c>
    </row>
    <row r="328" spans="2:7" x14ac:dyDescent="0.3">
      <c r="B328" s="43">
        <v>270</v>
      </c>
      <c r="C328" s="47">
        <v>23.957170421325003</v>
      </c>
      <c r="D328" s="43">
        <v>270</v>
      </c>
      <c r="E328" s="47">
        <v>-7.0604035405839927</v>
      </c>
      <c r="F328" s="43">
        <v>270</v>
      </c>
      <c r="G328" s="47">
        <v>799.32328576307771</v>
      </c>
    </row>
    <row r="329" spans="2:7" x14ac:dyDescent="0.3">
      <c r="B329" s="43">
        <v>271</v>
      </c>
      <c r="C329" s="47">
        <v>953.02220215048806</v>
      </c>
      <c r="D329" s="43">
        <v>271</v>
      </c>
      <c r="E329" s="47">
        <v>11.941635003524841</v>
      </c>
      <c r="F329" s="43">
        <v>271</v>
      </c>
      <c r="G329" s="47">
        <v>1073.8928870572736</v>
      </c>
    </row>
    <row r="330" spans="2:7" x14ac:dyDescent="0.3">
      <c r="B330" s="43">
        <v>272</v>
      </c>
      <c r="C330" s="47">
        <v>908.80088682122425</v>
      </c>
      <c r="D330" s="43">
        <v>272</v>
      </c>
      <c r="E330" s="47">
        <v>42.906707937469847</v>
      </c>
      <c r="F330" s="43">
        <v>272</v>
      </c>
      <c r="G330" s="47">
        <v>1101.3275280713692</v>
      </c>
    </row>
    <row r="331" spans="2:7" x14ac:dyDescent="0.3">
      <c r="B331" s="43">
        <v>273</v>
      </c>
      <c r="C331" s="47">
        <v>735.51031770985912</v>
      </c>
      <c r="D331" s="43">
        <v>273</v>
      </c>
      <c r="E331" s="47">
        <v>33.24841252274426</v>
      </c>
      <c r="F331" s="43">
        <v>273</v>
      </c>
      <c r="G331" s="47">
        <v>626.95466890737839</v>
      </c>
    </row>
    <row r="332" spans="2:7" x14ac:dyDescent="0.3">
      <c r="B332" s="43">
        <v>274</v>
      </c>
      <c r="C332" s="47">
        <v>739.46754721202728</v>
      </c>
      <c r="D332" s="43">
        <v>274</v>
      </c>
      <c r="E332" s="47">
        <v>-12.318679368029303</v>
      </c>
      <c r="F332" s="43">
        <v>274</v>
      </c>
      <c r="G332" s="47">
        <v>837.76669693513509</v>
      </c>
    </row>
    <row r="333" spans="2:7" x14ac:dyDescent="0.3">
      <c r="B333" s="43">
        <v>275</v>
      </c>
      <c r="C333" s="47">
        <v>483.35375857278524</v>
      </c>
      <c r="D333" s="43">
        <v>275</v>
      </c>
      <c r="E333" s="47">
        <v>7.1960638384744563E-2</v>
      </c>
      <c r="F333" s="43">
        <v>275</v>
      </c>
      <c r="G333" s="47">
        <v>899.43976407928039</v>
      </c>
    </row>
    <row r="334" spans="2:7" x14ac:dyDescent="0.3">
      <c r="B334" s="43">
        <v>276</v>
      </c>
      <c r="C334" s="47">
        <v>628.03603306016907</v>
      </c>
      <c r="D334" s="43">
        <v>276</v>
      </c>
      <c r="E334" s="47">
        <v>29.743684543079997</v>
      </c>
      <c r="F334" s="43">
        <v>276</v>
      </c>
      <c r="G334" s="47">
        <v>613.22357647030708</v>
      </c>
    </row>
    <row r="335" spans="2:7" x14ac:dyDescent="0.3">
      <c r="B335" s="43">
        <v>277</v>
      </c>
      <c r="C335" s="47">
        <v>1599.164946236192</v>
      </c>
      <c r="D335" s="43">
        <v>277</v>
      </c>
      <c r="E335" s="47">
        <v>-39.360214135299756</v>
      </c>
      <c r="F335" s="43">
        <v>277</v>
      </c>
      <c r="G335" s="47">
        <v>1100.2318827676795</v>
      </c>
    </row>
    <row r="336" spans="2:7" x14ac:dyDescent="0.3">
      <c r="B336" s="43">
        <v>278</v>
      </c>
      <c r="C336" s="47">
        <v>211.59869436435142</v>
      </c>
      <c r="D336" s="43">
        <v>278</v>
      </c>
      <c r="E336" s="47">
        <v>12.763454660040027</v>
      </c>
      <c r="F336" s="43">
        <v>278</v>
      </c>
      <c r="G336" s="47">
        <v>727.63114418387943</v>
      </c>
    </row>
    <row r="337" spans="2:7" x14ac:dyDescent="0.3">
      <c r="B337" s="43">
        <v>279</v>
      </c>
      <c r="C337" s="47">
        <v>878.48262565790628</v>
      </c>
      <c r="D337" s="43">
        <v>279</v>
      </c>
      <c r="E337" s="47">
        <v>18.835458440033257</v>
      </c>
      <c r="F337" s="43">
        <v>279</v>
      </c>
      <c r="G337" s="47">
        <v>1146.2881807467313</v>
      </c>
    </row>
    <row r="338" spans="2:7" x14ac:dyDescent="0.3">
      <c r="B338" s="43">
        <v>280</v>
      </c>
      <c r="C338" s="47">
        <v>2.1629657896387866</v>
      </c>
      <c r="D338" s="43">
        <v>280</v>
      </c>
      <c r="E338" s="47">
        <v>9.5195995948749363</v>
      </c>
      <c r="F338" s="43">
        <v>280</v>
      </c>
      <c r="G338" s="47">
        <v>1444.8657807632812</v>
      </c>
    </row>
    <row r="339" spans="2:7" x14ac:dyDescent="0.3">
      <c r="B339" s="43">
        <v>281</v>
      </c>
      <c r="C339" s="47">
        <v>933.49869706689822</v>
      </c>
      <c r="D339" s="43">
        <v>281</v>
      </c>
      <c r="E339" s="47">
        <v>8.2431395498727689</v>
      </c>
      <c r="F339" s="43">
        <v>281</v>
      </c>
      <c r="G339" s="47">
        <v>831.28405535118236</v>
      </c>
    </row>
    <row r="340" spans="2:7" x14ac:dyDescent="0.3">
      <c r="B340" s="43">
        <v>282</v>
      </c>
      <c r="C340" s="47">
        <v>920.76265183794771</v>
      </c>
      <c r="D340" s="43">
        <v>282</v>
      </c>
      <c r="E340" s="47">
        <v>27.699554027176795</v>
      </c>
      <c r="F340" s="43">
        <v>282</v>
      </c>
      <c r="G340" s="47">
        <v>754.80969045353004</v>
      </c>
    </row>
    <row r="341" spans="2:7" x14ac:dyDescent="0.3">
      <c r="B341" s="43">
        <v>283</v>
      </c>
      <c r="C341" s="47">
        <v>1327.6713917795184</v>
      </c>
      <c r="D341" s="43">
        <v>283</v>
      </c>
      <c r="E341" s="47">
        <v>39.558670223462357</v>
      </c>
      <c r="F341" s="43">
        <v>283</v>
      </c>
      <c r="G341" s="47">
        <v>900.21971522719775</v>
      </c>
    </row>
    <row r="342" spans="2:7" x14ac:dyDescent="0.3">
      <c r="B342" s="43">
        <v>284</v>
      </c>
      <c r="C342" s="47">
        <v>845.15173166839236</v>
      </c>
      <c r="D342" s="43">
        <v>284</v>
      </c>
      <c r="E342" s="47">
        <v>60.33179108600266</v>
      </c>
      <c r="F342" s="43">
        <v>284</v>
      </c>
      <c r="G342" s="47">
        <v>1249.1699579643116</v>
      </c>
    </row>
    <row r="343" spans="2:7" x14ac:dyDescent="0.3">
      <c r="B343" s="43">
        <v>285</v>
      </c>
      <c r="C343" s="47">
        <v>629.91665799537316</v>
      </c>
      <c r="D343" s="43">
        <v>285</v>
      </c>
      <c r="E343" s="47">
        <v>-40.730668203242892</v>
      </c>
      <c r="F343" s="43">
        <v>285</v>
      </c>
      <c r="G343" s="47">
        <v>890.84055918526042</v>
      </c>
    </row>
    <row r="344" spans="2:7" x14ac:dyDescent="0.3">
      <c r="B344" s="43">
        <v>286</v>
      </c>
      <c r="C344" s="47">
        <v>1231.7446999635299</v>
      </c>
      <c r="D344" s="43">
        <v>286</v>
      </c>
      <c r="E344" s="47">
        <v>31.622257911493058</v>
      </c>
      <c r="F344" s="43">
        <v>286</v>
      </c>
      <c r="G344" s="47">
        <v>1100.4495627901088</v>
      </c>
    </row>
    <row r="345" spans="2:7" x14ac:dyDescent="0.3">
      <c r="B345" s="43">
        <v>287</v>
      </c>
      <c r="C345" s="47">
        <v>1156.4482077354255</v>
      </c>
      <c r="D345" s="43">
        <v>287</v>
      </c>
      <c r="E345" s="47">
        <v>5.8552513682815128</v>
      </c>
      <c r="F345" s="43">
        <v>287</v>
      </c>
      <c r="G345" s="47">
        <v>1062.0693252536075</v>
      </c>
    </row>
    <row r="346" spans="2:7" x14ac:dyDescent="0.3">
      <c r="B346" s="43">
        <v>288</v>
      </c>
      <c r="C346" s="47">
        <v>897.3662877230812</v>
      </c>
      <c r="D346" s="43">
        <v>288</v>
      </c>
      <c r="E346" s="47">
        <v>21.226657719696977</v>
      </c>
      <c r="F346" s="43">
        <v>288</v>
      </c>
      <c r="G346" s="47">
        <v>925.40589532797492</v>
      </c>
    </row>
    <row r="347" spans="2:7" x14ac:dyDescent="0.3">
      <c r="B347" s="43">
        <v>289</v>
      </c>
      <c r="C347" s="47">
        <v>994.11754691820113</v>
      </c>
      <c r="D347" s="43">
        <v>289</v>
      </c>
      <c r="E347" s="47">
        <v>-13.328554008311773</v>
      </c>
      <c r="F347" s="43">
        <v>289</v>
      </c>
      <c r="G347" s="47">
        <v>1083.5424701921208</v>
      </c>
    </row>
    <row r="348" spans="2:7" x14ac:dyDescent="0.3">
      <c r="B348" s="43">
        <v>290</v>
      </c>
      <c r="C348" s="47">
        <v>637.5901536958761</v>
      </c>
      <c r="D348" s="43">
        <v>290</v>
      </c>
      <c r="E348" s="47">
        <v>48.090921233045655</v>
      </c>
      <c r="F348" s="43">
        <v>290</v>
      </c>
      <c r="G348" s="47">
        <v>435.65590123316878</v>
      </c>
    </row>
    <row r="349" spans="2:7" x14ac:dyDescent="0.3">
      <c r="B349" s="43">
        <v>291</v>
      </c>
      <c r="C349" s="47">
        <v>548.35349114989594</v>
      </c>
      <c r="D349" s="43">
        <v>291</v>
      </c>
      <c r="E349" s="47">
        <v>2.5744448935380464</v>
      </c>
      <c r="F349" s="43">
        <v>291</v>
      </c>
      <c r="G349" s="47">
        <v>463.5204461810801</v>
      </c>
    </row>
    <row r="350" spans="2:7" x14ac:dyDescent="0.3">
      <c r="B350" s="43">
        <v>292</v>
      </c>
      <c r="C350" s="47">
        <v>297.39488822557746</v>
      </c>
      <c r="D350" s="43">
        <v>292</v>
      </c>
      <c r="E350" s="47">
        <v>71.831660103793425</v>
      </c>
      <c r="F350" s="43">
        <v>292</v>
      </c>
      <c r="G350" s="47">
        <v>923.59105637301707</v>
      </c>
    </row>
    <row r="351" spans="2:7" x14ac:dyDescent="0.3">
      <c r="B351" s="43">
        <v>293</v>
      </c>
      <c r="C351" s="47">
        <v>690.06897959045057</v>
      </c>
      <c r="D351" s="43">
        <v>293</v>
      </c>
      <c r="E351" s="47">
        <v>35.987902586544003</v>
      </c>
      <c r="F351" s="43">
        <v>293</v>
      </c>
      <c r="G351" s="47">
        <v>835.00130126742044</v>
      </c>
    </row>
    <row r="352" spans="2:7" x14ac:dyDescent="0.3">
      <c r="B352" s="43">
        <v>294</v>
      </c>
      <c r="C352" s="47">
        <v>1189.3654992847405</v>
      </c>
      <c r="D352" s="43">
        <v>294</v>
      </c>
      <c r="E352" s="47">
        <v>7.4197234551087261</v>
      </c>
      <c r="F352" s="43">
        <v>294</v>
      </c>
      <c r="G352" s="47">
        <v>1448.4299017334711</v>
      </c>
    </row>
    <row r="353" spans="2:7" x14ac:dyDescent="0.3">
      <c r="B353" s="43">
        <v>295</v>
      </c>
      <c r="C353" s="47">
        <v>696.80967675997022</v>
      </c>
      <c r="D353" s="43">
        <v>295</v>
      </c>
      <c r="E353" s="47">
        <v>-11.846537734587356</v>
      </c>
      <c r="F353" s="43">
        <v>295</v>
      </c>
      <c r="G353" s="47">
        <v>790.12579228149673</v>
      </c>
    </row>
    <row r="354" spans="2:7" x14ac:dyDescent="0.3">
      <c r="B354" s="43">
        <v>296</v>
      </c>
      <c r="C354" s="47">
        <v>750.60773100250424</v>
      </c>
      <c r="D354" s="43">
        <v>296</v>
      </c>
      <c r="E354" s="47">
        <v>36.554820700949925</v>
      </c>
      <c r="F354" s="43">
        <v>296</v>
      </c>
      <c r="G354" s="47">
        <v>898.20260732866677</v>
      </c>
    </row>
    <row r="355" spans="2:7" x14ac:dyDescent="0.3">
      <c r="B355" s="43">
        <v>297</v>
      </c>
      <c r="C355" s="47">
        <v>1353.1383748462747</v>
      </c>
      <c r="D355" s="43">
        <v>297</v>
      </c>
      <c r="E355" s="47">
        <v>16.213344068569562</v>
      </c>
      <c r="F355" s="43">
        <v>297</v>
      </c>
      <c r="G355" s="47">
        <v>1009.5268619794008</v>
      </c>
    </row>
    <row r="356" spans="2:7" x14ac:dyDescent="0.3">
      <c r="B356" s="43">
        <v>298</v>
      </c>
      <c r="C356" s="47">
        <v>1117.4359944920973</v>
      </c>
      <c r="D356" s="43">
        <v>298</v>
      </c>
      <c r="E356" s="47">
        <v>-16.322709449245316</v>
      </c>
      <c r="F356" s="43">
        <v>298</v>
      </c>
      <c r="G356" s="47">
        <v>1405.0039262397527</v>
      </c>
    </row>
    <row r="357" spans="2:7" x14ac:dyDescent="0.3">
      <c r="B357" s="43">
        <v>299</v>
      </c>
      <c r="C357" s="47">
        <v>814.35231006907736</v>
      </c>
      <c r="D357" s="43">
        <v>299</v>
      </c>
      <c r="E357" s="47">
        <v>15.744787845585787</v>
      </c>
      <c r="F357" s="43">
        <v>299</v>
      </c>
      <c r="G357" s="47">
        <v>501.34166464899624</v>
      </c>
    </row>
    <row r="358" spans="2:7" x14ac:dyDescent="0.3">
      <c r="B358" s="43">
        <v>300</v>
      </c>
      <c r="C358" s="47">
        <v>780.51100614668837</v>
      </c>
      <c r="D358" s="43">
        <v>300</v>
      </c>
      <c r="E358" s="47">
        <v>-14.136919418995333</v>
      </c>
      <c r="F358" s="43">
        <v>300</v>
      </c>
      <c r="G358" s="47">
        <v>726.89063493079198</v>
      </c>
    </row>
    <row r="359" spans="2:7" x14ac:dyDescent="0.3">
      <c r="B359" s="43">
        <v>301</v>
      </c>
      <c r="C359" s="47">
        <v>724.14552605435529</v>
      </c>
      <c r="D359" s="43">
        <v>301</v>
      </c>
      <c r="E359" s="47">
        <v>-12.630987382815052</v>
      </c>
      <c r="F359" s="43">
        <v>301</v>
      </c>
      <c r="G359" s="47">
        <v>738.41590649782654</v>
      </c>
    </row>
    <row r="360" spans="2:7" x14ac:dyDescent="0.3">
      <c r="B360" s="43">
        <v>302</v>
      </c>
      <c r="C360" s="47">
        <v>930.4584946227518</v>
      </c>
      <c r="D360" s="43">
        <v>302</v>
      </c>
      <c r="E360" s="47">
        <v>53.750273290334846</v>
      </c>
      <c r="F360" s="43">
        <v>302</v>
      </c>
      <c r="G360" s="47">
        <v>795.62914896600603</v>
      </c>
    </row>
    <row r="361" spans="2:7" x14ac:dyDescent="0.3">
      <c r="B361" s="43">
        <v>303</v>
      </c>
      <c r="C361" s="47">
        <v>677.12674946644825</v>
      </c>
      <c r="D361" s="43">
        <v>303</v>
      </c>
      <c r="E361" s="47">
        <v>-28.579102386110897</v>
      </c>
      <c r="F361" s="43">
        <v>303</v>
      </c>
      <c r="G361" s="47">
        <v>807.61130877957135</v>
      </c>
    </row>
    <row r="362" spans="2:7" x14ac:dyDescent="0.3">
      <c r="B362" s="43">
        <v>304</v>
      </c>
      <c r="C362" s="47">
        <v>1101.6490030684367</v>
      </c>
      <c r="D362" s="43">
        <v>304</v>
      </c>
      <c r="E362" s="47">
        <v>-43.134418477433144</v>
      </c>
      <c r="F362" s="43">
        <v>304</v>
      </c>
      <c r="G362" s="47">
        <v>399.71446984646985</v>
      </c>
    </row>
    <row r="363" spans="2:7" x14ac:dyDescent="0.3">
      <c r="B363" s="43">
        <v>305</v>
      </c>
      <c r="C363" s="47">
        <v>1299.0275104870275</v>
      </c>
      <c r="D363" s="43">
        <v>305</v>
      </c>
      <c r="E363" s="47">
        <v>24.035006254751885</v>
      </c>
      <c r="F363" s="43">
        <v>305</v>
      </c>
      <c r="G363" s="47">
        <v>1242.9072780982428</v>
      </c>
    </row>
    <row r="364" spans="2:7" x14ac:dyDescent="0.3">
      <c r="B364" s="43">
        <v>306</v>
      </c>
      <c r="C364" s="47">
        <v>950.46400640435934</v>
      </c>
      <c r="D364" s="43">
        <v>306</v>
      </c>
      <c r="E364" s="47">
        <v>-5.1290469677050066</v>
      </c>
      <c r="F364" s="43">
        <v>306</v>
      </c>
      <c r="G364" s="47">
        <v>1140.9061734328141</v>
      </c>
    </row>
    <row r="365" spans="2:7" x14ac:dyDescent="0.3">
      <c r="B365" s="43">
        <v>307</v>
      </c>
      <c r="C365" s="47">
        <v>1054.8138778375828</v>
      </c>
      <c r="D365" s="43">
        <v>307</v>
      </c>
      <c r="E365" s="47">
        <v>-52.661081124465319</v>
      </c>
      <c r="F365" s="43">
        <v>307</v>
      </c>
      <c r="G365" s="47">
        <v>1407.4638898066471</v>
      </c>
    </row>
    <row r="366" spans="2:7" x14ac:dyDescent="0.3">
      <c r="B366" s="43">
        <v>308</v>
      </c>
      <c r="C366" s="47">
        <v>800.43132033142501</v>
      </c>
      <c r="D366" s="43">
        <v>308</v>
      </c>
      <c r="E366" s="47">
        <v>3.7712667295539268</v>
      </c>
      <c r="F366" s="43">
        <v>308</v>
      </c>
      <c r="G366" s="47">
        <v>65.877840706448382</v>
      </c>
    </row>
    <row r="367" spans="2:7" x14ac:dyDescent="0.3">
      <c r="B367" s="43">
        <v>309</v>
      </c>
      <c r="C367" s="47">
        <v>1163.0704377010284</v>
      </c>
      <c r="D367" s="43">
        <v>309</v>
      </c>
      <c r="E367" s="47">
        <v>48.727613766937012</v>
      </c>
      <c r="F367" s="43">
        <v>309</v>
      </c>
      <c r="G367" s="47">
        <v>722.21918107778424</v>
      </c>
    </row>
    <row r="368" spans="2:7" x14ac:dyDescent="0.3">
      <c r="B368" s="43">
        <v>310</v>
      </c>
      <c r="C368" s="47">
        <v>431.80722867486401</v>
      </c>
      <c r="D368" s="43">
        <v>310</v>
      </c>
      <c r="E368" s="47">
        <v>8.6194124400245045</v>
      </c>
      <c r="F368" s="43">
        <v>310</v>
      </c>
      <c r="G368" s="47">
        <v>1310.6420152703922</v>
      </c>
    </row>
    <row r="369" spans="2:7" x14ac:dyDescent="0.3">
      <c r="B369" s="43">
        <v>311</v>
      </c>
      <c r="C369" s="47">
        <v>844.52338259399835</v>
      </c>
      <c r="D369" s="43">
        <v>311</v>
      </c>
      <c r="E369" s="47">
        <v>60.853889257620381</v>
      </c>
      <c r="F369" s="43">
        <v>311</v>
      </c>
      <c r="G369" s="47">
        <v>1237.6466644456298</v>
      </c>
    </row>
    <row r="370" spans="2:7" x14ac:dyDescent="0.3">
      <c r="B370" s="43">
        <v>312</v>
      </c>
      <c r="C370" s="47">
        <v>1133.8719243582757</v>
      </c>
      <c r="D370" s="43">
        <v>312</v>
      </c>
      <c r="E370" s="47">
        <v>18.174193367146835</v>
      </c>
      <c r="F370" s="43">
        <v>312</v>
      </c>
      <c r="G370" s="47">
        <v>895.53834738796525</v>
      </c>
    </row>
    <row r="371" spans="2:7" x14ac:dyDescent="0.3">
      <c r="B371" s="43">
        <v>313</v>
      </c>
      <c r="C371" s="47">
        <v>921.66116783610596</v>
      </c>
      <c r="D371" s="43">
        <v>313</v>
      </c>
      <c r="E371" s="47">
        <v>-3.8596276584588445</v>
      </c>
      <c r="F371" s="43">
        <v>313</v>
      </c>
      <c r="G371" s="47">
        <v>770.31921693902689</v>
      </c>
    </row>
    <row r="372" spans="2:7" x14ac:dyDescent="0.3">
      <c r="B372" s="43">
        <v>314</v>
      </c>
      <c r="C372" s="47">
        <v>845.06713747053232</v>
      </c>
      <c r="D372" s="43">
        <v>314</v>
      </c>
      <c r="E372" s="47">
        <v>23.55537678889468</v>
      </c>
      <c r="F372" s="43">
        <v>314</v>
      </c>
      <c r="G372" s="47">
        <v>583.19133004457183</v>
      </c>
    </row>
    <row r="373" spans="2:7" x14ac:dyDescent="0.3">
      <c r="B373" s="43">
        <v>315</v>
      </c>
      <c r="C373" s="47">
        <v>1207.2623734711578</v>
      </c>
      <c r="D373" s="43">
        <v>315</v>
      </c>
      <c r="E373" s="47">
        <v>16.379348250280927</v>
      </c>
      <c r="F373" s="43">
        <v>315</v>
      </c>
      <c r="G373" s="47">
        <v>761.05880116753815</v>
      </c>
    </row>
    <row r="374" spans="2:7" x14ac:dyDescent="0.3">
      <c r="B374" s="43">
        <v>316</v>
      </c>
      <c r="C374" s="47">
        <v>913.92314519402555</v>
      </c>
      <c r="D374" s="43">
        <v>316</v>
      </c>
      <c r="E374" s="47">
        <v>78.641580886399836</v>
      </c>
      <c r="F374" s="43">
        <v>316</v>
      </c>
      <c r="G374" s="47">
        <v>733.08639483202273</v>
      </c>
    </row>
    <row r="375" spans="2:7" x14ac:dyDescent="0.3">
      <c r="B375" s="43">
        <v>317</v>
      </c>
      <c r="C375" s="47">
        <v>906.18969217281483</v>
      </c>
      <c r="D375" s="43">
        <v>317</v>
      </c>
      <c r="E375" s="47">
        <v>14.577543648629407</v>
      </c>
      <c r="F375" s="43">
        <v>317</v>
      </c>
      <c r="G375" s="47">
        <v>1315.1039857794228</v>
      </c>
    </row>
    <row r="376" spans="2:7" x14ac:dyDescent="0.3">
      <c r="B376" s="43">
        <v>318</v>
      </c>
      <c r="C376" s="47">
        <v>779.92304834562367</v>
      </c>
      <c r="D376" s="43">
        <v>318</v>
      </c>
      <c r="E376" s="47">
        <v>-43.923178786584565</v>
      </c>
      <c r="F376" s="43">
        <v>318</v>
      </c>
      <c r="G376" s="47">
        <v>1445.9015811186885</v>
      </c>
    </row>
    <row r="377" spans="2:7" x14ac:dyDescent="0.3">
      <c r="B377" s="43">
        <v>319</v>
      </c>
      <c r="C377" s="47">
        <v>1170.8802298993883</v>
      </c>
      <c r="D377" s="43">
        <v>319</v>
      </c>
      <c r="E377" s="47">
        <v>32.533880308853412</v>
      </c>
      <c r="F377" s="43">
        <v>319</v>
      </c>
      <c r="G377" s="47">
        <v>1102.2038453810248</v>
      </c>
    </row>
    <row r="378" spans="2:7" x14ac:dyDescent="0.3">
      <c r="B378" s="43">
        <v>320</v>
      </c>
      <c r="C378" s="47">
        <v>1468.7352205269881</v>
      </c>
      <c r="D378" s="43">
        <v>320</v>
      </c>
      <c r="E378" s="47">
        <v>11.318496976092929</v>
      </c>
      <c r="F378" s="43">
        <v>320</v>
      </c>
      <c r="G378" s="47">
        <v>1132.2253126247542</v>
      </c>
    </row>
    <row r="379" spans="2:7" x14ac:dyDescent="0.3">
      <c r="B379" s="43">
        <v>321</v>
      </c>
      <c r="C379" s="47">
        <v>1027.2782289498423</v>
      </c>
      <c r="D379" s="43">
        <v>321</v>
      </c>
      <c r="E379" s="47">
        <v>3.0644807119030997</v>
      </c>
      <c r="F379" s="43">
        <v>321</v>
      </c>
      <c r="G379" s="47">
        <v>1600.1786754909895</v>
      </c>
    </row>
    <row r="380" spans="2:7" x14ac:dyDescent="0.3">
      <c r="B380" s="43">
        <v>322</v>
      </c>
      <c r="C380" s="47">
        <v>144.02522464679564</v>
      </c>
      <c r="D380" s="43">
        <v>322</v>
      </c>
      <c r="E380" s="47">
        <v>-10.154620231271844</v>
      </c>
      <c r="F380" s="43">
        <v>322</v>
      </c>
      <c r="G380" s="47">
        <v>747.57073162719985</v>
      </c>
    </row>
    <row r="381" spans="2:7" x14ac:dyDescent="0.3">
      <c r="B381" s="43">
        <v>323</v>
      </c>
      <c r="C381" s="47">
        <v>1337.66404450252</v>
      </c>
      <c r="D381" s="43">
        <v>323</v>
      </c>
      <c r="E381" s="47">
        <v>1.5392628693834793</v>
      </c>
      <c r="F381" s="43">
        <v>323</v>
      </c>
      <c r="G381" s="47">
        <v>995.99191895784293</v>
      </c>
    </row>
    <row r="382" spans="2:7" x14ac:dyDescent="0.3">
      <c r="B382" s="43">
        <v>324</v>
      </c>
      <c r="C382" s="47">
        <v>728.78590160278941</v>
      </c>
      <c r="D382" s="43">
        <v>324</v>
      </c>
      <c r="E382" s="47">
        <v>-16.121272768120843</v>
      </c>
      <c r="F382" s="43">
        <v>324</v>
      </c>
      <c r="G382" s="47">
        <v>823.6071104635397</v>
      </c>
    </row>
    <row r="383" spans="2:7" x14ac:dyDescent="0.3">
      <c r="B383" s="43">
        <v>325</v>
      </c>
      <c r="C383" s="47">
        <v>1390.5740141087269</v>
      </c>
      <c r="D383" s="43">
        <v>325</v>
      </c>
      <c r="E383" s="47">
        <v>15.122712006381979</v>
      </c>
      <c r="F383" s="43">
        <v>325</v>
      </c>
      <c r="G383" s="47">
        <v>1085.7626426438781</v>
      </c>
    </row>
    <row r="384" spans="2:7" x14ac:dyDescent="0.3">
      <c r="B384" s="43">
        <v>326</v>
      </c>
      <c r="C384" s="47">
        <v>1957.5377817601718</v>
      </c>
      <c r="D384" s="43">
        <v>326</v>
      </c>
      <c r="E384" s="47">
        <v>-3.4782570462587428</v>
      </c>
      <c r="F384" s="43">
        <v>326</v>
      </c>
      <c r="G384" s="47">
        <v>834.88684337753114</v>
      </c>
    </row>
    <row r="385" spans="2:7" x14ac:dyDescent="0.3">
      <c r="B385" s="43">
        <v>327</v>
      </c>
      <c r="C385" s="47">
        <v>314.44741174809718</v>
      </c>
      <c r="D385" s="43">
        <v>327</v>
      </c>
      <c r="E385" s="47">
        <v>2.6498747613750173</v>
      </c>
      <c r="F385" s="43">
        <v>327</v>
      </c>
      <c r="G385" s="47">
        <v>753.89873786414284</v>
      </c>
    </row>
    <row r="386" spans="2:7" x14ac:dyDescent="0.3">
      <c r="B386" s="43">
        <v>328</v>
      </c>
      <c r="C386" s="47">
        <v>1058.5730834169442</v>
      </c>
      <c r="D386" s="43">
        <v>328</v>
      </c>
      <c r="E386" s="47">
        <v>31.870347524246363</v>
      </c>
      <c r="F386" s="43">
        <v>328</v>
      </c>
      <c r="G386" s="47">
        <v>553.1455846784819</v>
      </c>
    </row>
    <row r="387" spans="2:7" x14ac:dyDescent="0.3">
      <c r="B387" s="43">
        <v>329</v>
      </c>
      <c r="C387" s="47">
        <v>443.31043239817711</v>
      </c>
      <c r="D387" s="43">
        <v>329</v>
      </c>
      <c r="E387" s="47">
        <v>11.945167420629359</v>
      </c>
      <c r="F387" s="43">
        <v>329</v>
      </c>
      <c r="G387" s="47">
        <v>853.04478947594657</v>
      </c>
    </row>
    <row r="388" spans="2:7" x14ac:dyDescent="0.3">
      <c r="B388" s="43">
        <v>330</v>
      </c>
      <c r="C388" s="47">
        <v>722.11334450959873</v>
      </c>
      <c r="D388" s="43">
        <v>330</v>
      </c>
      <c r="E388" s="47">
        <v>-25.805581430747583</v>
      </c>
      <c r="F388" s="43">
        <v>330</v>
      </c>
      <c r="G388" s="47">
        <v>1109.6656100410214</v>
      </c>
    </row>
    <row r="389" spans="2:7" x14ac:dyDescent="0.3">
      <c r="B389" s="43">
        <v>331</v>
      </c>
      <c r="C389" s="47">
        <v>690.57959633123608</v>
      </c>
      <c r="D389" s="43">
        <v>331</v>
      </c>
      <c r="E389" s="47">
        <v>-4.6764674019577939</v>
      </c>
      <c r="F389" s="43">
        <v>331</v>
      </c>
      <c r="G389" s="47">
        <v>1031.9316564817138</v>
      </c>
    </row>
    <row r="390" spans="2:7" x14ac:dyDescent="0.3">
      <c r="B390" s="43">
        <v>332</v>
      </c>
      <c r="C390" s="47">
        <v>1127.6490553818953</v>
      </c>
      <c r="D390" s="43">
        <v>332</v>
      </c>
      <c r="E390" s="47">
        <v>-38.506574746851243</v>
      </c>
      <c r="F390" s="43">
        <v>332</v>
      </c>
      <c r="G390" s="47">
        <v>260.31033748730943</v>
      </c>
    </row>
    <row r="391" spans="2:7" x14ac:dyDescent="0.3">
      <c r="B391" s="43">
        <v>333</v>
      </c>
      <c r="C391" s="47">
        <v>861.92180446667612</v>
      </c>
      <c r="D391" s="43">
        <v>333</v>
      </c>
      <c r="E391" s="47">
        <v>22.597775376676616</v>
      </c>
      <c r="F391" s="43">
        <v>333</v>
      </c>
      <c r="G391" s="47">
        <v>1087.3266580501315</v>
      </c>
    </row>
    <row r="392" spans="2:7" x14ac:dyDescent="0.3">
      <c r="B392" s="43">
        <v>334</v>
      </c>
      <c r="C392" s="47">
        <v>1388.373138375511</v>
      </c>
      <c r="D392" s="43">
        <v>334</v>
      </c>
      <c r="E392" s="47">
        <v>1.7299562664028536</v>
      </c>
      <c r="F392" s="43">
        <v>334</v>
      </c>
      <c r="G392" s="47">
        <v>1316.5085532619871</v>
      </c>
    </row>
    <row r="393" spans="2:7" x14ac:dyDescent="0.3">
      <c r="B393" s="43">
        <v>335</v>
      </c>
      <c r="C393" s="47">
        <v>1339.8513539681521</v>
      </c>
      <c r="D393" s="43">
        <v>335</v>
      </c>
      <c r="E393" s="47">
        <v>-36.095077596869444</v>
      </c>
      <c r="F393" s="43">
        <v>335</v>
      </c>
      <c r="G393" s="47">
        <v>1225.1551025751633</v>
      </c>
    </row>
    <row r="394" spans="2:7" x14ac:dyDescent="0.3">
      <c r="B394" s="43">
        <v>336</v>
      </c>
      <c r="C394" s="47">
        <v>1482.2890045303402</v>
      </c>
      <c r="D394" s="43">
        <v>336</v>
      </c>
      <c r="E394" s="47">
        <v>-15.063483576872173</v>
      </c>
      <c r="F394" s="43">
        <v>336</v>
      </c>
      <c r="G394" s="47">
        <v>1092.3047377605467</v>
      </c>
    </row>
    <row r="395" spans="2:7" x14ac:dyDescent="0.3">
      <c r="B395" s="43">
        <v>337</v>
      </c>
      <c r="C395" s="47">
        <v>1192.3482743060274</v>
      </c>
      <c r="D395" s="43">
        <v>337</v>
      </c>
      <c r="E395" s="47">
        <v>-11.729470781405302</v>
      </c>
      <c r="F395" s="43">
        <v>337</v>
      </c>
      <c r="G395" s="47">
        <v>822.24810503736114</v>
      </c>
    </row>
    <row r="396" spans="2:7" x14ac:dyDescent="0.3">
      <c r="B396" s="43">
        <v>338</v>
      </c>
      <c r="C396" s="47">
        <v>1058.3569941606313</v>
      </c>
      <c r="D396" s="43">
        <v>338</v>
      </c>
      <c r="E396" s="47">
        <v>26.649435154967655</v>
      </c>
      <c r="F396" s="43">
        <v>338</v>
      </c>
      <c r="G396" s="47">
        <v>1430.2137778093568</v>
      </c>
    </row>
    <row r="397" spans="2:7" x14ac:dyDescent="0.3">
      <c r="B397" s="43">
        <v>339</v>
      </c>
      <c r="C397" s="47">
        <v>596.00687078641067</v>
      </c>
      <c r="D397" s="43">
        <v>339</v>
      </c>
      <c r="E397" s="47">
        <v>23.935860159808765</v>
      </c>
      <c r="F397" s="43">
        <v>339</v>
      </c>
      <c r="G397" s="47">
        <v>1518.033916912616</v>
      </c>
    </row>
    <row r="398" spans="2:7" x14ac:dyDescent="0.3">
      <c r="B398" s="43">
        <v>340</v>
      </c>
      <c r="C398" s="47">
        <v>684.21210154415303</v>
      </c>
      <c r="D398" s="43">
        <v>340</v>
      </c>
      <c r="E398" s="47">
        <v>-27.028767593782078</v>
      </c>
      <c r="F398" s="43">
        <v>340</v>
      </c>
      <c r="G398" s="47">
        <v>1195.8096662734708</v>
      </c>
    </row>
    <row r="399" spans="2:7" x14ac:dyDescent="0.3">
      <c r="B399" s="43">
        <v>341</v>
      </c>
      <c r="C399" s="47">
        <v>1360.0178440521199</v>
      </c>
      <c r="D399" s="43">
        <v>341</v>
      </c>
      <c r="E399" s="47">
        <v>-14.969685930481566</v>
      </c>
      <c r="F399" s="43">
        <v>341</v>
      </c>
      <c r="G399" s="47">
        <v>719.21278935208352</v>
      </c>
    </row>
    <row r="400" spans="2:7" x14ac:dyDescent="0.3">
      <c r="B400" s="43">
        <v>342</v>
      </c>
      <c r="C400" s="47">
        <v>432.8815599859193</v>
      </c>
      <c r="D400" s="43">
        <v>342</v>
      </c>
      <c r="E400" s="47">
        <v>-51.191866995865588</v>
      </c>
      <c r="F400" s="43">
        <v>342</v>
      </c>
      <c r="G400" s="47">
        <v>1123.1583759930488</v>
      </c>
    </row>
    <row r="401" spans="2:7" x14ac:dyDescent="0.3">
      <c r="B401" s="43">
        <v>343</v>
      </c>
      <c r="C401" s="47">
        <v>977.8643034387444</v>
      </c>
      <c r="D401" s="43">
        <v>343</v>
      </c>
      <c r="E401" s="47">
        <v>18.325545686774525</v>
      </c>
      <c r="F401" s="43">
        <v>343</v>
      </c>
      <c r="G401" s="47">
        <v>529.42962123999723</v>
      </c>
    </row>
    <row r="402" spans="2:7" x14ac:dyDescent="0.3">
      <c r="B402" s="43">
        <v>344</v>
      </c>
      <c r="C402" s="47">
        <v>1222.1834810039632</v>
      </c>
      <c r="D402" s="43">
        <v>344</v>
      </c>
      <c r="E402" s="47">
        <v>-2.6442904426229958</v>
      </c>
      <c r="F402" s="43">
        <v>344</v>
      </c>
      <c r="G402" s="47">
        <v>514.41382986929102</v>
      </c>
    </row>
    <row r="403" spans="2:7" x14ac:dyDescent="0.3">
      <c r="B403" s="43">
        <v>345</v>
      </c>
      <c r="C403" s="47">
        <v>885.89905236479115</v>
      </c>
      <c r="D403" s="43">
        <v>345</v>
      </c>
      <c r="E403" s="47">
        <v>-5.7749857266635125</v>
      </c>
      <c r="F403" s="43">
        <v>345</v>
      </c>
      <c r="G403" s="47">
        <v>525.60182828002894</v>
      </c>
    </row>
    <row r="404" spans="2:7" x14ac:dyDescent="0.3">
      <c r="B404" s="43">
        <v>346</v>
      </c>
      <c r="C404" s="47">
        <v>1117.2041706766524</v>
      </c>
      <c r="D404" s="43">
        <v>346</v>
      </c>
      <c r="E404" s="47">
        <v>24.312246237820005</v>
      </c>
      <c r="F404" s="43">
        <v>346</v>
      </c>
      <c r="G404" s="47">
        <v>718.81449218860462</v>
      </c>
    </row>
    <row r="405" spans="2:7" x14ac:dyDescent="0.3">
      <c r="B405" s="43">
        <v>347</v>
      </c>
      <c r="C405" s="47">
        <v>696.64442550115962</v>
      </c>
      <c r="D405" s="43">
        <v>347</v>
      </c>
      <c r="E405" s="47">
        <v>8.8864945170350111</v>
      </c>
      <c r="F405" s="43">
        <v>347</v>
      </c>
      <c r="G405" s="47">
        <v>1346.4811549811388</v>
      </c>
    </row>
    <row r="406" spans="2:7" x14ac:dyDescent="0.3">
      <c r="B406" s="43">
        <v>348</v>
      </c>
      <c r="C406" s="47">
        <v>700.95966166587255</v>
      </c>
      <c r="D406" s="43">
        <v>348</v>
      </c>
      <c r="E406" s="47">
        <v>31.217386765405092</v>
      </c>
      <c r="F406" s="43">
        <v>348</v>
      </c>
      <c r="G406" s="47">
        <v>1073.0478949808085</v>
      </c>
    </row>
    <row r="407" spans="2:7" x14ac:dyDescent="0.3">
      <c r="B407" s="43">
        <v>349</v>
      </c>
      <c r="C407" s="47">
        <v>938.79164707516861</v>
      </c>
      <c r="D407" s="43">
        <v>349</v>
      </c>
      <c r="E407" s="47">
        <v>14.151539688814257</v>
      </c>
      <c r="F407" s="43">
        <v>349</v>
      </c>
      <c r="G407" s="47">
        <v>601.32094394229239</v>
      </c>
    </row>
    <row r="408" spans="2:7" x14ac:dyDescent="0.3">
      <c r="B408" s="43">
        <v>350</v>
      </c>
      <c r="C408" s="47">
        <v>1278.1489855788918</v>
      </c>
      <c r="D408" s="43">
        <v>350</v>
      </c>
      <c r="E408" s="47">
        <v>-20.17614559999155</v>
      </c>
      <c r="F408" s="43">
        <v>350</v>
      </c>
      <c r="G408" s="47">
        <v>1512.7455942990819</v>
      </c>
    </row>
    <row r="409" spans="2:7" x14ac:dyDescent="0.3">
      <c r="B409" s="43">
        <v>351</v>
      </c>
      <c r="C409" s="47">
        <v>854.17192665501807</v>
      </c>
      <c r="D409" s="43">
        <v>351</v>
      </c>
      <c r="E409" s="47">
        <v>-19.460057491256599</v>
      </c>
      <c r="F409" s="43">
        <v>351</v>
      </c>
      <c r="G409" s="47">
        <v>1084.4830123523761</v>
      </c>
    </row>
    <row r="410" spans="2:7" x14ac:dyDescent="0.3">
      <c r="B410" s="43">
        <v>352</v>
      </c>
      <c r="C410" s="47">
        <v>1369.6018460338901</v>
      </c>
      <c r="D410" s="43">
        <v>352</v>
      </c>
      <c r="E410" s="47">
        <v>14.212643285157004</v>
      </c>
      <c r="F410" s="43">
        <v>352</v>
      </c>
      <c r="G410" s="47">
        <v>1062.9442767583339</v>
      </c>
    </row>
    <row r="411" spans="2:7" x14ac:dyDescent="0.3">
      <c r="B411" s="43">
        <v>353</v>
      </c>
      <c r="C411" s="47">
        <v>544.67163334988754</v>
      </c>
      <c r="D411" s="43">
        <v>353</v>
      </c>
      <c r="E411" s="47">
        <v>-10.397416374887831</v>
      </c>
      <c r="F411" s="43">
        <v>353</v>
      </c>
      <c r="G411" s="47">
        <v>619.74365617556657</v>
      </c>
    </row>
    <row r="412" spans="2:7" x14ac:dyDescent="0.3">
      <c r="B412" s="43">
        <v>354</v>
      </c>
      <c r="C412" s="47">
        <v>778.4435614314707</v>
      </c>
      <c r="D412" s="43">
        <v>354</v>
      </c>
      <c r="E412" s="47">
        <v>-63.159117754703246</v>
      </c>
      <c r="F412" s="43">
        <v>354</v>
      </c>
      <c r="G412" s="47">
        <v>252.88027114157276</v>
      </c>
    </row>
    <row r="413" spans="2:7" x14ac:dyDescent="0.3">
      <c r="B413" s="43">
        <v>355</v>
      </c>
      <c r="C413" s="47">
        <v>545.57519168211968</v>
      </c>
      <c r="D413" s="43">
        <v>355</v>
      </c>
      <c r="E413" s="47">
        <v>58.314650014469862</v>
      </c>
      <c r="F413" s="43">
        <v>355</v>
      </c>
      <c r="G413" s="47">
        <v>780.05603130106158</v>
      </c>
    </row>
    <row r="414" spans="2:7" x14ac:dyDescent="0.3">
      <c r="B414" s="43">
        <v>356</v>
      </c>
      <c r="C414" s="47">
        <v>1105.4750162017519</v>
      </c>
      <c r="D414" s="43">
        <v>356</v>
      </c>
      <c r="E414" s="47">
        <v>31.275178705747244</v>
      </c>
      <c r="F414" s="43">
        <v>356</v>
      </c>
      <c r="G414" s="47">
        <v>1386.705155816669</v>
      </c>
    </row>
    <row r="415" spans="2:7" x14ac:dyDescent="0.3">
      <c r="B415" s="43">
        <v>357</v>
      </c>
      <c r="C415" s="47">
        <v>937.83244687735601</v>
      </c>
      <c r="D415" s="43">
        <v>357</v>
      </c>
      <c r="E415" s="47">
        <v>-17.966907021118594</v>
      </c>
      <c r="F415" s="43">
        <v>357</v>
      </c>
      <c r="G415" s="47">
        <v>1156.9960411842756</v>
      </c>
    </row>
    <row r="416" spans="2:7" x14ac:dyDescent="0.3">
      <c r="B416" s="43">
        <v>358</v>
      </c>
      <c r="C416" s="47">
        <v>1240.6061233793519</v>
      </c>
      <c r="D416" s="43">
        <v>358</v>
      </c>
      <c r="E416" s="47">
        <v>-3.8127043536835137</v>
      </c>
      <c r="F416" s="43">
        <v>358</v>
      </c>
      <c r="G416" s="47">
        <v>1168.2703684280539</v>
      </c>
    </row>
    <row r="417" spans="2:7" x14ac:dyDescent="0.3">
      <c r="B417" s="43">
        <v>359</v>
      </c>
      <c r="C417" s="47">
        <v>1000.129084931082</v>
      </c>
      <c r="D417" s="43">
        <v>359</v>
      </c>
      <c r="E417" s="47">
        <v>9.1804927922373096</v>
      </c>
      <c r="F417" s="43">
        <v>359</v>
      </c>
      <c r="G417" s="47">
        <v>1560.4405221457787</v>
      </c>
    </row>
    <row r="418" spans="2:7" x14ac:dyDescent="0.3">
      <c r="B418" s="43">
        <v>360</v>
      </c>
      <c r="C418" s="47">
        <v>609.80844604712797</v>
      </c>
      <c r="D418" s="43">
        <v>360</v>
      </c>
      <c r="E418" s="47">
        <v>-6.3895675327127162</v>
      </c>
      <c r="F418" s="43">
        <v>360</v>
      </c>
      <c r="G418" s="47">
        <v>659.32129534169235</v>
      </c>
    </row>
    <row r="419" spans="2:7" x14ac:dyDescent="0.3">
      <c r="B419" s="43">
        <v>361</v>
      </c>
      <c r="C419" s="47">
        <v>1123.7399896996449</v>
      </c>
      <c r="D419" s="43">
        <v>361</v>
      </c>
      <c r="E419" s="47">
        <v>13.360658614158449</v>
      </c>
      <c r="F419" s="43">
        <v>361</v>
      </c>
      <c r="G419" s="47">
        <v>888.89494085410365</v>
      </c>
    </row>
    <row r="420" spans="2:7" x14ac:dyDescent="0.3">
      <c r="B420" s="43">
        <v>362</v>
      </c>
      <c r="C420" s="47">
        <v>1538.293751291629</v>
      </c>
      <c r="D420" s="43">
        <v>362</v>
      </c>
      <c r="E420" s="47">
        <v>-6.6510029334070522</v>
      </c>
      <c r="F420" s="43">
        <v>362</v>
      </c>
      <c r="G420" s="47">
        <v>1302.1824260567291</v>
      </c>
    </row>
    <row r="421" spans="2:7" x14ac:dyDescent="0.3">
      <c r="B421" s="43">
        <v>363</v>
      </c>
      <c r="C421" s="47">
        <v>294.02690317408127</v>
      </c>
      <c r="D421" s="43">
        <v>363</v>
      </c>
      <c r="E421" s="47">
        <v>-0.58340834289373722</v>
      </c>
      <c r="F421" s="43">
        <v>363</v>
      </c>
      <c r="G421" s="47">
        <v>581.4847148679271</v>
      </c>
    </row>
    <row r="422" spans="2:7" x14ac:dyDescent="0.3">
      <c r="B422" s="43">
        <v>364</v>
      </c>
      <c r="C422" s="47">
        <v>775.89114320016324</v>
      </c>
      <c r="D422" s="43">
        <v>364</v>
      </c>
      <c r="E422" s="47">
        <v>-5.1352102176046435</v>
      </c>
      <c r="F422" s="43">
        <v>364</v>
      </c>
      <c r="G422" s="47">
        <v>968.18531266267053</v>
      </c>
    </row>
    <row r="423" spans="2:7" x14ac:dyDescent="0.3">
      <c r="B423" s="43">
        <v>365</v>
      </c>
      <c r="C423" s="47">
        <v>838.29266360625752</v>
      </c>
      <c r="D423" s="43">
        <v>365</v>
      </c>
      <c r="E423" s="47">
        <v>9.7678441609650957</v>
      </c>
      <c r="F423" s="43">
        <v>365</v>
      </c>
      <c r="G423" s="47">
        <v>816.02589619608727</v>
      </c>
    </row>
    <row r="424" spans="2:7" x14ac:dyDescent="0.3">
      <c r="B424" s="43">
        <v>366</v>
      </c>
      <c r="C424" s="47">
        <v>862.3544402477346</v>
      </c>
      <c r="D424" s="43">
        <v>366</v>
      </c>
      <c r="E424" s="47">
        <v>61.133704694119579</v>
      </c>
      <c r="F424" s="43">
        <v>366</v>
      </c>
      <c r="G424" s="47">
        <v>865.54696577976813</v>
      </c>
    </row>
    <row r="425" spans="2:7" x14ac:dyDescent="0.3">
      <c r="B425" s="43">
        <v>367</v>
      </c>
      <c r="C425" s="47">
        <v>694.02263544343441</v>
      </c>
      <c r="D425" s="43">
        <v>367</v>
      </c>
      <c r="E425" s="47">
        <v>-30.20821085588522</v>
      </c>
      <c r="F425" s="43">
        <v>367</v>
      </c>
      <c r="G425" s="47">
        <v>1184.1027525158631</v>
      </c>
    </row>
    <row r="426" spans="2:7" x14ac:dyDescent="0.3">
      <c r="B426" s="43">
        <v>368</v>
      </c>
      <c r="C426" s="47">
        <v>902.70486153635079</v>
      </c>
      <c r="D426" s="43">
        <v>368</v>
      </c>
      <c r="E426" s="47">
        <v>19.768410248349404</v>
      </c>
      <c r="F426" s="43">
        <v>368</v>
      </c>
      <c r="G426" s="47">
        <v>1099.8107572596755</v>
      </c>
    </row>
    <row r="427" spans="2:7" x14ac:dyDescent="0.3">
      <c r="B427" s="43">
        <v>369</v>
      </c>
      <c r="C427" s="47">
        <v>1200.6139557840693</v>
      </c>
      <c r="D427" s="43">
        <v>369</v>
      </c>
      <c r="E427" s="47">
        <v>22.332881096001685</v>
      </c>
      <c r="F427" s="43">
        <v>369</v>
      </c>
      <c r="G427" s="47">
        <v>625.12121035827954</v>
      </c>
    </row>
    <row r="428" spans="2:7" x14ac:dyDescent="0.3">
      <c r="B428" s="43">
        <v>370</v>
      </c>
      <c r="C428" s="47">
        <v>891.71543934887688</v>
      </c>
      <c r="D428" s="43">
        <v>370</v>
      </c>
      <c r="E428" s="47">
        <v>-5.5638946065169002</v>
      </c>
      <c r="F428" s="43">
        <v>370</v>
      </c>
      <c r="G428" s="47">
        <v>888.70051691039225</v>
      </c>
    </row>
    <row r="429" spans="2:7" x14ac:dyDescent="0.3">
      <c r="B429" s="43">
        <v>371</v>
      </c>
      <c r="C429" s="47">
        <v>872.86387414611875</v>
      </c>
      <c r="D429" s="43">
        <v>371</v>
      </c>
      <c r="E429" s="47">
        <v>75.048061220118683</v>
      </c>
      <c r="F429" s="43">
        <v>371</v>
      </c>
      <c r="G429" s="47">
        <v>887.12760590953042</v>
      </c>
    </row>
    <row r="430" spans="2:7" x14ac:dyDescent="0.3">
      <c r="B430" s="43">
        <v>372</v>
      </c>
      <c r="C430" s="47">
        <v>1023.9359413758837</v>
      </c>
      <c r="D430" s="43">
        <v>372</v>
      </c>
      <c r="E430" s="47">
        <v>-52.338785561734952</v>
      </c>
      <c r="F430" s="43">
        <v>372</v>
      </c>
      <c r="G430" s="47">
        <v>745.87070063541</v>
      </c>
    </row>
    <row r="431" spans="2:7" x14ac:dyDescent="0.3">
      <c r="B431" s="43">
        <v>373</v>
      </c>
      <c r="C431" s="47">
        <v>1362.5474006107233</v>
      </c>
      <c r="D431" s="43">
        <v>373</v>
      </c>
      <c r="E431" s="47">
        <v>6.2057001179682771</v>
      </c>
      <c r="F431" s="43">
        <v>373</v>
      </c>
      <c r="G431" s="47">
        <v>670.46576731323671</v>
      </c>
    </row>
    <row r="432" spans="2:7" x14ac:dyDescent="0.3">
      <c r="B432" s="43">
        <v>374</v>
      </c>
      <c r="C432" s="47">
        <v>1290.3011073211339</v>
      </c>
      <c r="D432" s="43">
        <v>374</v>
      </c>
      <c r="E432" s="47">
        <v>12.742346304729185</v>
      </c>
      <c r="F432" s="43">
        <v>374</v>
      </c>
      <c r="G432" s="47">
        <v>1345.5928427590902</v>
      </c>
    </row>
    <row r="433" spans="2:7" x14ac:dyDescent="0.3">
      <c r="B433" s="43">
        <v>375</v>
      </c>
      <c r="C433" s="47">
        <v>728.5677006364624</v>
      </c>
      <c r="D433" s="43">
        <v>375</v>
      </c>
      <c r="E433" s="47">
        <v>-45.762794846441032</v>
      </c>
      <c r="F433" s="43">
        <v>375</v>
      </c>
      <c r="G433" s="47">
        <v>911.77950917551061</v>
      </c>
    </row>
    <row r="434" spans="2:7" x14ac:dyDescent="0.3">
      <c r="B434" s="43">
        <v>376</v>
      </c>
      <c r="C434" s="47">
        <v>321.57629804847045</v>
      </c>
      <c r="D434" s="43">
        <v>376</v>
      </c>
      <c r="E434" s="47">
        <v>11.836574103095748</v>
      </c>
      <c r="F434" s="43">
        <v>376</v>
      </c>
      <c r="G434" s="47">
        <v>921.10372368499043</v>
      </c>
    </row>
    <row r="435" spans="2:7" x14ac:dyDescent="0.3">
      <c r="B435" s="43">
        <v>377</v>
      </c>
      <c r="C435" s="47">
        <v>933.93305315077009</v>
      </c>
      <c r="D435" s="43">
        <v>377</v>
      </c>
      <c r="E435" s="47">
        <v>-17.183903644858411</v>
      </c>
      <c r="F435" s="43">
        <v>377</v>
      </c>
      <c r="G435" s="47">
        <v>862.68193861466443</v>
      </c>
    </row>
    <row r="436" spans="2:7" x14ac:dyDescent="0.3">
      <c r="B436" s="43">
        <v>378</v>
      </c>
      <c r="C436" s="47">
        <v>842.39597552485975</v>
      </c>
      <c r="D436" s="43">
        <v>378</v>
      </c>
      <c r="E436" s="47">
        <v>36.666401629415205</v>
      </c>
      <c r="F436" s="43">
        <v>378</v>
      </c>
      <c r="G436" s="47">
        <v>554.07367068624797</v>
      </c>
    </row>
    <row r="437" spans="2:7" x14ac:dyDescent="0.3">
      <c r="B437" s="43">
        <v>379</v>
      </c>
      <c r="C437" s="47">
        <v>1005.7099925306735</v>
      </c>
      <c r="D437" s="43">
        <v>379</v>
      </c>
      <c r="E437" s="47">
        <v>-39.290249309220428</v>
      </c>
      <c r="F437" s="43">
        <v>379</v>
      </c>
      <c r="G437" s="47">
        <v>1331.3870510712625</v>
      </c>
    </row>
    <row r="438" spans="2:7" x14ac:dyDescent="0.3">
      <c r="B438" s="43">
        <v>380</v>
      </c>
      <c r="C438" s="47">
        <v>1028.2494220131875</v>
      </c>
      <c r="D438" s="43">
        <v>380</v>
      </c>
      <c r="E438" s="47">
        <v>-49.907266142292194</v>
      </c>
      <c r="F438" s="43">
        <v>380</v>
      </c>
      <c r="G438" s="47">
        <v>634.39254061225051</v>
      </c>
    </row>
    <row r="439" spans="2:7" x14ac:dyDescent="0.3">
      <c r="B439" s="43">
        <v>381</v>
      </c>
      <c r="C439" s="47">
        <v>957.68106885320162</v>
      </c>
      <c r="D439" s="43">
        <v>381</v>
      </c>
      <c r="E439" s="47">
        <v>-21.629385235440978</v>
      </c>
      <c r="F439" s="43">
        <v>381</v>
      </c>
      <c r="G439" s="47">
        <v>1086.2321693620074</v>
      </c>
    </row>
    <row r="440" spans="2:7" x14ac:dyDescent="0.3">
      <c r="B440" s="43">
        <v>382</v>
      </c>
      <c r="C440" s="47">
        <v>593.82060074417791</v>
      </c>
      <c r="D440" s="43">
        <v>382</v>
      </c>
      <c r="E440" s="47">
        <v>16.04215586732365</v>
      </c>
      <c r="F440" s="43">
        <v>382</v>
      </c>
      <c r="G440" s="47">
        <v>863.83856730727564</v>
      </c>
    </row>
    <row r="441" spans="2:7" x14ac:dyDescent="0.3">
      <c r="B441" s="43">
        <v>383</v>
      </c>
      <c r="C441" s="47">
        <v>1004.4002294315796</v>
      </c>
      <c r="D441" s="43">
        <v>383</v>
      </c>
      <c r="E441" s="47">
        <v>12.272889322706984</v>
      </c>
      <c r="F441" s="43">
        <v>383</v>
      </c>
      <c r="G441" s="47">
        <v>937.73660522634236</v>
      </c>
    </row>
    <row r="442" spans="2:7" x14ac:dyDescent="0.3">
      <c r="B442" s="43">
        <v>384</v>
      </c>
      <c r="C442" s="47">
        <v>1006.8261593551051</v>
      </c>
      <c r="D442" s="43">
        <v>384</v>
      </c>
      <c r="E442" s="47">
        <v>-3.6341969320039751</v>
      </c>
      <c r="F442" s="43">
        <v>384</v>
      </c>
      <c r="G442" s="47">
        <v>713.89784635786134</v>
      </c>
    </row>
    <row r="443" spans="2:7" x14ac:dyDescent="0.3">
      <c r="B443" s="43">
        <v>385</v>
      </c>
      <c r="C443" s="47">
        <v>906.6783766958913</v>
      </c>
      <c r="D443" s="43">
        <v>385</v>
      </c>
      <c r="E443" s="47">
        <v>58.617532875232349</v>
      </c>
      <c r="F443" s="43">
        <v>385</v>
      </c>
      <c r="G443" s="47">
        <v>597.85811146338915</v>
      </c>
    </row>
    <row r="444" spans="2:7" x14ac:dyDescent="0.3">
      <c r="B444" s="43">
        <v>386</v>
      </c>
      <c r="C444" s="47">
        <v>545.93537347330164</v>
      </c>
      <c r="D444" s="43">
        <v>386</v>
      </c>
      <c r="E444" s="47">
        <v>24.101666769719092</v>
      </c>
      <c r="F444" s="43">
        <v>386</v>
      </c>
      <c r="G444" s="47">
        <v>1193.6724133879886</v>
      </c>
    </row>
    <row r="445" spans="2:7" x14ac:dyDescent="0.3">
      <c r="B445" s="43">
        <v>387</v>
      </c>
      <c r="C445" s="47">
        <v>1197.3969812316518</v>
      </c>
      <c r="D445" s="43">
        <v>387</v>
      </c>
      <c r="E445" s="47">
        <v>-7.4363948542916516</v>
      </c>
      <c r="F445" s="43">
        <v>387</v>
      </c>
      <c r="G445" s="47">
        <v>667.36797838584494</v>
      </c>
    </row>
    <row r="446" spans="2:7" x14ac:dyDescent="0.3">
      <c r="B446" s="43">
        <v>388</v>
      </c>
      <c r="C446" s="47">
        <v>662.74093382090643</v>
      </c>
      <c r="D446" s="43">
        <v>388</v>
      </c>
      <c r="E446" s="47">
        <v>16.7504475193379</v>
      </c>
      <c r="F446" s="43">
        <v>388</v>
      </c>
      <c r="G446" s="47">
        <v>532.48859776363918</v>
      </c>
    </row>
    <row r="447" spans="2:7" x14ac:dyDescent="0.3">
      <c r="B447" s="43">
        <v>389</v>
      </c>
      <c r="C447" s="47">
        <v>979.47770255900218</v>
      </c>
      <c r="D447" s="43">
        <v>389</v>
      </c>
      <c r="E447" s="47">
        <v>-6.619378606471602</v>
      </c>
      <c r="F447" s="43">
        <v>389</v>
      </c>
      <c r="G447" s="47">
        <v>1176.620276561428</v>
      </c>
    </row>
    <row r="448" spans="2:7" x14ac:dyDescent="0.3">
      <c r="B448" s="43">
        <v>390</v>
      </c>
      <c r="C448" s="47">
        <v>905.82809522220998</v>
      </c>
      <c r="D448" s="43">
        <v>390</v>
      </c>
      <c r="E448" s="47">
        <v>-3.1069338295121214</v>
      </c>
      <c r="F448" s="43">
        <v>390</v>
      </c>
      <c r="G448" s="47">
        <v>901.20982552890416</v>
      </c>
    </row>
    <row r="449" spans="2:7" x14ac:dyDescent="0.3">
      <c r="B449" s="43">
        <v>391</v>
      </c>
      <c r="C449" s="47">
        <v>1126.7556774249565</v>
      </c>
      <c r="D449" s="43">
        <v>391</v>
      </c>
      <c r="E449" s="47">
        <v>-10.133853514133937</v>
      </c>
      <c r="F449" s="43">
        <v>391</v>
      </c>
      <c r="G449" s="47">
        <v>1563.0632702813045</v>
      </c>
    </row>
    <row r="450" spans="2:7" x14ac:dyDescent="0.3">
      <c r="B450" s="43">
        <v>392</v>
      </c>
      <c r="C450" s="47">
        <v>833.50878469996621</v>
      </c>
      <c r="D450" s="43">
        <v>392</v>
      </c>
      <c r="E450" s="47">
        <v>23.405084008945359</v>
      </c>
      <c r="F450" s="43">
        <v>392</v>
      </c>
      <c r="G450" s="47">
        <v>418.26098270208297</v>
      </c>
    </row>
    <row r="451" spans="2:7" x14ac:dyDescent="0.3">
      <c r="B451" s="43">
        <v>393</v>
      </c>
      <c r="C451" s="47">
        <v>539.49037848037472</v>
      </c>
      <c r="D451" s="43">
        <v>393</v>
      </c>
      <c r="E451" s="47">
        <v>-32.66224393116746</v>
      </c>
      <c r="F451" s="43">
        <v>393</v>
      </c>
      <c r="G451" s="47">
        <v>928.29107756750841</v>
      </c>
    </row>
    <row r="452" spans="2:7" x14ac:dyDescent="0.3">
      <c r="B452" s="43">
        <v>394</v>
      </c>
      <c r="C452" s="47">
        <v>806.69048331569957</v>
      </c>
      <c r="D452" s="43">
        <v>394</v>
      </c>
      <c r="E452" s="47">
        <v>-24.7640271134462</v>
      </c>
      <c r="F452" s="43">
        <v>394</v>
      </c>
      <c r="G452" s="47">
        <v>1081.6686921063649</v>
      </c>
    </row>
    <row r="453" spans="2:7" x14ac:dyDescent="0.3">
      <c r="B453" s="43">
        <v>395</v>
      </c>
      <c r="C453" s="47">
        <v>506.85622997035307</v>
      </c>
      <c r="D453" s="43">
        <v>395</v>
      </c>
      <c r="E453" s="47">
        <v>-15.955297290647882</v>
      </c>
      <c r="F453" s="43">
        <v>395</v>
      </c>
      <c r="G453" s="47">
        <v>825.49581389851267</v>
      </c>
    </row>
    <row r="454" spans="2:7" x14ac:dyDescent="0.3">
      <c r="B454" s="43">
        <v>396</v>
      </c>
      <c r="C454" s="47">
        <v>958.71642381042477</v>
      </c>
      <c r="D454" s="43">
        <v>396</v>
      </c>
      <c r="E454" s="47">
        <v>-20.302232200137436</v>
      </c>
      <c r="F454" s="43">
        <v>396</v>
      </c>
      <c r="G454" s="47">
        <v>889.46199747667629</v>
      </c>
    </row>
    <row r="455" spans="2:7" x14ac:dyDescent="0.3">
      <c r="B455" s="43">
        <v>397</v>
      </c>
      <c r="C455" s="47">
        <v>1127.1329199605223</v>
      </c>
      <c r="D455" s="43">
        <v>397</v>
      </c>
      <c r="E455" s="47">
        <v>78.140057973370446</v>
      </c>
      <c r="F455" s="43">
        <v>397</v>
      </c>
      <c r="G455" s="47">
        <v>615.47784947603498</v>
      </c>
    </row>
    <row r="456" spans="2:7" x14ac:dyDescent="0.3">
      <c r="B456" s="43">
        <v>398</v>
      </c>
      <c r="C456" s="47">
        <v>1273.0177877126323</v>
      </c>
      <c r="D456" s="43">
        <v>398</v>
      </c>
      <c r="E456" s="47">
        <v>16.985608027196342</v>
      </c>
      <c r="F456" s="43">
        <v>398</v>
      </c>
      <c r="G456" s="47">
        <v>1463.2473243996114</v>
      </c>
    </row>
    <row r="457" spans="2:7" x14ac:dyDescent="0.3">
      <c r="B457" s="43">
        <v>399</v>
      </c>
      <c r="C457" s="47">
        <v>592.04540133845217</v>
      </c>
      <c r="D457" s="43">
        <v>399</v>
      </c>
      <c r="E457" s="47">
        <v>10.786919465784338</v>
      </c>
      <c r="F457" s="43">
        <v>399</v>
      </c>
      <c r="G457" s="47">
        <v>878.00376204705515</v>
      </c>
    </row>
    <row r="458" spans="2:7" x14ac:dyDescent="0.3">
      <c r="B458" s="43">
        <v>400</v>
      </c>
      <c r="C458" s="47">
        <v>895.18845656342273</v>
      </c>
      <c r="D458" s="43">
        <v>400</v>
      </c>
      <c r="E458" s="47">
        <v>35.903329829440707</v>
      </c>
      <c r="F458" s="43">
        <v>400</v>
      </c>
      <c r="G458" s="47">
        <v>587.86349864449551</v>
      </c>
    </row>
    <row r="459" spans="2:7" x14ac:dyDescent="0.3">
      <c r="B459" s="43">
        <v>401</v>
      </c>
      <c r="C459" s="47">
        <v>780.48571193081636</v>
      </c>
      <c r="D459" s="43">
        <v>401</v>
      </c>
      <c r="E459" s="47">
        <v>22.091763463366881</v>
      </c>
      <c r="F459" s="43">
        <v>401</v>
      </c>
      <c r="G459" s="47">
        <v>463.23781453156818</v>
      </c>
    </row>
    <row r="460" spans="2:7" x14ac:dyDescent="0.3">
      <c r="B460" s="43">
        <v>402</v>
      </c>
      <c r="C460" s="47">
        <v>731.62342804171419</v>
      </c>
      <c r="D460" s="43">
        <v>402</v>
      </c>
      <c r="E460" s="47">
        <v>49.604900593385551</v>
      </c>
      <c r="F460" s="43">
        <v>402</v>
      </c>
      <c r="G460" s="47">
        <v>1472.5716315684094</v>
      </c>
    </row>
    <row r="461" spans="2:7" x14ac:dyDescent="0.3">
      <c r="B461" s="43">
        <v>403</v>
      </c>
      <c r="C461" s="47">
        <v>587.69198264672013</v>
      </c>
      <c r="D461" s="43">
        <v>403</v>
      </c>
      <c r="E461" s="47">
        <v>9.1428341639800461</v>
      </c>
      <c r="F461" s="43">
        <v>403</v>
      </c>
      <c r="G461" s="47">
        <v>782.06159491520009</v>
      </c>
    </row>
    <row r="462" spans="2:7" x14ac:dyDescent="0.3">
      <c r="B462" s="43">
        <v>404</v>
      </c>
      <c r="C462" s="47">
        <v>1284.0854474338589</v>
      </c>
      <c r="D462" s="43">
        <v>404</v>
      </c>
      <c r="E462" s="47">
        <v>43.636653964287611</v>
      </c>
      <c r="F462" s="43">
        <v>404</v>
      </c>
      <c r="G462" s="47">
        <v>900.57735429722948</v>
      </c>
    </row>
    <row r="463" spans="2:7" x14ac:dyDescent="0.3">
      <c r="B463" s="43">
        <v>405</v>
      </c>
      <c r="C463" s="47">
        <v>865.7680137753166</v>
      </c>
      <c r="D463" s="43">
        <v>405</v>
      </c>
      <c r="E463" s="47">
        <v>41.042425672982574</v>
      </c>
      <c r="F463" s="43">
        <v>405</v>
      </c>
      <c r="G463" s="47">
        <v>880.57370291904704</v>
      </c>
    </row>
    <row r="464" spans="2:7" x14ac:dyDescent="0.3">
      <c r="B464" s="43">
        <v>406</v>
      </c>
      <c r="C464" s="47">
        <v>1093.2396701118992</v>
      </c>
      <c r="D464" s="43">
        <v>406</v>
      </c>
      <c r="E464" s="47">
        <v>-45.247635332468711</v>
      </c>
      <c r="F464" s="43">
        <v>406</v>
      </c>
      <c r="G464" s="47">
        <v>523.83245342814985</v>
      </c>
    </row>
    <row r="465" spans="2:7" x14ac:dyDescent="0.3">
      <c r="B465" s="43">
        <v>407</v>
      </c>
      <c r="C465" s="47">
        <v>530.78318553337795</v>
      </c>
      <c r="D465" s="43">
        <v>407</v>
      </c>
      <c r="E465" s="47">
        <v>35.155112043025596</v>
      </c>
      <c r="F465" s="43">
        <v>407</v>
      </c>
      <c r="G465" s="47">
        <v>996.240390070393</v>
      </c>
    </row>
    <row r="466" spans="2:7" x14ac:dyDescent="0.3">
      <c r="B466" s="43">
        <v>408</v>
      </c>
      <c r="C466" s="47">
        <v>755.64743635447599</v>
      </c>
      <c r="D466" s="43">
        <v>408</v>
      </c>
      <c r="E466" s="47">
        <v>-52.403651954542013</v>
      </c>
      <c r="F466" s="43">
        <v>408</v>
      </c>
      <c r="G466" s="47">
        <v>852.02149431034559</v>
      </c>
    </row>
    <row r="467" spans="2:7" x14ac:dyDescent="0.3">
      <c r="B467" s="43">
        <v>409</v>
      </c>
      <c r="C467" s="47">
        <v>897.55500587420011</v>
      </c>
      <c r="D467" s="43">
        <v>409</v>
      </c>
      <c r="E467" s="47">
        <v>-6.0780959313543761</v>
      </c>
      <c r="F467" s="43">
        <v>409</v>
      </c>
      <c r="G467" s="47">
        <v>833.48790225307823</v>
      </c>
    </row>
    <row r="468" spans="2:7" x14ac:dyDescent="0.3">
      <c r="B468" s="43">
        <v>410</v>
      </c>
      <c r="C468" s="47">
        <v>234.35530759784447</v>
      </c>
      <c r="D468" s="43">
        <v>410</v>
      </c>
      <c r="E468" s="47">
        <v>1.7101692323818252</v>
      </c>
      <c r="F468" s="43">
        <v>410</v>
      </c>
      <c r="G468" s="47">
        <v>1089.5793305217633</v>
      </c>
    </row>
    <row r="469" spans="2:7" x14ac:dyDescent="0.3">
      <c r="B469" s="43">
        <v>411</v>
      </c>
      <c r="C469" s="47">
        <v>1655.2913862782182</v>
      </c>
      <c r="D469" s="43">
        <v>411</v>
      </c>
      <c r="E469" s="47">
        <v>17.691820586690426</v>
      </c>
      <c r="F469" s="43">
        <v>411</v>
      </c>
      <c r="G469" s="47">
        <v>1325.743190892691</v>
      </c>
    </row>
    <row r="470" spans="2:7" x14ac:dyDescent="0.3">
      <c r="B470" s="43">
        <v>412</v>
      </c>
      <c r="C470" s="47">
        <v>859.51750676824918</v>
      </c>
      <c r="D470" s="43">
        <v>412</v>
      </c>
      <c r="E470" s="47">
        <v>-29.249378537512193</v>
      </c>
      <c r="F470" s="43">
        <v>412</v>
      </c>
      <c r="G470" s="47">
        <v>850.14407168354774</v>
      </c>
    </row>
    <row r="471" spans="2:7" x14ac:dyDescent="0.3">
      <c r="B471" s="43">
        <v>413</v>
      </c>
      <c r="C471" s="47">
        <v>436.24350186069722</v>
      </c>
      <c r="D471" s="43">
        <v>413</v>
      </c>
      <c r="E471" s="47">
        <v>17.666288321556671</v>
      </c>
      <c r="F471" s="43">
        <v>413</v>
      </c>
      <c r="G471" s="47">
        <v>940.31491823833369</v>
      </c>
    </row>
    <row r="472" spans="2:7" x14ac:dyDescent="0.3">
      <c r="B472" s="43">
        <v>414</v>
      </c>
      <c r="C472" s="47">
        <v>1173.0033049126255</v>
      </c>
      <c r="D472" s="43">
        <v>414</v>
      </c>
      <c r="E472" s="47">
        <v>46.733851345294859</v>
      </c>
      <c r="F472" s="43">
        <v>414</v>
      </c>
      <c r="G472" s="47">
        <v>966.19215614135078</v>
      </c>
    </row>
    <row r="473" spans="2:7" x14ac:dyDescent="0.3">
      <c r="B473" s="43">
        <v>415</v>
      </c>
      <c r="C473" s="47">
        <v>1114.7974767593362</v>
      </c>
      <c r="D473" s="43">
        <v>415</v>
      </c>
      <c r="E473" s="47">
        <v>-6.9017533231336987</v>
      </c>
      <c r="F473" s="43">
        <v>415</v>
      </c>
      <c r="G473" s="47">
        <v>420.13018374787833</v>
      </c>
    </row>
    <row r="474" spans="2:7" x14ac:dyDescent="0.3">
      <c r="B474" s="43">
        <v>416</v>
      </c>
      <c r="C474" s="47">
        <v>844.27064542989115</v>
      </c>
      <c r="D474" s="43">
        <v>416</v>
      </c>
      <c r="E474" s="47">
        <v>28.409039872706792</v>
      </c>
      <c r="F474" s="43">
        <v>416</v>
      </c>
      <c r="G474" s="47">
        <v>1012.4653380808279</v>
      </c>
    </row>
    <row r="475" spans="2:7" x14ac:dyDescent="0.3">
      <c r="B475" s="43">
        <v>417</v>
      </c>
      <c r="C475" s="47">
        <v>712.42047982825716</v>
      </c>
      <c r="D475" s="43">
        <v>417</v>
      </c>
      <c r="E475" s="47">
        <v>38.30114617097653</v>
      </c>
      <c r="F475" s="43">
        <v>417</v>
      </c>
      <c r="G475" s="47">
        <v>697.71559776601225</v>
      </c>
    </row>
    <row r="476" spans="2:7" x14ac:dyDescent="0.3">
      <c r="B476" s="43">
        <v>418</v>
      </c>
      <c r="C476" s="47">
        <v>1389.7191388195965</v>
      </c>
      <c r="D476" s="43">
        <v>418</v>
      </c>
      <c r="E476" s="47">
        <v>-11.272926856440009</v>
      </c>
      <c r="F476" s="43">
        <v>418</v>
      </c>
      <c r="G476" s="47">
        <v>800.26665953004772</v>
      </c>
    </row>
    <row r="477" spans="2:7" x14ac:dyDescent="0.3">
      <c r="B477" s="43">
        <v>419</v>
      </c>
      <c r="C477" s="47">
        <v>1205.6549953055833</v>
      </c>
      <c r="D477" s="43">
        <v>419</v>
      </c>
      <c r="E477" s="47">
        <v>-12.908392460649186</v>
      </c>
      <c r="F477" s="43">
        <v>419</v>
      </c>
      <c r="G477" s="47">
        <v>908.7680950358681</v>
      </c>
    </row>
    <row r="478" spans="2:7" x14ac:dyDescent="0.3">
      <c r="B478" s="43">
        <v>420</v>
      </c>
      <c r="C478" s="47">
        <v>1305.6167992922067</v>
      </c>
      <c r="D478" s="43">
        <v>420</v>
      </c>
      <c r="E478" s="47">
        <v>-34.636320617329453</v>
      </c>
      <c r="F478" s="43">
        <v>420</v>
      </c>
      <c r="G478" s="47">
        <v>970.93851209242644</v>
      </c>
    </row>
    <row r="479" spans="2:7" x14ac:dyDescent="0.3">
      <c r="B479" s="43">
        <v>421</v>
      </c>
      <c r="C479" s="47">
        <v>1065.088766438156</v>
      </c>
      <c r="D479" s="43">
        <v>421</v>
      </c>
      <c r="E479" s="47">
        <v>-3.1677916287653032</v>
      </c>
      <c r="F479" s="43">
        <v>421</v>
      </c>
      <c r="G479" s="47">
        <v>978.38405331382967</v>
      </c>
    </row>
    <row r="480" spans="2:7" x14ac:dyDescent="0.3">
      <c r="B480" s="43">
        <v>422</v>
      </c>
      <c r="C480" s="47">
        <v>838.95240366387497</v>
      </c>
      <c r="D480" s="43">
        <v>422</v>
      </c>
      <c r="E480" s="47">
        <v>29.91243590229876</v>
      </c>
      <c r="F480" s="43">
        <v>422</v>
      </c>
      <c r="G480" s="47">
        <v>1040.3353756056333</v>
      </c>
    </row>
    <row r="481" spans="2:7" x14ac:dyDescent="0.3">
      <c r="B481" s="43">
        <v>423</v>
      </c>
      <c r="C481" s="47">
        <v>1260.0966045194746</v>
      </c>
      <c r="D481" s="43">
        <v>423</v>
      </c>
      <c r="E481" s="47">
        <v>-42.693637330489196</v>
      </c>
      <c r="F481" s="43">
        <v>423</v>
      </c>
      <c r="G481" s="47">
        <v>702.92392805003897</v>
      </c>
    </row>
    <row r="482" spans="2:7" x14ac:dyDescent="0.3">
      <c r="B482" s="43">
        <v>424</v>
      </c>
      <c r="C482" s="47">
        <v>767.89113940624998</v>
      </c>
      <c r="D482" s="43">
        <v>424</v>
      </c>
      <c r="E482" s="47">
        <v>-3.1858123298284715</v>
      </c>
      <c r="F482" s="43">
        <v>424</v>
      </c>
      <c r="G482" s="47">
        <v>706.440668473703</v>
      </c>
    </row>
    <row r="483" spans="2:7" x14ac:dyDescent="0.3">
      <c r="B483" s="43">
        <v>425</v>
      </c>
      <c r="C483" s="47">
        <v>821.71932467168494</v>
      </c>
      <c r="D483" s="43">
        <v>425</v>
      </c>
      <c r="E483" s="47">
        <v>9.5447958950262741</v>
      </c>
      <c r="F483" s="43">
        <v>425</v>
      </c>
      <c r="G483" s="47">
        <v>932.13914479304856</v>
      </c>
    </row>
    <row r="484" spans="2:7" x14ac:dyDescent="0.3">
      <c r="B484" s="43">
        <v>426</v>
      </c>
      <c r="C484" s="47">
        <v>1582.7592891896127</v>
      </c>
      <c r="D484" s="43">
        <v>426</v>
      </c>
      <c r="E484" s="47">
        <v>-37.348416545199356</v>
      </c>
      <c r="F484" s="43">
        <v>426</v>
      </c>
      <c r="G484" s="47">
        <v>872.51666385560111</v>
      </c>
    </row>
    <row r="485" spans="2:7" x14ac:dyDescent="0.3">
      <c r="B485" s="43">
        <v>427</v>
      </c>
      <c r="C485" s="47">
        <v>1429.5298829084197</v>
      </c>
      <c r="D485" s="43">
        <v>427</v>
      </c>
      <c r="E485" s="47">
        <v>40.150117097503909</v>
      </c>
      <c r="F485" s="43">
        <v>427</v>
      </c>
      <c r="G485" s="47">
        <v>1296.6105423705019</v>
      </c>
    </row>
    <row r="486" spans="2:7" x14ac:dyDescent="0.3">
      <c r="B486" s="43">
        <v>428</v>
      </c>
      <c r="C486" s="47">
        <v>732.56386674121836</v>
      </c>
      <c r="D486" s="43">
        <v>428</v>
      </c>
      <c r="E486" s="47">
        <v>0.38580590376385904</v>
      </c>
      <c r="F486" s="43">
        <v>428</v>
      </c>
      <c r="G486" s="47">
        <v>803.46673163952141</v>
      </c>
    </row>
    <row r="487" spans="2:7" x14ac:dyDescent="0.3">
      <c r="B487" s="43">
        <v>429</v>
      </c>
      <c r="C487" s="47">
        <v>1253.3251785341422</v>
      </c>
      <c r="D487" s="43">
        <v>429</v>
      </c>
      <c r="E487" s="47">
        <v>-13.188488858227004</v>
      </c>
      <c r="F487" s="43">
        <v>429</v>
      </c>
      <c r="G487" s="47">
        <v>642.33143247518262</v>
      </c>
    </row>
    <row r="488" spans="2:7" x14ac:dyDescent="0.3">
      <c r="B488" s="43">
        <v>430</v>
      </c>
      <c r="C488" s="47">
        <v>980.75308560491192</v>
      </c>
      <c r="D488" s="43">
        <v>430</v>
      </c>
      <c r="E488" s="47">
        <v>28.981496004717833</v>
      </c>
      <c r="F488" s="43">
        <v>430</v>
      </c>
      <c r="G488" s="47">
        <v>690.96338970446016</v>
      </c>
    </row>
    <row r="489" spans="2:7" x14ac:dyDescent="0.3">
      <c r="B489" s="43">
        <v>431</v>
      </c>
      <c r="C489" s="47">
        <v>206.54825341727673</v>
      </c>
      <c r="D489" s="43">
        <v>431</v>
      </c>
      <c r="E489" s="47">
        <v>-16.516876012429428</v>
      </c>
      <c r="F489" s="43">
        <v>431</v>
      </c>
      <c r="G489" s="47">
        <v>1204.500004981031</v>
      </c>
    </row>
    <row r="490" spans="2:7" x14ac:dyDescent="0.3">
      <c r="B490" s="43">
        <v>432</v>
      </c>
      <c r="C490" s="47">
        <v>937.68114758601064</v>
      </c>
      <c r="D490" s="43">
        <v>432</v>
      </c>
      <c r="E490" s="47">
        <v>24.476616969373463</v>
      </c>
      <c r="F490" s="43">
        <v>432</v>
      </c>
      <c r="G490" s="47">
        <v>1019.7955962007412</v>
      </c>
    </row>
    <row r="491" spans="2:7" x14ac:dyDescent="0.3">
      <c r="B491" s="43">
        <v>433</v>
      </c>
      <c r="C491" s="47">
        <v>856.02611271119747</v>
      </c>
      <c r="D491" s="43">
        <v>433</v>
      </c>
      <c r="E491" s="47">
        <v>35.444286923004064</v>
      </c>
      <c r="F491" s="43">
        <v>433</v>
      </c>
      <c r="G491" s="47">
        <v>906.61159380484821</v>
      </c>
    </row>
    <row r="492" spans="2:7" x14ac:dyDescent="0.3">
      <c r="B492" s="43">
        <v>434</v>
      </c>
      <c r="C492" s="47">
        <v>980.14791076109543</v>
      </c>
      <c r="D492" s="43">
        <v>434</v>
      </c>
      <c r="E492" s="47">
        <v>12.325465637754528</v>
      </c>
      <c r="F492" s="43">
        <v>434</v>
      </c>
      <c r="G492" s="47">
        <v>280.2761812120682</v>
      </c>
    </row>
    <row r="493" spans="2:7" x14ac:dyDescent="0.3">
      <c r="B493" s="43">
        <v>435</v>
      </c>
      <c r="C493" s="47">
        <v>1230.6680743460129</v>
      </c>
      <c r="D493" s="43">
        <v>435</v>
      </c>
      <c r="E493" s="47">
        <v>10.138249549637859</v>
      </c>
      <c r="F493" s="43">
        <v>435</v>
      </c>
      <c r="G493" s="47">
        <v>881.79403319154449</v>
      </c>
    </row>
    <row r="494" spans="2:7" x14ac:dyDescent="0.3">
      <c r="B494" s="43">
        <v>436</v>
      </c>
      <c r="C494" s="47">
        <v>801.94949417284658</v>
      </c>
      <c r="D494" s="43">
        <v>436</v>
      </c>
      <c r="E494" s="47">
        <v>10.356576412992323</v>
      </c>
      <c r="F494" s="43">
        <v>436</v>
      </c>
      <c r="G494" s="47">
        <v>1226.8456388943519</v>
      </c>
    </row>
    <row r="495" spans="2:7" x14ac:dyDescent="0.3">
      <c r="B495" s="43">
        <v>437</v>
      </c>
      <c r="C495" s="47">
        <v>1293.826026811405</v>
      </c>
      <c r="D495" s="43">
        <v>437</v>
      </c>
      <c r="E495" s="47">
        <v>63.402809708116571</v>
      </c>
      <c r="F495" s="43">
        <v>437</v>
      </c>
      <c r="G495" s="47">
        <v>1326.1862137886537</v>
      </c>
    </row>
    <row r="496" spans="2:7" x14ac:dyDescent="0.3">
      <c r="B496" s="43">
        <v>438</v>
      </c>
      <c r="C496" s="47">
        <v>225.10990997732151</v>
      </c>
      <c r="D496" s="43">
        <v>438</v>
      </c>
      <c r="E496" s="47">
        <v>20.591421422373578</v>
      </c>
      <c r="F496" s="43">
        <v>438</v>
      </c>
      <c r="G496" s="47">
        <v>902.03027563766409</v>
      </c>
    </row>
    <row r="497" spans="2:7" x14ac:dyDescent="0.3">
      <c r="B497" s="43">
        <v>439</v>
      </c>
      <c r="C497" s="47">
        <v>1569.0933632041872</v>
      </c>
      <c r="D497" s="43">
        <v>439</v>
      </c>
      <c r="E497" s="47">
        <v>106.82559241940601</v>
      </c>
      <c r="F497" s="43">
        <v>439</v>
      </c>
      <c r="G497" s="47">
        <v>787.99366029175292</v>
      </c>
    </row>
    <row r="498" spans="2:7" x14ac:dyDescent="0.3">
      <c r="B498" s="43">
        <v>440</v>
      </c>
      <c r="C498" s="47">
        <v>1008.6855906059354</v>
      </c>
      <c r="D498" s="43">
        <v>440</v>
      </c>
      <c r="E498" s="47">
        <v>15.448874557472497</v>
      </c>
      <c r="F498" s="43">
        <v>440</v>
      </c>
      <c r="G498" s="47">
        <v>1233.4684135099419</v>
      </c>
    </row>
    <row r="499" spans="2:7" x14ac:dyDescent="0.3">
      <c r="B499" s="43">
        <v>441</v>
      </c>
      <c r="C499" s="47">
        <v>1337.2882951679351</v>
      </c>
      <c r="D499" s="43">
        <v>441</v>
      </c>
      <c r="E499" s="47">
        <v>-10.314371034206122</v>
      </c>
      <c r="F499" s="43">
        <v>441</v>
      </c>
      <c r="G499" s="47">
        <v>1505.6214457499807</v>
      </c>
    </row>
    <row r="500" spans="2:7" x14ac:dyDescent="0.3">
      <c r="B500" s="43">
        <v>442</v>
      </c>
      <c r="C500" s="47">
        <v>697.61319020345525</v>
      </c>
      <c r="D500" s="43">
        <v>442</v>
      </c>
      <c r="E500" s="47">
        <v>-1.4434373558606448</v>
      </c>
      <c r="F500" s="43">
        <v>442</v>
      </c>
      <c r="G500" s="47">
        <v>1214.8488180659269</v>
      </c>
    </row>
    <row r="501" spans="2:7" x14ac:dyDescent="0.3">
      <c r="B501" s="43">
        <v>443</v>
      </c>
      <c r="C501" s="47">
        <v>1132.2181326767527</v>
      </c>
      <c r="D501" s="43">
        <v>443</v>
      </c>
      <c r="E501" s="47">
        <v>-1.3626155085930298</v>
      </c>
      <c r="F501" s="43">
        <v>443</v>
      </c>
      <c r="G501" s="47">
        <v>1069.3819906627195</v>
      </c>
    </row>
    <row r="502" spans="2:7" x14ac:dyDescent="0.3">
      <c r="B502" s="43">
        <v>444</v>
      </c>
      <c r="C502" s="47">
        <v>828.55381080444693</v>
      </c>
      <c r="D502" s="43">
        <v>444</v>
      </c>
      <c r="E502" s="47">
        <v>-1.7140590068390751</v>
      </c>
      <c r="F502" s="43">
        <v>444</v>
      </c>
      <c r="G502" s="47">
        <v>791.35539928201729</v>
      </c>
    </row>
    <row r="503" spans="2:7" x14ac:dyDescent="0.3">
      <c r="B503" s="43">
        <v>445</v>
      </c>
      <c r="C503" s="47">
        <v>552.34320812128044</v>
      </c>
      <c r="D503" s="43">
        <v>445</v>
      </c>
      <c r="E503" s="47">
        <v>59.702124092538341</v>
      </c>
      <c r="F503" s="43">
        <v>445</v>
      </c>
      <c r="G503" s="47">
        <v>693.079703791577</v>
      </c>
    </row>
    <row r="504" spans="2:7" x14ac:dyDescent="0.3">
      <c r="B504" s="43">
        <v>446</v>
      </c>
      <c r="C504" s="47">
        <v>1255.1690915672596</v>
      </c>
      <c r="D504" s="43">
        <v>446</v>
      </c>
      <c r="E504" s="47">
        <v>-22.415467847964088</v>
      </c>
      <c r="F504" s="43">
        <v>446</v>
      </c>
      <c r="G504" s="47">
        <v>765.81621373191672</v>
      </c>
    </row>
    <row r="505" spans="2:7" x14ac:dyDescent="0.3">
      <c r="B505" s="43">
        <v>447</v>
      </c>
      <c r="C505" s="47">
        <v>927.93314790402053</v>
      </c>
      <c r="D505" s="43">
        <v>447</v>
      </c>
      <c r="E505" s="47">
        <v>-11.125776807554509</v>
      </c>
      <c r="F505" s="43">
        <v>447</v>
      </c>
      <c r="G505" s="47">
        <v>1113.1739505174519</v>
      </c>
    </row>
    <row r="506" spans="2:7" x14ac:dyDescent="0.3">
      <c r="B506" s="43">
        <v>448</v>
      </c>
      <c r="C506" s="47">
        <v>838.7723486853331</v>
      </c>
      <c r="D506" s="43">
        <v>448</v>
      </c>
      <c r="E506" s="47">
        <v>3.1489224621566763</v>
      </c>
      <c r="F506" s="43">
        <v>448</v>
      </c>
      <c r="G506" s="47">
        <v>442.60879066260105</v>
      </c>
    </row>
    <row r="507" spans="2:7" x14ac:dyDescent="0.3">
      <c r="B507" s="43">
        <v>449</v>
      </c>
      <c r="C507" s="47">
        <v>956.10051141692236</v>
      </c>
      <c r="D507" s="43">
        <v>449</v>
      </c>
      <c r="E507" s="47">
        <v>-32.677526565465641</v>
      </c>
      <c r="F507" s="43">
        <v>449</v>
      </c>
      <c r="G507" s="47">
        <v>1381.6930704263445</v>
      </c>
    </row>
    <row r="508" spans="2:7" x14ac:dyDescent="0.3">
      <c r="B508" s="43">
        <v>450</v>
      </c>
      <c r="C508" s="47">
        <v>1106.7229161724404</v>
      </c>
      <c r="D508" s="43">
        <v>450</v>
      </c>
      <c r="E508" s="47">
        <v>24.285419284001346</v>
      </c>
      <c r="F508" s="43">
        <v>450</v>
      </c>
      <c r="G508" s="47">
        <v>573.96044575534142</v>
      </c>
    </row>
    <row r="509" spans="2:7" x14ac:dyDescent="0.3">
      <c r="B509" s="43">
        <v>451</v>
      </c>
      <c r="C509" s="47">
        <v>783.16611163368157</v>
      </c>
      <c r="D509" s="43">
        <v>451</v>
      </c>
      <c r="E509" s="47">
        <v>1.3915874834989028</v>
      </c>
      <c r="F509" s="43">
        <v>451</v>
      </c>
      <c r="G509" s="47">
        <v>874.21217997338408</v>
      </c>
    </row>
    <row r="510" spans="2:7" x14ac:dyDescent="0.3">
      <c r="B510" s="43">
        <v>452</v>
      </c>
      <c r="C510" s="47">
        <v>723.34286873799397</v>
      </c>
      <c r="D510" s="43">
        <v>452</v>
      </c>
      <c r="E510" s="47">
        <v>-9.6584807133300377</v>
      </c>
      <c r="F510" s="43">
        <v>452</v>
      </c>
      <c r="G510" s="47">
        <v>522.25997546101109</v>
      </c>
    </row>
    <row r="511" spans="2:7" x14ac:dyDescent="0.3">
      <c r="B511" s="43">
        <v>453</v>
      </c>
      <c r="C511" s="47">
        <v>1103.2742513592946</v>
      </c>
      <c r="D511" s="43">
        <v>453</v>
      </c>
      <c r="E511" s="47">
        <v>-3.8421554829295572</v>
      </c>
      <c r="F511" s="43">
        <v>453</v>
      </c>
      <c r="G511" s="47">
        <v>896.20630461533585</v>
      </c>
    </row>
    <row r="512" spans="2:7" x14ac:dyDescent="0.3">
      <c r="B512" s="43">
        <v>454</v>
      </c>
      <c r="C512" s="47">
        <v>-130.99821768262925</v>
      </c>
      <c r="D512" s="43">
        <v>454</v>
      </c>
      <c r="E512" s="47">
        <v>-6.6091029684541853</v>
      </c>
      <c r="F512" s="43">
        <v>454</v>
      </c>
      <c r="G512" s="47">
        <v>1105.7607523030747</v>
      </c>
    </row>
    <row r="513" spans="2:7" x14ac:dyDescent="0.3">
      <c r="B513" s="43">
        <v>455</v>
      </c>
      <c r="C513" s="47">
        <v>439.35876717223448</v>
      </c>
      <c r="D513" s="43">
        <v>455</v>
      </c>
      <c r="E513" s="47">
        <v>13.954166900322932</v>
      </c>
      <c r="F513" s="43">
        <v>455</v>
      </c>
      <c r="G513" s="47">
        <v>1416.1158380196373</v>
      </c>
    </row>
    <row r="514" spans="2:7" x14ac:dyDescent="0.3">
      <c r="B514" s="43">
        <v>456</v>
      </c>
      <c r="C514" s="47">
        <v>992.39618519197359</v>
      </c>
      <c r="D514" s="43">
        <v>456</v>
      </c>
      <c r="E514" s="47">
        <v>-5.4985514620806217</v>
      </c>
      <c r="F514" s="43">
        <v>456</v>
      </c>
      <c r="G514" s="47">
        <v>971.44977479945373</v>
      </c>
    </row>
    <row r="515" spans="2:7" x14ac:dyDescent="0.3">
      <c r="B515" s="43">
        <v>457</v>
      </c>
      <c r="C515" s="47">
        <v>1109.2917137876727</v>
      </c>
      <c r="D515" s="43">
        <v>457</v>
      </c>
      <c r="E515" s="47">
        <v>42.094930326104766</v>
      </c>
      <c r="F515" s="43">
        <v>457</v>
      </c>
      <c r="G515" s="47">
        <v>912.63456340279515</v>
      </c>
    </row>
    <row r="516" spans="2:7" x14ac:dyDescent="0.3">
      <c r="B516" s="43">
        <v>458</v>
      </c>
      <c r="C516" s="47">
        <v>989.48072164453333</v>
      </c>
      <c r="D516" s="43">
        <v>458</v>
      </c>
      <c r="E516" s="47">
        <v>-29.904177122577703</v>
      </c>
      <c r="F516" s="43">
        <v>458</v>
      </c>
      <c r="G516" s="47">
        <v>1656.6085292582229</v>
      </c>
    </row>
    <row r="517" spans="2:7" x14ac:dyDescent="0.3">
      <c r="B517" s="43">
        <v>459</v>
      </c>
      <c r="C517" s="47">
        <v>1573.4904674002378</v>
      </c>
      <c r="D517" s="43">
        <v>459</v>
      </c>
      <c r="E517" s="47">
        <v>42.514707506044729</v>
      </c>
      <c r="F517" s="43">
        <v>459</v>
      </c>
      <c r="G517" s="47">
        <v>1175.3317720598311</v>
      </c>
    </row>
    <row r="518" spans="2:7" x14ac:dyDescent="0.3">
      <c r="B518" s="43">
        <v>460</v>
      </c>
      <c r="C518" s="47">
        <v>1185.8802373749506</v>
      </c>
      <c r="D518" s="43">
        <v>460</v>
      </c>
      <c r="E518" s="47">
        <v>18.378750337119786</v>
      </c>
      <c r="F518" s="43">
        <v>460</v>
      </c>
      <c r="G518" s="47">
        <v>910.25011775584824</v>
      </c>
    </row>
    <row r="519" spans="2:7" x14ac:dyDescent="0.3">
      <c r="B519" s="43">
        <v>461</v>
      </c>
      <c r="C519" s="47">
        <v>1445.1865767716258</v>
      </c>
      <c r="D519" s="43">
        <v>461</v>
      </c>
      <c r="E519" s="47">
        <v>-8.0044986629700023</v>
      </c>
      <c r="F519" s="43">
        <v>461</v>
      </c>
      <c r="G519" s="47">
        <v>882.46284704973209</v>
      </c>
    </row>
    <row r="520" spans="2:7" x14ac:dyDescent="0.3">
      <c r="B520" s="43">
        <v>462</v>
      </c>
      <c r="C520" s="47">
        <v>890.06951016191942</v>
      </c>
      <c r="D520" s="43">
        <v>462</v>
      </c>
      <c r="E520" s="47">
        <v>12.933444583464071</v>
      </c>
      <c r="F520" s="43">
        <v>462</v>
      </c>
      <c r="G520" s="47">
        <v>939.99899729498543</v>
      </c>
    </row>
    <row r="521" spans="2:7" x14ac:dyDescent="0.3">
      <c r="B521" s="43">
        <v>463</v>
      </c>
      <c r="C521" s="47">
        <v>914.13727867706052</v>
      </c>
      <c r="D521" s="43">
        <v>463</v>
      </c>
      <c r="E521" s="47">
        <v>-1.9643353316715779</v>
      </c>
      <c r="F521" s="43">
        <v>463</v>
      </c>
      <c r="G521" s="47">
        <v>943.10928582067822</v>
      </c>
    </row>
    <row r="522" spans="2:7" x14ac:dyDescent="0.3">
      <c r="B522" s="43">
        <v>464</v>
      </c>
      <c r="C522" s="47">
        <v>960.20588210600931</v>
      </c>
      <c r="D522" s="43">
        <v>464</v>
      </c>
      <c r="E522" s="47">
        <v>-3.3851758236986553</v>
      </c>
      <c r="F522" s="43">
        <v>464</v>
      </c>
      <c r="G522" s="47">
        <v>955.97682557695828</v>
      </c>
    </row>
    <row r="523" spans="2:7" x14ac:dyDescent="0.3">
      <c r="B523" s="43">
        <v>465</v>
      </c>
      <c r="C523" s="47">
        <v>1176.235549677604</v>
      </c>
      <c r="D523" s="43">
        <v>465</v>
      </c>
      <c r="E523" s="47">
        <v>7.3722969119327377</v>
      </c>
      <c r="F523" s="43">
        <v>465</v>
      </c>
      <c r="G523" s="47">
        <v>962.5418620168042</v>
      </c>
    </row>
    <row r="524" spans="2:7" x14ac:dyDescent="0.3">
      <c r="B524" s="43">
        <v>466</v>
      </c>
      <c r="C524" s="47">
        <v>590.95326915501209</v>
      </c>
      <c r="D524" s="43">
        <v>466</v>
      </c>
      <c r="E524" s="47">
        <v>-8.2436516468848371</v>
      </c>
      <c r="F524" s="43">
        <v>466</v>
      </c>
      <c r="G524" s="47">
        <v>1433.2781810175461</v>
      </c>
    </row>
    <row r="525" spans="2:7" x14ac:dyDescent="0.3">
      <c r="B525" s="43">
        <v>467</v>
      </c>
      <c r="C525" s="47">
        <v>863.896339727439</v>
      </c>
      <c r="D525" s="43">
        <v>467</v>
      </c>
      <c r="E525" s="47">
        <v>19.620379744003692</v>
      </c>
      <c r="F525" s="43">
        <v>467</v>
      </c>
      <c r="G525" s="47">
        <v>785.09117259359834</v>
      </c>
    </row>
    <row r="526" spans="2:7" x14ac:dyDescent="0.3">
      <c r="B526" s="43">
        <v>468</v>
      </c>
      <c r="C526" s="47">
        <v>505.50082442306774</v>
      </c>
      <c r="D526" s="43">
        <v>468</v>
      </c>
      <c r="E526" s="47">
        <v>-5.1176106808249404</v>
      </c>
      <c r="F526" s="43">
        <v>468</v>
      </c>
      <c r="G526" s="47">
        <v>592.46830345998387</v>
      </c>
    </row>
    <row r="527" spans="2:7" x14ac:dyDescent="0.3">
      <c r="B527" s="43">
        <v>469</v>
      </c>
      <c r="C527" s="47">
        <v>1272.9770619010608</v>
      </c>
      <c r="D527" s="43">
        <v>469</v>
      </c>
      <c r="E527" s="47">
        <v>72.900161303945723</v>
      </c>
      <c r="F527" s="43">
        <v>469</v>
      </c>
      <c r="G527" s="47">
        <v>839.06219101940258</v>
      </c>
    </row>
    <row r="528" spans="2:7" x14ac:dyDescent="0.3">
      <c r="B528" s="43">
        <v>470</v>
      </c>
      <c r="C528" s="47">
        <v>1106.8127475647893</v>
      </c>
      <c r="D528" s="43">
        <v>470</v>
      </c>
      <c r="E528" s="47">
        <v>-18.93268424570994</v>
      </c>
      <c r="F528" s="43">
        <v>470</v>
      </c>
      <c r="G528" s="47">
        <v>1113.1237636216665</v>
      </c>
    </row>
    <row r="529" spans="2:7" x14ac:dyDescent="0.3">
      <c r="B529" s="43">
        <v>471</v>
      </c>
      <c r="C529" s="47">
        <v>607.21277390854448</v>
      </c>
      <c r="D529" s="43">
        <v>471</v>
      </c>
      <c r="E529" s="47">
        <v>10.757678138415208</v>
      </c>
      <c r="F529" s="43">
        <v>471</v>
      </c>
      <c r="G529" s="47">
        <v>885.72481943207163</v>
      </c>
    </row>
    <row r="530" spans="2:7" x14ac:dyDescent="0.3">
      <c r="B530" s="43">
        <v>472</v>
      </c>
      <c r="C530" s="47">
        <v>1283.3467263914276</v>
      </c>
      <c r="D530" s="43">
        <v>472</v>
      </c>
      <c r="E530" s="47">
        <v>21.236320649505174</v>
      </c>
      <c r="F530" s="43">
        <v>472</v>
      </c>
      <c r="G530" s="47">
        <v>864.62479146670375</v>
      </c>
    </row>
    <row r="531" spans="2:7" x14ac:dyDescent="0.3">
      <c r="B531" s="43">
        <v>473</v>
      </c>
      <c r="C531" s="47">
        <v>851.56010151419105</v>
      </c>
      <c r="D531" s="43">
        <v>473</v>
      </c>
      <c r="E531" s="47">
        <v>-9.671289985390251</v>
      </c>
      <c r="F531" s="43">
        <v>473</v>
      </c>
      <c r="G531" s="47">
        <v>1050.7561480237275</v>
      </c>
    </row>
    <row r="532" spans="2:7" x14ac:dyDescent="0.3">
      <c r="B532" s="43">
        <v>474</v>
      </c>
      <c r="C532" s="47">
        <v>782.94057202485146</v>
      </c>
      <c r="D532" s="43">
        <v>474</v>
      </c>
      <c r="E532" s="47">
        <v>-12.773181085269082</v>
      </c>
      <c r="F532" s="43">
        <v>474</v>
      </c>
      <c r="G532" s="47">
        <v>649.79503968539461</v>
      </c>
    </row>
    <row r="533" spans="2:7" x14ac:dyDescent="0.3">
      <c r="B533" s="43">
        <v>475</v>
      </c>
      <c r="C533" s="47">
        <v>1027.7414522113179</v>
      </c>
      <c r="D533" s="43">
        <v>475</v>
      </c>
      <c r="E533" s="47">
        <v>-7.0385127228651099</v>
      </c>
      <c r="F533" s="43">
        <v>475</v>
      </c>
      <c r="G533" s="47">
        <v>842.82200923095229</v>
      </c>
    </row>
    <row r="534" spans="2:7" x14ac:dyDescent="0.3">
      <c r="B534" s="43">
        <v>476</v>
      </c>
      <c r="C534" s="47">
        <v>993.10944795364253</v>
      </c>
      <c r="D534" s="43">
        <v>476</v>
      </c>
      <c r="E534" s="47">
        <v>-18.676101047990134</v>
      </c>
      <c r="F534" s="43">
        <v>476</v>
      </c>
      <c r="G534" s="47">
        <v>1104.2803691675292</v>
      </c>
    </row>
    <row r="535" spans="2:7" x14ac:dyDescent="0.3">
      <c r="B535" s="43">
        <v>477</v>
      </c>
      <c r="C535" s="47">
        <v>969.13244559828581</v>
      </c>
      <c r="D535" s="43">
        <v>477</v>
      </c>
      <c r="E535" s="47">
        <v>36.016125401406448</v>
      </c>
      <c r="F535" s="43">
        <v>477</v>
      </c>
      <c r="G535" s="47">
        <v>1006.7377768326423</v>
      </c>
    </row>
    <row r="536" spans="2:7" x14ac:dyDescent="0.3">
      <c r="B536" s="43">
        <v>478</v>
      </c>
      <c r="C536" s="47">
        <v>604.2513176320972</v>
      </c>
      <c r="D536" s="43">
        <v>478</v>
      </c>
      <c r="E536" s="47">
        <v>-11.934161486225682</v>
      </c>
      <c r="F536" s="43">
        <v>478</v>
      </c>
      <c r="G536" s="47">
        <v>833.63358294334921</v>
      </c>
    </row>
    <row r="537" spans="2:7" x14ac:dyDescent="0.3">
      <c r="B537" s="43">
        <v>479</v>
      </c>
      <c r="C537" s="47">
        <v>785.65635156702615</v>
      </c>
      <c r="D537" s="43">
        <v>479</v>
      </c>
      <c r="E537" s="47">
        <v>8.6306167209315099</v>
      </c>
      <c r="F537" s="43">
        <v>479</v>
      </c>
      <c r="G537" s="47">
        <v>747.75181670678978</v>
      </c>
    </row>
    <row r="538" spans="2:7" x14ac:dyDescent="0.3">
      <c r="B538" s="43">
        <v>480</v>
      </c>
      <c r="C538" s="47">
        <v>901.23107950428732</v>
      </c>
      <c r="D538" s="43">
        <v>480</v>
      </c>
      <c r="E538" s="47">
        <v>-18.492303943723424</v>
      </c>
      <c r="F538" s="43">
        <v>480</v>
      </c>
      <c r="G538" s="47">
        <v>722.63037883497896</v>
      </c>
    </row>
    <row r="539" spans="2:7" x14ac:dyDescent="0.3">
      <c r="B539" s="43">
        <v>481</v>
      </c>
      <c r="C539" s="47">
        <v>1068.1188201100936</v>
      </c>
      <c r="D539" s="43">
        <v>481</v>
      </c>
      <c r="E539" s="47">
        <v>-3.5874376192608701</v>
      </c>
      <c r="F539" s="43">
        <v>481</v>
      </c>
      <c r="G539" s="47">
        <v>1343.9850365444761</v>
      </c>
    </row>
    <row r="540" spans="2:7" x14ac:dyDescent="0.3">
      <c r="B540" s="43">
        <v>482</v>
      </c>
      <c r="C540" s="47">
        <v>1131.2817545571559</v>
      </c>
      <c r="D540" s="43">
        <v>482</v>
      </c>
      <c r="E540" s="47">
        <v>-33.548017462754451</v>
      </c>
      <c r="F540" s="43">
        <v>482</v>
      </c>
      <c r="G540" s="47">
        <v>1128.2137727848396</v>
      </c>
    </row>
    <row r="541" spans="2:7" x14ac:dyDescent="0.3">
      <c r="B541" s="43">
        <v>483</v>
      </c>
      <c r="C541" s="47">
        <v>1281.7215020073338</v>
      </c>
      <c r="D541" s="43">
        <v>483</v>
      </c>
      <c r="E541" s="47">
        <v>14.216155909717006</v>
      </c>
      <c r="F541" s="43">
        <v>483</v>
      </c>
      <c r="G541" s="47">
        <v>1429.0827768975473</v>
      </c>
    </row>
    <row r="542" spans="2:7" x14ac:dyDescent="0.3">
      <c r="B542" s="43">
        <v>484</v>
      </c>
      <c r="C542" s="47">
        <v>1126.1546425977958</v>
      </c>
      <c r="D542" s="43">
        <v>484</v>
      </c>
      <c r="E542" s="47">
        <v>9.6532222039468607</v>
      </c>
      <c r="F542" s="43">
        <v>484</v>
      </c>
      <c r="G542" s="47">
        <v>1078.3557981307142</v>
      </c>
    </row>
    <row r="543" spans="2:7" x14ac:dyDescent="0.3">
      <c r="B543" s="43">
        <v>485</v>
      </c>
      <c r="C543" s="47">
        <v>658.18351465133333</v>
      </c>
      <c r="D543" s="43">
        <v>485</v>
      </c>
      <c r="E543" s="47">
        <v>-13.788625562567191</v>
      </c>
      <c r="F543" s="43">
        <v>485</v>
      </c>
      <c r="G543" s="47">
        <v>937.73572388688012</v>
      </c>
    </row>
    <row r="544" spans="2:7" x14ac:dyDescent="0.3">
      <c r="B544" s="43">
        <v>486</v>
      </c>
      <c r="C544" s="47">
        <v>832.70597030947158</v>
      </c>
      <c r="D544" s="43">
        <v>486</v>
      </c>
      <c r="E544" s="47">
        <v>56.811643961974859</v>
      </c>
      <c r="F544" s="43">
        <v>486</v>
      </c>
      <c r="G544" s="47">
        <v>1099.9171124347374</v>
      </c>
    </row>
    <row r="545" spans="2:7" x14ac:dyDescent="0.3">
      <c r="B545" s="43">
        <v>487</v>
      </c>
      <c r="C545" s="47">
        <v>1087.8477461806583</v>
      </c>
      <c r="D545" s="43">
        <v>487</v>
      </c>
      <c r="E545" s="47">
        <v>-8.1384112704394447</v>
      </c>
      <c r="F545" s="43">
        <v>487</v>
      </c>
      <c r="G545" s="47">
        <v>617.5515129393915</v>
      </c>
    </row>
    <row r="546" spans="2:7" x14ac:dyDescent="0.3">
      <c r="B546" s="43">
        <v>488</v>
      </c>
      <c r="C546" s="47">
        <v>1057.6678580961427</v>
      </c>
      <c r="D546" s="43">
        <v>488</v>
      </c>
      <c r="E546" s="47">
        <v>11.148683830714706</v>
      </c>
      <c r="F546" s="43">
        <v>488</v>
      </c>
      <c r="G546" s="47">
        <v>977.69236851768369</v>
      </c>
    </row>
    <row r="547" spans="2:7" x14ac:dyDescent="0.3">
      <c r="B547" s="43">
        <v>489</v>
      </c>
      <c r="C547" s="47">
        <v>717.97330257654778</v>
      </c>
      <c r="D547" s="43">
        <v>489</v>
      </c>
      <c r="E547" s="47">
        <v>-18.850482029296746</v>
      </c>
      <c r="F547" s="43">
        <v>489</v>
      </c>
      <c r="G547" s="47">
        <v>891.5465243479988</v>
      </c>
    </row>
    <row r="548" spans="2:7" x14ac:dyDescent="0.3">
      <c r="B548" s="43">
        <v>490</v>
      </c>
      <c r="C548" s="47">
        <v>790.20595061724725</v>
      </c>
      <c r="D548" s="43">
        <v>490</v>
      </c>
      <c r="E548" s="47">
        <v>33.423385802605345</v>
      </c>
      <c r="F548" s="43">
        <v>490</v>
      </c>
      <c r="G548" s="47">
        <v>247.99096281813013</v>
      </c>
    </row>
    <row r="549" spans="2:7" x14ac:dyDescent="0.3">
      <c r="B549" s="43">
        <v>491</v>
      </c>
      <c r="C549" s="47">
        <v>1179.3302207752868</v>
      </c>
      <c r="D549" s="43">
        <v>491</v>
      </c>
      <c r="E549" s="47">
        <v>17.654857581610237</v>
      </c>
      <c r="F549" s="43">
        <v>491</v>
      </c>
      <c r="G549" s="47">
        <v>1355.3076232721442</v>
      </c>
    </row>
    <row r="550" spans="2:7" x14ac:dyDescent="0.3">
      <c r="B550" s="43">
        <v>492</v>
      </c>
      <c r="C550" s="47">
        <v>849.38704026944947</v>
      </c>
      <c r="D550" s="43">
        <v>492</v>
      </c>
      <c r="E550" s="47">
        <v>30.297604718313629</v>
      </c>
      <c r="F550" s="43">
        <v>492</v>
      </c>
      <c r="G550" s="47">
        <v>1139.7069137069102</v>
      </c>
    </row>
    <row r="551" spans="2:7" x14ac:dyDescent="0.3">
      <c r="B551" s="43">
        <v>493</v>
      </c>
      <c r="C551" s="47">
        <v>1173.0025987456286</v>
      </c>
      <c r="D551" s="43">
        <v>493</v>
      </c>
      <c r="E551" s="47">
        <v>32.821669307764957</v>
      </c>
      <c r="F551" s="43">
        <v>493</v>
      </c>
      <c r="G551" s="47">
        <v>1553.0684779791075</v>
      </c>
    </row>
    <row r="552" spans="2:7" x14ac:dyDescent="0.3">
      <c r="B552" s="43">
        <v>494</v>
      </c>
      <c r="C552" s="47">
        <v>1178.8231927747033</v>
      </c>
      <c r="D552" s="43">
        <v>494</v>
      </c>
      <c r="E552" s="47">
        <v>6.7512847379495371</v>
      </c>
      <c r="F552" s="43">
        <v>494</v>
      </c>
      <c r="G552" s="47">
        <v>201.87502694793258</v>
      </c>
    </row>
    <row r="553" spans="2:7" x14ac:dyDescent="0.3">
      <c r="B553" s="43">
        <v>495</v>
      </c>
      <c r="C553" s="47">
        <v>1324.6357058382637</v>
      </c>
      <c r="D553" s="43">
        <v>495</v>
      </c>
      <c r="E553" s="47">
        <v>41.87637685210953</v>
      </c>
      <c r="F553" s="43">
        <v>495</v>
      </c>
      <c r="G553" s="47">
        <v>1418.1619317997699</v>
      </c>
    </row>
    <row r="554" spans="2:7" x14ac:dyDescent="0.3">
      <c r="B554" s="43">
        <v>496</v>
      </c>
      <c r="C554" s="47">
        <v>665.31520779471032</v>
      </c>
      <c r="D554" s="43">
        <v>496</v>
      </c>
      <c r="E554" s="47">
        <v>3.5551345572163227</v>
      </c>
      <c r="F554" s="43">
        <v>496</v>
      </c>
      <c r="G554" s="47">
        <v>1180.2318942296856</v>
      </c>
    </row>
    <row r="555" spans="2:7" x14ac:dyDescent="0.3">
      <c r="B555" s="43">
        <v>497</v>
      </c>
      <c r="C555" s="47">
        <v>827.88236234506383</v>
      </c>
      <c r="D555" s="43">
        <v>497</v>
      </c>
      <c r="E555" s="47">
        <v>39.524070549628433</v>
      </c>
      <c r="F555" s="43">
        <v>497</v>
      </c>
      <c r="G555" s="47">
        <v>1055.111498924399</v>
      </c>
    </row>
    <row r="556" spans="2:7" x14ac:dyDescent="0.3">
      <c r="B556" s="43">
        <v>498</v>
      </c>
      <c r="C556" s="47">
        <v>783.26831414291087</v>
      </c>
      <c r="D556" s="43">
        <v>498</v>
      </c>
      <c r="E556" s="47">
        <v>-27.90008110326492</v>
      </c>
      <c r="F556" s="43">
        <v>498</v>
      </c>
      <c r="G556" s="47">
        <v>1043.9964977068771</v>
      </c>
    </row>
    <row r="557" spans="2:7" x14ac:dyDescent="0.3">
      <c r="B557" s="43">
        <v>499</v>
      </c>
      <c r="C557" s="47">
        <v>584.5064136699051</v>
      </c>
      <c r="D557" s="43">
        <v>499</v>
      </c>
      <c r="E557" s="47">
        <v>57.660970424680031</v>
      </c>
      <c r="F557" s="43">
        <v>499</v>
      </c>
      <c r="G557" s="47">
        <v>828.00645740816799</v>
      </c>
    </row>
    <row r="558" spans="2:7" x14ac:dyDescent="0.3">
      <c r="B558" s="43">
        <v>500</v>
      </c>
      <c r="C558" s="47">
        <v>725.91328673970224</v>
      </c>
      <c r="D558" s="43">
        <v>500</v>
      </c>
      <c r="E558" s="47">
        <v>-18.697509193178441</v>
      </c>
      <c r="F558" s="43">
        <v>500</v>
      </c>
      <c r="G558" s="47">
        <v>1503.095873317289</v>
      </c>
    </row>
  </sheetData>
  <mergeCells count="113">
    <mergeCell ref="C1:G1"/>
    <mergeCell ref="C2:D2"/>
    <mergeCell ref="E2:F2"/>
    <mergeCell ref="C3:D3"/>
    <mergeCell ref="C4:D4"/>
    <mergeCell ref="C6:D6"/>
    <mergeCell ref="E3:F3"/>
    <mergeCell ref="E4:F4"/>
    <mergeCell ref="E6:F6"/>
    <mergeCell ref="C5:D5"/>
    <mergeCell ref="E5:F5"/>
    <mergeCell ref="C7:D7"/>
    <mergeCell ref="C8:D8"/>
    <mergeCell ref="C13:D13"/>
    <mergeCell ref="E13:F13"/>
    <mergeCell ref="E14:F14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C15:D15"/>
    <mergeCell ref="C14:D14"/>
    <mergeCell ref="E15:F15"/>
    <mergeCell ref="E16:F16"/>
    <mergeCell ref="C16:D16"/>
    <mergeCell ref="C17:D17"/>
    <mergeCell ref="E17:F17"/>
    <mergeCell ref="C18:D18"/>
    <mergeCell ref="E18:F18"/>
    <mergeCell ref="E29:F29"/>
    <mergeCell ref="E30:F30"/>
    <mergeCell ref="E32:F32"/>
    <mergeCell ref="E33:F33"/>
    <mergeCell ref="E22:F22"/>
    <mergeCell ref="E21:F21"/>
    <mergeCell ref="C26:D26"/>
    <mergeCell ref="C27:D27"/>
    <mergeCell ref="E26:F26"/>
    <mergeCell ref="E27:F27"/>
    <mergeCell ref="C28:D28"/>
    <mergeCell ref="E28:F28"/>
    <mergeCell ref="C20:D20"/>
    <mergeCell ref="C21:D21"/>
    <mergeCell ref="C25:D25"/>
    <mergeCell ref="C24:D24"/>
    <mergeCell ref="C22:D22"/>
    <mergeCell ref="E20:F20"/>
    <mergeCell ref="E25:F25"/>
    <mergeCell ref="E24:F24"/>
    <mergeCell ref="C23:D23"/>
    <mergeCell ref="E23:F23"/>
    <mergeCell ref="E58:F58"/>
    <mergeCell ref="E57:F57"/>
    <mergeCell ref="E56:F56"/>
    <mergeCell ref="E55:F55"/>
    <mergeCell ref="E54:F54"/>
    <mergeCell ref="C37:D37"/>
    <mergeCell ref="C40:D40"/>
    <mergeCell ref="E40:F40"/>
    <mergeCell ref="C42:D42"/>
    <mergeCell ref="E42:F42"/>
    <mergeCell ref="C44:D44"/>
    <mergeCell ref="E44:F44"/>
    <mergeCell ref="C58:D58"/>
    <mergeCell ref="C57:D57"/>
    <mergeCell ref="C47:D47"/>
    <mergeCell ref="C48:D48"/>
    <mergeCell ref="C49:D49"/>
    <mergeCell ref="C50:D50"/>
    <mergeCell ref="E39:F39"/>
    <mergeCell ref="C19:G19"/>
    <mergeCell ref="C52:D52"/>
    <mergeCell ref="C53:D53"/>
    <mergeCell ref="C54:D54"/>
    <mergeCell ref="C46:D46"/>
    <mergeCell ref="E53:F53"/>
    <mergeCell ref="E52:F52"/>
    <mergeCell ref="E51:F51"/>
    <mergeCell ref="E47:F47"/>
    <mergeCell ref="E48:F48"/>
    <mergeCell ref="E49:F49"/>
    <mergeCell ref="E50:F50"/>
    <mergeCell ref="C45:D45"/>
    <mergeCell ref="E45:F45"/>
    <mergeCell ref="E46:F46"/>
    <mergeCell ref="C34:D34"/>
    <mergeCell ref="C36:D36"/>
    <mergeCell ref="E34:F34"/>
    <mergeCell ref="C29:D29"/>
    <mergeCell ref="C32:D32"/>
    <mergeCell ref="C30:D30"/>
    <mergeCell ref="C33:D33"/>
    <mergeCell ref="A31:G31"/>
    <mergeCell ref="G28:H28"/>
    <mergeCell ref="E35:F35"/>
    <mergeCell ref="E36:F36"/>
    <mergeCell ref="E37:F37"/>
    <mergeCell ref="C39:D39"/>
    <mergeCell ref="C38:D38"/>
    <mergeCell ref="E38:F38"/>
    <mergeCell ref="C51:D51"/>
    <mergeCell ref="C55:D55"/>
    <mergeCell ref="C56:D56"/>
    <mergeCell ref="C43:D43"/>
    <mergeCell ref="E43:F43"/>
    <mergeCell ref="B41:G41"/>
    <mergeCell ref="C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3"/>
  <sheetViews>
    <sheetView workbookViewId="0">
      <selection activeCell="B1" sqref="B1:E1"/>
    </sheetView>
  </sheetViews>
  <sheetFormatPr defaultRowHeight="14.4" x14ac:dyDescent="0.3"/>
  <cols>
    <col min="1" max="1" width="39.21875" customWidth="1"/>
    <col min="2" max="2" width="4.77734375" customWidth="1"/>
    <col min="3" max="3" width="13.109375" customWidth="1"/>
    <col min="4" max="4" width="3.77734375" customWidth="1"/>
    <col min="5" max="5" width="12.5546875" bestFit="1" customWidth="1"/>
  </cols>
  <sheetData>
    <row r="1" spans="1:12" x14ac:dyDescent="0.3">
      <c r="B1" s="90" t="s">
        <v>88</v>
      </c>
      <c r="C1" s="90"/>
      <c r="D1" s="90"/>
      <c r="E1" s="90"/>
    </row>
    <row r="2" spans="1:12" x14ac:dyDescent="0.3">
      <c r="A2" s="2" t="s">
        <v>51</v>
      </c>
      <c r="B2" s="94" t="s">
        <v>99</v>
      </c>
      <c r="C2" s="94"/>
      <c r="D2" s="94" t="s">
        <v>100</v>
      </c>
      <c r="E2" s="94"/>
    </row>
    <row r="3" spans="1:12" x14ac:dyDescent="0.3">
      <c r="A3" t="s">
        <v>14</v>
      </c>
      <c r="C3" s="46">
        <f>[1]All!$L$9*L18</f>
        <v>0.47075992100718467</v>
      </c>
      <c r="D3" s="89">
        <f>[1]All!$L$10*L18</f>
        <v>0.68136304356303046</v>
      </c>
      <c r="E3" s="89"/>
    </row>
    <row r="4" spans="1:12" x14ac:dyDescent="0.3">
      <c r="A4" t="s">
        <v>15</v>
      </c>
      <c r="C4" s="47">
        <f>[2]prod_herd_data!J17</f>
        <v>367.30829304581511</v>
      </c>
      <c r="D4" s="88">
        <f>[2]prod_herd_data!J18</f>
        <v>1424.0802472278533</v>
      </c>
      <c r="E4" s="88"/>
    </row>
    <row r="5" spans="1:12" x14ac:dyDescent="0.3">
      <c r="A5" t="str">
        <f>Dairy_Income_Roadmap!A5</f>
        <v>Fraction cows to total herd</v>
      </c>
      <c r="C5" s="78">
        <f>[1]All!$I$9</f>
        <v>0.40200000000000002</v>
      </c>
      <c r="D5" s="89">
        <f>[1]All!$I$10</f>
        <v>0.51839999999999997</v>
      </c>
      <c r="E5" s="89"/>
    </row>
    <row r="6" spans="1:12" x14ac:dyDescent="0.3">
      <c r="A6" t="s">
        <v>4</v>
      </c>
      <c r="C6" s="47">
        <f>C4*C3</f>
        <v>172.91402301953175</v>
      </c>
      <c r="D6" s="88">
        <f>D4*D3</f>
        <v>970.31565152916301</v>
      </c>
      <c r="E6" s="88"/>
    </row>
    <row r="7" spans="1:12" x14ac:dyDescent="0.3">
      <c r="C7" s="43"/>
      <c r="D7" s="91"/>
      <c r="E7" s="91"/>
    </row>
    <row r="8" spans="1:12" x14ac:dyDescent="0.3">
      <c r="A8" s="2" t="s">
        <v>52</v>
      </c>
      <c r="C8" s="43"/>
      <c r="D8" s="91"/>
      <c r="E8" s="91"/>
    </row>
    <row r="9" spans="1:12" x14ac:dyDescent="0.3">
      <c r="A9" t="s">
        <v>27</v>
      </c>
      <c r="C9" s="47">
        <f xml:space="preserve"> (([2]FEEDING_base!$D$17*L31)+([2]FEEDING_base!$D$18*L32))</f>
        <v>83.69233529350808</v>
      </c>
      <c r="D9" s="88">
        <f>(([2]FEEDING_base!$D$23*L31)+([2]FEEDING_base!$D$24*L32))</f>
        <v>248.28886005706909</v>
      </c>
      <c r="E9" s="88"/>
    </row>
    <row r="10" spans="1:12" x14ac:dyDescent="0.3">
      <c r="A10" t="s">
        <v>1</v>
      </c>
      <c r="C10" s="47">
        <f>[1]All!$P$9*L18</f>
        <v>4.470048083356339</v>
      </c>
      <c r="D10" s="88">
        <f>[1]All!$P$10*L18</f>
        <v>9.1955274857616107</v>
      </c>
      <c r="E10" s="88"/>
    </row>
    <row r="11" spans="1:12" x14ac:dyDescent="0.3">
      <c r="A11" t="s">
        <v>53</v>
      </c>
      <c r="C11" s="47">
        <f>[1]All!$Q$9*L18</f>
        <v>16.603035738180687</v>
      </c>
      <c r="D11" s="88">
        <f>[1]All!$Q$10*L18</f>
        <v>16.219888759607286</v>
      </c>
      <c r="E11" s="88"/>
      <c r="K11" s="2" t="s">
        <v>89</v>
      </c>
    </row>
    <row r="12" spans="1:12" x14ac:dyDescent="0.3">
      <c r="A12" t="s">
        <v>54</v>
      </c>
      <c r="C12" s="47">
        <f>[1]All!$R$9*L18</f>
        <v>0.25543131904893362</v>
      </c>
      <c r="D12" s="88">
        <f>[1]All!$R$10*17</f>
        <v>10.199999999999999</v>
      </c>
      <c r="E12" s="88"/>
      <c r="K12" t="s">
        <v>86</v>
      </c>
      <c r="L12">
        <v>12</v>
      </c>
    </row>
    <row r="13" spans="1:12" x14ac:dyDescent="0.3">
      <c r="A13" t="s">
        <v>55</v>
      </c>
      <c r="C13" s="47">
        <f>0*L18</f>
        <v>0</v>
      </c>
      <c r="D13" s="88">
        <f>0*L18</f>
        <v>0</v>
      </c>
      <c r="E13" s="88"/>
    </row>
    <row r="14" spans="1:12" x14ac:dyDescent="0.3">
      <c r="C14" s="47"/>
      <c r="D14" s="88"/>
      <c r="E14" s="88"/>
    </row>
    <row r="15" spans="1:12" x14ac:dyDescent="0.3">
      <c r="A15" s="2" t="s">
        <v>85</v>
      </c>
      <c r="C15" s="47">
        <f>SUM(C9:C13)</f>
        <v>105.02085043409406</v>
      </c>
      <c r="D15" s="88">
        <f>SUM(D9:D13)</f>
        <v>283.90427630243795</v>
      </c>
      <c r="E15" s="88"/>
      <c r="K15" t="str">
        <f>[3]NPV_Roadmap!K14</f>
        <v>Price acquring new animal (USD/head)</v>
      </c>
      <c r="L15">
        <f>[1]All!$M$9</f>
        <v>479.5</v>
      </c>
    </row>
    <row r="16" spans="1:12" x14ac:dyDescent="0.3">
      <c r="C16" s="43"/>
      <c r="D16" s="91"/>
      <c r="E16" s="91"/>
      <c r="K16" t="str">
        <f>[3]NPV_Roadmap!K15</f>
        <v>Standard error animal price (fraction)</v>
      </c>
      <c r="L16">
        <f>[3]NPV_Roadmap!L15</f>
        <v>0</v>
      </c>
    </row>
    <row r="17" spans="1:12" x14ac:dyDescent="0.3">
      <c r="C17" s="43"/>
      <c r="D17" s="91"/>
      <c r="E17" s="91"/>
    </row>
    <row r="18" spans="1:12" x14ac:dyDescent="0.3">
      <c r="C18" s="47"/>
      <c r="D18" s="88"/>
      <c r="E18" s="88"/>
      <c r="K18" t="str">
        <f>[3]NPV_Roadmap!K17</f>
        <v>GDP deflator</v>
      </c>
      <c r="L18" s="17">
        <f>Dairy_Income_Roadmap!L17</f>
        <v>1.2771565952446682</v>
      </c>
    </row>
    <row r="19" spans="1:12" x14ac:dyDescent="0.3">
      <c r="C19" s="90" t="s">
        <v>61</v>
      </c>
      <c r="D19" s="90"/>
      <c r="E19" s="90"/>
    </row>
    <row r="20" spans="1:12" x14ac:dyDescent="0.3">
      <c r="A20" t="s">
        <v>7</v>
      </c>
      <c r="B20" s="88">
        <f>L37*L18</f>
        <v>288.26701511267407</v>
      </c>
      <c r="C20" s="88"/>
      <c r="D20" s="88">
        <f>L39*L18</f>
        <v>186.49040603762646</v>
      </c>
      <c r="E20" s="88"/>
      <c r="K20" s="90"/>
      <c r="L20" s="90"/>
    </row>
    <row r="21" spans="1:12" x14ac:dyDescent="0.3">
      <c r="A21" t="s">
        <v>74</v>
      </c>
      <c r="B21" s="88">
        <f>( [7]Sheet1!$QH$47*[2]feeding_change_data!$D$4  +      [7]Sheet1!$QH$38*[2]feeding_change_data!$E$4)/([2]feeding_change_data!$D$4+[2]feeding_change_data!$E$4)</f>
        <v>113.87379929520394</v>
      </c>
      <c r="C21" s="88"/>
      <c r="D21" s="88">
        <f>( [7]Sheet1!$QG$47*[2]feeding_change_data!$D$4+      [7]Sheet1!$QG$38*[2]feeding_change_data!$E$4)/([2]feeding_change_data!$S$4+[2]feeding_change_data!$E$4)</f>
        <v>2567.5736640595242</v>
      </c>
      <c r="E21" s="88"/>
      <c r="K21" t="str">
        <f>[3]NPV_Roadmap!K25</f>
        <v>Forage seeding cost (USD/ha/yr)</v>
      </c>
      <c r="L21">
        <f>[3]NPV_Roadmap!L25</f>
        <v>28</v>
      </c>
    </row>
    <row r="22" spans="1:12" x14ac:dyDescent="0.3">
      <c r="A22" t="s">
        <v>75</v>
      </c>
      <c r="B22" s="88">
        <f>(((1/1000)*(1/L24)/L34))*B21</f>
        <v>1.1679364030277327E-2</v>
      </c>
      <c r="C22" s="88"/>
      <c r="D22" s="88">
        <f>(((1/1000)*(1/L24)/L34))*D21</f>
        <v>0.26334088862148963</v>
      </c>
      <c r="E22" s="88"/>
    </row>
    <row r="23" spans="1:12" x14ac:dyDescent="0.3">
      <c r="A23" t="s">
        <v>76</v>
      </c>
      <c r="B23" s="88">
        <f>( [7]Sheet1!$QP$47*[2]feeding_change_data_pasture!$S$4+      [7]Sheet1!$QP$38*[2]feeding_change_data_pasture!$E$4)/([2]feeding_change_data_pasture!$S$4+[2]feeding_change_data_pasture!$E$4)</f>
        <v>45.002914171323539</v>
      </c>
      <c r="C23" s="88"/>
      <c r="D23" s="88">
        <f>( [7]Sheet1!$QO$47*[2]feeding_change_data_pasture!$S$4+      [7]Sheet1!$QO$38*[2]feeding_change_data_pasture!$E$4)/([2]feeding_change_data_pasture!$S$4+[2]feeding_change_data_pasture!$E$4)</f>
        <v>430.24211526249343</v>
      </c>
      <c r="E23" s="88"/>
    </row>
    <row r="24" spans="1:12" x14ac:dyDescent="0.3">
      <c r="A24" t="s">
        <v>77</v>
      </c>
      <c r="B24" s="88">
        <f>(((1/1000)*(1/L26)/L35))*B23</f>
        <v>1.8001165668529415E-2</v>
      </c>
      <c r="C24" s="88"/>
      <c r="D24" s="88">
        <f>(((1/1000)*(1/L26)/L35))*D23</f>
        <v>0.17209684610499737</v>
      </c>
      <c r="E24" s="88"/>
      <c r="K24" t="str">
        <f>[3]NPV_Roadmap!K28</f>
        <v>Use efficiency napier</v>
      </c>
      <c r="L24">
        <f>[3]NPV_Roadmap!L28</f>
        <v>0.75</v>
      </c>
    </row>
    <row r="25" spans="1:12" x14ac:dyDescent="0.3">
      <c r="A25" t="s">
        <v>80</v>
      </c>
      <c r="B25" s="88">
        <f>B24+B22</f>
        <v>2.9680529698806742E-2</v>
      </c>
      <c r="C25" s="88"/>
      <c r="D25" s="88">
        <f>D24+D22</f>
        <v>0.435437734726487</v>
      </c>
      <c r="E25" s="88"/>
    </row>
    <row r="26" spans="1:12" x14ac:dyDescent="0.3">
      <c r="A26" t="s">
        <v>56</v>
      </c>
      <c r="B26" s="88">
        <f>(B22+B24)*L18*L21</f>
        <v>1.0613871591452158</v>
      </c>
      <c r="C26" s="88"/>
      <c r="D26" s="88">
        <f>(D22+D24)*L18*L21</f>
        <v>15.571420892281271</v>
      </c>
      <c r="E26" s="88"/>
      <c r="K26" t="str">
        <f>[3]NPV_Roadmap!K29</f>
        <v>Use efficiency pasture</v>
      </c>
      <c r="L26">
        <f>[3]NPV_Roadmap!L29</f>
        <v>0.5</v>
      </c>
    </row>
    <row r="27" spans="1:12" x14ac:dyDescent="0.3">
      <c r="A27" t="s">
        <v>8</v>
      </c>
      <c r="B27" s="88">
        <f>(B22+B24)*B20+B26</f>
        <v>9.6173048623833104</v>
      </c>
      <c r="C27" s="88"/>
      <c r="D27" s="88">
        <f>(D22+D24)*D20+D26</f>
        <v>96.776380845528109</v>
      </c>
      <c r="E27" s="88"/>
    </row>
    <row r="28" spans="1:12" x14ac:dyDescent="0.3">
      <c r="C28" s="43"/>
      <c r="D28" s="91"/>
      <c r="E28" s="91"/>
      <c r="K28" t="str">
        <f>[3]NPV_Roadmap!K31</f>
        <v>Standard error (%) improved forage yield</v>
      </c>
      <c r="L28">
        <f>[3]NPV_Roadmap!L31</f>
        <v>7.5</v>
      </c>
    </row>
    <row r="29" spans="1:12" x14ac:dyDescent="0.3">
      <c r="A29" s="2" t="s">
        <v>45</v>
      </c>
      <c r="C29" s="47">
        <f>C6-C15</f>
        <v>67.893172585437696</v>
      </c>
      <c r="D29" s="88">
        <f>D6-D15</f>
        <v>686.41137522672511</v>
      </c>
      <c r="E29" s="88"/>
      <c r="K29" t="str">
        <f>[3]NPV_Roadmap!K32</f>
        <v>Standard error (%) improved forage yield</v>
      </c>
      <c r="L29">
        <f>[3]NPV_Roadmap!L32</f>
        <v>20</v>
      </c>
    </row>
    <row r="30" spans="1:12" x14ac:dyDescent="0.3">
      <c r="D30" s="91"/>
      <c r="E30" s="91"/>
    </row>
    <row r="31" spans="1:12" x14ac:dyDescent="0.3">
      <c r="D31" s="91"/>
      <c r="E31" s="91"/>
      <c r="K31" t="str">
        <f>[3]NPV_Roadmap!K34</f>
        <v>Market price Sunflower cake (USD/kg)</v>
      </c>
      <c r="L31" s="17">
        <f>Dairy_Income_Roadmap!L30</f>
        <v>0.31928914881116705</v>
      </c>
    </row>
    <row r="32" spans="1:12" x14ac:dyDescent="0.3">
      <c r="D32" s="91"/>
      <c r="E32" s="91"/>
      <c r="K32" t="str">
        <f>[3]NPV_Roadmap!K35</f>
        <v>Market price Maize bran (USD/kg)</v>
      </c>
      <c r="L32" s="17">
        <f>Dairy_Income_Roadmap!L31</f>
        <v>0.26820288500138029</v>
      </c>
    </row>
    <row r="33" spans="1:12" x14ac:dyDescent="0.3">
      <c r="D33" s="91"/>
      <c r="E33" s="91"/>
    </row>
    <row r="34" spans="1:12" x14ac:dyDescent="0.3">
      <c r="D34" s="91"/>
      <c r="E34" s="91"/>
      <c r="K34" t="str">
        <f>[3]NPV_Roadmap!K37</f>
        <v>Napier yield (Mg/ha)</v>
      </c>
      <c r="L34">
        <f>[3]NPV_Roadmap!L37</f>
        <v>13</v>
      </c>
    </row>
    <row r="35" spans="1:12" x14ac:dyDescent="0.3">
      <c r="A35" s="90" t="s">
        <v>57</v>
      </c>
      <c r="B35" s="90"/>
      <c r="C35" s="90"/>
      <c r="D35" s="90"/>
      <c r="E35" s="90"/>
      <c r="K35" t="str">
        <f>[3]NPV_Roadmap!K38</f>
        <v>Pasture yield (Mg/ha)</v>
      </c>
      <c r="L35">
        <f>[3]NPV_Roadmap!L38</f>
        <v>5</v>
      </c>
    </row>
    <row r="36" spans="1:12" x14ac:dyDescent="0.3">
      <c r="A36" s="91" t="s">
        <v>58</v>
      </c>
      <c r="B36" s="91"/>
      <c r="C36" s="91"/>
      <c r="D36" s="91"/>
      <c r="E36" s="91"/>
    </row>
    <row r="37" spans="1:12" x14ac:dyDescent="0.3">
      <c r="A37" t="s">
        <v>16</v>
      </c>
      <c r="C37" s="46">
        <f>[1]All!$S$9*L18</f>
        <v>0.1404872254769135</v>
      </c>
      <c r="D37" s="46"/>
      <c r="E37" s="46">
        <f>[1]All!$S$10*L18</f>
        <v>1.0344968421481813</v>
      </c>
      <c r="K37" t="str">
        <f>[3]NPV_Roadmap!K40</f>
        <v xml:space="preserve">Opportunity cost land strata 1 </v>
      </c>
      <c r="L37" s="41">
        <f>[1]All!$N$9</f>
        <v>225.71</v>
      </c>
    </row>
    <row r="38" spans="1:12" x14ac:dyDescent="0.3">
      <c r="C38" s="46"/>
      <c r="D38" s="46"/>
      <c r="E38" s="46"/>
      <c r="K38" t="str">
        <f>[3]NPV_Roadmap!K41</f>
        <v>SE (fraction)</v>
      </c>
      <c r="L38" s="17">
        <f>[1]All!$U$9*L18/L37</f>
        <v>0.80066305536804105</v>
      </c>
    </row>
    <row r="39" spans="1:12" x14ac:dyDescent="0.3">
      <c r="A39" t="s">
        <v>0</v>
      </c>
      <c r="C39" s="46">
        <f>[1]All!$V$9*L18</f>
        <v>100.89537102432878</v>
      </c>
      <c r="D39" s="46"/>
      <c r="E39" s="46">
        <f>[1]All!$V$10*L18</f>
        <v>84.930913583770433</v>
      </c>
      <c r="K39" t="str">
        <f>[3]NPV_Roadmap!K42</f>
        <v>Opportunity cost land strata 2</v>
      </c>
      <c r="L39" s="41">
        <f>[1]All!$N$10</f>
        <v>146.02000000000001</v>
      </c>
    </row>
    <row r="40" spans="1:12" x14ac:dyDescent="0.3">
      <c r="A40" t="s">
        <v>1</v>
      </c>
      <c r="C40" s="46">
        <f>[1]All!$W$9*L18</f>
        <v>38.825560495437912</v>
      </c>
      <c r="D40" s="46"/>
      <c r="E40" s="46">
        <f>[1]All!$W$10*L18</f>
        <v>61.942094869366407</v>
      </c>
      <c r="K40" t="str">
        <f>[3]NPV_Roadmap!K43</f>
        <v>SE (fraction)</v>
      </c>
      <c r="L40" s="17">
        <f>[1]All!$U$10*L18/L39</f>
        <v>1.3320842997929254</v>
      </c>
    </row>
    <row r="41" spans="1:12" x14ac:dyDescent="0.3">
      <c r="A41" t="s">
        <v>2</v>
      </c>
      <c r="C41" s="46">
        <f>[1]All!$X$9*L18</f>
        <v>17.497045354851952</v>
      </c>
      <c r="D41" s="46"/>
      <c r="E41" s="46">
        <f>[1]All!$X$10*L18</f>
        <v>10.983546719104146</v>
      </c>
    </row>
    <row r="42" spans="1:12" x14ac:dyDescent="0.3">
      <c r="A42" t="s">
        <v>5</v>
      </c>
      <c r="C42" s="46">
        <f>[1]All!$Y$9*L18</f>
        <v>1.404872254769135</v>
      </c>
      <c r="D42" s="46"/>
      <c r="E42" s="46">
        <f>[1]All!$Y$10*L18</f>
        <v>3.1928914881116706</v>
      </c>
    </row>
    <row r="43" spans="1:12" x14ac:dyDescent="0.3">
      <c r="A43" t="s">
        <v>3</v>
      </c>
      <c r="C43" s="46">
        <f>C13*L18</f>
        <v>0</v>
      </c>
      <c r="D43" s="46"/>
      <c r="E43" s="46">
        <f>D13*L18</f>
        <v>0</v>
      </c>
    </row>
    <row r="46" spans="1:12" x14ac:dyDescent="0.3">
      <c r="C46" s="2" t="s">
        <v>59</v>
      </c>
    </row>
    <row r="47" spans="1:12" x14ac:dyDescent="0.3">
      <c r="A47" t="s">
        <v>9</v>
      </c>
      <c r="C47" s="46">
        <f ca="1">_xlfn.NORM.INV(RAND(),C3,C37)</f>
        <v>0.53496097759628958</v>
      </c>
      <c r="D47" s="46"/>
      <c r="E47" s="46">
        <f ca="1">_xlfn.NORM.INV(RAND(),D3,E37)</f>
        <v>0.88162670406771315</v>
      </c>
    </row>
    <row r="48" spans="1:12" x14ac:dyDescent="0.3">
      <c r="A48" t="s">
        <v>104</v>
      </c>
      <c r="C48" s="80">
        <f ca="1">_xlfn.NORM.INV(RAND(),C4,C4*Dairy_Income_Roadmap!L22)</f>
        <v>259.35835492751238</v>
      </c>
      <c r="D48" s="80"/>
      <c r="E48" s="80">
        <f ca="1">_xlfn.NORM.INV(RAND(),D4,D4*Dairy_Income_Roadmap!L22)</f>
        <v>1524.9610786048625</v>
      </c>
    </row>
    <row r="49" spans="1:5" x14ac:dyDescent="0.3">
      <c r="C49" s="43"/>
      <c r="D49" s="43"/>
      <c r="E49" s="43"/>
    </row>
    <row r="50" spans="1:5" x14ac:dyDescent="0.3">
      <c r="A50" t="s">
        <v>10</v>
      </c>
      <c r="C50" s="47">
        <f ca="1">_xlfn.NORM.INV(RAND(),C9,C39)</f>
        <v>160.76896478000583</v>
      </c>
      <c r="D50" s="47"/>
      <c r="E50" s="47">
        <f ca="1">_xlfn.NORM.INV(RAND(),D9,E39)</f>
        <v>176.85415836454399</v>
      </c>
    </row>
    <row r="51" spans="1:5" x14ac:dyDescent="0.3">
      <c r="A51" t="s">
        <v>1</v>
      </c>
      <c r="C51" s="47">
        <f ca="1">_xlfn.NORM.INV(RAND(),C10,C40)</f>
        <v>-44.823049845096293</v>
      </c>
      <c r="D51" s="47"/>
      <c r="E51" s="47">
        <f ca="1">_xlfn.NORM.INV(RAND(),D10,E40)</f>
        <v>-28.393495825023756</v>
      </c>
    </row>
    <row r="52" spans="1:5" x14ac:dyDescent="0.3">
      <c r="A52" t="s">
        <v>2</v>
      </c>
      <c r="C52" s="47">
        <f ca="1">_xlfn.NORM.INV(RAND(),C11,C41)</f>
        <v>-7.6436162230338169</v>
      </c>
      <c r="D52" s="47"/>
      <c r="E52" s="47">
        <f ca="1">_xlfn.NORM.INV(RAND(),D11,E41)</f>
        <v>-3.4491924831346203</v>
      </c>
    </row>
    <row r="53" spans="1:5" x14ac:dyDescent="0.3">
      <c r="A53" t="s">
        <v>12</v>
      </c>
      <c r="C53" s="47">
        <f ca="1">_xlfn.NORM.INV(RAND(),C12,C42)</f>
        <v>1.2920756371394615</v>
      </c>
      <c r="D53" s="47"/>
      <c r="E53" s="47">
        <f ca="1">_xlfn.NORM.INV(RAND(),D12,E42)</f>
        <v>11.401423342270874</v>
      </c>
    </row>
    <row r="54" spans="1:5" x14ac:dyDescent="0.3">
      <c r="A54" t="s">
        <v>3</v>
      </c>
      <c r="C54" s="47">
        <v>1E-4</v>
      </c>
      <c r="D54" s="47"/>
      <c r="E54" s="47">
        <v>1E-4</v>
      </c>
    </row>
    <row r="55" spans="1:5" x14ac:dyDescent="0.3">
      <c r="C55" s="43"/>
      <c r="D55" s="43"/>
      <c r="E55" s="43"/>
    </row>
    <row r="56" spans="1:5" x14ac:dyDescent="0.3">
      <c r="A56" t="s">
        <v>62</v>
      </c>
      <c r="C56" s="47">
        <f ca="1">SUM(C50:C54)</f>
        <v>109.59447434901519</v>
      </c>
      <c r="D56" s="47"/>
      <c r="E56" s="47">
        <f ca="1">SUM(E50:E54)</f>
        <v>156.41299339865648</v>
      </c>
    </row>
    <row r="57" spans="1:5" x14ac:dyDescent="0.3">
      <c r="C57" s="43"/>
      <c r="D57" s="43"/>
      <c r="E57" s="43"/>
    </row>
    <row r="58" spans="1:5" x14ac:dyDescent="0.3">
      <c r="A58" s="2" t="s">
        <v>45</v>
      </c>
      <c r="C58" s="47">
        <f ca="1">C47*C48-C56</f>
        <v>29.152124750772273</v>
      </c>
      <c r="D58" s="47"/>
      <c r="E58" s="47">
        <f ca="1">E47*E48-E56</f>
        <v>1188.0334161632932</v>
      </c>
    </row>
    <row r="59" spans="1:5" x14ac:dyDescent="0.3">
      <c r="A59" s="2"/>
      <c r="C59" s="47"/>
      <c r="D59" s="47"/>
      <c r="E59" s="47"/>
    </row>
    <row r="60" spans="1:5" x14ac:dyDescent="0.3">
      <c r="A60" s="2" t="s">
        <v>13</v>
      </c>
      <c r="C60" s="47">
        <f ca="1">AVERAGE(C64:C563)</f>
        <v>101.84863219437453</v>
      </c>
      <c r="D60" s="47"/>
      <c r="E60" s="47">
        <f t="shared" ref="E60" ca="1" si="0">AVERAGE(E64:E563)</f>
        <v>136.93600831870361</v>
      </c>
    </row>
    <row r="61" spans="1:5" x14ac:dyDescent="0.3">
      <c r="A61" s="2" t="s">
        <v>11</v>
      </c>
      <c r="C61" s="47">
        <f ca="1">STDEVA(C64:C563)</f>
        <v>61.366744529522592</v>
      </c>
      <c r="D61" s="47"/>
      <c r="E61" s="47">
        <f t="shared" ref="E61" ca="1" si="1">STDEVA(E64:E563)</f>
        <v>174.59998429066124</v>
      </c>
    </row>
    <row r="63" spans="1:5" x14ac:dyDescent="0.3">
      <c r="A63" s="2" t="s">
        <v>60</v>
      </c>
    </row>
    <row r="64" spans="1:5" x14ac:dyDescent="0.3">
      <c r="B64" s="43">
        <v>1</v>
      </c>
      <c r="C64" s="47">
        <f ca="1">C58</f>
        <v>29.152124750772273</v>
      </c>
      <c r="D64" s="43">
        <f>B64</f>
        <v>1</v>
      </c>
      <c r="E64" s="47">
        <f ca="1">E58</f>
        <v>1188.0334161632932</v>
      </c>
    </row>
    <row r="65" spans="2:5" x14ac:dyDescent="0.3">
      <c r="B65" s="43">
        <v>2</v>
      </c>
      <c r="C65" s="47">
        <v>218.5963015487263</v>
      </c>
      <c r="D65" s="43">
        <f>B65</f>
        <v>2</v>
      </c>
      <c r="E65" s="47">
        <v>156.10271374852471</v>
      </c>
    </row>
    <row r="66" spans="2:5" x14ac:dyDescent="0.3">
      <c r="B66" s="43">
        <v>3</v>
      </c>
      <c r="C66" s="47">
        <v>121.1645944925414</v>
      </c>
      <c r="D66" s="43">
        <f t="shared" ref="D66:D129" si="2">B66</f>
        <v>3</v>
      </c>
      <c r="E66" s="47">
        <v>331.32373392379816</v>
      </c>
    </row>
    <row r="67" spans="2:5" x14ac:dyDescent="0.3">
      <c r="B67" s="43">
        <v>4</v>
      </c>
      <c r="C67" s="47">
        <v>183.46662525460178</v>
      </c>
      <c r="D67" s="43">
        <f t="shared" si="2"/>
        <v>4</v>
      </c>
      <c r="E67" s="47">
        <v>246.96361879467258</v>
      </c>
    </row>
    <row r="68" spans="2:5" x14ac:dyDescent="0.3">
      <c r="B68" s="43">
        <v>5</v>
      </c>
      <c r="C68" s="47">
        <v>-15.146833239679344</v>
      </c>
      <c r="D68" s="43">
        <f t="shared" si="2"/>
        <v>5</v>
      </c>
      <c r="E68" s="47">
        <v>77.327517117542357</v>
      </c>
    </row>
    <row r="69" spans="2:5" x14ac:dyDescent="0.3">
      <c r="B69" s="43">
        <v>6</v>
      </c>
      <c r="C69" s="47">
        <v>133.44689435046149</v>
      </c>
      <c r="D69" s="43">
        <f t="shared" si="2"/>
        <v>6</v>
      </c>
      <c r="E69" s="47">
        <v>102.75926100866832</v>
      </c>
    </row>
    <row r="70" spans="2:5" x14ac:dyDescent="0.3">
      <c r="B70" s="43">
        <v>7</v>
      </c>
      <c r="C70" s="47">
        <v>92.570611731355456</v>
      </c>
      <c r="D70" s="43">
        <f t="shared" si="2"/>
        <v>7</v>
      </c>
      <c r="E70" s="47">
        <v>-36.331964708642438</v>
      </c>
    </row>
    <row r="71" spans="2:5" x14ac:dyDescent="0.3">
      <c r="B71" s="43">
        <v>8</v>
      </c>
      <c r="C71" s="47">
        <v>94.858840455392453</v>
      </c>
      <c r="D71" s="43">
        <f t="shared" si="2"/>
        <v>8</v>
      </c>
      <c r="E71" s="47">
        <v>169.68614571604482</v>
      </c>
    </row>
    <row r="72" spans="2:5" x14ac:dyDescent="0.3">
      <c r="B72" s="43">
        <v>9</v>
      </c>
      <c r="C72" s="47">
        <v>96.336799391871438</v>
      </c>
      <c r="D72" s="43">
        <f t="shared" si="2"/>
        <v>9</v>
      </c>
      <c r="E72" s="47">
        <v>99.174407042936863</v>
      </c>
    </row>
    <row r="73" spans="2:5" x14ac:dyDescent="0.3">
      <c r="B73" s="43">
        <v>10</v>
      </c>
      <c r="C73" s="47">
        <v>79.403907629402937</v>
      </c>
      <c r="D73" s="43">
        <f t="shared" si="2"/>
        <v>10</v>
      </c>
      <c r="E73" s="47">
        <v>149.34256416850678</v>
      </c>
    </row>
    <row r="74" spans="2:5" x14ac:dyDescent="0.3">
      <c r="B74" s="43">
        <v>11</v>
      </c>
      <c r="C74" s="47">
        <v>118.97908217744612</v>
      </c>
      <c r="D74" s="43">
        <f t="shared" si="2"/>
        <v>11</v>
      </c>
      <c r="E74" s="47">
        <v>323.53448150067032</v>
      </c>
    </row>
    <row r="75" spans="2:5" x14ac:dyDescent="0.3">
      <c r="B75" s="43">
        <v>12</v>
      </c>
      <c r="C75" s="47">
        <v>145.99965766759755</v>
      </c>
      <c r="D75" s="43">
        <f t="shared" si="2"/>
        <v>12</v>
      </c>
      <c r="E75" s="47">
        <v>-56.399696138543526</v>
      </c>
    </row>
    <row r="76" spans="2:5" x14ac:dyDescent="0.3">
      <c r="B76" s="43">
        <v>13</v>
      </c>
      <c r="C76" s="47">
        <v>167.20252183864835</v>
      </c>
      <c r="D76" s="43">
        <f t="shared" si="2"/>
        <v>13</v>
      </c>
      <c r="E76" s="47">
        <v>273.93594466439316</v>
      </c>
    </row>
    <row r="77" spans="2:5" x14ac:dyDescent="0.3">
      <c r="B77" s="43">
        <v>14</v>
      </c>
      <c r="C77" s="47">
        <v>122.74033026522079</v>
      </c>
      <c r="D77" s="43">
        <f t="shared" si="2"/>
        <v>14</v>
      </c>
      <c r="E77" s="47">
        <v>-67.447335083440947</v>
      </c>
    </row>
    <row r="78" spans="2:5" x14ac:dyDescent="0.3">
      <c r="B78" s="43">
        <v>15</v>
      </c>
      <c r="C78" s="47">
        <v>144.71513804448986</v>
      </c>
      <c r="D78" s="43">
        <f t="shared" si="2"/>
        <v>15</v>
      </c>
      <c r="E78" s="47">
        <v>-94.329790369323149</v>
      </c>
    </row>
    <row r="79" spans="2:5" x14ac:dyDescent="0.3">
      <c r="B79" s="43">
        <v>16</v>
      </c>
      <c r="C79" s="47">
        <v>154.92450012081355</v>
      </c>
      <c r="D79" s="43">
        <f t="shared" si="2"/>
        <v>16</v>
      </c>
      <c r="E79" s="47">
        <v>138.48067395449522</v>
      </c>
    </row>
    <row r="80" spans="2:5" x14ac:dyDescent="0.3">
      <c r="B80" s="43">
        <v>17</v>
      </c>
      <c r="C80" s="47">
        <v>90.816662029320895</v>
      </c>
      <c r="D80" s="43">
        <f t="shared" si="2"/>
        <v>17</v>
      </c>
      <c r="E80" s="47">
        <v>3.4668170720343299</v>
      </c>
    </row>
    <row r="81" spans="2:5" x14ac:dyDescent="0.3">
      <c r="B81" s="43">
        <v>18</v>
      </c>
      <c r="C81" s="47">
        <v>123.30422908484186</v>
      </c>
      <c r="D81" s="43">
        <f t="shared" si="2"/>
        <v>18</v>
      </c>
      <c r="E81" s="47">
        <v>52.718875320196716</v>
      </c>
    </row>
    <row r="82" spans="2:5" x14ac:dyDescent="0.3">
      <c r="B82" s="43">
        <v>19</v>
      </c>
      <c r="C82" s="47">
        <v>75.165659199173945</v>
      </c>
      <c r="D82" s="43">
        <f t="shared" si="2"/>
        <v>19</v>
      </c>
      <c r="E82" s="47">
        <v>-5.9276089493702244</v>
      </c>
    </row>
    <row r="83" spans="2:5" x14ac:dyDescent="0.3">
      <c r="B83" s="43">
        <v>20</v>
      </c>
      <c r="C83" s="47">
        <v>97.218357045756221</v>
      </c>
      <c r="D83" s="43">
        <f t="shared" si="2"/>
        <v>20</v>
      </c>
      <c r="E83" s="47">
        <v>394.68436765228472</v>
      </c>
    </row>
    <row r="84" spans="2:5" x14ac:dyDescent="0.3">
      <c r="B84" s="43">
        <v>21</v>
      </c>
      <c r="C84" s="47">
        <v>127.19074371235396</v>
      </c>
      <c r="D84" s="43">
        <f t="shared" si="2"/>
        <v>21</v>
      </c>
      <c r="E84" s="47">
        <v>341.6995266919896</v>
      </c>
    </row>
    <row r="85" spans="2:5" x14ac:dyDescent="0.3">
      <c r="B85" s="43">
        <v>22</v>
      </c>
      <c r="C85" s="47">
        <v>107.59824213694412</v>
      </c>
      <c r="D85" s="43">
        <f t="shared" si="2"/>
        <v>22</v>
      </c>
      <c r="E85" s="47">
        <v>169.89884577391618</v>
      </c>
    </row>
    <row r="86" spans="2:5" x14ac:dyDescent="0.3">
      <c r="B86" s="43">
        <v>23</v>
      </c>
      <c r="C86" s="47">
        <v>117.40408167575504</v>
      </c>
      <c r="D86" s="43">
        <f t="shared" si="2"/>
        <v>23</v>
      </c>
      <c r="E86" s="47">
        <v>390.81272724840994</v>
      </c>
    </row>
    <row r="87" spans="2:5" x14ac:dyDescent="0.3">
      <c r="B87" s="43">
        <v>24</v>
      </c>
      <c r="C87" s="47">
        <v>92.118467800784487</v>
      </c>
      <c r="D87" s="43">
        <f t="shared" si="2"/>
        <v>24</v>
      </c>
      <c r="E87" s="47">
        <v>185.2755798094343</v>
      </c>
    </row>
    <row r="88" spans="2:5" x14ac:dyDescent="0.3">
      <c r="B88" s="43">
        <v>25</v>
      </c>
      <c r="C88" s="47">
        <v>94.038684283664765</v>
      </c>
      <c r="D88" s="43">
        <f t="shared" si="2"/>
        <v>25</v>
      </c>
      <c r="E88" s="47">
        <v>181.95871468203265</v>
      </c>
    </row>
    <row r="89" spans="2:5" x14ac:dyDescent="0.3">
      <c r="B89" s="43">
        <v>26</v>
      </c>
      <c r="C89" s="47">
        <v>118.83334162851278</v>
      </c>
      <c r="D89" s="43">
        <f t="shared" si="2"/>
        <v>26</v>
      </c>
      <c r="E89" s="47">
        <v>-45.336606691120807</v>
      </c>
    </row>
    <row r="90" spans="2:5" x14ac:dyDescent="0.3">
      <c r="B90" s="43">
        <v>27</v>
      </c>
      <c r="C90" s="47">
        <v>98.677448164344895</v>
      </c>
      <c r="D90" s="43">
        <f t="shared" si="2"/>
        <v>27</v>
      </c>
      <c r="E90" s="47">
        <v>274.81592072582589</v>
      </c>
    </row>
    <row r="91" spans="2:5" x14ac:dyDescent="0.3">
      <c r="B91" s="43">
        <v>28</v>
      </c>
      <c r="C91" s="47">
        <v>116.39787064118067</v>
      </c>
      <c r="D91" s="43">
        <f t="shared" si="2"/>
        <v>28</v>
      </c>
      <c r="E91" s="47">
        <v>84.45650902657232</v>
      </c>
    </row>
    <row r="92" spans="2:5" x14ac:dyDescent="0.3">
      <c r="B92" s="43">
        <v>29</v>
      </c>
      <c r="C92" s="47">
        <v>128.83691888874381</v>
      </c>
      <c r="D92" s="43">
        <f t="shared" si="2"/>
        <v>29</v>
      </c>
      <c r="E92" s="47">
        <v>174.71333029190185</v>
      </c>
    </row>
    <row r="93" spans="2:5" x14ac:dyDescent="0.3">
      <c r="B93" s="43">
        <v>30</v>
      </c>
      <c r="C93" s="47">
        <v>157.33838374436033</v>
      </c>
      <c r="D93" s="43">
        <f t="shared" si="2"/>
        <v>30</v>
      </c>
      <c r="E93" s="47">
        <v>-168.71134805212151</v>
      </c>
    </row>
    <row r="94" spans="2:5" x14ac:dyDescent="0.3">
      <c r="B94" s="43">
        <v>31</v>
      </c>
      <c r="C94" s="47">
        <v>164.50297665754681</v>
      </c>
      <c r="D94" s="43">
        <f t="shared" si="2"/>
        <v>31</v>
      </c>
      <c r="E94" s="47">
        <v>122.21147468933725</v>
      </c>
    </row>
    <row r="95" spans="2:5" x14ac:dyDescent="0.3">
      <c r="B95" s="43">
        <v>32</v>
      </c>
      <c r="C95" s="47">
        <v>-2.4454366541950399</v>
      </c>
      <c r="D95" s="43">
        <f t="shared" si="2"/>
        <v>32</v>
      </c>
      <c r="E95" s="47">
        <v>-23.288144936292404</v>
      </c>
    </row>
    <row r="96" spans="2:5" x14ac:dyDescent="0.3">
      <c r="B96" s="43">
        <v>33</v>
      </c>
      <c r="C96" s="47">
        <v>129.81459760146643</v>
      </c>
      <c r="D96" s="43">
        <f t="shared" si="2"/>
        <v>33</v>
      </c>
      <c r="E96" s="47">
        <v>258.32444147416192</v>
      </c>
    </row>
    <row r="97" spans="2:5" x14ac:dyDescent="0.3">
      <c r="B97" s="43">
        <v>34</v>
      </c>
      <c r="C97" s="47">
        <v>70.336276627152941</v>
      </c>
      <c r="D97" s="43">
        <f t="shared" si="2"/>
        <v>34</v>
      </c>
      <c r="E97" s="47">
        <v>-48.613594214060306</v>
      </c>
    </row>
    <row r="98" spans="2:5" x14ac:dyDescent="0.3">
      <c r="B98" s="43">
        <v>35</v>
      </c>
      <c r="C98" s="47">
        <v>-84.769943359869103</v>
      </c>
      <c r="D98" s="43">
        <f t="shared" si="2"/>
        <v>35</v>
      </c>
      <c r="E98" s="47">
        <v>165.89344144620924</v>
      </c>
    </row>
    <row r="99" spans="2:5" x14ac:dyDescent="0.3">
      <c r="B99" s="43">
        <v>36</v>
      </c>
      <c r="C99" s="47">
        <v>107.52569088775465</v>
      </c>
      <c r="D99" s="43">
        <f t="shared" si="2"/>
        <v>36</v>
      </c>
      <c r="E99" s="47">
        <v>316.01260690098883</v>
      </c>
    </row>
    <row r="100" spans="2:5" x14ac:dyDescent="0.3">
      <c r="B100" s="43">
        <v>37</v>
      </c>
      <c r="C100" s="47">
        <v>-156.69013182372342</v>
      </c>
      <c r="D100" s="43">
        <f t="shared" si="2"/>
        <v>37</v>
      </c>
      <c r="E100" s="47">
        <v>193.57642816209207</v>
      </c>
    </row>
    <row r="101" spans="2:5" x14ac:dyDescent="0.3">
      <c r="B101" s="43">
        <v>38</v>
      </c>
      <c r="C101" s="47">
        <v>113.71119244712722</v>
      </c>
      <c r="D101" s="43">
        <f t="shared" si="2"/>
        <v>38</v>
      </c>
      <c r="E101" s="47">
        <v>359.11560490267982</v>
      </c>
    </row>
    <row r="102" spans="2:5" x14ac:dyDescent="0.3">
      <c r="B102" s="43">
        <v>39</v>
      </c>
      <c r="C102" s="47">
        <v>-96.453179716484286</v>
      </c>
      <c r="D102" s="43">
        <f t="shared" si="2"/>
        <v>39</v>
      </c>
      <c r="E102" s="47">
        <v>425.60753532324043</v>
      </c>
    </row>
    <row r="103" spans="2:5" x14ac:dyDescent="0.3">
      <c r="B103" s="43">
        <v>40</v>
      </c>
      <c r="C103" s="47">
        <v>118.11760327771961</v>
      </c>
      <c r="D103" s="43">
        <f t="shared" si="2"/>
        <v>40</v>
      </c>
      <c r="E103" s="47">
        <v>80.572575581429277</v>
      </c>
    </row>
    <row r="104" spans="2:5" x14ac:dyDescent="0.3">
      <c r="B104" s="43">
        <v>41</v>
      </c>
      <c r="C104" s="47">
        <v>73.051151599829467</v>
      </c>
      <c r="D104" s="43">
        <f t="shared" si="2"/>
        <v>41</v>
      </c>
      <c r="E104" s="47">
        <v>126.52889866224106</v>
      </c>
    </row>
    <row r="105" spans="2:5" x14ac:dyDescent="0.3">
      <c r="B105" s="43">
        <v>42</v>
      </c>
      <c r="C105" s="47">
        <v>137.83029735158769</v>
      </c>
      <c r="D105" s="43">
        <f t="shared" si="2"/>
        <v>42</v>
      </c>
      <c r="E105" s="47">
        <v>180.45299091556186</v>
      </c>
    </row>
    <row r="106" spans="2:5" x14ac:dyDescent="0.3">
      <c r="B106" s="43">
        <v>43</v>
      </c>
      <c r="C106" s="47">
        <v>125.98436126194842</v>
      </c>
      <c r="D106" s="43">
        <f t="shared" si="2"/>
        <v>43</v>
      </c>
      <c r="E106" s="47">
        <v>53.785649756133033</v>
      </c>
    </row>
    <row r="107" spans="2:5" x14ac:dyDescent="0.3">
      <c r="B107" s="43">
        <v>44</v>
      </c>
      <c r="C107" s="47">
        <v>119.70689519795908</v>
      </c>
      <c r="D107" s="43">
        <f t="shared" si="2"/>
        <v>44</v>
      </c>
      <c r="E107" s="47">
        <v>87.53560329690103</v>
      </c>
    </row>
    <row r="108" spans="2:5" x14ac:dyDescent="0.3">
      <c r="B108" s="43">
        <v>45</v>
      </c>
      <c r="C108" s="47">
        <v>144.12344634871346</v>
      </c>
      <c r="D108" s="43">
        <f t="shared" si="2"/>
        <v>45</v>
      </c>
      <c r="E108" s="47">
        <v>255.32289745879331</v>
      </c>
    </row>
    <row r="109" spans="2:5" x14ac:dyDescent="0.3">
      <c r="B109" s="43">
        <v>46</v>
      </c>
      <c r="C109" s="47">
        <v>53.43543860495312</v>
      </c>
      <c r="D109" s="43">
        <f t="shared" si="2"/>
        <v>46</v>
      </c>
      <c r="E109" s="47">
        <v>41.442749516628986</v>
      </c>
    </row>
    <row r="110" spans="2:5" x14ac:dyDescent="0.3">
      <c r="B110" s="43">
        <v>47</v>
      </c>
      <c r="C110" s="47">
        <v>104.34414658387948</v>
      </c>
      <c r="D110" s="43">
        <f t="shared" si="2"/>
        <v>47</v>
      </c>
      <c r="E110" s="47">
        <v>149.94736045923872</v>
      </c>
    </row>
    <row r="111" spans="2:5" x14ac:dyDescent="0.3">
      <c r="B111" s="43">
        <v>48</v>
      </c>
      <c r="C111" s="47">
        <v>138.7004846359039</v>
      </c>
      <c r="D111" s="43">
        <f t="shared" si="2"/>
        <v>48</v>
      </c>
      <c r="E111" s="47">
        <v>406.43856587194415</v>
      </c>
    </row>
    <row r="112" spans="2:5" x14ac:dyDescent="0.3">
      <c r="B112" s="43">
        <v>49</v>
      </c>
      <c r="C112" s="47">
        <v>98.709751791640372</v>
      </c>
      <c r="D112" s="43">
        <f t="shared" si="2"/>
        <v>49</v>
      </c>
      <c r="E112" s="47">
        <v>477.72092334124483</v>
      </c>
    </row>
    <row r="113" spans="2:5" x14ac:dyDescent="0.3">
      <c r="B113" s="43">
        <v>50</v>
      </c>
      <c r="C113" s="47">
        <v>132.19630454923339</v>
      </c>
      <c r="D113" s="43">
        <f t="shared" si="2"/>
        <v>50</v>
      </c>
      <c r="E113" s="47">
        <v>19.949074825999382</v>
      </c>
    </row>
    <row r="114" spans="2:5" x14ac:dyDescent="0.3">
      <c r="B114" s="43">
        <v>51</v>
      </c>
      <c r="C114" s="47">
        <v>64.391453388057215</v>
      </c>
      <c r="D114" s="43">
        <f t="shared" si="2"/>
        <v>51</v>
      </c>
      <c r="E114" s="47">
        <v>71.947632575844935</v>
      </c>
    </row>
    <row r="115" spans="2:5" x14ac:dyDescent="0.3">
      <c r="B115" s="43">
        <v>52</v>
      </c>
      <c r="C115" s="47">
        <v>126.81208361832773</v>
      </c>
      <c r="D115" s="43">
        <f t="shared" si="2"/>
        <v>52</v>
      </c>
      <c r="E115" s="47">
        <v>126.32047458498059</v>
      </c>
    </row>
    <row r="116" spans="2:5" x14ac:dyDescent="0.3">
      <c r="B116" s="43">
        <v>53</v>
      </c>
      <c r="C116" s="47">
        <v>149.38296731332525</v>
      </c>
      <c r="D116" s="43">
        <f t="shared" si="2"/>
        <v>53</v>
      </c>
      <c r="E116" s="47">
        <v>112.58340553887702</v>
      </c>
    </row>
    <row r="117" spans="2:5" x14ac:dyDescent="0.3">
      <c r="B117" s="43">
        <v>54</v>
      </c>
      <c r="C117" s="47">
        <v>-56.848002635351051</v>
      </c>
      <c r="D117" s="43">
        <f t="shared" si="2"/>
        <v>54</v>
      </c>
      <c r="E117" s="47">
        <v>91.854254256512462</v>
      </c>
    </row>
    <row r="118" spans="2:5" x14ac:dyDescent="0.3">
      <c r="B118" s="43">
        <v>55</v>
      </c>
      <c r="C118" s="47">
        <v>-149.14635793402647</v>
      </c>
      <c r="D118" s="43">
        <f t="shared" si="2"/>
        <v>55</v>
      </c>
      <c r="E118" s="47">
        <v>367.75503726937188</v>
      </c>
    </row>
    <row r="119" spans="2:5" x14ac:dyDescent="0.3">
      <c r="B119" s="43">
        <v>56</v>
      </c>
      <c r="C119" s="47">
        <v>56.961093288669339</v>
      </c>
      <c r="D119" s="43">
        <f t="shared" si="2"/>
        <v>56</v>
      </c>
      <c r="E119" s="47">
        <v>124.81669228099761</v>
      </c>
    </row>
    <row r="120" spans="2:5" x14ac:dyDescent="0.3">
      <c r="B120" s="43">
        <v>57</v>
      </c>
      <c r="C120" s="47">
        <v>124.46672486337687</v>
      </c>
      <c r="D120" s="43">
        <f t="shared" si="2"/>
        <v>57</v>
      </c>
      <c r="E120" s="47">
        <v>333.08571020193301</v>
      </c>
    </row>
    <row r="121" spans="2:5" x14ac:dyDescent="0.3">
      <c r="B121" s="43">
        <v>58</v>
      </c>
      <c r="C121" s="47">
        <v>154.31127684852979</v>
      </c>
      <c r="D121" s="43">
        <f t="shared" si="2"/>
        <v>58</v>
      </c>
      <c r="E121" s="47">
        <v>137.97213003226105</v>
      </c>
    </row>
    <row r="122" spans="2:5" x14ac:dyDescent="0.3">
      <c r="B122" s="43">
        <v>59</v>
      </c>
      <c r="C122" s="47">
        <v>54.67143812585514</v>
      </c>
      <c r="D122" s="43">
        <f t="shared" si="2"/>
        <v>59</v>
      </c>
      <c r="E122" s="47">
        <v>213.89888469999852</v>
      </c>
    </row>
    <row r="123" spans="2:5" x14ac:dyDescent="0.3">
      <c r="B123" s="43">
        <v>60</v>
      </c>
      <c r="C123" s="47">
        <v>141.63273506959638</v>
      </c>
      <c r="D123" s="43">
        <f t="shared" si="2"/>
        <v>60</v>
      </c>
      <c r="E123" s="47">
        <v>322.97535549252979</v>
      </c>
    </row>
    <row r="124" spans="2:5" x14ac:dyDescent="0.3">
      <c r="B124" s="43">
        <v>61</v>
      </c>
      <c r="C124" s="47">
        <v>135.71182929986048</v>
      </c>
      <c r="D124" s="43">
        <f t="shared" si="2"/>
        <v>61</v>
      </c>
      <c r="E124" s="47">
        <v>-158.39426732111889</v>
      </c>
    </row>
    <row r="125" spans="2:5" x14ac:dyDescent="0.3">
      <c r="B125" s="43">
        <v>62</v>
      </c>
      <c r="C125" s="47">
        <v>121.18636170513821</v>
      </c>
      <c r="D125" s="43">
        <f t="shared" si="2"/>
        <v>62</v>
      </c>
      <c r="E125" s="47">
        <v>45.978385300155118</v>
      </c>
    </row>
    <row r="126" spans="2:5" x14ac:dyDescent="0.3">
      <c r="B126" s="43">
        <v>63</v>
      </c>
      <c r="C126" s="47">
        <v>130.74887143362304</v>
      </c>
      <c r="D126" s="43">
        <f t="shared" si="2"/>
        <v>63</v>
      </c>
      <c r="E126" s="47">
        <v>34.147370023983633</v>
      </c>
    </row>
    <row r="127" spans="2:5" x14ac:dyDescent="0.3">
      <c r="B127" s="43">
        <v>64</v>
      </c>
      <c r="C127" s="47">
        <v>-57.637337225055546</v>
      </c>
      <c r="D127" s="43">
        <f t="shared" si="2"/>
        <v>64</v>
      </c>
      <c r="E127" s="47">
        <v>34.977751237795431</v>
      </c>
    </row>
    <row r="128" spans="2:5" x14ac:dyDescent="0.3">
      <c r="B128" s="43">
        <v>65</v>
      </c>
      <c r="C128" s="47">
        <v>84.332332271178998</v>
      </c>
      <c r="D128" s="43">
        <f t="shared" si="2"/>
        <v>65</v>
      </c>
      <c r="E128" s="47">
        <v>49.158395668763376</v>
      </c>
    </row>
    <row r="129" spans="2:5" x14ac:dyDescent="0.3">
      <c r="B129" s="43">
        <v>66</v>
      </c>
      <c r="C129" s="47">
        <v>146.73825460920438</v>
      </c>
      <c r="D129" s="43">
        <f t="shared" si="2"/>
        <v>66</v>
      </c>
      <c r="E129" s="47">
        <v>376.18510497693779</v>
      </c>
    </row>
    <row r="130" spans="2:5" x14ac:dyDescent="0.3">
      <c r="B130" s="43">
        <v>67</v>
      </c>
      <c r="C130" s="47">
        <v>-85.455103163260588</v>
      </c>
      <c r="D130" s="43">
        <f t="shared" ref="D130:D193" si="3">B130</f>
        <v>67</v>
      </c>
      <c r="E130" s="47">
        <v>235.42392557606973</v>
      </c>
    </row>
    <row r="131" spans="2:5" x14ac:dyDescent="0.3">
      <c r="B131" s="43">
        <v>68</v>
      </c>
      <c r="C131" s="47">
        <v>150.79197711410208</v>
      </c>
      <c r="D131" s="43">
        <f t="shared" si="3"/>
        <v>68</v>
      </c>
      <c r="E131" s="47">
        <v>-113.12133614062796</v>
      </c>
    </row>
    <row r="132" spans="2:5" x14ac:dyDescent="0.3">
      <c r="B132" s="43">
        <v>69</v>
      </c>
      <c r="C132" s="47">
        <v>174.14518425339025</v>
      </c>
      <c r="D132" s="43">
        <f t="shared" si="3"/>
        <v>69</v>
      </c>
      <c r="E132" s="47">
        <v>262.07316177611574</v>
      </c>
    </row>
    <row r="133" spans="2:5" x14ac:dyDescent="0.3">
      <c r="B133" s="43">
        <v>70</v>
      </c>
      <c r="C133" s="47">
        <v>69.952767556788672</v>
      </c>
      <c r="D133" s="43">
        <f t="shared" si="3"/>
        <v>70</v>
      </c>
      <c r="E133" s="47">
        <v>91.842463028298113</v>
      </c>
    </row>
    <row r="134" spans="2:5" x14ac:dyDescent="0.3">
      <c r="B134" s="43">
        <v>71</v>
      </c>
      <c r="C134" s="47">
        <v>92.620843667769165</v>
      </c>
      <c r="D134" s="43">
        <f t="shared" si="3"/>
        <v>71</v>
      </c>
      <c r="E134" s="47">
        <v>-201.97269609165997</v>
      </c>
    </row>
    <row r="135" spans="2:5" x14ac:dyDescent="0.3">
      <c r="B135" s="43">
        <v>72</v>
      </c>
      <c r="C135" s="47">
        <v>138.60306830236135</v>
      </c>
      <c r="D135" s="43">
        <f t="shared" si="3"/>
        <v>72</v>
      </c>
      <c r="E135" s="47">
        <v>-39.534268712646359</v>
      </c>
    </row>
    <row r="136" spans="2:5" x14ac:dyDescent="0.3">
      <c r="B136" s="43">
        <v>73</v>
      </c>
      <c r="C136" s="47">
        <v>121.67864619179025</v>
      </c>
      <c r="D136" s="43">
        <f t="shared" si="3"/>
        <v>73</v>
      </c>
      <c r="E136" s="47">
        <v>16.373138336890644</v>
      </c>
    </row>
    <row r="137" spans="2:5" x14ac:dyDescent="0.3">
      <c r="B137" s="43">
        <v>74</v>
      </c>
      <c r="C137" s="47">
        <v>124.32259951845556</v>
      </c>
      <c r="D137" s="43">
        <f t="shared" si="3"/>
        <v>74</v>
      </c>
      <c r="E137" s="47">
        <v>222.91244805254897</v>
      </c>
    </row>
    <row r="138" spans="2:5" x14ac:dyDescent="0.3">
      <c r="B138" s="43">
        <v>75</v>
      </c>
      <c r="C138" s="47">
        <v>80.298696569155396</v>
      </c>
      <c r="D138" s="43">
        <f t="shared" si="3"/>
        <v>75</v>
      </c>
      <c r="E138" s="47">
        <v>272.15969293166006</v>
      </c>
    </row>
    <row r="139" spans="2:5" x14ac:dyDescent="0.3">
      <c r="B139" s="43">
        <v>76</v>
      </c>
      <c r="C139" s="47">
        <v>132.02646747559319</v>
      </c>
      <c r="D139" s="43">
        <f t="shared" si="3"/>
        <v>76</v>
      </c>
      <c r="E139" s="47">
        <v>72.206245929738316</v>
      </c>
    </row>
    <row r="140" spans="2:5" x14ac:dyDescent="0.3">
      <c r="B140" s="43">
        <v>77</v>
      </c>
      <c r="C140" s="47">
        <v>50.820143888468223</v>
      </c>
      <c r="D140" s="43">
        <f t="shared" si="3"/>
        <v>77</v>
      </c>
      <c r="E140" s="47">
        <v>296.2178453856983</v>
      </c>
    </row>
    <row r="141" spans="2:5" x14ac:dyDescent="0.3">
      <c r="B141" s="43">
        <v>78</v>
      </c>
      <c r="C141" s="47">
        <v>144.18166300185777</v>
      </c>
      <c r="D141" s="43">
        <f t="shared" si="3"/>
        <v>78</v>
      </c>
      <c r="E141" s="47">
        <v>-16.860642471446038</v>
      </c>
    </row>
    <row r="142" spans="2:5" x14ac:dyDescent="0.3">
      <c r="B142" s="43">
        <v>79</v>
      </c>
      <c r="C142" s="47">
        <v>126.38315390716431</v>
      </c>
      <c r="D142" s="43">
        <f t="shared" si="3"/>
        <v>79</v>
      </c>
      <c r="E142" s="47">
        <v>9.326200175007088</v>
      </c>
    </row>
    <row r="143" spans="2:5" x14ac:dyDescent="0.3">
      <c r="B143" s="43">
        <v>80</v>
      </c>
      <c r="C143" s="47">
        <v>-15.448493534131606</v>
      </c>
      <c r="D143" s="43">
        <f t="shared" si="3"/>
        <v>80</v>
      </c>
      <c r="E143" s="47">
        <v>19.412730389443155</v>
      </c>
    </row>
    <row r="144" spans="2:5" x14ac:dyDescent="0.3">
      <c r="B144" s="43">
        <v>81</v>
      </c>
      <c r="C144" s="47">
        <v>131.08477532389844</v>
      </c>
      <c r="D144" s="43">
        <f t="shared" si="3"/>
        <v>81</v>
      </c>
      <c r="E144" s="47">
        <v>155.50489623292913</v>
      </c>
    </row>
    <row r="145" spans="2:5" x14ac:dyDescent="0.3">
      <c r="B145" s="43">
        <v>82</v>
      </c>
      <c r="C145" s="47">
        <v>73.77076690160024</v>
      </c>
      <c r="D145" s="43">
        <f t="shared" si="3"/>
        <v>82</v>
      </c>
      <c r="E145" s="47">
        <v>301.70999832232485</v>
      </c>
    </row>
    <row r="146" spans="2:5" x14ac:dyDescent="0.3">
      <c r="B146" s="43">
        <v>83</v>
      </c>
      <c r="C146" s="47">
        <v>113.29893066231116</v>
      </c>
      <c r="D146" s="43">
        <f t="shared" si="3"/>
        <v>83</v>
      </c>
      <c r="E146" s="47">
        <v>209.02899336232014</v>
      </c>
    </row>
    <row r="147" spans="2:5" x14ac:dyDescent="0.3">
      <c r="B147" s="43">
        <v>84</v>
      </c>
      <c r="C147" s="47">
        <v>96.724590213019582</v>
      </c>
      <c r="D147" s="43">
        <f t="shared" si="3"/>
        <v>84</v>
      </c>
      <c r="E147" s="47">
        <v>167.7859068665669</v>
      </c>
    </row>
    <row r="148" spans="2:5" x14ac:dyDescent="0.3">
      <c r="B148" s="43">
        <v>85</v>
      </c>
      <c r="C148" s="47">
        <v>164.42499064606048</v>
      </c>
      <c r="D148" s="43">
        <f t="shared" si="3"/>
        <v>85</v>
      </c>
      <c r="E148" s="47">
        <v>-44.359308412323067</v>
      </c>
    </row>
    <row r="149" spans="2:5" x14ac:dyDescent="0.3">
      <c r="B149" s="43">
        <v>86</v>
      </c>
      <c r="C149" s="47">
        <v>-75.81325776174063</v>
      </c>
      <c r="D149" s="43">
        <f t="shared" si="3"/>
        <v>86</v>
      </c>
      <c r="E149" s="47">
        <v>48.653325677070583</v>
      </c>
    </row>
    <row r="150" spans="2:5" x14ac:dyDescent="0.3">
      <c r="B150" s="43">
        <v>87</v>
      </c>
      <c r="C150" s="47">
        <v>127.26022046669998</v>
      </c>
      <c r="D150" s="43">
        <f t="shared" si="3"/>
        <v>87</v>
      </c>
      <c r="E150" s="47">
        <v>85.231761031136074</v>
      </c>
    </row>
    <row r="151" spans="2:5" x14ac:dyDescent="0.3">
      <c r="B151" s="43">
        <v>88</v>
      </c>
      <c r="C151" s="47">
        <v>23.258510723343441</v>
      </c>
      <c r="D151" s="43">
        <f t="shared" si="3"/>
        <v>88</v>
      </c>
      <c r="E151" s="47">
        <v>474.23669400860371</v>
      </c>
    </row>
    <row r="152" spans="2:5" x14ac:dyDescent="0.3">
      <c r="B152" s="43">
        <v>89</v>
      </c>
      <c r="C152" s="47">
        <v>94.297341598859504</v>
      </c>
      <c r="D152" s="43">
        <f t="shared" si="3"/>
        <v>89</v>
      </c>
      <c r="E152" s="47">
        <v>-373.49418620686595</v>
      </c>
    </row>
    <row r="153" spans="2:5" x14ac:dyDescent="0.3">
      <c r="B153" s="43">
        <v>90</v>
      </c>
      <c r="C153" s="47">
        <v>4.6725007301115209</v>
      </c>
      <c r="D153" s="43">
        <f t="shared" si="3"/>
        <v>90</v>
      </c>
      <c r="E153" s="47">
        <v>69.677856433088522</v>
      </c>
    </row>
    <row r="154" spans="2:5" x14ac:dyDescent="0.3">
      <c r="B154" s="43">
        <v>91</v>
      </c>
      <c r="C154" s="47">
        <v>117.37038073312749</v>
      </c>
      <c r="D154" s="43">
        <f t="shared" si="3"/>
        <v>91</v>
      </c>
      <c r="E154" s="47">
        <v>195.18226263828225</v>
      </c>
    </row>
    <row r="155" spans="2:5" x14ac:dyDescent="0.3">
      <c r="B155" s="43">
        <v>92</v>
      </c>
      <c r="C155" s="47">
        <v>92.542606639247268</v>
      </c>
      <c r="D155" s="43">
        <f t="shared" si="3"/>
        <v>92</v>
      </c>
      <c r="E155" s="47">
        <v>213.48629725258132</v>
      </c>
    </row>
    <row r="156" spans="2:5" x14ac:dyDescent="0.3">
      <c r="B156" s="43">
        <v>93</v>
      </c>
      <c r="C156" s="47">
        <v>122.04860506594272</v>
      </c>
      <c r="D156" s="43">
        <f t="shared" si="3"/>
        <v>93</v>
      </c>
      <c r="E156" s="47">
        <v>222.37458701316436</v>
      </c>
    </row>
    <row r="157" spans="2:5" x14ac:dyDescent="0.3">
      <c r="B157" s="43">
        <v>94</v>
      </c>
      <c r="C157" s="47">
        <v>103.96589481462736</v>
      </c>
      <c r="D157" s="43">
        <f t="shared" si="3"/>
        <v>94</v>
      </c>
      <c r="E157" s="47">
        <v>66.133668508079651</v>
      </c>
    </row>
    <row r="158" spans="2:5" x14ac:dyDescent="0.3">
      <c r="B158" s="43">
        <v>95</v>
      </c>
      <c r="C158" s="47">
        <v>142.07169776362909</v>
      </c>
      <c r="D158" s="43">
        <f t="shared" si="3"/>
        <v>95</v>
      </c>
      <c r="E158" s="47">
        <v>267.49627345849518</v>
      </c>
    </row>
    <row r="159" spans="2:5" x14ac:dyDescent="0.3">
      <c r="B159" s="43">
        <v>96</v>
      </c>
      <c r="C159" s="47">
        <v>-33.571243318143459</v>
      </c>
      <c r="D159" s="43">
        <f t="shared" si="3"/>
        <v>96</v>
      </c>
      <c r="E159" s="47">
        <v>454.1845260229743</v>
      </c>
    </row>
    <row r="160" spans="2:5" x14ac:dyDescent="0.3">
      <c r="B160" s="43">
        <v>97</v>
      </c>
      <c r="C160" s="47">
        <v>142.97047439106581</v>
      </c>
      <c r="D160" s="43">
        <f t="shared" si="3"/>
        <v>97</v>
      </c>
      <c r="E160" s="47">
        <v>-38.086147549021689</v>
      </c>
    </row>
    <row r="161" spans="2:5" x14ac:dyDescent="0.3">
      <c r="B161" s="43">
        <v>98</v>
      </c>
      <c r="C161" s="47">
        <v>-157.91930047681919</v>
      </c>
      <c r="D161" s="43">
        <f t="shared" si="3"/>
        <v>98</v>
      </c>
      <c r="E161" s="47">
        <v>160.57371447844741</v>
      </c>
    </row>
    <row r="162" spans="2:5" x14ac:dyDescent="0.3">
      <c r="B162" s="43">
        <v>99</v>
      </c>
      <c r="C162" s="47">
        <v>125.31047575280016</v>
      </c>
      <c r="D162" s="43">
        <f t="shared" si="3"/>
        <v>99</v>
      </c>
      <c r="E162" s="47">
        <v>359.76662159915628</v>
      </c>
    </row>
    <row r="163" spans="2:5" x14ac:dyDescent="0.3">
      <c r="B163" s="43">
        <v>100</v>
      </c>
      <c r="C163" s="47">
        <v>97.13689273323692</v>
      </c>
      <c r="D163" s="43">
        <f t="shared" si="3"/>
        <v>100</v>
      </c>
      <c r="E163" s="47">
        <v>237.98976994034373</v>
      </c>
    </row>
    <row r="164" spans="2:5" x14ac:dyDescent="0.3">
      <c r="B164" s="43">
        <v>101</v>
      </c>
      <c r="C164" s="47">
        <v>259.7849473168294</v>
      </c>
      <c r="D164" s="43">
        <f t="shared" si="3"/>
        <v>101</v>
      </c>
      <c r="E164" s="47">
        <v>115.78329369358195</v>
      </c>
    </row>
    <row r="165" spans="2:5" x14ac:dyDescent="0.3">
      <c r="B165" s="43">
        <v>102</v>
      </c>
      <c r="C165" s="47">
        <v>88.96069843754475</v>
      </c>
      <c r="D165" s="43">
        <f t="shared" si="3"/>
        <v>102</v>
      </c>
      <c r="E165" s="47">
        <v>391.65490586883755</v>
      </c>
    </row>
    <row r="166" spans="2:5" x14ac:dyDescent="0.3">
      <c r="B166" s="43">
        <v>103</v>
      </c>
      <c r="C166" s="47">
        <v>178.14013848239262</v>
      </c>
      <c r="D166" s="43">
        <f t="shared" si="3"/>
        <v>103</v>
      </c>
      <c r="E166" s="47">
        <v>140.84952675715346</v>
      </c>
    </row>
    <row r="167" spans="2:5" x14ac:dyDescent="0.3">
      <c r="B167" s="43">
        <v>104</v>
      </c>
      <c r="C167" s="47">
        <v>82.955110909063521</v>
      </c>
      <c r="D167" s="43">
        <f t="shared" si="3"/>
        <v>104</v>
      </c>
      <c r="E167" s="47">
        <v>57.528196782670328</v>
      </c>
    </row>
    <row r="168" spans="2:5" x14ac:dyDescent="0.3">
      <c r="B168" s="43">
        <v>105</v>
      </c>
      <c r="C168" s="47">
        <v>75.557413912195642</v>
      </c>
      <c r="D168" s="43">
        <f t="shared" si="3"/>
        <v>105</v>
      </c>
      <c r="E168" s="47">
        <v>387.02941989730664</v>
      </c>
    </row>
    <row r="169" spans="2:5" x14ac:dyDescent="0.3">
      <c r="B169" s="43">
        <v>106</v>
      </c>
      <c r="C169" s="47">
        <v>107.99763004772021</v>
      </c>
      <c r="D169" s="43">
        <f t="shared" si="3"/>
        <v>106</v>
      </c>
      <c r="E169" s="47">
        <v>137.36327946198628</v>
      </c>
    </row>
    <row r="170" spans="2:5" x14ac:dyDescent="0.3">
      <c r="B170" s="43">
        <v>107</v>
      </c>
      <c r="C170" s="47">
        <v>117.41908683798258</v>
      </c>
      <c r="D170" s="43">
        <f t="shared" si="3"/>
        <v>107</v>
      </c>
      <c r="E170" s="47">
        <v>62.435398818958241</v>
      </c>
    </row>
    <row r="171" spans="2:5" x14ac:dyDescent="0.3">
      <c r="B171" s="43">
        <v>108</v>
      </c>
      <c r="C171" s="47">
        <v>63.278997497517551</v>
      </c>
      <c r="D171" s="43">
        <f t="shared" si="3"/>
        <v>108</v>
      </c>
      <c r="E171" s="47">
        <v>81.886376129612501</v>
      </c>
    </row>
    <row r="172" spans="2:5" x14ac:dyDescent="0.3">
      <c r="B172" s="43">
        <v>109</v>
      </c>
      <c r="C172" s="47">
        <v>-0.86919372796267991</v>
      </c>
      <c r="D172" s="43">
        <f t="shared" si="3"/>
        <v>109</v>
      </c>
      <c r="E172" s="47">
        <v>273.00189176073775</v>
      </c>
    </row>
    <row r="173" spans="2:5" x14ac:dyDescent="0.3">
      <c r="B173" s="43">
        <v>110</v>
      </c>
      <c r="C173" s="47">
        <v>22.123128211018937</v>
      </c>
      <c r="D173" s="43">
        <f t="shared" si="3"/>
        <v>110</v>
      </c>
      <c r="E173" s="47">
        <v>68.992807744660439</v>
      </c>
    </row>
    <row r="174" spans="2:5" x14ac:dyDescent="0.3">
      <c r="B174" s="43">
        <v>111</v>
      </c>
      <c r="C174" s="47">
        <v>96.670193381459129</v>
      </c>
      <c r="D174" s="43">
        <f t="shared" si="3"/>
        <v>111</v>
      </c>
      <c r="E174" s="47">
        <v>-68.69217841073332</v>
      </c>
    </row>
    <row r="175" spans="2:5" x14ac:dyDescent="0.3">
      <c r="B175" s="43">
        <v>112</v>
      </c>
      <c r="C175" s="47">
        <v>155.86189179157981</v>
      </c>
      <c r="D175" s="43">
        <f t="shared" si="3"/>
        <v>112</v>
      </c>
      <c r="E175" s="47">
        <v>106.13916706501668</v>
      </c>
    </row>
    <row r="176" spans="2:5" x14ac:dyDescent="0.3">
      <c r="B176" s="43">
        <v>113</v>
      </c>
      <c r="C176" s="47">
        <v>119.43421400919956</v>
      </c>
      <c r="D176" s="43">
        <f t="shared" si="3"/>
        <v>113</v>
      </c>
      <c r="E176" s="47">
        <v>66.448985557372254</v>
      </c>
    </row>
    <row r="177" spans="2:5" x14ac:dyDescent="0.3">
      <c r="B177" s="43">
        <v>114</v>
      </c>
      <c r="C177" s="47">
        <v>95.452724770132505</v>
      </c>
      <c r="D177" s="43">
        <f t="shared" si="3"/>
        <v>114</v>
      </c>
      <c r="E177" s="47">
        <v>44.044071765714662</v>
      </c>
    </row>
    <row r="178" spans="2:5" x14ac:dyDescent="0.3">
      <c r="B178" s="43">
        <v>115</v>
      </c>
      <c r="C178" s="47">
        <v>14.833348720529241</v>
      </c>
      <c r="D178" s="43">
        <f t="shared" si="3"/>
        <v>115</v>
      </c>
      <c r="E178" s="47">
        <v>288.45928630550213</v>
      </c>
    </row>
    <row r="179" spans="2:5" x14ac:dyDescent="0.3">
      <c r="B179" s="43">
        <v>116</v>
      </c>
      <c r="C179" s="47">
        <v>130.89390266022301</v>
      </c>
      <c r="D179" s="43">
        <f t="shared" si="3"/>
        <v>116</v>
      </c>
      <c r="E179" s="47">
        <v>-179.54586695788237</v>
      </c>
    </row>
    <row r="180" spans="2:5" x14ac:dyDescent="0.3">
      <c r="B180" s="43">
        <v>117</v>
      </c>
      <c r="C180" s="47">
        <v>128.67435905355947</v>
      </c>
      <c r="D180" s="43">
        <f t="shared" si="3"/>
        <v>117</v>
      </c>
      <c r="E180" s="47">
        <v>47.984786090572804</v>
      </c>
    </row>
    <row r="181" spans="2:5" x14ac:dyDescent="0.3">
      <c r="B181" s="43">
        <v>118</v>
      </c>
      <c r="C181" s="47">
        <v>136.36596247941921</v>
      </c>
      <c r="D181" s="43">
        <f t="shared" si="3"/>
        <v>118</v>
      </c>
      <c r="E181" s="47">
        <v>241.36658380300341</v>
      </c>
    </row>
    <row r="182" spans="2:5" x14ac:dyDescent="0.3">
      <c r="B182" s="43">
        <v>119</v>
      </c>
      <c r="C182" s="47">
        <v>146.24623600860323</v>
      </c>
      <c r="D182" s="43">
        <f t="shared" si="3"/>
        <v>119</v>
      </c>
      <c r="E182" s="47">
        <v>44.723431499455508</v>
      </c>
    </row>
    <row r="183" spans="2:5" x14ac:dyDescent="0.3">
      <c r="B183" s="43">
        <v>120</v>
      </c>
      <c r="C183" s="47">
        <v>216.25604684360786</v>
      </c>
      <c r="D183" s="43">
        <f t="shared" si="3"/>
        <v>120</v>
      </c>
      <c r="E183" s="47">
        <v>301.65775989675217</v>
      </c>
    </row>
    <row r="184" spans="2:5" x14ac:dyDescent="0.3">
      <c r="B184" s="43">
        <v>121</v>
      </c>
      <c r="C184" s="47">
        <v>147.17921785602044</v>
      </c>
      <c r="D184" s="43">
        <f t="shared" si="3"/>
        <v>121</v>
      </c>
      <c r="E184" s="47">
        <v>-146.34033494248212</v>
      </c>
    </row>
    <row r="185" spans="2:5" x14ac:dyDescent="0.3">
      <c r="B185" s="43">
        <v>122</v>
      </c>
      <c r="C185" s="47">
        <v>46.640041887881793</v>
      </c>
      <c r="D185" s="43">
        <f t="shared" si="3"/>
        <v>122</v>
      </c>
      <c r="E185" s="47">
        <v>274.22427773380758</v>
      </c>
    </row>
    <row r="186" spans="2:5" x14ac:dyDescent="0.3">
      <c r="B186" s="43">
        <v>123</v>
      </c>
      <c r="C186" s="47">
        <v>60.478551692061423</v>
      </c>
      <c r="D186" s="43">
        <f t="shared" si="3"/>
        <v>123</v>
      </c>
      <c r="E186" s="47">
        <v>201.163065351965</v>
      </c>
    </row>
    <row r="187" spans="2:5" x14ac:dyDescent="0.3">
      <c r="B187" s="43">
        <v>124</v>
      </c>
      <c r="C187" s="47">
        <v>81.596100242549454</v>
      </c>
      <c r="D187" s="43">
        <f t="shared" si="3"/>
        <v>124</v>
      </c>
      <c r="E187" s="47">
        <v>202.1248564914458</v>
      </c>
    </row>
    <row r="188" spans="2:5" x14ac:dyDescent="0.3">
      <c r="B188" s="43">
        <v>125</v>
      </c>
      <c r="C188" s="47">
        <v>160.94215572096127</v>
      </c>
      <c r="D188" s="43">
        <f t="shared" si="3"/>
        <v>125</v>
      </c>
      <c r="E188" s="47">
        <v>81.970603311571551</v>
      </c>
    </row>
    <row r="189" spans="2:5" x14ac:dyDescent="0.3">
      <c r="B189" s="43">
        <v>126</v>
      </c>
      <c r="C189" s="47">
        <v>142.51871496871769</v>
      </c>
      <c r="D189" s="43">
        <f t="shared" si="3"/>
        <v>126</v>
      </c>
      <c r="E189" s="47">
        <v>-194.38246110579365</v>
      </c>
    </row>
    <row r="190" spans="2:5" x14ac:dyDescent="0.3">
      <c r="B190" s="43">
        <v>127</v>
      </c>
      <c r="C190" s="47">
        <v>81.500381220162154</v>
      </c>
      <c r="D190" s="43">
        <f t="shared" si="3"/>
        <v>127</v>
      </c>
      <c r="E190" s="47">
        <v>136.88562665824284</v>
      </c>
    </row>
    <row r="191" spans="2:5" x14ac:dyDescent="0.3">
      <c r="B191" s="43">
        <v>128</v>
      </c>
      <c r="C191" s="47">
        <v>148.7712764084911</v>
      </c>
      <c r="D191" s="43">
        <f t="shared" si="3"/>
        <v>128</v>
      </c>
      <c r="E191" s="47">
        <v>242.33158909894078</v>
      </c>
    </row>
    <row r="192" spans="2:5" x14ac:dyDescent="0.3">
      <c r="B192" s="43">
        <v>129</v>
      </c>
      <c r="C192" s="47">
        <v>81.405457980499378</v>
      </c>
      <c r="D192" s="43">
        <f t="shared" si="3"/>
        <v>129</v>
      </c>
      <c r="E192" s="47">
        <v>421.15677265804254</v>
      </c>
    </row>
    <row r="193" spans="2:5" x14ac:dyDescent="0.3">
      <c r="B193" s="43">
        <v>130</v>
      </c>
      <c r="C193" s="47">
        <v>-5.4308474275099305</v>
      </c>
      <c r="D193" s="43">
        <f t="shared" si="3"/>
        <v>130</v>
      </c>
      <c r="E193" s="47">
        <v>19.361056469413121</v>
      </c>
    </row>
    <row r="194" spans="2:5" x14ac:dyDescent="0.3">
      <c r="B194" s="43">
        <v>131</v>
      </c>
      <c r="C194" s="47">
        <v>99.64151367394345</v>
      </c>
      <c r="D194" s="43">
        <f t="shared" ref="D194:D257" si="4">B194</f>
        <v>131</v>
      </c>
      <c r="E194" s="47">
        <v>411.77574323904935</v>
      </c>
    </row>
    <row r="195" spans="2:5" x14ac:dyDescent="0.3">
      <c r="B195" s="43">
        <v>132</v>
      </c>
      <c r="C195" s="47">
        <v>136.65736022862239</v>
      </c>
      <c r="D195" s="43">
        <f t="shared" si="4"/>
        <v>132</v>
      </c>
      <c r="E195" s="47">
        <v>483.70793947514801</v>
      </c>
    </row>
    <row r="196" spans="2:5" x14ac:dyDescent="0.3">
      <c r="B196" s="43">
        <v>133</v>
      </c>
      <c r="C196" s="47">
        <v>83.315362659969139</v>
      </c>
      <c r="D196" s="43">
        <f t="shared" si="4"/>
        <v>133</v>
      </c>
      <c r="E196" s="47">
        <v>178.01614975476426</v>
      </c>
    </row>
    <row r="197" spans="2:5" x14ac:dyDescent="0.3">
      <c r="B197" s="43">
        <v>134</v>
      </c>
      <c r="C197" s="47">
        <v>121.70076629135815</v>
      </c>
      <c r="D197" s="43">
        <f t="shared" si="4"/>
        <v>134</v>
      </c>
      <c r="E197" s="47">
        <v>0.92681651577340052</v>
      </c>
    </row>
    <row r="198" spans="2:5" x14ac:dyDescent="0.3">
      <c r="B198" s="43">
        <v>135</v>
      </c>
      <c r="C198" s="47">
        <v>97.367757820501311</v>
      </c>
      <c r="D198" s="43">
        <f t="shared" si="4"/>
        <v>135</v>
      </c>
      <c r="E198" s="47">
        <v>-254.53560494644981</v>
      </c>
    </row>
    <row r="199" spans="2:5" x14ac:dyDescent="0.3">
      <c r="B199" s="43">
        <v>136</v>
      </c>
      <c r="C199" s="47">
        <v>146.95853332925137</v>
      </c>
      <c r="D199" s="43">
        <f t="shared" si="4"/>
        <v>136</v>
      </c>
      <c r="E199" s="47">
        <v>-55.548914729778531</v>
      </c>
    </row>
    <row r="200" spans="2:5" x14ac:dyDescent="0.3">
      <c r="B200" s="43">
        <v>137</v>
      </c>
      <c r="C200" s="47">
        <v>21.573797602900026</v>
      </c>
      <c r="D200" s="43">
        <f t="shared" si="4"/>
        <v>137</v>
      </c>
      <c r="E200" s="47">
        <v>-2.2882820405992046</v>
      </c>
    </row>
    <row r="201" spans="2:5" x14ac:dyDescent="0.3">
      <c r="B201" s="43">
        <v>138</v>
      </c>
      <c r="C201" s="47">
        <v>108.95341944478852</v>
      </c>
      <c r="D201" s="43">
        <f t="shared" si="4"/>
        <v>138</v>
      </c>
      <c r="E201" s="47">
        <v>172.93815090799279</v>
      </c>
    </row>
    <row r="202" spans="2:5" x14ac:dyDescent="0.3">
      <c r="B202" s="43">
        <v>139</v>
      </c>
      <c r="C202" s="47">
        <v>144.33111760966258</v>
      </c>
      <c r="D202" s="43">
        <f t="shared" si="4"/>
        <v>139</v>
      </c>
      <c r="E202" s="47">
        <v>-57.335176397353941</v>
      </c>
    </row>
    <row r="203" spans="2:5" x14ac:dyDescent="0.3">
      <c r="B203" s="43">
        <v>140</v>
      </c>
      <c r="C203" s="47">
        <v>141.3133449095115</v>
      </c>
      <c r="D203" s="43">
        <f t="shared" si="4"/>
        <v>140</v>
      </c>
      <c r="E203" s="47">
        <v>113.09511035321586</v>
      </c>
    </row>
    <row r="204" spans="2:5" x14ac:dyDescent="0.3">
      <c r="B204" s="43">
        <v>141</v>
      </c>
      <c r="C204" s="47">
        <v>49.828947063543026</v>
      </c>
      <c r="D204" s="43">
        <f t="shared" si="4"/>
        <v>141</v>
      </c>
      <c r="E204" s="47">
        <v>-129.28556927613963</v>
      </c>
    </row>
    <row r="205" spans="2:5" x14ac:dyDescent="0.3">
      <c r="B205" s="43">
        <v>142</v>
      </c>
      <c r="C205" s="47">
        <v>98.431293038345913</v>
      </c>
      <c r="D205" s="43">
        <f t="shared" si="4"/>
        <v>142</v>
      </c>
      <c r="E205" s="47">
        <v>149.91640939040931</v>
      </c>
    </row>
    <row r="206" spans="2:5" x14ac:dyDescent="0.3">
      <c r="B206" s="43">
        <v>143</v>
      </c>
      <c r="C206" s="47">
        <v>22.211755195770273</v>
      </c>
      <c r="D206" s="43">
        <f t="shared" si="4"/>
        <v>143</v>
      </c>
      <c r="E206" s="47">
        <v>108.22962306171273</v>
      </c>
    </row>
    <row r="207" spans="2:5" x14ac:dyDescent="0.3">
      <c r="B207" s="43">
        <v>144</v>
      </c>
      <c r="C207" s="47">
        <v>169.57468014908994</v>
      </c>
      <c r="D207" s="43">
        <f t="shared" si="4"/>
        <v>144</v>
      </c>
      <c r="E207" s="47">
        <v>392.93347514246955</v>
      </c>
    </row>
    <row r="208" spans="2:5" x14ac:dyDescent="0.3">
      <c r="B208" s="43">
        <v>145</v>
      </c>
      <c r="C208" s="47">
        <v>44.785038070675412</v>
      </c>
      <c r="D208" s="43">
        <f t="shared" si="4"/>
        <v>145</v>
      </c>
      <c r="E208" s="47">
        <v>-35.557069723475536</v>
      </c>
    </row>
    <row r="209" spans="2:5" x14ac:dyDescent="0.3">
      <c r="B209" s="43">
        <v>146</v>
      </c>
      <c r="C209" s="47">
        <v>63.913358497085312</v>
      </c>
      <c r="D209" s="43">
        <f t="shared" si="4"/>
        <v>146</v>
      </c>
      <c r="E209" s="47">
        <v>-88.262547744832801</v>
      </c>
    </row>
    <row r="210" spans="2:5" x14ac:dyDescent="0.3">
      <c r="B210" s="43">
        <v>147</v>
      </c>
      <c r="C210" s="47">
        <v>144.55396379043822</v>
      </c>
      <c r="D210" s="43">
        <f t="shared" si="4"/>
        <v>147</v>
      </c>
      <c r="E210" s="47">
        <v>83.197047767391126</v>
      </c>
    </row>
    <row r="211" spans="2:5" x14ac:dyDescent="0.3">
      <c r="B211" s="43">
        <v>148</v>
      </c>
      <c r="C211" s="47">
        <v>137.10811914136258</v>
      </c>
      <c r="D211" s="43">
        <f t="shared" si="4"/>
        <v>148</v>
      </c>
      <c r="E211" s="47">
        <v>230.82662271413787</v>
      </c>
    </row>
    <row r="212" spans="2:5" x14ac:dyDescent="0.3">
      <c r="B212" s="43">
        <v>149</v>
      </c>
      <c r="C212" s="47">
        <v>203.43492464169327</v>
      </c>
      <c r="D212" s="43">
        <f t="shared" si="4"/>
        <v>149</v>
      </c>
      <c r="E212" s="47">
        <v>-225.17468173938545</v>
      </c>
    </row>
    <row r="213" spans="2:5" x14ac:dyDescent="0.3">
      <c r="B213" s="43">
        <v>150</v>
      </c>
      <c r="C213" s="47">
        <v>-18.277291160414496</v>
      </c>
      <c r="D213" s="43">
        <f t="shared" si="4"/>
        <v>150</v>
      </c>
      <c r="E213" s="47">
        <v>-105.35539687320269</v>
      </c>
    </row>
    <row r="214" spans="2:5" x14ac:dyDescent="0.3">
      <c r="B214" s="43">
        <v>151</v>
      </c>
      <c r="C214" s="47">
        <v>147.63345333160296</v>
      </c>
      <c r="D214" s="43">
        <f t="shared" si="4"/>
        <v>151</v>
      </c>
      <c r="E214" s="47">
        <v>241.9058334884723</v>
      </c>
    </row>
    <row r="215" spans="2:5" x14ac:dyDescent="0.3">
      <c r="B215" s="43">
        <v>152</v>
      </c>
      <c r="C215" s="47">
        <v>115.49559149703566</v>
      </c>
      <c r="D215" s="43">
        <f t="shared" si="4"/>
        <v>152</v>
      </c>
      <c r="E215" s="47">
        <v>-18.479036202306215</v>
      </c>
    </row>
    <row r="216" spans="2:5" x14ac:dyDescent="0.3">
      <c r="B216" s="43">
        <v>153</v>
      </c>
      <c r="C216" s="47">
        <v>143.42786771520636</v>
      </c>
      <c r="D216" s="43">
        <f t="shared" si="4"/>
        <v>153</v>
      </c>
      <c r="E216" s="47">
        <v>524.78541214467452</v>
      </c>
    </row>
    <row r="217" spans="2:5" x14ac:dyDescent="0.3">
      <c r="B217" s="43">
        <v>154</v>
      </c>
      <c r="C217" s="47">
        <v>116.78522823761659</v>
      </c>
      <c r="D217" s="43">
        <f t="shared" si="4"/>
        <v>154</v>
      </c>
      <c r="E217" s="47">
        <v>256.30945398658116</v>
      </c>
    </row>
    <row r="218" spans="2:5" x14ac:dyDescent="0.3">
      <c r="B218" s="43">
        <v>155</v>
      </c>
      <c r="C218" s="47">
        <v>123.18133860754185</v>
      </c>
      <c r="D218" s="43">
        <f t="shared" si="4"/>
        <v>155</v>
      </c>
      <c r="E218" s="47">
        <v>200.69720031293184</v>
      </c>
    </row>
    <row r="219" spans="2:5" x14ac:dyDescent="0.3">
      <c r="B219" s="43">
        <v>156</v>
      </c>
      <c r="C219" s="47">
        <v>206.46212136487742</v>
      </c>
      <c r="D219" s="43">
        <f t="shared" si="4"/>
        <v>156</v>
      </c>
      <c r="E219" s="47">
        <v>87.567519485647907</v>
      </c>
    </row>
    <row r="220" spans="2:5" x14ac:dyDescent="0.3">
      <c r="B220" s="43">
        <v>157</v>
      </c>
      <c r="C220" s="47">
        <v>166.89309889591109</v>
      </c>
      <c r="D220" s="43">
        <f t="shared" si="4"/>
        <v>157</v>
      </c>
      <c r="E220" s="47">
        <v>-54.743430906608715</v>
      </c>
    </row>
    <row r="221" spans="2:5" x14ac:dyDescent="0.3">
      <c r="B221" s="43">
        <v>158</v>
      </c>
      <c r="C221" s="47">
        <v>144.93853285847499</v>
      </c>
      <c r="D221" s="43">
        <f t="shared" si="4"/>
        <v>158</v>
      </c>
      <c r="E221" s="47">
        <v>185.92665790415904</v>
      </c>
    </row>
    <row r="222" spans="2:5" x14ac:dyDescent="0.3">
      <c r="B222" s="43">
        <v>159</v>
      </c>
      <c r="C222" s="47">
        <v>166.25696188651995</v>
      </c>
      <c r="D222" s="43">
        <f t="shared" si="4"/>
        <v>159</v>
      </c>
      <c r="E222" s="47">
        <v>322.53289860450076</v>
      </c>
    </row>
    <row r="223" spans="2:5" x14ac:dyDescent="0.3">
      <c r="B223" s="43">
        <v>160</v>
      </c>
      <c r="C223" s="47">
        <v>43.520829041854547</v>
      </c>
      <c r="D223" s="43">
        <f t="shared" si="4"/>
        <v>160</v>
      </c>
      <c r="E223" s="47">
        <v>262.02867245882169</v>
      </c>
    </row>
    <row r="224" spans="2:5" x14ac:dyDescent="0.3">
      <c r="B224" s="43">
        <v>161</v>
      </c>
      <c r="C224" s="47">
        <v>180.5913643292603</v>
      </c>
      <c r="D224" s="43">
        <f t="shared" si="4"/>
        <v>161</v>
      </c>
      <c r="E224" s="47">
        <v>-30.897706889496298</v>
      </c>
    </row>
    <row r="225" spans="2:5" x14ac:dyDescent="0.3">
      <c r="B225" s="43">
        <v>162</v>
      </c>
      <c r="C225" s="47">
        <v>90.283526413898727</v>
      </c>
      <c r="D225" s="43">
        <f t="shared" si="4"/>
        <v>162</v>
      </c>
      <c r="E225" s="47">
        <v>-31.002454495549056</v>
      </c>
    </row>
    <row r="226" spans="2:5" x14ac:dyDescent="0.3">
      <c r="B226" s="43">
        <v>163</v>
      </c>
      <c r="C226" s="47">
        <v>9.5818952724048838</v>
      </c>
      <c r="D226" s="43">
        <f t="shared" si="4"/>
        <v>163</v>
      </c>
      <c r="E226" s="47">
        <v>114.73874652549236</v>
      </c>
    </row>
    <row r="227" spans="2:5" x14ac:dyDescent="0.3">
      <c r="B227" s="43">
        <v>164</v>
      </c>
      <c r="C227" s="47">
        <v>67.397917941841555</v>
      </c>
      <c r="D227" s="43">
        <f t="shared" si="4"/>
        <v>164</v>
      </c>
      <c r="E227" s="47">
        <v>-120.96650217221895</v>
      </c>
    </row>
    <row r="228" spans="2:5" x14ac:dyDescent="0.3">
      <c r="B228" s="43">
        <v>165</v>
      </c>
      <c r="C228" s="47">
        <v>173.24183707655203</v>
      </c>
      <c r="D228" s="43">
        <f t="shared" si="4"/>
        <v>165</v>
      </c>
      <c r="E228" s="47">
        <v>82.616984236531337</v>
      </c>
    </row>
    <row r="229" spans="2:5" x14ac:dyDescent="0.3">
      <c r="B229" s="43">
        <v>166</v>
      </c>
      <c r="C229" s="47">
        <v>104.88897758555584</v>
      </c>
      <c r="D229" s="43">
        <f t="shared" si="4"/>
        <v>166</v>
      </c>
      <c r="E229" s="47">
        <v>323.69406779783219</v>
      </c>
    </row>
    <row r="230" spans="2:5" x14ac:dyDescent="0.3">
      <c r="B230" s="43">
        <v>167</v>
      </c>
      <c r="C230" s="47">
        <v>139.18269144052857</v>
      </c>
      <c r="D230" s="43">
        <f t="shared" si="4"/>
        <v>167</v>
      </c>
      <c r="E230" s="47">
        <v>127.47681580364659</v>
      </c>
    </row>
    <row r="231" spans="2:5" x14ac:dyDescent="0.3">
      <c r="B231" s="43">
        <v>168</v>
      </c>
      <c r="C231" s="47">
        <v>78.386374331895325</v>
      </c>
      <c r="D231" s="43">
        <f t="shared" si="4"/>
        <v>168</v>
      </c>
      <c r="E231" s="47">
        <v>-72.75165635883593</v>
      </c>
    </row>
    <row r="232" spans="2:5" x14ac:dyDescent="0.3">
      <c r="B232" s="43">
        <v>169</v>
      </c>
      <c r="C232" s="47">
        <v>163.46270537440901</v>
      </c>
      <c r="D232" s="43">
        <f t="shared" si="4"/>
        <v>169</v>
      </c>
      <c r="E232" s="47">
        <v>23.262595551189225</v>
      </c>
    </row>
    <row r="233" spans="2:5" x14ac:dyDescent="0.3">
      <c r="B233" s="43">
        <v>170</v>
      </c>
      <c r="C233" s="47">
        <v>145.05264295088548</v>
      </c>
      <c r="D233" s="43">
        <f t="shared" si="4"/>
        <v>170</v>
      </c>
      <c r="E233" s="47">
        <v>95.906052216940765</v>
      </c>
    </row>
    <row r="234" spans="2:5" x14ac:dyDescent="0.3">
      <c r="B234" s="43">
        <v>171</v>
      </c>
      <c r="C234" s="47">
        <v>34.790106394276194</v>
      </c>
      <c r="D234" s="43">
        <f t="shared" si="4"/>
        <v>171</v>
      </c>
      <c r="E234" s="47">
        <v>-113.13625557329196</v>
      </c>
    </row>
    <row r="235" spans="2:5" x14ac:dyDescent="0.3">
      <c r="B235" s="43">
        <v>172</v>
      </c>
      <c r="C235" s="47">
        <v>104.8495080930102</v>
      </c>
      <c r="D235" s="43">
        <f t="shared" si="4"/>
        <v>172</v>
      </c>
      <c r="E235" s="47">
        <v>222.73805509407799</v>
      </c>
    </row>
    <row r="236" spans="2:5" x14ac:dyDescent="0.3">
      <c r="B236" s="43">
        <v>173</v>
      </c>
      <c r="C236" s="47">
        <v>107.59857237790909</v>
      </c>
      <c r="D236" s="43">
        <f t="shared" si="4"/>
        <v>173</v>
      </c>
      <c r="E236" s="47">
        <v>253.34204614458599</v>
      </c>
    </row>
    <row r="237" spans="2:5" x14ac:dyDescent="0.3">
      <c r="B237" s="43">
        <v>174</v>
      </c>
      <c r="C237" s="47">
        <v>120.36105674232526</v>
      </c>
      <c r="D237" s="43">
        <f t="shared" si="4"/>
        <v>174</v>
      </c>
      <c r="E237" s="47">
        <v>440.91755146466249</v>
      </c>
    </row>
    <row r="238" spans="2:5" x14ac:dyDescent="0.3">
      <c r="B238" s="43">
        <v>175</v>
      </c>
      <c r="C238" s="47">
        <v>164.03927117460603</v>
      </c>
      <c r="D238" s="43">
        <f t="shared" si="4"/>
        <v>175</v>
      </c>
      <c r="E238" s="47">
        <v>-490.59250790592313</v>
      </c>
    </row>
    <row r="239" spans="2:5" x14ac:dyDescent="0.3">
      <c r="B239" s="43">
        <v>176</v>
      </c>
      <c r="C239" s="47">
        <v>59.643611868543495</v>
      </c>
      <c r="D239" s="43">
        <f t="shared" si="4"/>
        <v>176</v>
      </c>
      <c r="E239" s="47">
        <v>230.0614354506834</v>
      </c>
    </row>
    <row r="240" spans="2:5" x14ac:dyDescent="0.3">
      <c r="B240" s="43">
        <v>177</v>
      </c>
      <c r="C240" s="47">
        <v>106.82732807229874</v>
      </c>
      <c r="D240" s="43">
        <f t="shared" si="4"/>
        <v>177</v>
      </c>
      <c r="E240" s="47">
        <v>172.47760938990655</v>
      </c>
    </row>
    <row r="241" spans="2:5" x14ac:dyDescent="0.3">
      <c r="B241" s="43">
        <v>178</v>
      </c>
      <c r="C241" s="47">
        <v>20.441182301388288</v>
      </c>
      <c r="D241" s="43">
        <f t="shared" si="4"/>
        <v>178</v>
      </c>
      <c r="E241" s="47">
        <v>352.39112566932647</v>
      </c>
    </row>
    <row r="242" spans="2:5" x14ac:dyDescent="0.3">
      <c r="B242" s="43">
        <v>179</v>
      </c>
      <c r="C242" s="47">
        <v>50.246807168259686</v>
      </c>
      <c r="D242" s="43">
        <f t="shared" si="4"/>
        <v>179</v>
      </c>
      <c r="E242" s="47">
        <v>116.57499324344545</v>
      </c>
    </row>
    <row r="243" spans="2:5" x14ac:dyDescent="0.3">
      <c r="B243" s="43">
        <v>180</v>
      </c>
      <c r="C243" s="47">
        <v>133.90097387334555</v>
      </c>
      <c r="D243" s="43">
        <f t="shared" si="4"/>
        <v>180</v>
      </c>
      <c r="E243" s="47">
        <v>211.49975184864692</v>
      </c>
    </row>
    <row r="244" spans="2:5" x14ac:dyDescent="0.3">
      <c r="B244" s="43">
        <v>181</v>
      </c>
      <c r="C244" s="47">
        <v>168.76811328914721</v>
      </c>
      <c r="D244" s="43">
        <f t="shared" si="4"/>
        <v>181</v>
      </c>
      <c r="E244" s="47">
        <v>203.60035662135022</v>
      </c>
    </row>
    <row r="245" spans="2:5" x14ac:dyDescent="0.3">
      <c r="B245" s="43">
        <v>182</v>
      </c>
      <c r="C245" s="47">
        <v>28.86876191065236</v>
      </c>
      <c r="D245" s="43">
        <f t="shared" si="4"/>
        <v>182</v>
      </c>
      <c r="E245" s="47">
        <v>127.03628812131255</v>
      </c>
    </row>
    <row r="246" spans="2:5" x14ac:dyDescent="0.3">
      <c r="B246" s="43">
        <v>183</v>
      </c>
      <c r="C246" s="47">
        <v>67.740032437615668</v>
      </c>
      <c r="D246" s="43">
        <f t="shared" si="4"/>
        <v>183</v>
      </c>
      <c r="E246" s="47">
        <v>176.89317577314159</v>
      </c>
    </row>
    <row r="247" spans="2:5" x14ac:dyDescent="0.3">
      <c r="B247" s="43">
        <v>184</v>
      </c>
      <c r="C247" s="47">
        <v>50.923151887701451</v>
      </c>
      <c r="D247" s="43">
        <f t="shared" si="4"/>
        <v>184</v>
      </c>
      <c r="E247" s="47">
        <v>-56.159312392898514</v>
      </c>
    </row>
    <row r="248" spans="2:5" x14ac:dyDescent="0.3">
      <c r="B248" s="43">
        <v>185</v>
      </c>
      <c r="C248" s="47">
        <v>194.27351961676456</v>
      </c>
      <c r="D248" s="43">
        <f t="shared" si="4"/>
        <v>185</v>
      </c>
      <c r="E248" s="47">
        <v>173.18825991943905</v>
      </c>
    </row>
    <row r="249" spans="2:5" x14ac:dyDescent="0.3">
      <c r="B249" s="43">
        <v>186</v>
      </c>
      <c r="C249" s="47">
        <v>215.59316280200159</v>
      </c>
      <c r="D249" s="43">
        <f t="shared" si="4"/>
        <v>186</v>
      </c>
      <c r="E249" s="47">
        <v>204.60985824730389</v>
      </c>
    </row>
    <row r="250" spans="2:5" x14ac:dyDescent="0.3">
      <c r="B250" s="43">
        <v>187</v>
      </c>
      <c r="C250" s="47">
        <v>135.31728338808955</v>
      </c>
      <c r="D250" s="43">
        <f t="shared" si="4"/>
        <v>187</v>
      </c>
      <c r="E250" s="47">
        <v>-34.565196333490121</v>
      </c>
    </row>
    <row r="251" spans="2:5" x14ac:dyDescent="0.3">
      <c r="B251" s="43">
        <v>188</v>
      </c>
      <c r="C251" s="47">
        <v>48.726963767392498</v>
      </c>
      <c r="D251" s="43">
        <f t="shared" si="4"/>
        <v>188</v>
      </c>
      <c r="E251" s="47">
        <v>250.29803472764178</v>
      </c>
    </row>
    <row r="252" spans="2:5" x14ac:dyDescent="0.3">
      <c r="B252" s="43">
        <v>189</v>
      </c>
      <c r="C252" s="47">
        <v>-36.083516432761073</v>
      </c>
      <c r="D252" s="43">
        <f t="shared" si="4"/>
        <v>189</v>
      </c>
      <c r="E252" s="47">
        <v>270.72359519222243</v>
      </c>
    </row>
    <row r="253" spans="2:5" x14ac:dyDescent="0.3">
      <c r="B253" s="43">
        <v>190</v>
      </c>
      <c r="C253" s="47">
        <v>159.8116213623519</v>
      </c>
      <c r="D253" s="43">
        <f t="shared" si="4"/>
        <v>190</v>
      </c>
      <c r="E253" s="47">
        <v>45.63135430403063</v>
      </c>
    </row>
    <row r="254" spans="2:5" x14ac:dyDescent="0.3">
      <c r="B254" s="43">
        <v>191</v>
      </c>
      <c r="C254" s="47">
        <v>127.89846652990491</v>
      </c>
      <c r="D254" s="43">
        <f t="shared" si="4"/>
        <v>191</v>
      </c>
      <c r="E254" s="47">
        <v>131.98023100192444</v>
      </c>
    </row>
    <row r="255" spans="2:5" x14ac:dyDescent="0.3">
      <c r="B255" s="43">
        <v>192</v>
      </c>
      <c r="C255" s="47">
        <v>-14.54777028601552</v>
      </c>
      <c r="D255" s="43">
        <f t="shared" si="4"/>
        <v>192</v>
      </c>
      <c r="E255" s="47">
        <v>647.95395329113501</v>
      </c>
    </row>
    <row r="256" spans="2:5" x14ac:dyDescent="0.3">
      <c r="B256" s="43">
        <v>193</v>
      </c>
      <c r="C256" s="47">
        <v>130.03578453649436</v>
      </c>
      <c r="D256" s="43">
        <f t="shared" si="4"/>
        <v>193</v>
      </c>
      <c r="E256" s="47">
        <v>420.47505349443725</v>
      </c>
    </row>
    <row r="257" spans="2:5" x14ac:dyDescent="0.3">
      <c r="B257" s="43">
        <v>194</v>
      </c>
      <c r="C257" s="47">
        <v>109.25189391460705</v>
      </c>
      <c r="D257" s="43">
        <f t="shared" si="4"/>
        <v>194</v>
      </c>
      <c r="E257" s="47">
        <v>127.52193517176438</v>
      </c>
    </row>
    <row r="258" spans="2:5" x14ac:dyDescent="0.3">
      <c r="B258" s="43">
        <v>195</v>
      </c>
      <c r="C258" s="47">
        <v>285.1382667382066</v>
      </c>
      <c r="D258" s="43">
        <f t="shared" ref="D258:D321" si="5">B258</f>
        <v>195</v>
      </c>
      <c r="E258" s="47">
        <v>262.38761908334038</v>
      </c>
    </row>
    <row r="259" spans="2:5" x14ac:dyDescent="0.3">
      <c r="B259" s="43">
        <v>196</v>
      </c>
      <c r="C259" s="47">
        <v>117.49973546501717</v>
      </c>
      <c r="D259" s="43">
        <f t="shared" si="5"/>
        <v>196</v>
      </c>
      <c r="E259" s="47">
        <v>315.99564499954289</v>
      </c>
    </row>
    <row r="260" spans="2:5" x14ac:dyDescent="0.3">
      <c r="B260" s="43">
        <v>197</v>
      </c>
      <c r="C260" s="47">
        <v>126.79407710920103</v>
      </c>
      <c r="D260" s="43">
        <f t="shared" si="5"/>
        <v>197</v>
      </c>
      <c r="E260" s="47">
        <v>374.27616810541434</v>
      </c>
    </row>
    <row r="261" spans="2:5" x14ac:dyDescent="0.3">
      <c r="B261" s="43">
        <v>198</v>
      </c>
      <c r="C261" s="47">
        <v>127.84279097775784</v>
      </c>
      <c r="D261" s="43">
        <f t="shared" si="5"/>
        <v>198</v>
      </c>
      <c r="E261" s="47">
        <v>46.54241892209825</v>
      </c>
    </row>
    <row r="262" spans="2:5" x14ac:dyDescent="0.3">
      <c r="B262" s="43">
        <v>199</v>
      </c>
      <c r="C262" s="47">
        <v>157.97067006208962</v>
      </c>
      <c r="D262" s="43">
        <f t="shared" si="5"/>
        <v>199</v>
      </c>
      <c r="E262" s="47">
        <v>449.23045079850635</v>
      </c>
    </row>
    <row r="263" spans="2:5" x14ac:dyDescent="0.3">
      <c r="B263" s="43">
        <v>200</v>
      </c>
      <c r="C263" s="47">
        <v>80.161317350573384</v>
      </c>
      <c r="D263" s="43">
        <f t="shared" si="5"/>
        <v>200</v>
      </c>
      <c r="E263" s="47">
        <v>155.21640682746425</v>
      </c>
    </row>
    <row r="264" spans="2:5" x14ac:dyDescent="0.3">
      <c r="B264" s="43">
        <v>201</v>
      </c>
      <c r="C264" s="47">
        <v>125.01755852654387</v>
      </c>
      <c r="D264" s="43">
        <f t="shared" si="5"/>
        <v>201</v>
      </c>
      <c r="E264" s="47">
        <v>368.4774715303941</v>
      </c>
    </row>
    <row r="265" spans="2:5" x14ac:dyDescent="0.3">
      <c r="B265" s="43">
        <v>202</v>
      </c>
      <c r="C265" s="47">
        <v>94.77195686898537</v>
      </c>
      <c r="D265" s="43">
        <f t="shared" si="5"/>
        <v>202</v>
      </c>
      <c r="E265" s="47">
        <v>103.52515535442694</v>
      </c>
    </row>
    <row r="266" spans="2:5" x14ac:dyDescent="0.3">
      <c r="B266" s="43">
        <v>203</v>
      </c>
      <c r="C266" s="47">
        <v>130.48402048880183</v>
      </c>
      <c r="D266" s="43">
        <f t="shared" si="5"/>
        <v>203</v>
      </c>
      <c r="E266" s="47">
        <v>264.01013288341278</v>
      </c>
    </row>
    <row r="267" spans="2:5" x14ac:dyDescent="0.3">
      <c r="B267" s="43">
        <v>204</v>
      </c>
      <c r="C267" s="47">
        <v>172.58478280262946</v>
      </c>
      <c r="D267" s="43">
        <f t="shared" si="5"/>
        <v>204</v>
      </c>
      <c r="E267" s="47">
        <v>-42.379913241930687</v>
      </c>
    </row>
    <row r="268" spans="2:5" x14ac:dyDescent="0.3">
      <c r="B268" s="43">
        <v>205</v>
      </c>
      <c r="C268" s="47">
        <v>61.214894698232079</v>
      </c>
      <c r="D268" s="43">
        <f t="shared" si="5"/>
        <v>205</v>
      </c>
      <c r="E268" s="47">
        <v>234.06118229754503</v>
      </c>
    </row>
    <row r="269" spans="2:5" x14ac:dyDescent="0.3">
      <c r="B269" s="43">
        <v>206</v>
      </c>
      <c r="C269" s="47">
        <v>35.272400278133738</v>
      </c>
      <c r="D269" s="43">
        <f t="shared" si="5"/>
        <v>206</v>
      </c>
      <c r="E269" s="47">
        <v>329.48183722348301</v>
      </c>
    </row>
    <row r="270" spans="2:5" x14ac:dyDescent="0.3">
      <c r="B270" s="43">
        <v>207</v>
      </c>
      <c r="C270" s="47">
        <v>106.91203693123589</v>
      </c>
      <c r="D270" s="43">
        <f t="shared" si="5"/>
        <v>207</v>
      </c>
      <c r="E270" s="47">
        <v>477.403943068008</v>
      </c>
    </row>
    <row r="271" spans="2:5" x14ac:dyDescent="0.3">
      <c r="B271" s="43">
        <v>208</v>
      </c>
      <c r="C271" s="47">
        <v>157.99359969427391</v>
      </c>
      <c r="D271" s="43">
        <f t="shared" si="5"/>
        <v>208</v>
      </c>
      <c r="E271" s="47">
        <v>121.47237095983243</v>
      </c>
    </row>
    <row r="272" spans="2:5" x14ac:dyDescent="0.3">
      <c r="B272" s="43">
        <v>209</v>
      </c>
      <c r="C272" s="47">
        <v>102.81023775465928</v>
      </c>
      <c r="D272" s="43">
        <f t="shared" si="5"/>
        <v>209</v>
      </c>
      <c r="E272" s="47">
        <v>-20.494928573479484</v>
      </c>
    </row>
    <row r="273" spans="2:5" x14ac:dyDescent="0.3">
      <c r="B273" s="43">
        <v>210</v>
      </c>
      <c r="C273" s="47">
        <v>117.37423168850708</v>
      </c>
      <c r="D273" s="43">
        <f t="shared" si="5"/>
        <v>210</v>
      </c>
      <c r="E273" s="47">
        <v>222.00424544141296</v>
      </c>
    </row>
    <row r="274" spans="2:5" x14ac:dyDescent="0.3">
      <c r="B274" s="43">
        <v>211</v>
      </c>
      <c r="C274" s="47">
        <v>3.6496586082732767</v>
      </c>
      <c r="D274" s="43">
        <f t="shared" si="5"/>
        <v>211</v>
      </c>
      <c r="E274" s="47">
        <v>433.3957453381862</v>
      </c>
    </row>
    <row r="275" spans="2:5" x14ac:dyDescent="0.3">
      <c r="B275" s="43">
        <v>212</v>
      </c>
      <c r="C275" s="47">
        <v>69.826996800421199</v>
      </c>
      <c r="D275" s="43">
        <f t="shared" si="5"/>
        <v>212</v>
      </c>
      <c r="E275" s="47">
        <v>188.04478687032787</v>
      </c>
    </row>
    <row r="276" spans="2:5" x14ac:dyDescent="0.3">
      <c r="B276" s="43">
        <v>213</v>
      </c>
      <c r="C276" s="47">
        <v>189.65286734205395</v>
      </c>
      <c r="D276" s="43">
        <f t="shared" si="5"/>
        <v>213</v>
      </c>
      <c r="E276" s="47">
        <v>146.41968038799507</v>
      </c>
    </row>
    <row r="277" spans="2:5" x14ac:dyDescent="0.3">
      <c r="B277" s="43">
        <v>214</v>
      </c>
      <c r="C277" s="47">
        <v>156.56731486994238</v>
      </c>
      <c r="D277" s="43">
        <f t="shared" si="5"/>
        <v>214</v>
      </c>
      <c r="E277" s="47">
        <v>153.91814652661228</v>
      </c>
    </row>
    <row r="278" spans="2:5" x14ac:dyDescent="0.3">
      <c r="B278" s="43">
        <v>215</v>
      </c>
      <c r="C278" s="47">
        <v>148.84126304941122</v>
      </c>
      <c r="D278" s="43">
        <f t="shared" si="5"/>
        <v>215</v>
      </c>
      <c r="E278" s="47">
        <v>132.33424726584542</v>
      </c>
    </row>
    <row r="279" spans="2:5" x14ac:dyDescent="0.3">
      <c r="B279" s="43">
        <v>216</v>
      </c>
      <c r="C279" s="47">
        <v>196.32001195580489</v>
      </c>
      <c r="D279" s="43">
        <f t="shared" si="5"/>
        <v>216</v>
      </c>
      <c r="E279" s="47">
        <v>119.35205033878833</v>
      </c>
    </row>
    <row r="280" spans="2:5" x14ac:dyDescent="0.3">
      <c r="B280" s="43">
        <v>217</v>
      </c>
      <c r="C280" s="47">
        <v>93.680884010397307</v>
      </c>
      <c r="D280" s="43">
        <f t="shared" si="5"/>
        <v>217</v>
      </c>
      <c r="E280" s="47">
        <v>188.58392961171342</v>
      </c>
    </row>
    <row r="281" spans="2:5" x14ac:dyDescent="0.3">
      <c r="B281" s="43">
        <v>218</v>
      </c>
      <c r="C281" s="47">
        <v>-51.956568933616609</v>
      </c>
      <c r="D281" s="43">
        <f t="shared" si="5"/>
        <v>218</v>
      </c>
      <c r="E281" s="47">
        <v>47.078354736170922</v>
      </c>
    </row>
    <row r="282" spans="2:5" x14ac:dyDescent="0.3">
      <c r="B282" s="43">
        <v>219</v>
      </c>
      <c r="C282" s="47">
        <v>65.59525616682528</v>
      </c>
      <c r="D282" s="43">
        <f t="shared" si="5"/>
        <v>219</v>
      </c>
      <c r="E282" s="47">
        <v>274.4388645338488</v>
      </c>
    </row>
    <row r="283" spans="2:5" x14ac:dyDescent="0.3">
      <c r="B283" s="43">
        <v>220</v>
      </c>
      <c r="C283" s="47">
        <v>92.77750929877638</v>
      </c>
      <c r="D283" s="43">
        <f t="shared" si="5"/>
        <v>220</v>
      </c>
      <c r="E283" s="47">
        <v>8.5212042953455907</v>
      </c>
    </row>
    <row r="284" spans="2:5" x14ac:dyDescent="0.3">
      <c r="B284" s="43">
        <v>221</v>
      </c>
      <c r="C284" s="47">
        <v>112.49054633354562</v>
      </c>
      <c r="D284" s="43">
        <f t="shared" si="5"/>
        <v>221</v>
      </c>
      <c r="E284" s="47">
        <v>61.948826898571369</v>
      </c>
    </row>
    <row r="285" spans="2:5" x14ac:dyDescent="0.3">
      <c r="B285" s="43">
        <v>222</v>
      </c>
      <c r="C285" s="47">
        <v>56.85849124663671</v>
      </c>
      <c r="D285" s="43">
        <f t="shared" si="5"/>
        <v>222</v>
      </c>
      <c r="E285" s="47">
        <v>149.49762275001839</v>
      </c>
    </row>
    <row r="286" spans="2:5" x14ac:dyDescent="0.3">
      <c r="B286" s="43">
        <v>223</v>
      </c>
      <c r="C286" s="47">
        <v>141.77066080425115</v>
      </c>
      <c r="D286" s="43">
        <f t="shared" si="5"/>
        <v>223</v>
      </c>
      <c r="E286" s="47">
        <v>286.64382890364863</v>
      </c>
    </row>
    <row r="287" spans="2:5" x14ac:dyDescent="0.3">
      <c r="B287" s="43">
        <v>224</v>
      </c>
      <c r="C287" s="47">
        <v>5.5097267136440546</v>
      </c>
      <c r="D287" s="43">
        <f t="shared" si="5"/>
        <v>224</v>
      </c>
      <c r="E287" s="47">
        <v>-82.395227785731691</v>
      </c>
    </row>
    <row r="288" spans="2:5" x14ac:dyDescent="0.3">
      <c r="B288" s="43">
        <v>225</v>
      </c>
      <c r="C288" s="47">
        <v>165.07796661767793</v>
      </c>
      <c r="D288" s="43">
        <f t="shared" si="5"/>
        <v>225</v>
      </c>
      <c r="E288" s="47">
        <v>97.286691042635638</v>
      </c>
    </row>
    <row r="289" spans="2:5" x14ac:dyDescent="0.3">
      <c r="B289" s="43">
        <v>226</v>
      </c>
      <c r="C289" s="47">
        <v>160.96598543312831</v>
      </c>
      <c r="D289" s="43">
        <f t="shared" si="5"/>
        <v>226</v>
      </c>
      <c r="E289" s="47">
        <v>168.90618681745181</v>
      </c>
    </row>
    <row r="290" spans="2:5" x14ac:dyDescent="0.3">
      <c r="B290" s="43">
        <v>227</v>
      </c>
      <c r="C290" s="47">
        <v>30.527289765856278</v>
      </c>
      <c r="D290" s="43">
        <f t="shared" si="5"/>
        <v>227</v>
      </c>
      <c r="E290" s="47">
        <v>-48.187029471912133</v>
      </c>
    </row>
    <row r="291" spans="2:5" x14ac:dyDescent="0.3">
      <c r="B291" s="43">
        <v>228</v>
      </c>
      <c r="C291" s="47">
        <v>138.98801724969712</v>
      </c>
      <c r="D291" s="43">
        <f t="shared" si="5"/>
        <v>228</v>
      </c>
      <c r="E291" s="47">
        <v>43.239731721349237</v>
      </c>
    </row>
    <row r="292" spans="2:5" x14ac:dyDescent="0.3">
      <c r="B292" s="43">
        <v>229</v>
      </c>
      <c r="C292" s="47">
        <v>125.52649925185395</v>
      </c>
      <c r="D292" s="43">
        <f t="shared" si="5"/>
        <v>229</v>
      </c>
      <c r="E292" s="47">
        <v>30.447772826821364</v>
      </c>
    </row>
    <row r="293" spans="2:5" x14ac:dyDescent="0.3">
      <c r="B293" s="43">
        <v>230</v>
      </c>
      <c r="C293" s="47">
        <v>200.44922441179898</v>
      </c>
      <c r="D293" s="43">
        <f t="shared" si="5"/>
        <v>230</v>
      </c>
      <c r="E293" s="47">
        <v>202.4654192448788</v>
      </c>
    </row>
    <row r="294" spans="2:5" x14ac:dyDescent="0.3">
      <c r="B294" s="43">
        <v>231</v>
      </c>
      <c r="C294" s="47">
        <v>151.07531202824717</v>
      </c>
      <c r="D294" s="43">
        <f t="shared" si="5"/>
        <v>231</v>
      </c>
      <c r="E294" s="47">
        <v>50.595926292765967</v>
      </c>
    </row>
    <row r="295" spans="2:5" x14ac:dyDescent="0.3">
      <c r="B295" s="43">
        <v>232</v>
      </c>
      <c r="C295" s="47">
        <v>157.3471460782356</v>
      </c>
      <c r="D295" s="43">
        <f t="shared" si="5"/>
        <v>232</v>
      </c>
      <c r="E295" s="47">
        <v>275.40093037974293</v>
      </c>
    </row>
    <row r="296" spans="2:5" x14ac:dyDescent="0.3">
      <c r="B296" s="43">
        <v>233</v>
      </c>
      <c r="C296" s="47">
        <v>145.643096831012</v>
      </c>
      <c r="D296" s="43">
        <f t="shared" si="5"/>
        <v>233</v>
      </c>
      <c r="E296" s="47">
        <v>360.79780176405296</v>
      </c>
    </row>
    <row r="297" spans="2:5" x14ac:dyDescent="0.3">
      <c r="B297" s="43">
        <v>234</v>
      </c>
      <c r="C297" s="47">
        <v>63.473613093696827</v>
      </c>
      <c r="D297" s="43">
        <f t="shared" si="5"/>
        <v>234</v>
      </c>
      <c r="E297" s="47">
        <v>-65.01189235663395</v>
      </c>
    </row>
    <row r="298" spans="2:5" x14ac:dyDescent="0.3">
      <c r="B298" s="43">
        <v>235</v>
      </c>
      <c r="C298" s="47">
        <v>113.69791697431033</v>
      </c>
      <c r="D298" s="43">
        <f t="shared" si="5"/>
        <v>235</v>
      </c>
      <c r="E298" s="47">
        <v>515.94249527022191</v>
      </c>
    </row>
    <row r="299" spans="2:5" x14ac:dyDescent="0.3">
      <c r="B299" s="43">
        <v>236</v>
      </c>
      <c r="C299" s="47">
        <v>137.90296109661338</v>
      </c>
      <c r="D299" s="43">
        <f t="shared" si="5"/>
        <v>236</v>
      </c>
      <c r="E299" s="47">
        <v>357.82653213519018</v>
      </c>
    </row>
    <row r="300" spans="2:5" x14ac:dyDescent="0.3">
      <c r="B300" s="43">
        <v>237</v>
      </c>
      <c r="C300" s="47">
        <v>137.42941115119103</v>
      </c>
      <c r="D300" s="43">
        <f t="shared" si="5"/>
        <v>237</v>
      </c>
      <c r="E300" s="47">
        <v>219.62132959539858</v>
      </c>
    </row>
    <row r="301" spans="2:5" x14ac:dyDescent="0.3">
      <c r="B301" s="43">
        <v>238</v>
      </c>
      <c r="C301" s="47">
        <v>-69.08594655009675</v>
      </c>
      <c r="D301" s="43">
        <f t="shared" si="5"/>
        <v>238</v>
      </c>
      <c r="E301" s="47">
        <v>-2.7893052785800427</v>
      </c>
    </row>
    <row r="302" spans="2:5" x14ac:dyDescent="0.3">
      <c r="B302" s="43">
        <v>239</v>
      </c>
      <c r="C302" s="47">
        <v>155.85518380151714</v>
      </c>
      <c r="D302" s="43">
        <f t="shared" si="5"/>
        <v>239</v>
      </c>
      <c r="E302" s="47">
        <v>-107.60317277025911</v>
      </c>
    </row>
    <row r="303" spans="2:5" x14ac:dyDescent="0.3">
      <c r="B303" s="43">
        <v>240</v>
      </c>
      <c r="C303" s="47">
        <v>-33.848043905545694</v>
      </c>
      <c r="D303" s="43">
        <f t="shared" si="5"/>
        <v>240</v>
      </c>
      <c r="E303" s="47">
        <v>126.41549040385515</v>
      </c>
    </row>
    <row r="304" spans="2:5" x14ac:dyDescent="0.3">
      <c r="B304" s="43">
        <v>241</v>
      </c>
      <c r="C304" s="47">
        <v>85.778832443514517</v>
      </c>
      <c r="D304" s="43">
        <f t="shared" si="5"/>
        <v>241</v>
      </c>
      <c r="E304" s="47">
        <v>253.74941198456813</v>
      </c>
    </row>
    <row r="305" spans="2:5" x14ac:dyDescent="0.3">
      <c r="B305" s="43">
        <v>242</v>
      </c>
      <c r="C305" s="47">
        <v>117.3070313362515</v>
      </c>
      <c r="D305" s="43">
        <f t="shared" si="5"/>
        <v>242</v>
      </c>
      <c r="E305" s="47">
        <v>244.84440419430052</v>
      </c>
    </row>
    <row r="306" spans="2:5" x14ac:dyDescent="0.3">
      <c r="B306" s="43">
        <v>243</v>
      </c>
      <c r="C306" s="47">
        <v>126.65584595872861</v>
      </c>
      <c r="D306" s="43">
        <f t="shared" si="5"/>
        <v>243</v>
      </c>
      <c r="E306" s="47">
        <v>189.59308724917506</v>
      </c>
    </row>
    <row r="307" spans="2:5" x14ac:dyDescent="0.3">
      <c r="B307" s="43">
        <v>244</v>
      </c>
      <c r="C307" s="47">
        <v>102.24278212812443</v>
      </c>
      <c r="D307" s="43">
        <f t="shared" si="5"/>
        <v>244</v>
      </c>
      <c r="E307" s="47">
        <v>327.8744194279638</v>
      </c>
    </row>
    <row r="308" spans="2:5" x14ac:dyDescent="0.3">
      <c r="B308" s="43">
        <v>245</v>
      </c>
      <c r="C308" s="47">
        <v>135.4163692100912</v>
      </c>
      <c r="D308" s="43">
        <f t="shared" si="5"/>
        <v>245</v>
      </c>
      <c r="E308" s="47">
        <v>-298.65730370929106</v>
      </c>
    </row>
    <row r="309" spans="2:5" x14ac:dyDescent="0.3">
      <c r="B309" s="43">
        <v>246</v>
      </c>
      <c r="C309" s="47">
        <v>-42.955362725825253</v>
      </c>
      <c r="D309" s="43">
        <f t="shared" si="5"/>
        <v>246</v>
      </c>
      <c r="E309" s="47">
        <v>57.690203312725032</v>
      </c>
    </row>
    <row r="310" spans="2:5" x14ac:dyDescent="0.3">
      <c r="B310" s="43">
        <v>247</v>
      </c>
      <c r="C310" s="47">
        <v>1.8417262817135267</v>
      </c>
      <c r="D310" s="43">
        <f t="shared" si="5"/>
        <v>247</v>
      </c>
      <c r="E310" s="47">
        <v>413.42059223453498</v>
      </c>
    </row>
    <row r="311" spans="2:5" x14ac:dyDescent="0.3">
      <c r="B311" s="43">
        <v>248</v>
      </c>
      <c r="C311" s="47">
        <v>-69.113067842636596</v>
      </c>
      <c r="D311" s="43">
        <f t="shared" si="5"/>
        <v>248</v>
      </c>
      <c r="E311" s="47">
        <v>208.47239661156019</v>
      </c>
    </row>
    <row r="312" spans="2:5" x14ac:dyDescent="0.3">
      <c r="B312" s="43">
        <v>249</v>
      </c>
      <c r="C312" s="47">
        <v>95.379810014711452</v>
      </c>
      <c r="D312" s="43">
        <f t="shared" si="5"/>
        <v>249</v>
      </c>
      <c r="E312" s="47">
        <v>-47.443982587368751</v>
      </c>
    </row>
    <row r="313" spans="2:5" x14ac:dyDescent="0.3">
      <c r="B313" s="43">
        <v>250</v>
      </c>
      <c r="C313" s="47">
        <v>106.29434875059792</v>
      </c>
      <c r="D313" s="43">
        <f t="shared" si="5"/>
        <v>250</v>
      </c>
      <c r="E313" s="47">
        <v>150.93065893267851</v>
      </c>
    </row>
    <row r="314" spans="2:5" x14ac:dyDescent="0.3">
      <c r="B314" s="43">
        <v>251</v>
      </c>
      <c r="C314" s="47">
        <v>98.564447398936139</v>
      </c>
      <c r="D314" s="43">
        <f t="shared" si="5"/>
        <v>251</v>
      </c>
      <c r="E314" s="47">
        <v>168.5324409089626</v>
      </c>
    </row>
    <row r="315" spans="2:5" x14ac:dyDescent="0.3">
      <c r="B315" s="43">
        <v>252</v>
      </c>
      <c r="C315" s="47">
        <v>103.59886033191745</v>
      </c>
      <c r="D315" s="43">
        <f t="shared" si="5"/>
        <v>252</v>
      </c>
      <c r="E315" s="47">
        <v>88.940253685016202</v>
      </c>
    </row>
    <row r="316" spans="2:5" x14ac:dyDescent="0.3">
      <c r="B316" s="43">
        <v>253</v>
      </c>
      <c r="C316" s="47">
        <v>120.21097110544008</v>
      </c>
      <c r="D316" s="43">
        <f t="shared" si="5"/>
        <v>253</v>
      </c>
      <c r="E316" s="47">
        <v>502.21806024598999</v>
      </c>
    </row>
    <row r="317" spans="2:5" x14ac:dyDescent="0.3">
      <c r="B317" s="43">
        <v>254</v>
      </c>
      <c r="C317" s="47">
        <v>159.46825593812986</v>
      </c>
      <c r="D317" s="43">
        <f t="shared" si="5"/>
        <v>254</v>
      </c>
      <c r="E317" s="47">
        <v>259.04151221914856</v>
      </c>
    </row>
    <row r="318" spans="2:5" x14ac:dyDescent="0.3">
      <c r="B318" s="43">
        <v>255</v>
      </c>
      <c r="C318" s="47">
        <v>133.46103062819026</v>
      </c>
      <c r="D318" s="43">
        <f t="shared" si="5"/>
        <v>255</v>
      </c>
      <c r="E318" s="47">
        <v>113.23830843420475</v>
      </c>
    </row>
    <row r="319" spans="2:5" x14ac:dyDescent="0.3">
      <c r="B319" s="43">
        <v>256</v>
      </c>
      <c r="C319" s="47">
        <v>107.05405190693573</v>
      </c>
      <c r="D319" s="43">
        <f t="shared" si="5"/>
        <v>256</v>
      </c>
      <c r="E319" s="47">
        <v>146.82486519686756</v>
      </c>
    </row>
    <row r="320" spans="2:5" x14ac:dyDescent="0.3">
      <c r="B320" s="43">
        <v>257</v>
      </c>
      <c r="C320" s="47">
        <v>71.385792017321606</v>
      </c>
      <c r="D320" s="43">
        <f t="shared" si="5"/>
        <v>257</v>
      </c>
      <c r="E320" s="47">
        <v>462.84681449540466</v>
      </c>
    </row>
    <row r="321" spans="2:5" x14ac:dyDescent="0.3">
      <c r="B321" s="43">
        <v>258</v>
      </c>
      <c r="C321" s="47">
        <v>133.79993535362249</v>
      </c>
      <c r="D321" s="43">
        <f t="shared" si="5"/>
        <v>258</v>
      </c>
      <c r="E321" s="47">
        <v>28.092106670705203</v>
      </c>
    </row>
    <row r="322" spans="2:5" x14ac:dyDescent="0.3">
      <c r="B322" s="43">
        <v>259</v>
      </c>
      <c r="C322" s="47">
        <v>189.80545165202733</v>
      </c>
      <c r="D322" s="43">
        <f t="shared" ref="D322:D385" si="6">B322</f>
        <v>259</v>
      </c>
      <c r="E322" s="47">
        <v>-2.9034298054708669</v>
      </c>
    </row>
    <row r="323" spans="2:5" x14ac:dyDescent="0.3">
      <c r="B323" s="43">
        <v>260</v>
      </c>
      <c r="C323" s="47">
        <v>208.40573530912016</v>
      </c>
      <c r="D323" s="43">
        <f t="shared" si="6"/>
        <v>260</v>
      </c>
      <c r="E323" s="47">
        <v>-48.93680593927845</v>
      </c>
    </row>
    <row r="324" spans="2:5" x14ac:dyDescent="0.3">
      <c r="B324" s="43">
        <v>261</v>
      </c>
      <c r="C324" s="47">
        <v>135.07895636307705</v>
      </c>
      <c r="D324" s="43">
        <f t="shared" si="6"/>
        <v>261</v>
      </c>
      <c r="E324" s="47">
        <v>-269.04331473679173</v>
      </c>
    </row>
    <row r="325" spans="2:5" x14ac:dyDescent="0.3">
      <c r="B325" s="43">
        <v>262</v>
      </c>
      <c r="C325" s="47">
        <v>129.72152162124158</v>
      </c>
      <c r="D325" s="43">
        <f t="shared" si="6"/>
        <v>262</v>
      </c>
      <c r="E325" s="47">
        <v>217.93120121677748</v>
      </c>
    </row>
    <row r="326" spans="2:5" x14ac:dyDescent="0.3">
      <c r="B326" s="43">
        <v>263</v>
      </c>
      <c r="C326" s="47">
        <v>141.67407810246158</v>
      </c>
      <c r="D326" s="43">
        <f t="shared" si="6"/>
        <v>263</v>
      </c>
      <c r="E326" s="47">
        <v>79.772467659392404</v>
      </c>
    </row>
    <row r="327" spans="2:5" x14ac:dyDescent="0.3">
      <c r="B327" s="43">
        <v>264</v>
      </c>
      <c r="C327" s="47">
        <v>116.09516863814342</v>
      </c>
      <c r="D327" s="43">
        <f t="shared" si="6"/>
        <v>264</v>
      </c>
      <c r="E327" s="47">
        <v>-44.965099429399004</v>
      </c>
    </row>
    <row r="328" spans="2:5" x14ac:dyDescent="0.3">
      <c r="B328" s="43">
        <v>265</v>
      </c>
      <c r="C328" s="47">
        <v>81.398529711594534</v>
      </c>
      <c r="D328" s="43">
        <f t="shared" si="6"/>
        <v>265</v>
      </c>
      <c r="E328" s="47">
        <v>138.70388343497766</v>
      </c>
    </row>
    <row r="329" spans="2:5" x14ac:dyDescent="0.3">
      <c r="B329" s="43">
        <v>266</v>
      </c>
      <c r="C329" s="47">
        <v>125.29401414229542</v>
      </c>
      <c r="D329" s="43">
        <f t="shared" si="6"/>
        <v>266</v>
      </c>
      <c r="E329" s="47">
        <v>121.41078608947582</v>
      </c>
    </row>
    <row r="330" spans="2:5" x14ac:dyDescent="0.3">
      <c r="B330" s="43">
        <v>267</v>
      </c>
      <c r="C330" s="47">
        <v>4.9497131717148877</v>
      </c>
      <c r="D330" s="43">
        <f t="shared" si="6"/>
        <v>267</v>
      </c>
      <c r="E330" s="47">
        <v>379.20470215296552</v>
      </c>
    </row>
    <row r="331" spans="2:5" x14ac:dyDescent="0.3">
      <c r="B331" s="43">
        <v>268</v>
      </c>
      <c r="C331" s="47">
        <v>51.587214515980349</v>
      </c>
      <c r="D331" s="43">
        <f t="shared" si="6"/>
        <v>268</v>
      </c>
      <c r="E331" s="47">
        <v>319.72264289910879</v>
      </c>
    </row>
    <row r="332" spans="2:5" x14ac:dyDescent="0.3">
      <c r="B332" s="43">
        <v>269</v>
      </c>
      <c r="C332" s="47">
        <v>83.825193031253207</v>
      </c>
      <c r="D332" s="43">
        <f t="shared" si="6"/>
        <v>269</v>
      </c>
      <c r="E332" s="47">
        <v>172.40748937207485</v>
      </c>
    </row>
    <row r="333" spans="2:5" x14ac:dyDescent="0.3">
      <c r="B333" s="43">
        <v>270</v>
      </c>
      <c r="C333" s="47">
        <v>149.7446265793248</v>
      </c>
      <c r="D333" s="43">
        <f t="shared" si="6"/>
        <v>270</v>
      </c>
      <c r="E333" s="47">
        <v>192.31184418317565</v>
      </c>
    </row>
    <row r="334" spans="2:5" x14ac:dyDescent="0.3">
      <c r="B334" s="43">
        <v>271</v>
      </c>
      <c r="C334" s="47">
        <v>123.29061632029781</v>
      </c>
      <c r="D334" s="43">
        <f t="shared" si="6"/>
        <v>271</v>
      </c>
      <c r="E334" s="47">
        <v>-188.56080918180456</v>
      </c>
    </row>
    <row r="335" spans="2:5" x14ac:dyDescent="0.3">
      <c r="B335" s="43">
        <v>272</v>
      </c>
      <c r="C335" s="47">
        <v>113.41247665001688</v>
      </c>
      <c r="D335" s="43">
        <f t="shared" si="6"/>
        <v>272</v>
      </c>
      <c r="E335" s="47">
        <v>60.649332172368148</v>
      </c>
    </row>
    <row r="336" spans="2:5" x14ac:dyDescent="0.3">
      <c r="B336" s="43">
        <v>273</v>
      </c>
      <c r="C336" s="47">
        <v>141.2823188429644</v>
      </c>
      <c r="D336" s="43">
        <f t="shared" si="6"/>
        <v>273</v>
      </c>
      <c r="E336" s="47">
        <v>76.378445332793106</v>
      </c>
    </row>
    <row r="337" spans="2:5" x14ac:dyDescent="0.3">
      <c r="B337" s="43">
        <v>274</v>
      </c>
      <c r="C337" s="47">
        <v>116.26645317247751</v>
      </c>
      <c r="D337" s="43">
        <f t="shared" si="6"/>
        <v>274</v>
      </c>
      <c r="E337" s="47">
        <v>295.26075413200431</v>
      </c>
    </row>
    <row r="338" spans="2:5" x14ac:dyDescent="0.3">
      <c r="B338" s="43">
        <v>275</v>
      </c>
      <c r="C338" s="47">
        <v>-106.07677547279943</v>
      </c>
      <c r="D338" s="43">
        <f t="shared" si="6"/>
        <v>275</v>
      </c>
      <c r="E338" s="47">
        <v>327.34277445196454</v>
      </c>
    </row>
    <row r="339" spans="2:5" x14ac:dyDescent="0.3">
      <c r="B339" s="43">
        <v>276</v>
      </c>
      <c r="C339" s="47">
        <v>132.06911195045734</v>
      </c>
      <c r="D339" s="43">
        <f t="shared" si="6"/>
        <v>276</v>
      </c>
      <c r="E339" s="47">
        <v>-56.446310304118626</v>
      </c>
    </row>
    <row r="340" spans="2:5" x14ac:dyDescent="0.3">
      <c r="B340" s="43">
        <v>277</v>
      </c>
      <c r="C340" s="47">
        <v>57.099879278026108</v>
      </c>
      <c r="D340" s="43">
        <f t="shared" si="6"/>
        <v>277</v>
      </c>
      <c r="E340" s="47">
        <v>81.949307802204117</v>
      </c>
    </row>
    <row r="341" spans="2:5" x14ac:dyDescent="0.3">
      <c r="B341" s="43">
        <v>278</v>
      </c>
      <c r="C341" s="47">
        <v>67.718564972659095</v>
      </c>
      <c r="D341" s="43">
        <f t="shared" si="6"/>
        <v>278</v>
      </c>
      <c r="E341" s="47">
        <v>112.35754866360089</v>
      </c>
    </row>
    <row r="342" spans="2:5" x14ac:dyDescent="0.3">
      <c r="B342" s="43">
        <v>279</v>
      </c>
      <c r="C342" s="47">
        <v>75.433423611135794</v>
      </c>
      <c r="D342" s="43">
        <f t="shared" si="6"/>
        <v>279</v>
      </c>
      <c r="E342" s="47">
        <v>227.71087109325595</v>
      </c>
    </row>
    <row r="343" spans="2:5" x14ac:dyDescent="0.3">
      <c r="B343" s="43">
        <v>280</v>
      </c>
      <c r="C343" s="47">
        <v>139.78054131737247</v>
      </c>
      <c r="D343" s="43">
        <f t="shared" si="6"/>
        <v>280</v>
      </c>
      <c r="E343" s="47">
        <v>165.37467195792755</v>
      </c>
    </row>
    <row r="344" spans="2:5" x14ac:dyDescent="0.3">
      <c r="B344" s="43">
        <v>281</v>
      </c>
      <c r="C344" s="47">
        <v>127.15800354797594</v>
      </c>
      <c r="D344" s="43">
        <f t="shared" si="6"/>
        <v>281</v>
      </c>
      <c r="E344" s="47">
        <v>107.00716641978849</v>
      </c>
    </row>
    <row r="345" spans="2:5" x14ac:dyDescent="0.3">
      <c r="B345" s="43">
        <v>282</v>
      </c>
      <c r="C345" s="47">
        <v>127.13102442410619</v>
      </c>
      <c r="D345" s="43">
        <f t="shared" si="6"/>
        <v>282</v>
      </c>
      <c r="E345" s="47">
        <v>168.5561411286605</v>
      </c>
    </row>
    <row r="346" spans="2:5" x14ac:dyDescent="0.3">
      <c r="B346" s="43">
        <v>283</v>
      </c>
      <c r="C346" s="47">
        <v>121.00792546143441</v>
      </c>
      <c r="D346" s="43">
        <f t="shared" si="6"/>
        <v>283</v>
      </c>
      <c r="E346" s="47">
        <v>8.6393184753584027</v>
      </c>
    </row>
    <row r="347" spans="2:5" x14ac:dyDescent="0.3">
      <c r="B347" s="43">
        <v>284</v>
      </c>
      <c r="C347" s="47">
        <v>144.84458725697903</v>
      </c>
      <c r="D347" s="43">
        <f t="shared" si="6"/>
        <v>284</v>
      </c>
      <c r="E347" s="47">
        <v>147.51670208928311</v>
      </c>
    </row>
    <row r="348" spans="2:5" x14ac:dyDescent="0.3">
      <c r="B348" s="43">
        <v>285</v>
      </c>
      <c r="C348" s="47">
        <v>58.622543181857317</v>
      </c>
      <c r="D348" s="43">
        <f t="shared" si="6"/>
        <v>285</v>
      </c>
      <c r="E348" s="47">
        <v>150.11199072863766</v>
      </c>
    </row>
    <row r="349" spans="2:5" x14ac:dyDescent="0.3">
      <c r="B349" s="43">
        <v>286</v>
      </c>
      <c r="C349" s="47">
        <v>136.04032816124888</v>
      </c>
      <c r="D349" s="43">
        <f t="shared" si="6"/>
        <v>286</v>
      </c>
      <c r="E349" s="47">
        <v>-113.33122770777636</v>
      </c>
    </row>
    <row r="350" spans="2:5" x14ac:dyDescent="0.3">
      <c r="B350" s="43">
        <v>287</v>
      </c>
      <c r="C350" s="47">
        <v>149.77587871296461</v>
      </c>
      <c r="D350" s="43">
        <f t="shared" si="6"/>
        <v>287</v>
      </c>
      <c r="E350" s="47">
        <v>-16.752026430395269</v>
      </c>
    </row>
    <row r="351" spans="2:5" x14ac:dyDescent="0.3">
      <c r="B351" s="43">
        <v>288</v>
      </c>
      <c r="C351" s="47">
        <v>4.6784988641856167</v>
      </c>
      <c r="D351" s="43">
        <f t="shared" si="6"/>
        <v>288</v>
      </c>
      <c r="E351" s="47">
        <v>89.743308869399286</v>
      </c>
    </row>
    <row r="352" spans="2:5" x14ac:dyDescent="0.3">
      <c r="B352" s="43">
        <v>289</v>
      </c>
      <c r="C352" s="47">
        <v>123.36819018546373</v>
      </c>
      <c r="D352" s="43">
        <f t="shared" si="6"/>
        <v>289</v>
      </c>
      <c r="E352" s="47">
        <v>280.76649447670462</v>
      </c>
    </row>
    <row r="353" spans="2:5" x14ac:dyDescent="0.3">
      <c r="B353" s="43">
        <v>290</v>
      </c>
      <c r="C353" s="47">
        <v>136.56153736868606</v>
      </c>
      <c r="D353" s="43">
        <f t="shared" si="6"/>
        <v>290</v>
      </c>
      <c r="E353" s="47">
        <v>-27.229651425808164</v>
      </c>
    </row>
    <row r="354" spans="2:5" x14ac:dyDescent="0.3">
      <c r="B354" s="43">
        <v>291</v>
      </c>
      <c r="C354" s="47">
        <v>79.584578293496293</v>
      </c>
      <c r="D354" s="43">
        <f t="shared" si="6"/>
        <v>291</v>
      </c>
      <c r="E354" s="47">
        <v>245.4897079848719</v>
      </c>
    </row>
    <row r="355" spans="2:5" x14ac:dyDescent="0.3">
      <c r="B355" s="43">
        <v>292</v>
      </c>
      <c r="C355" s="47">
        <v>176.78674217238279</v>
      </c>
      <c r="D355" s="43">
        <f t="shared" si="6"/>
        <v>292</v>
      </c>
      <c r="E355" s="47">
        <v>43.367222493360188</v>
      </c>
    </row>
    <row r="356" spans="2:5" x14ac:dyDescent="0.3">
      <c r="B356" s="43">
        <v>293</v>
      </c>
      <c r="C356" s="47">
        <v>116.42000792083459</v>
      </c>
      <c r="D356" s="43">
        <f t="shared" si="6"/>
        <v>293</v>
      </c>
      <c r="E356" s="47">
        <v>35.182743550598744</v>
      </c>
    </row>
    <row r="357" spans="2:5" x14ac:dyDescent="0.3">
      <c r="B357" s="43">
        <v>294</v>
      </c>
      <c r="C357" s="47">
        <v>82.619029130313507</v>
      </c>
      <c r="D357" s="43">
        <f t="shared" si="6"/>
        <v>294</v>
      </c>
      <c r="E357" s="47">
        <v>193.43497568201309</v>
      </c>
    </row>
    <row r="358" spans="2:5" x14ac:dyDescent="0.3">
      <c r="B358" s="43">
        <v>295</v>
      </c>
      <c r="C358" s="47">
        <v>92.598030176920616</v>
      </c>
      <c r="D358" s="43">
        <f t="shared" si="6"/>
        <v>295</v>
      </c>
      <c r="E358" s="47">
        <v>230.13925097141663</v>
      </c>
    </row>
    <row r="359" spans="2:5" x14ac:dyDescent="0.3">
      <c r="B359" s="43">
        <v>296</v>
      </c>
      <c r="C359" s="47">
        <v>95.895225525648215</v>
      </c>
      <c r="D359" s="43">
        <f t="shared" si="6"/>
        <v>296</v>
      </c>
      <c r="E359" s="47">
        <v>-89.740324046602908</v>
      </c>
    </row>
    <row r="360" spans="2:5" x14ac:dyDescent="0.3">
      <c r="B360" s="43">
        <v>297</v>
      </c>
      <c r="C360" s="47">
        <v>14.582043745687766</v>
      </c>
      <c r="D360" s="43">
        <f t="shared" si="6"/>
        <v>297</v>
      </c>
      <c r="E360" s="47">
        <v>312.71906017693283</v>
      </c>
    </row>
    <row r="361" spans="2:5" x14ac:dyDescent="0.3">
      <c r="B361" s="43">
        <v>298</v>
      </c>
      <c r="C361" s="47">
        <v>161.03686908318033</v>
      </c>
      <c r="D361" s="43">
        <f t="shared" si="6"/>
        <v>298</v>
      </c>
      <c r="E361" s="47">
        <v>-197.6957137033227</v>
      </c>
    </row>
    <row r="362" spans="2:5" x14ac:dyDescent="0.3">
      <c r="B362" s="43">
        <v>299</v>
      </c>
      <c r="C362" s="47">
        <v>142.67895603228598</v>
      </c>
      <c r="D362" s="43">
        <f t="shared" si="6"/>
        <v>299</v>
      </c>
      <c r="E362" s="47">
        <v>117.54111715927334</v>
      </c>
    </row>
    <row r="363" spans="2:5" x14ac:dyDescent="0.3">
      <c r="B363" s="43">
        <v>300</v>
      </c>
      <c r="C363" s="47">
        <v>150.54539195286631</v>
      </c>
      <c r="D363" s="43">
        <f t="shared" si="6"/>
        <v>300</v>
      </c>
      <c r="E363" s="47">
        <v>395.97888890838351</v>
      </c>
    </row>
    <row r="364" spans="2:5" x14ac:dyDescent="0.3">
      <c r="B364" s="43">
        <v>301</v>
      </c>
      <c r="C364" s="47">
        <v>110.62429382467265</v>
      </c>
      <c r="D364" s="43">
        <f t="shared" si="6"/>
        <v>301</v>
      </c>
      <c r="E364" s="47">
        <v>309.87498707973026</v>
      </c>
    </row>
    <row r="365" spans="2:5" x14ac:dyDescent="0.3">
      <c r="B365" s="43">
        <v>302</v>
      </c>
      <c r="C365" s="47">
        <v>118.39274128665811</v>
      </c>
      <c r="D365" s="43">
        <f t="shared" si="6"/>
        <v>302</v>
      </c>
      <c r="E365" s="47">
        <v>-129.21371982933834</v>
      </c>
    </row>
    <row r="366" spans="2:5" x14ac:dyDescent="0.3">
      <c r="B366" s="43">
        <v>303</v>
      </c>
      <c r="C366" s="47">
        <v>18.698652407131863</v>
      </c>
      <c r="D366" s="43">
        <f t="shared" si="6"/>
        <v>303</v>
      </c>
      <c r="E366" s="47">
        <v>390.47091184069228</v>
      </c>
    </row>
    <row r="367" spans="2:5" x14ac:dyDescent="0.3">
      <c r="B367" s="43">
        <v>304</v>
      </c>
      <c r="C367" s="47">
        <v>101.20420425981504</v>
      </c>
      <c r="D367" s="43">
        <f t="shared" si="6"/>
        <v>304</v>
      </c>
      <c r="E367" s="47">
        <v>49.80926705041648</v>
      </c>
    </row>
    <row r="368" spans="2:5" x14ac:dyDescent="0.3">
      <c r="B368" s="43">
        <v>305</v>
      </c>
      <c r="C368" s="47">
        <v>148.70270603787276</v>
      </c>
      <c r="D368" s="43">
        <f t="shared" si="6"/>
        <v>305</v>
      </c>
      <c r="E368" s="47">
        <v>90.337231519059031</v>
      </c>
    </row>
    <row r="369" spans="2:5" x14ac:dyDescent="0.3">
      <c r="B369" s="43">
        <v>306</v>
      </c>
      <c r="C369" s="47">
        <v>28.742139456537341</v>
      </c>
      <c r="D369" s="43">
        <f t="shared" si="6"/>
        <v>306</v>
      </c>
      <c r="E369" s="47">
        <v>217.74453623474906</v>
      </c>
    </row>
    <row r="370" spans="2:5" x14ac:dyDescent="0.3">
      <c r="B370" s="43">
        <v>307</v>
      </c>
      <c r="C370" s="47">
        <v>50.323888473368484</v>
      </c>
      <c r="D370" s="43">
        <f t="shared" si="6"/>
        <v>307</v>
      </c>
      <c r="E370" s="47">
        <v>-30.407570715012135</v>
      </c>
    </row>
    <row r="371" spans="2:5" x14ac:dyDescent="0.3">
      <c r="B371" s="43">
        <v>308</v>
      </c>
      <c r="C371" s="47">
        <v>107.77473622078946</v>
      </c>
      <c r="D371" s="43">
        <f t="shared" si="6"/>
        <v>308</v>
      </c>
      <c r="E371" s="47">
        <v>141.73564207781973</v>
      </c>
    </row>
    <row r="372" spans="2:5" x14ac:dyDescent="0.3">
      <c r="B372" s="43">
        <v>309</v>
      </c>
      <c r="C372" s="47">
        <v>94.684475295174849</v>
      </c>
      <c r="D372" s="43">
        <f t="shared" si="6"/>
        <v>309</v>
      </c>
      <c r="E372" s="47">
        <v>113.59628322771273</v>
      </c>
    </row>
    <row r="373" spans="2:5" x14ac:dyDescent="0.3">
      <c r="B373" s="43">
        <v>310</v>
      </c>
      <c r="C373" s="47">
        <v>140.01950568962349</v>
      </c>
      <c r="D373" s="43">
        <f t="shared" si="6"/>
        <v>310</v>
      </c>
      <c r="E373" s="47">
        <v>-38.013148963919853</v>
      </c>
    </row>
    <row r="374" spans="2:5" x14ac:dyDescent="0.3">
      <c r="B374" s="43">
        <v>311</v>
      </c>
      <c r="C374" s="47">
        <v>66.999398202528454</v>
      </c>
      <c r="D374" s="43">
        <f t="shared" si="6"/>
        <v>311</v>
      </c>
      <c r="E374" s="47">
        <v>202.09071801077647</v>
      </c>
    </row>
    <row r="375" spans="2:5" x14ac:dyDescent="0.3">
      <c r="B375" s="43">
        <v>312</v>
      </c>
      <c r="C375" s="47">
        <v>137.63019493823549</v>
      </c>
      <c r="D375" s="43">
        <f t="shared" si="6"/>
        <v>312</v>
      </c>
      <c r="E375" s="47">
        <v>282.05297477196098</v>
      </c>
    </row>
    <row r="376" spans="2:5" x14ac:dyDescent="0.3">
      <c r="B376" s="43">
        <v>313</v>
      </c>
      <c r="C376" s="47">
        <v>76.410186243745557</v>
      </c>
      <c r="D376" s="43">
        <f t="shared" si="6"/>
        <v>313</v>
      </c>
      <c r="E376" s="47">
        <v>24.376303851187501</v>
      </c>
    </row>
    <row r="377" spans="2:5" x14ac:dyDescent="0.3">
      <c r="B377" s="43">
        <v>314</v>
      </c>
      <c r="C377" s="47">
        <v>154.33823624467209</v>
      </c>
      <c r="D377" s="43">
        <f t="shared" si="6"/>
        <v>314</v>
      </c>
      <c r="E377" s="47">
        <v>-3.3914242472649101</v>
      </c>
    </row>
    <row r="378" spans="2:5" x14ac:dyDescent="0.3">
      <c r="B378" s="43">
        <v>315</v>
      </c>
      <c r="C378" s="47">
        <v>-36.317076985181011</v>
      </c>
      <c r="D378" s="43">
        <f t="shared" si="6"/>
        <v>315</v>
      </c>
      <c r="E378" s="47">
        <v>-126.11201626809775</v>
      </c>
    </row>
    <row r="379" spans="2:5" x14ac:dyDescent="0.3">
      <c r="B379" s="43">
        <v>316</v>
      </c>
      <c r="C379" s="47">
        <v>108.34790708305059</v>
      </c>
      <c r="D379" s="43">
        <f t="shared" si="6"/>
        <v>316</v>
      </c>
      <c r="E379" s="47">
        <v>12.021198740680303</v>
      </c>
    </row>
    <row r="380" spans="2:5" x14ac:dyDescent="0.3">
      <c r="B380" s="43">
        <v>317</v>
      </c>
      <c r="C380" s="47">
        <v>122.57594059292512</v>
      </c>
      <c r="D380" s="43">
        <f t="shared" si="6"/>
        <v>317</v>
      </c>
      <c r="E380" s="47">
        <v>102.02257613404377</v>
      </c>
    </row>
    <row r="381" spans="2:5" x14ac:dyDescent="0.3">
      <c r="B381" s="43">
        <v>318</v>
      </c>
      <c r="C381" s="47">
        <v>155.43986871877945</v>
      </c>
      <c r="D381" s="43">
        <f t="shared" si="6"/>
        <v>318</v>
      </c>
      <c r="E381" s="47">
        <v>190.63807088979024</v>
      </c>
    </row>
    <row r="382" spans="2:5" x14ac:dyDescent="0.3">
      <c r="B382" s="43">
        <v>319</v>
      </c>
      <c r="C382" s="47">
        <v>29.558359337877864</v>
      </c>
      <c r="D382" s="43">
        <f t="shared" si="6"/>
        <v>319</v>
      </c>
      <c r="E382" s="47">
        <v>127.32656249909618</v>
      </c>
    </row>
    <row r="383" spans="2:5" x14ac:dyDescent="0.3">
      <c r="B383" s="43">
        <v>320</v>
      </c>
      <c r="C383" s="47">
        <v>160.3594705163211</v>
      </c>
      <c r="D383" s="43">
        <f t="shared" si="6"/>
        <v>320</v>
      </c>
      <c r="E383" s="47">
        <v>315.35234686780194</v>
      </c>
    </row>
    <row r="384" spans="2:5" x14ac:dyDescent="0.3">
      <c r="B384" s="43">
        <v>321</v>
      </c>
      <c r="C384" s="47">
        <v>97.241136847744286</v>
      </c>
      <c r="D384" s="43">
        <f t="shared" si="6"/>
        <v>321</v>
      </c>
      <c r="E384" s="47">
        <v>133.08288085494024</v>
      </c>
    </row>
    <row r="385" spans="2:5" x14ac:dyDescent="0.3">
      <c r="B385" s="43">
        <v>322</v>
      </c>
      <c r="C385" s="47">
        <v>87.748256654558148</v>
      </c>
      <c r="D385" s="43">
        <f t="shared" si="6"/>
        <v>322</v>
      </c>
      <c r="E385" s="47">
        <v>23.254177750297394</v>
      </c>
    </row>
    <row r="386" spans="2:5" x14ac:dyDescent="0.3">
      <c r="B386" s="43">
        <v>323</v>
      </c>
      <c r="C386" s="47">
        <v>120.43838319707955</v>
      </c>
      <c r="D386" s="43">
        <f t="shared" ref="D386:D449" si="7">B386</f>
        <v>323</v>
      </c>
      <c r="E386" s="47">
        <v>197.02027195170533</v>
      </c>
    </row>
    <row r="387" spans="2:5" x14ac:dyDescent="0.3">
      <c r="B387" s="43">
        <v>324</v>
      </c>
      <c r="C387" s="47">
        <v>181.10160048197017</v>
      </c>
      <c r="D387" s="43">
        <f t="shared" si="7"/>
        <v>324</v>
      </c>
      <c r="E387" s="47">
        <v>139.1047925233849</v>
      </c>
    </row>
    <row r="388" spans="2:5" x14ac:dyDescent="0.3">
      <c r="B388" s="43">
        <v>325</v>
      </c>
      <c r="C388" s="47">
        <v>28.654552331418689</v>
      </c>
      <c r="D388" s="43">
        <f t="shared" si="7"/>
        <v>325</v>
      </c>
      <c r="E388" s="47">
        <v>5.4728445382408584</v>
      </c>
    </row>
    <row r="389" spans="2:5" x14ac:dyDescent="0.3">
      <c r="B389" s="43">
        <v>326</v>
      </c>
      <c r="C389" s="47">
        <v>121.80738519206662</v>
      </c>
      <c r="D389" s="43">
        <f t="shared" si="7"/>
        <v>326</v>
      </c>
      <c r="E389" s="47">
        <v>210.12441141552836</v>
      </c>
    </row>
    <row r="390" spans="2:5" x14ac:dyDescent="0.3">
      <c r="B390" s="43">
        <v>327</v>
      </c>
      <c r="C390" s="47">
        <v>98.413089949040625</v>
      </c>
      <c r="D390" s="43">
        <f t="shared" si="7"/>
        <v>327</v>
      </c>
      <c r="E390" s="47">
        <v>17.944342997465533</v>
      </c>
    </row>
    <row r="391" spans="2:5" x14ac:dyDescent="0.3">
      <c r="B391" s="43">
        <v>328</v>
      </c>
      <c r="C391" s="47">
        <v>84.277319723909443</v>
      </c>
      <c r="D391" s="43">
        <f t="shared" si="7"/>
        <v>328</v>
      </c>
      <c r="E391" s="47">
        <v>169.62124701192653</v>
      </c>
    </row>
    <row r="392" spans="2:5" x14ac:dyDescent="0.3">
      <c r="B392" s="43">
        <v>329</v>
      </c>
      <c r="C392" s="47">
        <v>66.071417698785609</v>
      </c>
      <c r="D392" s="43">
        <f t="shared" si="7"/>
        <v>329</v>
      </c>
      <c r="E392" s="47">
        <v>99.516487462111712</v>
      </c>
    </row>
    <row r="393" spans="2:5" x14ac:dyDescent="0.3">
      <c r="B393" s="43">
        <v>330</v>
      </c>
      <c r="C393" s="47">
        <v>54.219600613881617</v>
      </c>
      <c r="D393" s="43">
        <f t="shared" si="7"/>
        <v>330</v>
      </c>
      <c r="E393" s="47">
        <v>-106.63284096547295</v>
      </c>
    </row>
    <row r="394" spans="2:5" x14ac:dyDescent="0.3">
      <c r="B394" s="43">
        <v>331</v>
      </c>
      <c r="C394" s="47">
        <v>116.67779654433464</v>
      </c>
      <c r="D394" s="43">
        <f t="shared" si="7"/>
        <v>331</v>
      </c>
      <c r="E394" s="47">
        <v>106.65615897882239</v>
      </c>
    </row>
    <row r="395" spans="2:5" x14ac:dyDescent="0.3">
      <c r="B395" s="43">
        <v>332</v>
      </c>
      <c r="C395" s="47">
        <v>134.88416078190261</v>
      </c>
      <c r="D395" s="43">
        <f t="shared" si="7"/>
        <v>332</v>
      </c>
      <c r="E395" s="47">
        <v>196.26171340170384</v>
      </c>
    </row>
    <row r="396" spans="2:5" x14ac:dyDescent="0.3">
      <c r="B396" s="43">
        <v>333</v>
      </c>
      <c r="C396" s="47">
        <v>166.229826726032</v>
      </c>
      <c r="D396" s="43">
        <f t="shared" si="7"/>
        <v>333</v>
      </c>
      <c r="E396" s="47">
        <v>-51.298799991256281</v>
      </c>
    </row>
    <row r="397" spans="2:5" x14ac:dyDescent="0.3">
      <c r="B397" s="43">
        <v>334</v>
      </c>
      <c r="C397" s="47">
        <v>110.60555750709304</v>
      </c>
      <c r="D397" s="43">
        <f t="shared" si="7"/>
        <v>334</v>
      </c>
      <c r="E397" s="47">
        <v>109.90731502023095</v>
      </c>
    </row>
    <row r="398" spans="2:5" x14ac:dyDescent="0.3">
      <c r="B398" s="43">
        <v>335</v>
      </c>
      <c r="C398" s="47">
        <v>-6.3177051486741806</v>
      </c>
      <c r="D398" s="43">
        <f t="shared" si="7"/>
        <v>335</v>
      </c>
      <c r="E398" s="47">
        <v>130.57444908004274</v>
      </c>
    </row>
    <row r="399" spans="2:5" x14ac:dyDescent="0.3">
      <c r="B399" s="43">
        <v>336</v>
      </c>
      <c r="C399" s="47">
        <v>59.922302655714439</v>
      </c>
      <c r="D399" s="43">
        <f t="shared" si="7"/>
        <v>336</v>
      </c>
      <c r="E399" s="47">
        <v>51.486995007969426</v>
      </c>
    </row>
    <row r="400" spans="2:5" x14ac:dyDescent="0.3">
      <c r="B400" s="43">
        <v>337</v>
      </c>
      <c r="C400" s="47">
        <v>-3.0866461334614055</v>
      </c>
      <c r="D400" s="43">
        <f t="shared" si="7"/>
        <v>337</v>
      </c>
      <c r="E400" s="47">
        <v>120.26513633597685</v>
      </c>
    </row>
    <row r="401" spans="2:5" x14ac:dyDescent="0.3">
      <c r="B401" s="43">
        <v>338</v>
      </c>
      <c r="C401" s="47">
        <v>26.829358377102828</v>
      </c>
      <c r="D401" s="43">
        <f t="shared" si="7"/>
        <v>338</v>
      </c>
      <c r="E401" s="47">
        <v>329.5585794600546</v>
      </c>
    </row>
    <row r="402" spans="2:5" x14ac:dyDescent="0.3">
      <c r="B402" s="43">
        <v>339</v>
      </c>
      <c r="C402" s="47">
        <v>116.00116853016065</v>
      </c>
      <c r="D402" s="43">
        <f t="shared" si="7"/>
        <v>339</v>
      </c>
      <c r="E402" s="47">
        <v>179.97688303175457</v>
      </c>
    </row>
    <row r="403" spans="2:5" x14ac:dyDescent="0.3">
      <c r="B403" s="43">
        <v>340</v>
      </c>
      <c r="C403" s="47">
        <v>72.015019607808881</v>
      </c>
      <c r="D403" s="43">
        <f t="shared" si="7"/>
        <v>340</v>
      </c>
      <c r="E403" s="47">
        <v>51.919191324868279</v>
      </c>
    </row>
    <row r="404" spans="2:5" x14ac:dyDescent="0.3">
      <c r="B404" s="43">
        <v>341</v>
      </c>
      <c r="C404" s="47">
        <v>102.73013267346512</v>
      </c>
      <c r="D404" s="43">
        <f t="shared" si="7"/>
        <v>341</v>
      </c>
      <c r="E404" s="47">
        <v>127.56032113852102</v>
      </c>
    </row>
    <row r="405" spans="2:5" x14ac:dyDescent="0.3">
      <c r="B405" s="43">
        <v>342</v>
      </c>
      <c r="C405" s="47">
        <v>158.9033548888932</v>
      </c>
      <c r="D405" s="43">
        <f t="shared" si="7"/>
        <v>342</v>
      </c>
      <c r="E405" s="47">
        <v>62.331307119147297</v>
      </c>
    </row>
    <row r="406" spans="2:5" x14ac:dyDescent="0.3">
      <c r="B406" s="43">
        <v>343</v>
      </c>
      <c r="C406" s="47">
        <v>66.218843834812205</v>
      </c>
      <c r="D406" s="43">
        <f t="shared" si="7"/>
        <v>343</v>
      </c>
      <c r="E406" s="47">
        <v>-134.80931165931844</v>
      </c>
    </row>
    <row r="407" spans="2:5" x14ac:dyDescent="0.3">
      <c r="B407" s="43">
        <v>344</v>
      </c>
      <c r="C407" s="47">
        <v>118.64520176059338</v>
      </c>
      <c r="D407" s="43">
        <f t="shared" si="7"/>
        <v>344</v>
      </c>
      <c r="E407" s="47">
        <v>111.19592115733806</v>
      </c>
    </row>
    <row r="408" spans="2:5" x14ac:dyDescent="0.3">
      <c r="B408" s="43">
        <v>345</v>
      </c>
      <c r="C408" s="47">
        <v>112.52554766490807</v>
      </c>
      <c r="D408" s="43">
        <f t="shared" si="7"/>
        <v>345</v>
      </c>
      <c r="E408" s="47">
        <v>201.00985327048457</v>
      </c>
    </row>
    <row r="409" spans="2:5" x14ac:dyDescent="0.3">
      <c r="B409" s="43">
        <v>346</v>
      </c>
      <c r="C409" s="47">
        <v>170.37942045520367</v>
      </c>
      <c r="D409" s="43">
        <f t="shared" si="7"/>
        <v>346</v>
      </c>
      <c r="E409" s="47">
        <v>258.16797417186427</v>
      </c>
    </row>
    <row r="410" spans="2:5" x14ac:dyDescent="0.3">
      <c r="B410" s="43">
        <v>347</v>
      </c>
      <c r="C410" s="47">
        <v>175.85328669840902</v>
      </c>
      <c r="D410" s="43">
        <f t="shared" si="7"/>
        <v>347</v>
      </c>
      <c r="E410" s="47">
        <v>292.83169581493581</v>
      </c>
    </row>
    <row r="411" spans="2:5" x14ac:dyDescent="0.3">
      <c r="B411" s="43">
        <v>348</v>
      </c>
      <c r="C411" s="47">
        <v>146.5881344796382</v>
      </c>
      <c r="D411" s="43">
        <f t="shared" si="7"/>
        <v>348</v>
      </c>
      <c r="E411" s="47">
        <v>262.30835129352141</v>
      </c>
    </row>
    <row r="412" spans="2:5" x14ac:dyDescent="0.3">
      <c r="B412" s="43">
        <v>349</v>
      </c>
      <c r="C412" s="47">
        <v>126.90195873879767</v>
      </c>
      <c r="D412" s="43">
        <f t="shared" si="7"/>
        <v>349</v>
      </c>
      <c r="E412" s="47">
        <v>-120.63499663291554</v>
      </c>
    </row>
    <row r="413" spans="2:5" x14ac:dyDescent="0.3">
      <c r="B413" s="43">
        <v>350</v>
      </c>
      <c r="C413" s="47">
        <v>126.86627458230112</v>
      </c>
      <c r="D413" s="43">
        <f t="shared" si="7"/>
        <v>350</v>
      </c>
      <c r="E413" s="47">
        <v>110.50882869819119</v>
      </c>
    </row>
    <row r="414" spans="2:5" x14ac:dyDescent="0.3">
      <c r="B414" s="43">
        <v>351</v>
      </c>
      <c r="C414" s="47">
        <v>182.07456110947706</v>
      </c>
      <c r="D414" s="43">
        <f t="shared" si="7"/>
        <v>351</v>
      </c>
      <c r="E414" s="47">
        <v>136.49259249444407</v>
      </c>
    </row>
    <row r="415" spans="2:5" x14ac:dyDescent="0.3">
      <c r="B415" s="43">
        <v>352</v>
      </c>
      <c r="C415" s="47">
        <v>130.79864062343404</v>
      </c>
      <c r="D415" s="43">
        <f t="shared" si="7"/>
        <v>352</v>
      </c>
      <c r="E415" s="47">
        <v>113.71120882515909</v>
      </c>
    </row>
    <row r="416" spans="2:5" x14ac:dyDescent="0.3">
      <c r="B416" s="43">
        <v>353</v>
      </c>
      <c r="C416" s="47">
        <v>120.10858040883912</v>
      </c>
      <c r="D416" s="43">
        <f t="shared" si="7"/>
        <v>353</v>
      </c>
      <c r="E416" s="47">
        <v>166.3247543136045</v>
      </c>
    </row>
    <row r="417" spans="2:5" x14ac:dyDescent="0.3">
      <c r="B417" s="43">
        <v>354</v>
      </c>
      <c r="C417" s="47">
        <v>88.525872588849069</v>
      </c>
      <c r="D417" s="43">
        <f t="shared" si="7"/>
        <v>354</v>
      </c>
      <c r="E417" s="47">
        <v>410.77929384312938</v>
      </c>
    </row>
    <row r="418" spans="2:5" x14ac:dyDescent="0.3">
      <c r="B418" s="43">
        <v>355</v>
      </c>
      <c r="C418" s="47">
        <v>114.96063881451138</v>
      </c>
      <c r="D418" s="43">
        <f t="shared" si="7"/>
        <v>355</v>
      </c>
      <c r="E418" s="47">
        <v>412.8182270836698</v>
      </c>
    </row>
    <row r="419" spans="2:5" x14ac:dyDescent="0.3">
      <c r="B419" s="43">
        <v>356</v>
      </c>
      <c r="C419" s="47">
        <v>136.52043454168739</v>
      </c>
      <c r="D419" s="43">
        <f t="shared" si="7"/>
        <v>356</v>
      </c>
      <c r="E419" s="47">
        <v>195.18673570636159</v>
      </c>
    </row>
    <row r="420" spans="2:5" x14ac:dyDescent="0.3">
      <c r="B420" s="43">
        <v>357</v>
      </c>
      <c r="C420" s="47">
        <v>149.52666545107297</v>
      </c>
      <c r="D420" s="43">
        <f t="shared" si="7"/>
        <v>357</v>
      </c>
      <c r="E420" s="47">
        <v>202.74316756443983</v>
      </c>
    </row>
    <row r="421" spans="2:5" x14ac:dyDescent="0.3">
      <c r="B421" s="43">
        <v>358</v>
      </c>
      <c r="C421" s="47">
        <v>87.348154267692806</v>
      </c>
      <c r="D421" s="43">
        <f t="shared" si="7"/>
        <v>358</v>
      </c>
      <c r="E421" s="47">
        <v>239.45807326252338</v>
      </c>
    </row>
    <row r="422" spans="2:5" x14ac:dyDescent="0.3">
      <c r="B422" s="43">
        <v>359</v>
      </c>
      <c r="C422" s="47">
        <v>72.963552195264896</v>
      </c>
      <c r="D422" s="43">
        <f t="shared" si="7"/>
        <v>359</v>
      </c>
      <c r="E422" s="47">
        <v>318.21405880841104</v>
      </c>
    </row>
    <row r="423" spans="2:5" x14ac:dyDescent="0.3">
      <c r="B423" s="43">
        <v>360</v>
      </c>
      <c r="C423" s="47">
        <v>112.7089222964488</v>
      </c>
      <c r="D423" s="43">
        <f t="shared" si="7"/>
        <v>360</v>
      </c>
      <c r="E423" s="47">
        <v>140.70314622691541</v>
      </c>
    </row>
    <row r="424" spans="2:5" x14ac:dyDescent="0.3">
      <c r="B424" s="43">
        <v>361</v>
      </c>
      <c r="C424" s="47">
        <v>58.506355491244491</v>
      </c>
      <c r="D424" s="43">
        <f t="shared" si="7"/>
        <v>361</v>
      </c>
      <c r="E424" s="47">
        <v>1.0488238474279472</v>
      </c>
    </row>
    <row r="425" spans="2:5" x14ac:dyDescent="0.3">
      <c r="B425" s="43">
        <v>362</v>
      </c>
      <c r="C425" s="47">
        <v>34.226362599743027</v>
      </c>
      <c r="D425" s="43">
        <f t="shared" si="7"/>
        <v>362</v>
      </c>
      <c r="E425" s="47">
        <v>68.447139179527284</v>
      </c>
    </row>
    <row r="426" spans="2:5" x14ac:dyDescent="0.3">
      <c r="B426" s="43">
        <v>363</v>
      </c>
      <c r="C426" s="47">
        <v>93.024165653667268</v>
      </c>
      <c r="D426" s="43">
        <f t="shared" si="7"/>
        <v>363</v>
      </c>
      <c r="E426" s="47">
        <v>173.14871676862657</v>
      </c>
    </row>
    <row r="427" spans="2:5" x14ac:dyDescent="0.3">
      <c r="B427" s="43">
        <v>364</v>
      </c>
      <c r="C427" s="47">
        <v>107.41914351723656</v>
      </c>
      <c r="D427" s="43">
        <f t="shared" si="7"/>
        <v>364</v>
      </c>
      <c r="E427" s="47">
        <v>-113.15339586538758</v>
      </c>
    </row>
    <row r="428" spans="2:5" x14ac:dyDescent="0.3">
      <c r="B428" s="43">
        <v>365</v>
      </c>
      <c r="C428" s="47">
        <v>208.21947393709542</v>
      </c>
      <c r="D428" s="43">
        <f t="shared" si="7"/>
        <v>365</v>
      </c>
      <c r="E428" s="47">
        <v>332.53624042342733</v>
      </c>
    </row>
    <row r="429" spans="2:5" x14ac:dyDescent="0.3">
      <c r="B429" s="43">
        <v>366</v>
      </c>
      <c r="C429" s="47">
        <v>165.19843456452045</v>
      </c>
      <c r="D429" s="43">
        <f t="shared" si="7"/>
        <v>366</v>
      </c>
      <c r="E429" s="47">
        <v>118.20198557119741</v>
      </c>
    </row>
    <row r="430" spans="2:5" x14ac:dyDescent="0.3">
      <c r="B430" s="43">
        <v>367</v>
      </c>
      <c r="C430" s="47">
        <v>58.241788011335686</v>
      </c>
      <c r="D430" s="43">
        <f t="shared" si="7"/>
        <v>367</v>
      </c>
      <c r="E430" s="47">
        <v>446.332912381141</v>
      </c>
    </row>
    <row r="431" spans="2:5" x14ac:dyDescent="0.3">
      <c r="B431" s="43">
        <v>368</v>
      </c>
      <c r="C431" s="47">
        <v>190.59412661433817</v>
      </c>
      <c r="D431" s="43">
        <f t="shared" si="7"/>
        <v>368</v>
      </c>
      <c r="E431" s="47">
        <v>445.4950617412577</v>
      </c>
    </row>
    <row r="432" spans="2:5" x14ac:dyDescent="0.3">
      <c r="B432" s="43">
        <v>369</v>
      </c>
      <c r="C432" s="47">
        <v>98.792865445892915</v>
      </c>
      <c r="D432" s="43">
        <f t="shared" si="7"/>
        <v>369</v>
      </c>
      <c r="E432" s="47">
        <v>357.83734602117607</v>
      </c>
    </row>
    <row r="433" spans="2:5" x14ac:dyDescent="0.3">
      <c r="B433" s="43">
        <v>370</v>
      </c>
      <c r="C433" s="47">
        <v>96.060571777537504</v>
      </c>
      <c r="D433" s="43">
        <f t="shared" si="7"/>
        <v>370</v>
      </c>
      <c r="E433" s="47">
        <v>40.438140726687131</v>
      </c>
    </row>
    <row r="434" spans="2:5" x14ac:dyDescent="0.3">
      <c r="B434" s="43">
        <v>371</v>
      </c>
      <c r="C434" s="47">
        <v>142.43813088664101</v>
      </c>
      <c r="D434" s="43">
        <f t="shared" si="7"/>
        <v>371</v>
      </c>
      <c r="E434" s="47">
        <v>-200.80600201062373</v>
      </c>
    </row>
    <row r="435" spans="2:5" x14ac:dyDescent="0.3">
      <c r="B435" s="43">
        <v>372</v>
      </c>
      <c r="C435" s="47">
        <v>122.3153390302917</v>
      </c>
      <c r="D435" s="43">
        <f t="shared" si="7"/>
        <v>372</v>
      </c>
      <c r="E435" s="47">
        <v>247.21230540057627</v>
      </c>
    </row>
    <row r="436" spans="2:5" x14ac:dyDescent="0.3">
      <c r="B436" s="43">
        <v>373</v>
      </c>
      <c r="C436" s="47">
        <v>224.58593528898899</v>
      </c>
      <c r="D436" s="43">
        <f t="shared" si="7"/>
        <v>373</v>
      </c>
      <c r="E436" s="47">
        <v>319.35190347395388</v>
      </c>
    </row>
    <row r="437" spans="2:5" x14ac:dyDescent="0.3">
      <c r="B437" s="43">
        <v>374</v>
      </c>
      <c r="C437" s="47">
        <v>119.88371092145704</v>
      </c>
      <c r="D437" s="43">
        <f t="shared" si="7"/>
        <v>374</v>
      </c>
      <c r="E437" s="47">
        <v>102.99601260646367</v>
      </c>
    </row>
    <row r="438" spans="2:5" x14ac:dyDescent="0.3">
      <c r="B438" s="43">
        <v>375</v>
      </c>
      <c r="C438" s="47">
        <v>138.79770975989848</v>
      </c>
      <c r="D438" s="43">
        <f t="shared" si="7"/>
        <v>375</v>
      </c>
      <c r="E438" s="47">
        <v>-79.826791650587367</v>
      </c>
    </row>
    <row r="439" spans="2:5" x14ac:dyDescent="0.3">
      <c r="B439" s="43">
        <v>376</v>
      </c>
      <c r="C439" s="47">
        <v>80.640891659450844</v>
      </c>
      <c r="D439" s="43">
        <f t="shared" si="7"/>
        <v>376</v>
      </c>
      <c r="E439" s="47">
        <v>47.111096674940754</v>
      </c>
    </row>
    <row r="440" spans="2:5" x14ac:dyDescent="0.3">
      <c r="B440" s="43">
        <v>377</v>
      </c>
      <c r="C440" s="47">
        <v>210.63623409491487</v>
      </c>
      <c r="D440" s="43">
        <f t="shared" si="7"/>
        <v>377</v>
      </c>
      <c r="E440" s="47">
        <v>558.67781702796231</v>
      </c>
    </row>
    <row r="441" spans="2:5" x14ac:dyDescent="0.3">
      <c r="B441" s="43">
        <v>378</v>
      </c>
      <c r="C441" s="47">
        <v>144.34796865889251</v>
      </c>
      <c r="D441" s="43">
        <f t="shared" si="7"/>
        <v>378</v>
      </c>
      <c r="E441" s="47">
        <v>-133.16253655327952</v>
      </c>
    </row>
    <row r="442" spans="2:5" x14ac:dyDescent="0.3">
      <c r="B442" s="43">
        <v>379</v>
      </c>
      <c r="C442" s="47">
        <v>113.97447939216811</v>
      </c>
      <c r="D442" s="43">
        <f t="shared" si="7"/>
        <v>379</v>
      </c>
      <c r="E442" s="47">
        <v>-42.418942535862456</v>
      </c>
    </row>
    <row r="443" spans="2:5" x14ac:dyDescent="0.3">
      <c r="B443" s="43">
        <v>380</v>
      </c>
      <c r="C443" s="47">
        <v>87.117198427950115</v>
      </c>
      <c r="D443" s="43">
        <f t="shared" si="7"/>
        <v>380</v>
      </c>
      <c r="E443" s="47">
        <v>199.25110537392101</v>
      </c>
    </row>
    <row r="444" spans="2:5" x14ac:dyDescent="0.3">
      <c r="B444" s="43">
        <v>381</v>
      </c>
      <c r="C444" s="47">
        <v>57.135292750425641</v>
      </c>
      <c r="D444" s="43">
        <f t="shared" si="7"/>
        <v>381</v>
      </c>
      <c r="E444" s="47">
        <v>-123.8448808687539</v>
      </c>
    </row>
    <row r="445" spans="2:5" x14ac:dyDescent="0.3">
      <c r="B445" s="43">
        <v>382</v>
      </c>
      <c r="C445" s="47">
        <v>159.946367626832</v>
      </c>
      <c r="D445" s="43">
        <f t="shared" si="7"/>
        <v>382</v>
      </c>
      <c r="E445" s="47">
        <v>256.18931897469565</v>
      </c>
    </row>
    <row r="446" spans="2:5" x14ac:dyDescent="0.3">
      <c r="B446" s="43">
        <v>383</v>
      </c>
      <c r="C446" s="47">
        <v>77.428991789467716</v>
      </c>
      <c r="D446" s="43">
        <f t="shared" si="7"/>
        <v>383</v>
      </c>
      <c r="E446" s="47">
        <v>99.671990293395993</v>
      </c>
    </row>
    <row r="447" spans="2:5" x14ac:dyDescent="0.3">
      <c r="B447" s="43">
        <v>384</v>
      </c>
      <c r="C447" s="47">
        <v>38.66723476357884</v>
      </c>
      <c r="D447" s="43">
        <f t="shared" si="7"/>
        <v>384</v>
      </c>
      <c r="E447" s="47">
        <v>101.70073293430175</v>
      </c>
    </row>
    <row r="448" spans="2:5" x14ac:dyDescent="0.3">
      <c r="B448" s="43">
        <v>385</v>
      </c>
      <c r="C448" s="47">
        <v>119.5035267939159</v>
      </c>
      <c r="D448" s="43">
        <f t="shared" si="7"/>
        <v>385</v>
      </c>
      <c r="E448" s="47">
        <v>283.1581142784363</v>
      </c>
    </row>
    <row r="449" spans="2:5" x14ac:dyDescent="0.3">
      <c r="B449" s="43">
        <v>386</v>
      </c>
      <c r="C449" s="47">
        <v>-99.301030214678548</v>
      </c>
      <c r="D449" s="43">
        <f t="shared" si="7"/>
        <v>386</v>
      </c>
      <c r="E449" s="47">
        <v>258.33978415537575</v>
      </c>
    </row>
    <row r="450" spans="2:5" x14ac:dyDescent="0.3">
      <c r="B450" s="43">
        <v>387</v>
      </c>
      <c r="C450" s="47">
        <v>145.94725782713994</v>
      </c>
      <c r="D450" s="43">
        <f t="shared" ref="D450:D513" si="8">B450</f>
        <v>387</v>
      </c>
      <c r="E450" s="47">
        <v>-56.846856308320092</v>
      </c>
    </row>
    <row r="451" spans="2:5" x14ac:dyDescent="0.3">
      <c r="B451" s="43">
        <v>388</v>
      </c>
      <c r="C451" s="47">
        <v>77.177801669381822</v>
      </c>
      <c r="D451" s="43">
        <f t="shared" si="8"/>
        <v>388</v>
      </c>
      <c r="E451" s="47">
        <v>-25.714555889477719</v>
      </c>
    </row>
    <row r="452" spans="2:5" x14ac:dyDescent="0.3">
      <c r="B452" s="43">
        <v>389</v>
      </c>
      <c r="C452" s="47">
        <v>123.19204002384315</v>
      </c>
      <c r="D452" s="43">
        <f t="shared" si="8"/>
        <v>389</v>
      </c>
      <c r="E452" s="47">
        <v>200.16346490182352</v>
      </c>
    </row>
    <row r="453" spans="2:5" x14ac:dyDescent="0.3">
      <c r="B453" s="43">
        <v>390</v>
      </c>
      <c r="C453" s="47">
        <v>73.727564515111908</v>
      </c>
      <c r="D453" s="43">
        <f t="shared" si="8"/>
        <v>390</v>
      </c>
      <c r="E453" s="47">
        <v>76.099500979726187</v>
      </c>
    </row>
    <row r="454" spans="2:5" x14ac:dyDescent="0.3">
      <c r="B454" s="43">
        <v>391</v>
      </c>
      <c r="C454" s="47">
        <v>90.199336827579629</v>
      </c>
      <c r="D454" s="43">
        <f t="shared" si="8"/>
        <v>391</v>
      </c>
      <c r="E454" s="47">
        <v>54.394872950252442</v>
      </c>
    </row>
    <row r="455" spans="2:5" x14ac:dyDescent="0.3">
      <c r="B455" s="43">
        <v>392</v>
      </c>
      <c r="C455" s="47">
        <v>80.386284727204966</v>
      </c>
      <c r="D455" s="43">
        <f t="shared" si="8"/>
        <v>392</v>
      </c>
      <c r="E455" s="47">
        <v>-291.99520109591941</v>
      </c>
    </row>
    <row r="456" spans="2:5" x14ac:dyDescent="0.3">
      <c r="B456" s="43">
        <v>393</v>
      </c>
      <c r="C456" s="47">
        <v>95.597238355254859</v>
      </c>
      <c r="D456" s="43">
        <f t="shared" si="8"/>
        <v>393</v>
      </c>
      <c r="E456" s="47">
        <v>74.440105273712476</v>
      </c>
    </row>
    <row r="457" spans="2:5" x14ac:dyDescent="0.3">
      <c r="B457" s="43">
        <v>394</v>
      </c>
      <c r="C457" s="47">
        <v>-75.300393566862738</v>
      </c>
      <c r="D457" s="43">
        <f t="shared" si="8"/>
        <v>394</v>
      </c>
      <c r="E457" s="47">
        <v>-240.35644906203092</v>
      </c>
    </row>
    <row r="458" spans="2:5" x14ac:dyDescent="0.3">
      <c r="B458" s="43">
        <v>395</v>
      </c>
      <c r="C458" s="47">
        <v>180.60748060372117</v>
      </c>
      <c r="D458" s="43">
        <f t="shared" si="8"/>
        <v>395</v>
      </c>
      <c r="E458" s="47">
        <v>164.62842102776204</v>
      </c>
    </row>
    <row r="459" spans="2:5" x14ac:dyDescent="0.3">
      <c r="B459" s="43">
        <v>396</v>
      </c>
      <c r="C459" s="47">
        <v>44.097356358488234</v>
      </c>
      <c r="D459" s="43">
        <f t="shared" si="8"/>
        <v>396</v>
      </c>
      <c r="E459" s="47">
        <v>215.4894791327873</v>
      </c>
    </row>
    <row r="460" spans="2:5" x14ac:dyDescent="0.3">
      <c r="B460" s="43">
        <v>397</v>
      </c>
      <c r="C460" s="47">
        <v>175.27634015369748</v>
      </c>
      <c r="D460" s="43">
        <f t="shared" si="8"/>
        <v>397</v>
      </c>
      <c r="E460" s="47">
        <v>31.596711258960312</v>
      </c>
    </row>
    <row r="461" spans="2:5" x14ac:dyDescent="0.3">
      <c r="B461" s="43">
        <v>398</v>
      </c>
      <c r="C461" s="47">
        <v>121.30530432554121</v>
      </c>
      <c r="D461" s="43">
        <f t="shared" si="8"/>
        <v>398</v>
      </c>
      <c r="E461" s="47">
        <v>-114.14930407222971</v>
      </c>
    </row>
    <row r="462" spans="2:5" x14ac:dyDescent="0.3">
      <c r="B462" s="43">
        <v>399</v>
      </c>
      <c r="C462" s="47">
        <v>18.611670192067606</v>
      </c>
      <c r="D462" s="43">
        <f t="shared" si="8"/>
        <v>399</v>
      </c>
      <c r="E462" s="47">
        <v>182.63552626657517</v>
      </c>
    </row>
    <row r="463" spans="2:5" x14ac:dyDescent="0.3">
      <c r="B463" s="43">
        <v>400</v>
      </c>
      <c r="C463" s="47">
        <v>138.58088754361884</v>
      </c>
      <c r="D463" s="43">
        <f t="shared" si="8"/>
        <v>400</v>
      </c>
      <c r="E463" s="47">
        <v>381.26173255538527</v>
      </c>
    </row>
    <row r="464" spans="2:5" x14ac:dyDescent="0.3">
      <c r="B464" s="43">
        <v>401</v>
      </c>
      <c r="C464" s="47">
        <v>140.33565848425692</v>
      </c>
      <c r="D464" s="43">
        <f t="shared" si="8"/>
        <v>401</v>
      </c>
      <c r="E464" s="47">
        <v>50.512683291556172</v>
      </c>
    </row>
    <row r="465" spans="2:5" x14ac:dyDescent="0.3">
      <c r="B465" s="43">
        <v>402</v>
      </c>
      <c r="C465" s="47">
        <v>28.113462676911713</v>
      </c>
      <c r="D465" s="43">
        <f t="shared" si="8"/>
        <v>402</v>
      </c>
      <c r="E465" s="47">
        <v>463.23977114506562</v>
      </c>
    </row>
    <row r="466" spans="2:5" x14ac:dyDescent="0.3">
      <c r="B466" s="43">
        <v>403</v>
      </c>
      <c r="C466" s="47">
        <v>266.79229785331734</v>
      </c>
      <c r="D466" s="43">
        <f t="shared" si="8"/>
        <v>403</v>
      </c>
      <c r="E466" s="47">
        <v>350.83216317398978</v>
      </c>
    </row>
    <row r="467" spans="2:5" x14ac:dyDescent="0.3">
      <c r="B467" s="43">
        <v>404</v>
      </c>
      <c r="C467" s="47">
        <v>116.71068092934306</v>
      </c>
      <c r="D467" s="43">
        <f t="shared" si="8"/>
        <v>404</v>
      </c>
      <c r="E467" s="47">
        <v>70.530336411511797</v>
      </c>
    </row>
    <row r="468" spans="2:5" x14ac:dyDescent="0.3">
      <c r="B468" s="43">
        <v>405</v>
      </c>
      <c r="C468" s="47">
        <v>36.847997379398819</v>
      </c>
      <c r="D468" s="43">
        <f t="shared" si="8"/>
        <v>405</v>
      </c>
      <c r="E468" s="47">
        <v>207.75869066981153</v>
      </c>
    </row>
    <row r="469" spans="2:5" x14ac:dyDescent="0.3">
      <c r="B469" s="43">
        <v>406</v>
      </c>
      <c r="C469" s="47">
        <v>52.246798584189193</v>
      </c>
      <c r="D469" s="43">
        <f t="shared" si="8"/>
        <v>406</v>
      </c>
      <c r="E469" s="47">
        <v>-437.0532578923868</v>
      </c>
    </row>
    <row r="470" spans="2:5" x14ac:dyDescent="0.3">
      <c r="B470" s="43">
        <v>407</v>
      </c>
      <c r="C470" s="47">
        <v>80.548793179410978</v>
      </c>
      <c r="D470" s="43">
        <f t="shared" si="8"/>
        <v>407</v>
      </c>
      <c r="E470" s="47">
        <v>247.51439758757138</v>
      </c>
    </row>
    <row r="471" spans="2:5" x14ac:dyDescent="0.3">
      <c r="B471" s="43">
        <v>408</v>
      </c>
      <c r="C471" s="47">
        <v>134.99834253102983</v>
      </c>
      <c r="D471" s="43">
        <f t="shared" si="8"/>
        <v>408</v>
      </c>
      <c r="E471" s="47">
        <v>233.72974306318716</v>
      </c>
    </row>
    <row r="472" spans="2:5" x14ac:dyDescent="0.3">
      <c r="B472" s="43">
        <v>409</v>
      </c>
      <c r="C472" s="47">
        <v>102.66892637159879</v>
      </c>
      <c r="D472" s="43">
        <f t="shared" si="8"/>
        <v>409</v>
      </c>
      <c r="E472" s="47">
        <v>51.101182306632303</v>
      </c>
    </row>
    <row r="473" spans="2:5" x14ac:dyDescent="0.3">
      <c r="B473" s="43">
        <v>410</v>
      </c>
      <c r="C473" s="47">
        <v>107.84233766750212</v>
      </c>
      <c r="D473" s="43">
        <f t="shared" si="8"/>
        <v>410</v>
      </c>
      <c r="E473" s="47">
        <v>63.578994327070085</v>
      </c>
    </row>
    <row r="474" spans="2:5" x14ac:dyDescent="0.3">
      <c r="B474" s="43">
        <v>411</v>
      </c>
      <c r="C474" s="47">
        <v>99.000964794441416</v>
      </c>
      <c r="D474" s="43">
        <f t="shared" si="8"/>
        <v>411</v>
      </c>
      <c r="E474" s="47">
        <v>364.03036474095779</v>
      </c>
    </row>
    <row r="475" spans="2:5" x14ac:dyDescent="0.3">
      <c r="B475" s="43">
        <v>412</v>
      </c>
      <c r="C475" s="47">
        <v>155.86598650528529</v>
      </c>
      <c r="D475" s="43">
        <f t="shared" si="8"/>
        <v>412</v>
      </c>
      <c r="E475" s="47">
        <v>119.52471853803802</v>
      </c>
    </row>
    <row r="476" spans="2:5" x14ac:dyDescent="0.3">
      <c r="B476" s="43">
        <v>413</v>
      </c>
      <c r="C476" s="47">
        <v>149.73920492234714</v>
      </c>
      <c r="D476" s="43">
        <f t="shared" si="8"/>
        <v>413</v>
      </c>
      <c r="E476" s="47">
        <v>221.97597576086429</v>
      </c>
    </row>
    <row r="477" spans="2:5" x14ac:dyDescent="0.3">
      <c r="B477" s="43">
        <v>414</v>
      </c>
      <c r="C477" s="47">
        <v>74.526664734883539</v>
      </c>
      <c r="D477" s="43">
        <f t="shared" si="8"/>
        <v>414</v>
      </c>
      <c r="E477" s="47">
        <v>31.465422701511681</v>
      </c>
    </row>
    <row r="478" spans="2:5" x14ac:dyDescent="0.3">
      <c r="B478" s="43">
        <v>415</v>
      </c>
      <c r="C478" s="47">
        <v>140.54887210894168</v>
      </c>
      <c r="D478" s="43">
        <f t="shared" si="8"/>
        <v>415</v>
      </c>
      <c r="E478" s="47">
        <v>320.44236373717848</v>
      </c>
    </row>
    <row r="479" spans="2:5" x14ac:dyDescent="0.3">
      <c r="B479" s="43">
        <v>416</v>
      </c>
      <c r="C479" s="47">
        <v>140.84267210589923</v>
      </c>
      <c r="D479" s="43">
        <f t="shared" si="8"/>
        <v>416</v>
      </c>
      <c r="E479" s="47">
        <v>320.30991565567422</v>
      </c>
    </row>
    <row r="480" spans="2:5" x14ac:dyDescent="0.3">
      <c r="B480" s="43">
        <v>417</v>
      </c>
      <c r="C480" s="47">
        <v>97.582936546459152</v>
      </c>
      <c r="D480" s="43">
        <f t="shared" si="8"/>
        <v>417</v>
      </c>
      <c r="E480" s="47">
        <v>165.63150178008567</v>
      </c>
    </row>
    <row r="481" spans="2:5" x14ac:dyDescent="0.3">
      <c r="B481" s="43">
        <v>418</v>
      </c>
      <c r="C481" s="47">
        <v>144.20552524173831</v>
      </c>
      <c r="D481" s="43">
        <f t="shared" si="8"/>
        <v>418</v>
      </c>
      <c r="E481" s="47">
        <v>316.53040420082618</v>
      </c>
    </row>
    <row r="482" spans="2:5" x14ac:dyDescent="0.3">
      <c r="B482" s="43">
        <v>419</v>
      </c>
      <c r="C482" s="47">
        <v>124.25501647590477</v>
      </c>
      <c r="D482" s="43">
        <f t="shared" si="8"/>
        <v>419</v>
      </c>
      <c r="E482" s="47">
        <v>94.185777772559817</v>
      </c>
    </row>
    <row r="483" spans="2:5" x14ac:dyDescent="0.3">
      <c r="B483" s="43">
        <v>420</v>
      </c>
      <c r="C483" s="47">
        <v>191.36099367781623</v>
      </c>
      <c r="D483" s="43">
        <f t="shared" si="8"/>
        <v>420</v>
      </c>
      <c r="E483" s="47">
        <v>-14.593407099225487</v>
      </c>
    </row>
    <row r="484" spans="2:5" x14ac:dyDescent="0.3">
      <c r="B484" s="43">
        <v>421</v>
      </c>
      <c r="C484" s="47">
        <v>-113.3936170095207</v>
      </c>
      <c r="D484" s="43">
        <f t="shared" si="8"/>
        <v>421</v>
      </c>
      <c r="E484" s="47">
        <v>237.49233883706361</v>
      </c>
    </row>
    <row r="485" spans="2:5" x14ac:dyDescent="0.3">
      <c r="B485" s="43">
        <v>422</v>
      </c>
      <c r="C485" s="47">
        <v>75.55808890223426</v>
      </c>
      <c r="D485" s="43">
        <f t="shared" si="8"/>
        <v>422</v>
      </c>
      <c r="E485" s="47">
        <v>246.03477412540911</v>
      </c>
    </row>
    <row r="486" spans="2:5" x14ac:dyDescent="0.3">
      <c r="B486" s="43">
        <v>423</v>
      </c>
      <c r="C486" s="47">
        <v>99.387658487031558</v>
      </c>
      <c r="D486" s="43">
        <f t="shared" si="8"/>
        <v>423</v>
      </c>
      <c r="E486" s="47">
        <v>54.857582131020095</v>
      </c>
    </row>
    <row r="487" spans="2:5" x14ac:dyDescent="0.3">
      <c r="B487" s="43">
        <v>424</v>
      </c>
      <c r="C487" s="47">
        <v>79.032048558294576</v>
      </c>
      <c r="D487" s="43">
        <f t="shared" si="8"/>
        <v>424</v>
      </c>
      <c r="E487" s="47">
        <v>124.57230352550569</v>
      </c>
    </row>
    <row r="488" spans="2:5" x14ac:dyDescent="0.3">
      <c r="B488" s="43">
        <v>425</v>
      </c>
      <c r="C488" s="47">
        <v>128.66243674408145</v>
      </c>
      <c r="D488" s="43">
        <f t="shared" si="8"/>
        <v>425</v>
      </c>
      <c r="E488" s="47">
        <v>48.319760289780689</v>
      </c>
    </row>
    <row r="489" spans="2:5" x14ac:dyDescent="0.3">
      <c r="B489" s="43">
        <v>426</v>
      </c>
      <c r="C489" s="47">
        <v>27.546379146667334</v>
      </c>
      <c r="D489" s="43">
        <f t="shared" si="8"/>
        <v>426</v>
      </c>
      <c r="E489" s="47">
        <v>-143.6157434920602</v>
      </c>
    </row>
    <row r="490" spans="2:5" x14ac:dyDescent="0.3">
      <c r="B490" s="43">
        <v>427</v>
      </c>
      <c r="C490" s="47">
        <v>34.407145685893013</v>
      </c>
      <c r="D490" s="43">
        <f t="shared" si="8"/>
        <v>427</v>
      </c>
      <c r="E490" s="47">
        <v>125.72585530236866</v>
      </c>
    </row>
    <row r="491" spans="2:5" x14ac:dyDescent="0.3">
      <c r="B491" s="43">
        <v>428</v>
      </c>
      <c r="C491" s="47">
        <v>125.74819192954917</v>
      </c>
      <c r="D491" s="43">
        <f t="shared" si="8"/>
        <v>428</v>
      </c>
      <c r="E491" s="47">
        <v>167.59341073156415</v>
      </c>
    </row>
    <row r="492" spans="2:5" x14ac:dyDescent="0.3">
      <c r="B492" s="43">
        <v>429</v>
      </c>
      <c r="C492" s="47">
        <v>120.49564392281975</v>
      </c>
      <c r="D492" s="43">
        <f t="shared" si="8"/>
        <v>429</v>
      </c>
      <c r="E492" s="47">
        <v>-23.777688711536904</v>
      </c>
    </row>
    <row r="493" spans="2:5" x14ac:dyDescent="0.3">
      <c r="B493" s="43">
        <v>430</v>
      </c>
      <c r="C493" s="47">
        <v>116.76023494709607</v>
      </c>
      <c r="D493" s="43">
        <f t="shared" si="8"/>
        <v>430</v>
      </c>
      <c r="E493" s="47">
        <v>-19.163303396249358</v>
      </c>
    </row>
    <row r="494" spans="2:5" x14ac:dyDescent="0.3">
      <c r="B494" s="43">
        <v>431</v>
      </c>
      <c r="C494" s="47">
        <v>144.24713398351741</v>
      </c>
      <c r="D494" s="43">
        <f t="shared" si="8"/>
        <v>431</v>
      </c>
      <c r="E494" s="47">
        <v>66.716021438282866</v>
      </c>
    </row>
    <row r="495" spans="2:5" x14ac:dyDescent="0.3">
      <c r="B495" s="43">
        <v>432</v>
      </c>
      <c r="C495" s="47">
        <v>49.384824461596132</v>
      </c>
      <c r="D495" s="43">
        <f t="shared" si="8"/>
        <v>432</v>
      </c>
      <c r="E495" s="47">
        <v>106.0428251699127</v>
      </c>
    </row>
    <row r="496" spans="2:5" x14ac:dyDescent="0.3">
      <c r="B496" s="43">
        <v>433</v>
      </c>
      <c r="C496" s="47">
        <v>125.92535362665569</v>
      </c>
      <c r="D496" s="43">
        <f t="shared" si="8"/>
        <v>433</v>
      </c>
      <c r="E496" s="47">
        <v>242.13003895944144</v>
      </c>
    </row>
    <row r="497" spans="2:5" x14ac:dyDescent="0.3">
      <c r="B497" s="43">
        <v>434</v>
      </c>
      <c r="C497" s="47">
        <v>146.91148718573862</v>
      </c>
      <c r="D497" s="43">
        <f t="shared" si="8"/>
        <v>434</v>
      </c>
      <c r="E497" s="47">
        <v>39.825987938541367</v>
      </c>
    </row>
    <row r="498" spans="2:5" x14ac:dyDescent="0.3">
      <c r="B498" s="43">
        <v>435</v>
      </c>
      <c r="C498" s="47">
        <v>128.61086645321822</v>
      </c>
      <c r="D498" s="43">
        <f t="shared" si="8"/>
        <v>435</v>
      </c>
      <c r="E498" s="47">
        <v>15.727061899661757</v>
      </c>
    </row>
    <row r="499" spans="2:5" x14ac:dyDescent="0.3">
      <c r="B499" s="43">
        <v>436</v>
      </c>
      <c r="C499" s="47">
        <v>100.53557823002214</v>
      </c>
      <c r="D499" s="43">
        <f t="shared" si="8"/>
        <v>436</v>
      </c>
      <c r="E499" s="47">
        <v>478.98794309739503</v>
      </c>
    </row>
    <row r="500" spans="2:5" x14ac:dyDescent="0.3">
      <c r="B500" s="43">
        <v>437</v>
      </c>
      <c r="C500" s="47">
        <v>54.011942172111198</v>
      </c>
      <c r="D500" s="43">
        <f t="shared" si="8"/>
        <v>437</v>
      </c>
      <c r="E500" s="47">
        <v>136.53292883971423</v>
      </c>
    </row>
    <row r="501" spans="2:5" x14ac:dyDescent="0.3">
      <c r="B501" s="43">
        <v>438</v>
      </c>
      <c r="C501" s="47">
        <v>119.19904610334827</v>
      </c>
      <c r="D501" s="43">
        <f t="shared" si="8"/>
        <v>438</v>
      </c>
      <c r="E501" s="47">
        <v>-123.81491406120901</v>
      </c>
    </row>
    <row r="502" spans="2:5" x14ac:dyDescent="0.3">
      <c r="B502" s="43">
        <v>439</v>
      </c>
      <c r="C502" s="47">
        <v>123.19637563814499</v>
      </c>
      <c r="D502" s="43">
        <f t="shared" si="8"/>
        <v>439</v>
      </c>
      <c r="E502" s="47">
        <v>50.926410074376911</v>
      </c>
    </row>
    <row r="503" spans="2:5" x14ac:dyDescent="0.3">
      <c r="B503" s="43">
        <v>440</v>
      </c>
      <c r="C503" s="47">
        <v>145.95944580611842</v>
      </c>
      <c r="D503" s="43">
        <f t="shared" si="8"/>
        <v>440</v>
      </c>
      <c r="E503" s="47">
        <v>-147.75161140020933</v>
      </c>
    </row>
    <row r="504" spans="2:5" x14ac:dyDescent="0.3">
      <c r="B504" s="43">
        <v>441</v>
      </c>
      <c r="C504" s="47">
        <v>133.75635858225411</v>
      </c>
      <c r="D504" s="43">
        <f t="shared" si="8"/>
        <v>441</v>
      </c>
      <c r="E504" s="47">
        <v>298.7974846851032</v>
      </c>
    </row>
    <row r="505" spans="2:5" x14ac:dyDescent="0.3">
      <c r="B505" s="43">
        <v>442</v>
      </c>
      <c r="C505" s="47">
        <v>53.186845548170581</v>
      </c>
      <c r="D505" s="43">
        <f t="shared" si="8"/>
        <v>442</v>
      </c>
      <c r="E505" s="47">
        <v>-45.02570018292387</v>
      </c>
    </row>
    <row r="506" spans="2:5" x14ac:dyDescent="0.3">
      <c r="B506" s="43">
        <v>443</v>
      </c>
      <c r="C506" s="47">
        <v>98.236193513303675</v>
      </c>
      <c r="D506" s="43">
        <f t="shared" si="8"/>
        <v>443</v>
      </c>
      <c r="E506" s="47">
        <v>-129.92008320575732</v>
      </c>
    </row>
    <row r="507" spans="2:5" x14ac:dyDescent="0.3">
      <c r="B507" s="43">
        <v>444</v>
      </c>
      <c r="C507" s="47">
        <v>119.32062439214064</v>
      </c>
      <c r="D507" s="43">
        <f t="shared" si="8"/>
        <v>444</v>
      </c>
      <c r="E507" s="47">
        <v>131.8761343091947</v>
      </c>
    </row>
    <row r="508" spans="2:5" x14ac:dyDescent="0.3">
      <c r="B508" s="43">
        <v>445</v>
      </c>
      <c r="C508" s="47">
        <v>109.19715370767707</v>
      </c>
      <c r="D508" s="43">
        <f t="shared" si="8"/>
        <v>445</v>
      </c>
      <c r="E508" s="47">
        <v>114.17068331620473</v>
      </c>
    </row>
    <row r="509" spans="2:5" x14ac:dyDescent="0.3">
      <c r="B509" s="43">
        <v>446</v>
      </c>
      <c r="C509" s="47">
        <v>104.05981368764739</v>
      </c>
      <c r="D509" s="43">
        <f t="shared" si="8"/>
        <v>446</v>
      </c>
      <c r="E509" s="47">
        <v>138.81451528642972</v>
      </c>
    </row>
    <row r="510" spans="2:5" x14ac:dyDescent="0.3">
      <c r="B510" s="43">
        <v>447</v>
      </c>
      <c r="C510" s="47">
        <v>100.77561238656946</v>
      </c>
      <c r="D510" s="43">
        <f t="shared" si="8"/>
        <v>447</v>
      </c>
      <c r="E510" s="47">
        <v>26.417544881834385</v>
      </c>
    </row>
    <row r="511" spans="2:5" x14ac:dyDescent="0.3">
      <c r="B511" s="43">
        <v>448</v>
      </c>
      <c r="C511" s="47">
        <v>124.03044477286862</v>
      </c>
      <c r="D511" s="43">
        <f t="shared" si="8"/>
        <v>448</v>
      </c>
      <c r="E511" s="47">
        <v>51.473515320133835</v>
      </c>
    </row>
    <row r="512" spans="2:5" x14ac:dyDescent="0.3">
      <c r="B512" s="43">
        <v>449</v>
      </c>
      <c r="C512" s="47">
        <v>153.88258528384142</v>
      </c>
      <c r="D512" s="43">
        <f t="shared" si="8"/>
        <v>449</v>
      </c>
      <c r="E512" s="47">
        <v>100.68963623667698</v>
      </c>
    </row>
    <row r="513" spans="2:5" x14ac:dyDescent="0.3">
      <c r="B513" s="43">
        <v>450</v>
      </c>
      <c r="C513" s="47">
        <v>79.512416246004165</v>
      </c>
      <c r="D513" s="43">
        <f t="shared" si="8"/>
        <v>450</v>
      </c>
      <c r="E513" s="47">
        <v>150.1476972531039</v>
      </c>
    </row>
    <row r="514" spans="2:5" x14ac:dyDescent="0.3">
      <c r="B514" s="43">
        <v>451</v>
      </c>
      <c r="C514" s="47">
        <v>137.56410192807581</v>
      </c>
      <c r="D514" s="43">
        <f t="shared" ref="D514:D563" si="9">B514</f>
        <v>451</v>
      </c>
      <c r="E514" s="47">
        <v>129.70420885622727</v>
      </c>
    </row>
    <row r="515" spans="2:5" x14ac:dyDescent="0.3">
      <c r="B515" s="43">
        <v>452</v>
      </c>
      <c r="C515" s="47">
        <v>154.81643045792345</v>
      </c>
      <c r="D515" s="43">
        <f t="shared" si="9"/>
        <v>452</v>
      </c>
      <c r="E515" s="47">
        <v>447.7494683079841</v>
      </c>
    </row>
    <row r="516" spans="2:5" x14ac:dyDescent="0.3">
      <c r="B516" s="43">
        <v>453</v>
      </c>
      <c r="C516" s="47">
        <v>100.02890700518262</v>
      </c>
      <c r="D516" s="43">
        <f t="shared" si="9"/>
        <v>453</v>
      </c>
      <c r="E516" s="47">
        <v>213.23561745887667</v>
      </c>
    </row>
    <row r="517" spans="2:5" x14ac:dyDescent="0.3">
      <c r="B517" s="43">
        <v>454</v>
      </c>
      <c r="C517" s="47">
        <v>94.934772518986577</v>
      </c>
      <c r="D517" s="43">
        <f t="shared" si="9"/>
        <v>454</v>
      </c>
      <c r="E517" s="47">
        <v>493.50306359864442</v>
      </c>
    </row>
    <row r="518" spans="2:5" x14ac:dyDescent="0.3">
      <c r="B518" s="43">
        <v>455</v>
      </c>
      <c r="C518" s="47">
        <v>111.96026549443862</v>
      </c>
      <c r="D518" s="43">
        <f t="shared" si="9"/>
        <v>455</v>
      </c>
      <c r="E518" s="47">
        <v>95.980904704381459</v>
      </c>
    </row>
    <row r="519" spans="2:5" x14ac:dyDescent="0.3">
      <c r="B519" s="43">
        <v>456</v>
      </c>
      <c r="C519" s="47">
        <v>45.733067289906373</v>
      </c>
      <c r="D519" s="43">
        <f t="shared" si="9"/>
        <v>456</v>
      </c>
      <c r="E519" s="47">
        <v>-1.7025238424508262</v>
      </c>
    </row>
    <row r="520" spans="2:5" x14ac:dyDescent="0.3">
      <c r="B520" s="43">
        <v>457</v>
      </c>
      <c r="C520" s="47">
        <v>124.43329235512063</v>
      </c>
      <c r="D520" s="43">
        <f t="shared" si="9"/>
        <v>457</v>
      </c>
      <c r="E520" s="47">
        <v>38.833265181237394</v>
      </c>
    </row>
    <row r="521" spans="2:5" x14ac:dyDescent="0.3">
      <c r="B521" s="43">
        <v>458</v>
      </c>
      <c r="C521" s="47">
        <v>147.21493407716849</v>
      </c>
      <c r="D521" s="43">
        <f t="shared" si="9"/>
        <v>458</v>
      </c>
      <c r="E521" s="47">
        <v>-321.80338586207631</v>
      </c>
    </row>
    <row r="522" spans="2:5" x14ac:dyDescent="0.3">
      <c r="B522" s="43">
        <v>459</v>
      </c>
      <c r="C522" s="47">
        <v>-1.7815134658412213</v>
      </c>
      <c r="D522" s="43">
        <f t="shared" si="9"/>
        <v>459</v>
      </c>
      <c r="E522" s="47">
        <v>234.21095852550343</v>
      </c>
    </row>
    <row r="523" spans="2:5" x14ac:dyDescent="0.3">
      <c r="B523" s="43">
        <v>460</v>
      </c>
      <c r="C523" s="47">
        <v>157.65285534195198</v>
      </c>
      <c r="D523" s="43">
        <f t="shared" si="9"/>
        <v>460</v>
      </c>
      <c r="E523" s="47">
        <v>374.22912904845413</v>
      </c>
    </row>
    <row r="524" spans="2:5" x14ac:dyDescent="0.3">
      <c r="B524" s="43">
        <v>461</v>
      </c>
      <c r="C524" s="47">
        <v>133.78531217240601</v>
      </c>
      <c r="D524" s="43">
        <f t="shared" si="9"/>
        <v>461</v>
      </c>
      <c r="E524" s="47">
        <v>64.474518657739878</v>
      </c>
    </row>
    <row r="525" spans="2:5" x14ac:dyDescent="0.3">
      <c r="B525" s="43">
        <v>462</v>
      </c>
      <c r="C525" s="47">
        <v>105.09935038014837</v>
      </c>
      <c r="D525" s="43">
        <f t="shared" si="9"/>
        <v>462</v>
      </c>
      <c r="E525" s="47">
        <v>247.64190166513467</v>
      </c>
    </row>
    <row r="526" spans="2:5" x14ac:dyDescent="0.3">
      <c r="B526" s="43">
        <v>463</v>
      </c>
      <c r="C526" s="47">
        <v>127.23572835215495</v>
      </c>
      <c r="D526" s="43">
        <f t="shared" si="9"/>
        <v>463</v>
      </c>
      <c r="E526" s="47">
        <v>216.48019968403909</v>
      </c>
    </row>
    <row r="527" spans="2:5" x14ac:dyDescent="0.3">
      <c r="B527" s="43">
        <v>464</v>
      </c>
      <c r="C527" s="47">
        <v>80.942858290847568</v>
      </c>
      <c r="D527" s="43">
        <f t="shared" si="9"/>
        <v>464</v>
      </c>
      <c r="E527" s="47">
        <v>212.16044491447352</v>
      </c>
    </row>
    <row r="528" spans="2:5" x14ac:dyDescent="0.3">
      <c r="B528" s="43">
        <v>465</v>
      </c>
      <c r="C528" s="47">
        <v>-41.282706344592967</v>
      </c>
      <c r="D528" s="43">
        <f t="shared" si="9"/>
        <v>465</v>
      </c>
      <c r="E528" s="47">
        <v>155.32295846199838</v>
      </c>
    </row>
    <row r="529" spans="2:5" x14ac:dyDescent="0.3">
      <c r="B529" s="43">
        <v>466</v>
      </c>
      <c r="C529" s="47">
        <v>136.32285406062292</v>
      </c>
      <c r="D529" s="43">
        <f t="shared" si="9"/>
        <v>466</v>
      </c>
      <c r="E529" s="47">
        <v>-10.015463567684581</v>
      </c>
    </row>
    <row r="530" spans="2:5" x14ac:dyDescent="0.3">
      <c r="B530" s="43">
        <v>467</v>
      </c>
      <c r="C530" s="47">
        <v>141.56395868039152</v>
      </c>
      <c r="D530" s="43">
        <f t="shared" si="9"/>
        <v>467</v>
      </c>
      <c r="E530" s="47">
        <v>91.713355257242284</v>
      </c>
    </row>
    <row r="531" spans="2:5" x14ac:dyDescent="0.3">
      <c r="B531" s="43">
        <v>468</v>
      </c>
      <c r="C531" s="47">
        <v>120.15699337757579</v>
      </c>
      <c r="D531" s="43">
        <f t="shared" si="9"/>
        <v>468</v>
      </c>
      <c r="E531" s="47">
        <v>430.95150815767585</v>
      </c>
    </row>
    <row r="532" spans="2:5" x14ac:dyDescent="0.3">
      <c r="B532" s="43">
        <v>469</v>
      </c>
      <c r="C532" s="47">
        <v>110.3020662098495</v>
      </c>
      <c r="D532" s="43">
        <f t="shared" si="9"/>
        <v>469</v>
      </c>
      <c r="E532" s="47">
        <v>-346.61747560229753</v>
      </c>
    </row>
    <row r="533" spans="2:5" x14ac:dyDescent="0.3">
      <c r="B533" s="43">
        <v>470</v>
      </c>
      <c r="C533" s="47">
        <v>76.626230221574502</v>
      </c>
      <c r="D533" s="43">
        <f t="shared" si="9"/>
        <v>470</v>
      </c>
      <c r="E533" s="47">
        <v>91.969440088286163</v>
      </c>
    </row>
    <row r="534" spans="2:5" x14ac:dyDescent="0.3">
      <c r="B534" s="43">
        <v>471</v>
      </c>
      <c r="C534" s="47">
        <v>153.80022213698948</v>
      </c>
      <c r="D534" s="43">
        <f t="shared" si="9"/>
        <v>471</v>
      </c>
      <c r="E534" s="47">
        <v>45.025950929651671</v>
      </c>
    </row>
    <row r="535" spans="2:5" x14ac:dyDescent="0.3">
      <c r="B535" s="43">
        <v>472</v>
      </c>
      <c r="C535" s="47">
        <v>110.5750147544405</v>
      </c>
      <c r="D535" s="43">
        <f t="shared" si="9"/>
        <v>472</v>
      </c>
      <c r="E535" s="47">
        <v>24.510809894748494</v>
      </c>
    </row>
    <row r="536" spans="2:5" x14ac:dyDescent="0.3">
      <c r="B536" s="43">
        <v>473</v>
      </c>
      <c r="C536" s="47">
        <v>101.28508208847251</v>
      </c>
      <c r="D536" s="43">
        <f t="shared" si="9"/>
        <v>473</v>
      </c>
      <c r="E536" s="47">
        <v>-105.92740466552959</v>
      </c>
    </row>
    <row r="537" spans="2:5" x14ac:dyDescent="0.3">
      <c r="B537" s="43">
        <v>474</v>
      </c>
      <c r="C537" s="47">
        <v>38.517627746037206</v>
      </c>
      <c r="D537" s="43">
        <f t="shared" si="9"/>
        <v>474</v>
      </c>
      <c r="E537" s="47">
        <v>396.72851481567682</v>
      </c>
    </row>
    <row r="538" spans="2:5" x14ac:dyDescent="0.3">
      <c r="B538" s="43">
        <v>475</v>
      </c>
      <c r="C538" s="47">
        <v>67.226748976614701</v>
      </c>
      <c r="D538" s="43">
        <f t="shared" si="9"/>
        <v>475</v>
      </c>
      <c r="E538" s="47">
        <v>346.00030169379994</v>
      </c>
    </row>
    <row r="539" spans="2:5" x14ac:dyDescent="0.3">
      <c r="B539" s="43">
        <v>476</v>
      </c>
      <c r="C539" s="47">
        <v>145.67347441987687</v>
      </c>
      <c r="D539" s="43">
        <f t="shared" si="9"/>
        <v>476</v>
      </c>
      <c r="E539" s="47">
        <v>220.96849675113623</v>
      </c>
    </row>
    <row r="540" spans="2:5" x14ac:dyDescent="0.3">
      <c r="B540" s="43">
        <v>477</v>
      </c>
      <c r="C540" s="47">
        <v>52.612419729708108</v>
      </c>
      <c r="D540" s="43">
        <f t="shared" si="9"/>
        <v>477</v>
      </c>
      <c r="E540" s="47">
        <v>373.42973088142196</v>
      </c>
    </row>
    <row r="541" spans="2:5" x14ac:dyDescent="0.3">
      <c r="B541" s="43">
        <v>478</v>
      </c>
      <c r="C541" s="47">
        <v>142.52713073187198</v>
      </c>
      <c r="D541" s="43">
        <f t="shared" si="9"/>
        <v>478</v>
      </c>
      <c r="E541" s="47">
        <v>-109.24567886092564</v>
      </c>
    </row>
    <row r="542" spans="2:5" x14ac:dyDescent="0.3">
      <c r="B542" s="43">
        <v>479</v>
      </c>
      <c r="C542" s="47">
        <v>150.89380250034543</v>
      </c>
      <c r="D542" s="43">
        <f t="shared" si="9"/>
        <v>479</v>
      </c>
      <c r="E542" s="47">
        <v>251.50705368612543</v>
      </c>
    </row>
    <row r="543" spans="2:5" x14ac:dyDescent="0.3">
      <c r="B543" s="43">
        <v>480</v>
      </c>
      <c r="C543" s="47">
        <v>107.05860224357919</v>
      </c>
      <c r="D543" s="43">
        <f t="shared" si="9"/>
        <v>480</v>
      </c>
      <c r="E543" s="47">
        <v>-93.613045563945789</v>
      </c>
    </row>
    <row r="544" spans="2:5" x14ac:dyDescent="0.3">
      <c r="B544" s="43">
        <v>481</v>
      </c>
      <c r="C544" s="47">
        <v>48.094316758088574</v>
      </c>
      <c r="D544" s="43">
        <f t="shared" si="9"/>
        <v>481</v>
      </c>
      <c r="E544" s="47">
        <v>225.08166467620057</v>
      </c>
    </row>
    <row r="545" spans="2:5" x14ac:dyDescent="0.3">
      <c r="B545" s="43">
        <v>482</v>
      </c>
      <c r="C545" s="47">
        <v>147.90920033251012</v>
      </c>
      <c r="D545" s="43">
        <f t="shared" si="9"/>
        <v>482</v>
      </c>
      <c r="E545" s="47">
        <v>177.17601550427432</v>
      </c>
    </row>
    <row r="546" spans="2:5" x14ac:dyDescent="0.3">
      <c r="B546" s="43">
        <v>483</v>
      </c>
      <c r="C546" s="47">
        <v>79.488159977457215</v>
      </c>
      <c r="D546" s="43">
        <f t="shared" si="9"/>
        <v>483</v>
      </c>
      <c r="E546" s="47">
        <v>0.29099408629881451</v>
      </c>
    </row>
    <row r="547" spans="2:5" x14ac:dyDescent="0.3">
      <c r="B547" s="43">
        <v>484</v>
      </c>
      <c r="C547" s="47">
        <v>131.86582578777475</v>
      </c>
      <c r="D547" s="43">
        <f t="shared" si="9"/>
        <v>484</v>
      </c>
      <c r="E547" s="47">
        <v>177.30318235012425</v>
      </c>
    </row>
    <row r="548" spans="2:5" x14ac:dyDescent="0.3">
      <c r="B548" s="43">
        <v>485</v>
      </c>
      <c r="C548" s="47">
        <v>90.83975466606492</v>
      </c>
      <c r="D548" s="43">
        <f t="shared" si="9"/>
        <v>485</v>
      </c>
      <c r="E548" s="47">
        <v>299.58861659034471</v>
      </c>
    </row>
    <row r="549" spans="2:5" x14ac:dyDescent="0.3">
      <c r="B549" s="43">
        <v>486</v>
      </c>
      <c r="C549" s="47">
        <v>172.94456645602509</v>
      </c>
      <c r="D549" s="43">
        <f t="shared" si="9"/>
        <v>486</v>
      </c>
      <c r="E549" s="47">
        <v>222.0484303003785</v>
      </c>
    </row>
    <row r="550" spans="2:5" x14ac:dyDescent="0.3">
      <c r="B550" s="43">
        <v>487</v>
      </c>
      <c r="C550" s="47">
        <v>-25.328118190892013</v>
      </c>
      <c r="D550" s="43">
        <f t="shared" si="9"/>
        <v>487</v>
      </c>
      <c r="E550" s="47">
        <v>20.095224846863978</v>
      </c>
    </row>
    <row r="551" spans="2:5" x14ac:dyDescent="0.3">
      <c r="B551" s="43">
        <v>488</v>
      </c>
      <c r="C551" s="47">
        <v>69.059487956144551</v>
      </c>
      <c r="D551" s="43">
        <f t="shared" si="9"/>
        <v>488</v>
      </c>
      <c r="E551" s="47">
        <v>95.203407332300642</v>
      </c>
    </row>
    <row r="552" spans="2:5" x14ac:dyDescent="0.3">
      <c r="B552" s="43">
        <v>489</v>
      </c>
      <c r="C552" s="47">
        <v>58.67843538921975</v>
      </c>
      <c r="D552" s="43">
        <f t="shared" si="9"/>
        <v>489</v>
      </c>
      <c r="E552" s="47">
        <v>209.34319304526406</v>
      </c>
    </row>
    <row r="553" spans="2:5" x14ac:dyDescent="0.3">
      <c r="B553" s="43">
        <v>490</v>
      </c>
      <c r="C553" s="47">
        <v>27.731687414138527</v>
      </c>
      <c r="D553" s="43">
        <f t="shared" si="9"/>
        <v>490</v>
      </c>
      <c r="E553" s="47">
        <v>42.762091819623031</v>
      </c>
    </row>
    <row r="554" spans="2:5" x14ac:dyDescent="0.3">
      <c r="B554" s="43">
        <v>491</v>
      </c>
      <c r="C554" s="47">
        <v>151.1215966001046</v>
      </c>
      <c r="D554" s="43">
        <f t="shared" si="9"/>
        <v>491</v>
      </c>
      <c r="E554" s="47">
        <v>97.622616743702196</v>
      </c>
    </row>
    <row r="555" spans="2:5" x14ac:dyDescent="0.3">
      <c r="B555" s="43">
        <v>492</v>
      </c>
      <c r="C555" s="47">
        <v>159.79960451241101</v>
      </c>
      <c r="D555" s="43">
        <f t="shared" si="9"/>
        <v>492</v>
      </c>
      <c r="E555" s="47">
        <v>312.2572285024853</v>
      </c>
    </row>
    <row r="556" spans="2:5" x14ac:dyDescent="0.3">
      <c r="B556" s="43">
        <v>493</v>
      </c>
      <c r="C556" s="47">
        <v>169.2705579660732</v>
      </c>
      <c r="D556" s="43">
        <f t="shared" si="9"/>
        <v>493</v>
      </c>
      <c r="E556" s="47">
        <v>115.5163831777061</v>
      </c>
    </row>
    <row r="557" spans="2:5" x14ac:dyDescent="0.3">
      <c r="B557" s="43">
        <v>494</v>
      </c>
      <c r="C557" s="47">
        <v>137.0815141933484</v>
      </c>
      <c r="D557" s="43">
        <f t="shared" si="9"/>
        <v>494</v>
      </c>
      <c r="E557" s="47">
        <v>338.7320682331258</v>
      </c>
    </row>
    <row r="558" spans="2:5" x14ac:dyDescent="0.3">
      <c r="B558" s="43">
        <v>495</v>
      </c>
      <c r="C558" s="47">
        <v>111.08233184095297</v>
      </c>
      <c r="D558" s="43">
        <f t="shared" si="9"/>
        <v>495</v>
      </c>
      <c r="E558" s="47">
        <v>263.97264464092274</v>
      </c>
    </row>
    <row r="559" spans="2:5" x14ac:dyDescent="0.3">
      <c r="B559" s="43">
        <v>496</v>
      </c>
      <c r="C559" s="47">
        <v>87.206968809556031</v>
      </c>
      <c r="D559" s="43">
        <f t="shared" si="9"/>
        <v>496</v>
      </c>
      <c r="E559" s="47">
        <v>94.280959476931145</v>
      </c>
    </row>
    <row r="560" spans="2:5" x14ac:dyDescent="0.3">
      <c r="B560" s="43">
        <v>497</v>
      </c>
      <c r="C560" s="47">
        <v>145.06909837884771</v>
      </c>
      <c r="D560" s="43">
        <f t="shared" si="9"/>
        <v>497</v>
      </c>
      <c r="E560" s="47">
        <v>211.87356274391178</v>
      </c>
    </row>
    <row r="561" spans="2:5" x14ac:dyDescent="0.3">
      <c r="B561" s="43">
        <v>498</v>
      </c>
      <c r="C561" s="47">
        <v>142.74746339544689</v>
      </c>
      <c r="D561" s="43">
        <f t="shared" si="9"/>
        <v>498</v>
      </c>
      <c r="E561" s="47">
        <v>167.1269044101185</v>
      </c>
    </row>
    <row r="562" spans="2:5" x14ac:dyDescent="0.3">
      <c r="B562" s="43">
        <v>499</v>
      </c>
      <c r="C562" s="47">
        <v>78.564552442068205</v>
      </c>
      <c r="D562" s="43">
        <f t="shared" si="9"/>
        <v>499</v>
      </c>
      <c r="E562" s="47">
        <v>-63.997467364460604</v>
      </c>
    </row>
    <row r="563" spans="2:5" x14ac:dyDescent="0.3">
      <c r="B563" s="43">
        <v>500</v>
      </c>
      <c r="C563" s="47">
        <v>101.01324619028497</v>
      </c>
      <c r="D563" s="43">
        <f t="shared" si="9"/>
        <v>500</v>
      </c>
      <c r="E563" s="47">
        <v>354.11162789786493</v>
      </c>
    </row>
  </sheetData>
  <mergeCells count="46">
    <mergeCell ref="B2:C2"/>
    <mergeCell ref="B1:E1"/>
    <mergeCell ref="D5:E5"/>
    <mergeCell ref="B26:C26"/>
    <mergeCell ref="B27:C27"/>
    <mergeCell ref="B20:C20"/>
    <mergeCell ref="B25:C25"/>
    <mergeCell ref="B24:C24"/>
    <mergeCell ref="B21:C21"/>
    <mergeCell ref="B22:C22"/>
    <mergeCell ref="B23:C23"/>
    <mergeCell ref="D13:E13"/>
    <mergeCell ref="D14:E14"/>
    <mergeCell ref="D15:E15"/>
    <mergeCell ref="D16:E16"/>
    <mergeCell ref="D17:E17"/>
    <mergeCell ref="A36:E36"/>
    <mergeCell ref="A35:E35"/>
    <mergeCell ref="K20:L20"/>
    <mergeCell ref="C19:E19"/>
    <mergeCell ref="D30:E30"/>
    <mergeCell ref="D31:E31"/>
    <mergeCell ref="D32:E32"/>
    <mergeCell ref="D33:E33"/>
    <mergeCell ref="D34:E34"/>
    <mergeCell ref="D2:E2"/>
    <mergeCell ref="D3:E3"/>
    <mergeCell ref="D4:E4"/>
    <mergeCell ref="D6:E6"/>
    <mergeCell ref="D7:E7"/>
    <mergeCell ref="D8:E8"/>
    <mergeCell ref="D9:E9"/>
    <mergeCell ref="D10:E10"/>
    <mergeCell ref="D11:E11"/>
    <mergeCell ref="D12:E12"/>
    <mergeCell ref="D18:E18"/>
    <mergeCell ref="D29:E29"/>
    <mergeCell ref="D28:E28"/>
    <mergeCell ref="D27:E27"/>
    <mergeCell ref="D26:E26"/>
    <mergeCell ref="D21:E21"/>
    <mergeCell ref="D22:E22"/>
    <mergeCell ref="D23:E23"/>
    <mergeCell ref="D24:E24"/>
    <mergeCell ref="D25:E25"/>
    <mergeCell ref="D20:E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abSelected="1" workbookViewId="0">
      <selection activeCell="D6" sqref="D6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7" width="12.88671875" customWidth="1"/>
    <col min="8" max="8" width="10.777343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3.33203125" customWidth="1"/>
    <col min="26" max="26" width="10.5546875" bestFit="1" customWidth="1"/>
    <col min="27" max="27" width="18.44140625" customWidth="1"/>
    <col min="28" max="28" width="17.33203125" customWidth="1"/>
    <col min="29" max="29" width="9" customWidth="1"/>
    <col min="30" max="30" width="11.5546875" bestFit="1" customWidth="1"/>
  </cols>
  <sheetData>
    <row r="1" spans="1:30" ht="15.6" x14ac:dyDescent="0.3"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5" t="s">
        <v>137</v>
      </c>
      <c r="O1" s="95"/>
      <c r="P1" s="95"/>
      <c r="Q1" s="95"/>
      <c r="R1" s="95"/>
      <c r="S1" s="95"/>
      <c r="T1" s="95"/>
      <c r="U1" s="95" t="s">
        <v>138</v>
      </c>
      <c r="V1" s="95"/>
      <c r="W1" s="95"/>
      <c r="X1" s="95"/>
      <c r="Y1" s="95"/>
      <c r="Z1" s="95" t="s">
        <v>139</v>
      </c>
      <c r="AA1" s="95"/>
      <c r="AB1" s="95"/>
    </row>
    <row r="2" spans="1:30" ht="15.6" x14ac:dyDescent="0.3">
      <c r="A2" s="12" t="s">
        <v>18</v>
      </c>
      <c r="B2" s="2" t="s">
        <v>19</v>
      </c>
      <c r="C2" t="s">
        <v>106</v>
      </c>
      <c r="D2" t="s">
        <v>123</v>
      </c>
      <c r="E2" t="s">
        <v>28</v>
      </c>
      <c r="F2" t="s">
        <v>124</v>
      </c>
      <c r="G2" t="s">
        <v>140</v>
      </c>
      <c r="H2" t="s">
        <v>34</v>
      </c>
      <c r="I2" t="s">
        <v>35</v>
      </c>
      <c r="J2" s="42" t="s">
        <v>125</v>
      </c>
      <c r="K2" s="9" t="s">
        <v>36</v>
      </c>
      <c r="L2" s="9" t="s">
        <v>32</v>
      </c>
      <c r="M2" t="s">
        <v>43</v>
      </c>
      <c r="N2" t="s">
        <v>126</v>
      </c>
      <c r="O2" t="s">
        <v>127</v>
      </c>
      <c r="P2" t="s">
        <v>93</v>
      </c>
      <c r="Q2" t="s">
        <v>90</v>
      </c>
      <c r="R2" t="s">
        <v>94</v>
      </c>
      <c r="S2" s="2" t="s">
        <v>128</v>
      </c>
      <c r="T2" s="2" t="s">
        <v>129</v>
      </c>
      <c r="U2" t="s">
        <v>44</v>
      </c>
      <c r="V2" t="s">
        <v>130</v>
      </c>
      <c r="W2" t="s">
        <v>91</v>
      </c>
      <c r="X2" t="s">
        <v>131</v>
      </c>
      <c r="Y2" t="s">
        <v>132</v>
      </c>
      <c r="Z2" t="s">
        <v>133</v>
      </c>
      <c r="AA2" t="s">
        <v>103</v>
      </c>
      <c r="AB2" t="s">
        <v>134</v>
      </c>
      <c r="AC2" t="s">
        <v>135</v>
      </c>
      <c r="AD2" t="s">
        <v>136</v>
      </c>
    </row>
    <row r="3" spans="1:30" ht="15.6" x14ac:dyDescent="0.3">
      <c r="A3" s="12" t="s">
        <v>79</v>
      </c>
      <c r="B3" t="s">
        <v>112</v>
      </c>
      <c r="C3" s="67">
        <f>D3/SUM(D3:D4)</f>
        <v>0.3900825090693491</v>
      </c>
      <c r="D3" s="4">
        <f>L3/F3</f>
        <v>27561.043613839669</v>
      </c>
      <c r="E3" s="4">
        <f>[1]All!$H$9</f>
        <v>0.53</v>
      </c>
      <c r="F3" s="68">
        <f>[1]All!$G$9</f>
        <v>8.9</v>
      </c>
      <c r="G3" s="60">
        <f>M3/D3</f>
        <v>13.06009407493959</v>
      </c>
      <c r="H3" s="66">
        <f>[1]All!$J$9</f>
        <v>5.95</v>
      </c>
      <c r="I3" s="85">
        <f>[1]All!$I$9</f>
        <v>0.40200000000000002</v>
      </c>
      <c r="J3" s="49">
        <f>D3*F3</f>
        <v>245293.28816317307</v>
      </c>
      <c r="K3" s="17">
        <v>1</v>
      </c>
      <c r="L3" s="50">
        <f>([2]prod_herd_data!$D$8+[2]prod_herd_data!$E$8)*(1-[2]prod_herd_data!$D$3)*C25</f>
        <v>245293.28816317307</v>
      </c>
      <c r="M3" s="50">
        <f>SUM([2]prod_herd_data!$D$10:$E$10)*C25</f>
        <v>359949.82240025909</v>
      </c>
      <c r="N3" s="51">
        <f>Dairy_Income_Baseline!C29</f>
        <v>67.893172585437696</v>
      </c>
      <c r="O3" s="51">
        <f>Dairy_Income_Baseline!C65</f>
        <v>218.5963015487263</v>
      </c>
      <c r="P3" s="51">
        <f>(G3-F3)*(Dairy_Income_Baseline!B25)</f>
        <v>0.12347379574107445</v>
      </c>
      <c r="Q3" s="38">
        <f>P3*Dairy_Income_Baseline!L37</f>
        <v>27.869270436717915</v>
      </c>
      <c r="R3" s="38">
        <f>IF(P3&gt;0, P3*Dairy_Income_Roadmap!L20/12, 0)</f>
        <v>0.28810552339584039</v>
      </c>
      <c r="S3" s="5">
        <f>G3*I3*N3</f>
        <v>356.44987084679423</v>
      </c>
      <c r="T3" s="5">
        <f>F3*O3*I3</f>
        <v>782.09384768103303</v>
      </c>
      <c r="U3" s="69">
        <f>N3*(M3*K3)/(D3)</f>
        <v>886.6912210119259</v>
      </c>
      <c r="V3" s="69">
        <f>[1]All!$E$9*[5]Sheet1!$B$9</f>
        <v>3196.0636193831424</v>
      </c>
      <c r="W3" s="69">
        <f>[1]All!$F$9</f>
        <v>78</v>
      </c>
      <c r="X3" s="48">
        <f>U3+V3</f>
        <v>4082.7548403950682</v>
      </c>
      <c r="Y3" s="74">
        <f>V3+S3-Q3-R3</f>
        <v>3524.3561142698227</v>
      </c>
      <c r="Z3" s="31">
        <f>SQRT(C3*(1-C3)/N35)</f>
        <v>2.8350970310121178E-2</v>
      </c>
      <c r="AA3" s="31">
        <f>S3*D3</f>
        <v>9824130.4365560133</v>
      </c>
      <c r="AB3" s="48">
        <f>Y3*D3</f>
        <v>97134932.576093093</v>
      </c>
      <c r="AC3" s="18"/>
    </row>
    <row r="4" spans="1:30" ht="15.6" x14ac:dyDescent="0.3">
      <c r="A4" s="13"/>
      <c r="B4" t="s">
        <v>113</v>
      </c>
      <c r="C4" s="67">
        <f>1-C3</f>
        <v>0.60991749093065084</v>
      </c>
      <c r="D4" s="4">
        <f>L4/F4</f>
        <v>43093.351220715318</v>
      </c>
      <c r="E4" s="4">
        <f>[1]All!$H$10</f>
        <v>0.43</v>
      </c>
      <c r="F4" s="68">
        <f>[1]All!$G$10</f>
        <v>2.54067</v>
      </c>
      <c r="G4" s="60">
        <f>M4/D4</f>
        <v>3.6427991333032086</v>
      </c>
      <c r="H4" s="66">
        <f>[1]All!$J$10</f>
        <v>5</v>
      </c>
      <c r="I4" s="85">
        <f>[1]All!$I$10</f>
        <v>0.51839999999999997</v>
      </c>
      <c r="J4" s="49">
        <f>D4*F4</f>
        <v>109485.98464593479</v>
      </c>
      <c r="K4" s="17">
        <v>1</v>
      </c>
      <c r="L4" s="50">
        <f>([2]prod_herd_data!$D$8+[2]prod_herd_data!$E$8)*([2]prod_herd_data!$D$3)*(1-C23)</f>
        <v>109485.98464593479</v>
      </c>
      <c r="M4" s="50">
        <f>SUM([2]prod_herd_data!$D$9:$E$9)*(1-C24)</f>
        <v>156980.42247795252</v>
      </c>
      <c r="N4" s="51">
        <f>Dairy_Income_Baseline!D29</f>
        <v>686.41137522672511</v>
      </c>
      <c r="O4" s="51">
        <f>Dairy_Income_Baseline!E65</f>
        <v>156.10271374852471</v>
      </c>
      <c r="P4" s="51">
        <f>(G4-F4)*(Dairy_Income_Baseline!B25)</f>
        <v>3.2711776472926016E-2</v>
      </c>
      <c r="Q4" s="38">
        <f>P4*Dairy_Income_Baseline!L39</f>
        <v>4.7765736005766568</v>
      </c>
      <c r="R4" s="38">
        <f>IF(P4&gt;0, P4*Dairy_Income_Roadmap!L20/12, 0)</f>
        <v>7.632747843682737E-2</v>
      </c>
      <c r="S4" s="5">
        <f>G4*I4*N4</f>
        <v>1296.2378226175717</v>
      </c>
      <c r="T4" s="5">
        <f>F4*O4*I4</f>
        <v>205.60028173373826</v>
      </c>
      <c r="U4" s="69">
        <f>N4*(M4*K4)/(D4)</f>
        <v>2500.4587627653777</v>
      </c>
      <c r="V4" s="69">
        <f>[1]All!$E$10*[5]Sheet1!$B$9</f>
        <v>10005.380018949556</v>
      </c>
      <c r="W4" s="69">
        <f>[1]All!$F$10</f>
        <v>97.05503607098467</v>
      </c>
      <c r="X4" s="77">
        <f>U4+V4</f>
        <v>12505.838781714934</v>
      </c>
      <c r="Y4" s="83">
        <f>V4+S4-Q4-R4</f>
        <v>11296.764940488114</v>
      </c>
      <c r="Z4" s="31">
        <f>SQRT(C4*(1-C4)/N35)</f>
        <v>2.8350970310121178E-2</v>
      </c>
      <c r="AA4" s="31">
        <f>S4*D4</f>
        <v>55859231.7556343</v>
      </c>
      <c r="AB4" s="55">
        <f>Y4*D4</f>
        <v>486815459.23831749</v>
      </c>
      <c r="AC4" s="18"/>
      <c r="AD4" s="27">
        <f ca="1">MC_Baseline!H20</f>
        <v>4.9305758871325365</v>
      </c>
    </row>
    <row r="5" spans="1:30" ht="15.6" x14ac:dyDescent="0.3">
      <c r="A5" s="13"/>
      <c r="C5" s="32"/>
      <c r="D5" s="4"/>
      <c r="E5" s="4"/>
      <c r="F5" s="29"/>
      <c r="G5" s="4"/>
      <c r="H5" s="4"/>
      <c r="I5" s="44"/>
      <c r="J5" s="49"/>
      <c r="K5" s="17"/>
      <c r="L5" s="29"/>
      <c r="M5" s="52"/>
      <c r="N5" s="51"/>
      <c r="O5" s="51"/>
      <c r="P5" s="51"/>
      <c r="Q5" s="7"/>
      <c r="R5" s="7"/>
      <c r="S5" s="5"/>
      <c r="T5" s="5"/>
      <c r="U5" s="48"/>
      <c r="V5" s="48"/>
      <c r="W5" s="48"/>
      <c r="X5" s="48"/>
      <c r="Y5" s="75"/>
      <c r="Z5" s="31"/>
      <c r="AA5" s="31"/>
      <c r="AB5" s="48"/>
      <c r="AC5" s="1"/>
      <c r="AD5" s="27"/>
    </row>
    <row r="6" spans="1:30" ht="15.6" x14ac:dyDescent="0.3">
      <c r="A6" s="12" t="s">
        <v>96</v>
      </c>
      <c r="B6" t="s">
        <v>111</v>
      </c>
      <c r="C6" s="59">
        <f>D6/SUM(D6:D8)</f>
        <v>7.8016501813869821E-2</v>
      </c>
      <c r="D6" s="60">
        <f>D3*C30</f>
        <v>5512.208722767934</v>
      </c>
      <c r="E6" s="60">
        <f>E4</f>
        <v>0.43</v>
      </c>
      <c r="F6" s="61">
        <f>J6*(1/D6)</f>
        <v>2.4641483038382463</v>
      </c>
      <c r="G6" s="62"/>
      <c r="H6" s="60">
        <f>H3</f>
        <v>5.95</v>
      </c>
      <c r="I6" s="86">
        <f>I4</f>
        <v>0.51839999999999997</v>
      </c>
      <c r="J6" s="64">
        <f>M6*K6</f>
        <v>13582.899774610991</v>
      </c>
      <c r="K6" s="65">
        <f>C26</f>
        <v>0.1</v>
      </c>
      <c r="L6" s="53"/>
      <c r="M6" s="52">
        <f>([2]prod_herd_data!D25*[2]prod_herd_data!D31+[2]prod_herd_data!E25*[2]prod_herd_data!E31)*(1-C24)</f>
        <v>135828.9977461099</v>
      </c>
      <c r="N6" s="51">
        <f>Dairy_Income_Roadmap!C28</f>
        <v>1397.1848252981956</v>
      </c>
      <c r="O6" s="51">
        <f ca="1">Dairy_Income_Roadmap!C56</f>
        <v>329.142684091371</v>
      </c>
      <c r="P6" s="51">
        <f>(F6*(Dairy_Income_Roadmap!C23 + Dairy_Income_Baseline!B25)  -   F3*Dairy_Income_Baseline!B25)</f>
        <v>0.73653060153028271</v>
      </c>
      <c r="Q6" s="38">
        <f>(P6*(Dairy_Income_Roadmap!C20))</f>
        <v>212.31747804227695</v>
      </c>
      <c r="R6" s="38">
        <f>IF(P6&gt;0, P6*Dairy_Income_Roadmap!L20/12, 0)</f>
        <v>1.7185714035706596</v>
      </c>
      <c r="S6" s="5">
        <f>F6*I6*N6</f>
        <v>1784.7841280638331</v>
      </c>
      <c r="T6" s="5">
        <f ca="1">F6*O6*I6</f>
        <v>420.45163087799097</v>
      </c>
      <c r="U6" s="48">
        <f>U3</f>
        <v>886.6912210119259</v>
      </c>
      <c r="V6" s="48">
        <f>V3-Q6-R6</f>
        <v>2982.0275699372946</v>
      </c>
      <c r="W6" s="48">
        <f>W3</f>
        <v>78</v>
      </c>
      <c r="X6" s="48">
        <f>X3</f>
        <v>4082.7548403950682</v>
      </c>
      <c r="Y6" s="75">
        <f t="shared" ref="Y6:Y20" si="0">V6+S6</f>
        <v>4766.8116980011273</v>
      </c>
      <c r="Z6" s="31">
        <f>Z3</f>
        <v>2.8350970310121178E-2</v>
      </c>
      <c r="AA6" s="31">
        <f>S6*D6</f>
        <v>9838102.6389712226</v>
      </c>
      <c r="AB6" s="54">
        <f>Y6*D6</f>
        <v>26275661.021514039</v>
      </c>
      <c r="AC6" s="1"/>
      <c r="AD6" s="27"/>
    </row>
    <row r="7" spans="1:30" ht="15.6" x14ac:dyDescent="0.3">
      <c r="A7" s="12"/>
      <c r="B7" t="s">
        <v>112</v>
      </c>
      <c r="C7" s="59">
        <f>D7/SUM(D6:D8)</f>
        <v>0.31206600725547928</v>
      </c>
      <c r="D7" s="60">
        <f>D3-D6</f>
        <v>22048.834891071736</v>
      </c>
      <c r="E7" s="60">
        <f>E3</f>
        <v>0.53</v>
      </c>
      <c r="F7" s="61">
        <f>J7*(1/D7)</f>
        <v>14.877540538461599</v>
      </c>
      <c r="G7" s="62"/>
      <c r="H7" s="60">
        <f>H3</f>
        <v>5.95</v>
      </c>
      <c r="I7" s="86">
        <f>I3</f>
        <v>0.40200000000000002</v>
      </c>
      <c r="J7" s="64">
        <f>M7*K7</f>
        <v>328032.43491776631</v>
      </c>
      <c r="K7" s="65">
        <v>1</v>
      </c>
      <c r="L7" s="53"/>
      <c r="M7" s="52">
        <f>([2]prod_herd_data!D26*[2]prod_herd_data!D31+[2]prod_herd_data!E26*[2]prod_herd_data!E31)*C25</f>
        <v>328032.43491776631</v>
      </c>
      <c r="N7" s="51">
        <f>Dairy_Income_Roadmap!E28</f>
        <v>252.22716360213391</v>
      </c>
      <c r="O7" s="51">
        <f ca="1">Dairy_Income_Roadmap!E56</f>
        <v>27.17820831127468</v>
      </c>
      <c r="P7" s="51">
        <f>(F7*(Dairy_Income_Roadmap!E23 + Dairy_Income_Baseline!B25)  -   F3*Dairy_Income_Baseline!B25)</f>
        <v>-3.6906379226174568E-2</v>
      </c>
      <c r="Q7" s="38">
        <f>(P7*(Dairy_Income_Roadmap!E20))</f>
        <v>-10.638891778145744</v>
      </c>
      <c r="R7" s="38">
        <f>IF(P7&gt;0, P7*Dairy_Income_Roadmap!L20/12, 0)</f>
        <v>0</v>
      </c>
      <c r="S7" s="5">
        <f>F7*I7*N7</f>
        <v>1508.512980259557</v>
      </c>
      <c r="T7" s="5">
        <f ca="1">F7*O7*I7</f>
        <v>162.54664815732471</v>
      </c>
      <c r="U7" s="48">
        <f t="shared" ref="U7:W8" si="1">U3</f>
        <v>886.6912210119259</v>
      </c>
      <c r="V7" s="48">
        <f>V3-Q7-R7</f>
        <v>3206.7025111612879</v>
      </c>
      <c r="W7" s="48">
        <f t="shared" si="1"/>
        <v>78</v>
      </c>
      <c r="X7" s="48">
        <f>X3</f>
        <v>4082.7548403950682</v>
      </c>
      <c r="Y7" s="75">
        <f t="shared" si="0"/>
        <v>4715.215491420845</v>
      </c>
      <c r="Z7" s="31">
        <f>Z3</f>
        <v>2.8350970310121178E-2</v>
      </c>
      <c r="AA7" s="31">
        <f>S7*D7</f>
        <v>33260953.632781528</v>
      </c>
      <c r="AB7" s="48">
        <f>Y7*D7</f>
        <v>103965007.84616189</v>
      </c>
      <c r="AC7" s="1"/>
      <c r="AD7" s="27"/>
    </row>
    <row r="8" spans="1:30" ht="15.6" x14ac:dyDescent="0.3">
      <c r="A8" s="13"/>
      <c r="B8" t="s">
        <v>113</v>
      </c>
      <c r="C8" s="59">
        <f>D8/SUM(D6:D8)</f>
        <v>0.60991749093065084</v>
      </c>
      <c r="D8" s="60">
        <f>D4</f>
        <v>43093.351220715318</v>
      </c>
      <c r="E8" s="60">
        <f>E4</f>
        <v>0.43</v>
      </c>
      <c r="F8" s="61">
        <f>J8*(1/D8)</f>
        <v>2.8367739920104946</v>
      </c>
      <c r="G8" s="62"/>
      <c r="H8" s="60">
        <f>H4</f>
        <v>5</v>
      </c>
      <c r="I8" s="86">
        <f>I4</f>
        <v>0.51839999999999997</v>
      </c>
      <c r="J8" s="64">
        <f>M8*K8</f>
        <v>122246.09797149892</v>
      </c>
      <c r="K8" s="65">
        <f>K4*(1-C26)</f>
        <v>0.9</v>
      </c>
      <c r="L8" s="53"/>
      <c r="M8" s="52">
        <f>([2]prod_herd_data!D25*[2]prod_herd_data!D31+[2]prod_herd_data!E25*[2]prod_herd_data!E31)*(1-C24)</f>
        <v>135828.9977461099</v>
      </c>
      <c r="N8" s="51">
        <f>Dairy_Income_Roadmap!G28</f>
        <v>1698.6687148983697</v>
      </c>
      <c r="O8" s="51">
        <f ca="1">Dairy_Income_Roadmap!G56</f>
        <v>301.14660119113933</v>
      </c>
      <c r="P8" s="51">
        <f>(F8*(Dairy_Income_Roadmap!G23 + Dairy_Income_Baseline!D25)  -   F5*Dairy_Income_Baseline!D25)</f>
        <v>1.9073460488373233</v>
      </c>
      <c r="Q8" s="38">
        <f>(P8*(Dairy_Income_Roadmap!G20))</f>
        <v>355.70173910193495</v>
      </c>
      <c r="R8" s="38">
        <f>IF(P8&gt;0, P8*Dairy_Income_Roadmap!L20/12, 0)</f>
        <v>4.4504741139537538</v>
      </c>
      <c r="S8" s="5">
        <f>F8*I8*N8</f>
        <v>2498.0344175917594</v>
      </c>
      <c r="T8" s="5">
        <f ca="1">F8*O8*I8</f>
        <v>442.8612641878517</v>
      </c>
      <c r="U8" s="48">
        <f t="shared" si="1"/>
        <v>2500.4587627653777</v>
      </c>
      <c r="V8" s="48">
        <f>V4-Q8-R8</f>
        <v>9645.227805733668</v>
      </c>
      <c r="W8" s="48">
        <f>W4</f>
        <v>97.05503607098467</v>
      </c>
      <c r="X8" s="48">
        <f>X4</f>
        <v>12505.838781714934</v>
      </c>
      <c r="Y8" s="75">
        <f>V8+S8</f>
        <v>12143.262223325428</v>
      </c>
      <c r="Z8" s="31">
        <f>Z4</f>
        <v>2.8350970310121178E-2</v>
      </c>
      <c r="AA8" s="31">
        <f>S8*D8</f>
        <v>107648674.51871672</v>
      </c>
      <c r="AB8" s="48">
        <f>Y8*D8</f>
        <v>523293863.95500702</v>
      </c>
      <c r="AC8" s="32">
        <f>-1+SUM(AB6:AB8)/SUM(AB3:AB4)</f>
        <v>0.11916104858165322</v>
      </c>
      <c r="AD8" s="27">
        <f ca="1">MC_High_ambition!I20</f>
        <v>32.405930828954212</v>
      </c>
    </row>
    <row r="9" spans="1:30" ht="15.6" x14ac:dyDescent="0.3">
      <c r="A9" s="13"/>
      <c r="C9" s="59"/>
      <c r="D9" s="60"/>
      <c r="E9" s="60"/>
      <c r="F9" s="61"/>
      <c r="G9" s="62"/>
      <c r="H9" s="63"/>
      <c r="I9" s="86"/>
      <c r="J9" s="64"/>
      <c r="K9" s="65"/>
      <c r="L9" s="53"/>
      <c r="M9" s="52"/>
      <c r="N9" s="51"/>
      <c r="O9" s="51"/>
      <c r="P9" s="51"/>
      <c r="Q9" s="38"/>
      <c r="R9" s="38"/>
      <c r="S9" s="5"/>
      <c r="T9" s="5"/>
      <c r="U9" s="48"/>
      <c r="V9" s="48"/>
      <c r="W9" s="48"/>
      <c r="X9" s="48"/>
      <c r="Y9" s="75"/>
      <c r="Z9" s="31"/>
      <c r="AA9" s="31"/>
      <c r="AB9" s="48"/>
      <c r="AC9" s="32"/>
      <c r="AD9" s="27"/>
    </row>
    <row r="10" spans="1:30" ht="15.6" x14ac:dyDescent="0.3">
      <c r="A10" s="12" t="s">
        <v>97</v>
      </c>
      <c r="B10" t="str">
        <f>B6</f>
        <v>New-improved</v>
      </c>
      <c r="C10" s="59">
        <f>D10/SUM(D10:D12)</f>
        <v>4.4859488542975154E-2</v>
      </c>
      <c r="D10" s="60">
        <f>D3*C31</f>
        <v>3169.5200155915622</v>
      </c>
      <c r="E10" s="60">
        <f>E6</f>
        <v>0.43</v>
      </c>
      <c r="F10" s="61">
        <f>J10*(1/D10)</f>
        <v>2.4522853230391806</v>
      </c>
      <c r="G10" s="62"/>
      <c r="H10" s="60">
        <f>H6</f>
        <v>5.95</v>
      </c>
      <c r="I10" s="86">
        <f>I6</f>
        <v>0.51839999999999997</v>
      </c>
      <c r="J10" s="64">
        <f>M10*K10</f>
        <v>7772.5674153141026</v>
      </c>
      <c r="K10" s="65">
        <f>C27</f>
        <v>5.7500000000000002E-2</v>
      </c>
      <c r="L10" s="53"/>
      <c r="M10" s="52">
        <f>([2]prod_herd_data!D34*[2]prod_herd_data!D40+[2]prod_herd_data!E34*[2]prod_herd_data!E40)*(1-C24)</f>
        <v>135175.08548372352</v>
      </c>
      <c r="N10" s="51">
        <f>Dairy_Income_Roadmap!C28</f>
        <v>1397.1848252981956</v>
      </c>
      <c r="O10" s="51">
        <f ca="1">Dairy_Income_Roadmap!C56</f>
        <v>329.142684091371</v>
      </c>
      <c r="P10" s="51">
        <f>(F10*(Dairy_Income_Roadmap!C23+Dairy_Income_Baseline!B25)-F3*Dairy_Income_Baseline!B25)</f>
        <v>0.73171306096452116</v>
      </c>
      <c r="Q10" s="38">
        <f>(P10*(Dairy_Income_Roadmap!C20))</f>
        <v>210.92874000320063</v>
      </c>
      <c r="R10" s="38">
        <f>IF(P10&gt;0, P10*Dairy_Income_Roadmap!L20/12, 0)</f>
        <v>1.7073304755838825</v>
      </c>
      <c r="S10" s="5">
        <f>F10*I10*N10</f>
        <v>1776.1917637939068</v>
      </c>
      <c r="T10" s="5">
        <f ca="1">F10*O10*I10</f>
        <v>418.42747932174234</v>
      </c>
      <c r="U10" s="48">
        <f t="shared" ref="U10:W12" si="2">U6</f>
        <v>886.6912210119259</v>
      </c>
      <c r="V10" s="48">
        <f>V3-Q10-R10</f>
        <v>2983.4275489043575</v>
      </c>
      <c r="W10" s="48">
        <f>W6</f>
        <v>78</v>
      </c>
      <c r="X10" s="48">
        <f>X6</f>
        <v>4082.7548403950682</v>
      </c>
      <c r="Y10" s="75">
        <f>V10+S10</f>
        <v>4759.6193126982644</v>
      </c>
      <c r="Z10" s="31">
        <f>Z6</f>
        <v>2.8350970310121178E-2</v>
      </c>
      <c r="AA10" s="31">
        <f>S10*D10</f>
        <v>5629675.346873668</v>
      </c>
      <c r="AB10" s="48">
        <f>Y10*D10</f>
        <v>15085708.678193303</v>
      </c>
      <c r="AC10" s="32"/>
      <c r="AD10" s="27"/>
    </row>
    <row r="11" spans="1:30" ht="15.6" x14ac:dyDescent="0.3">
      <c r="A11" s="14"/>
      <c r="B11" t="str">
        <f t="shared" ref="B11:B20" si="3">B7</f>
        <v>Local-only</v>
      </c>
      <c r="C11" s="59">
        <f>D11/SUM(D10:D12)</f>
        <v>0.34522302052637394</v>
      </c>
      <c r="D11" s="60">
        <f>D3*(1-C31)</f>
        <v>24391.523598248106</v>
      </c>
      <c r="E11" s="60">
        <f>E7</f>
        <v>0.53</v>
      </c>
      <c r="F11" s="61">
        <f>J11*(1/D11)</f>
        <v>13.887671196206622</v>
      </c>
      <c r="G11" s="62"/>
      <c r="H11" s="60">
        <f t="shared" ref="H11:H20" si="4">H7</f>
        <v>5.95</v>
      </c>
      <c r="I11" s="86">
        <f>I6</f>
        <v>0.51839999999999997</v>
      </c>
      <c r="J11" s="64">
        <f>M11*K11</f>
        <v>338741.45970698429</v>
      </c>
      <c r="K11" s="65">
        <v>1</v>
      </c>
      <c r="L11" s="53"/>
      <c r="M11" s="52">
        <f>([2]prod_herd_data!D35*[2]prod_herd_data!D40+[2]prod_herd_data!E35*[2]prod_herd_data!E40)*C25</f>
        <v>338741.45970698429</v>
      </c>
      <c r="N11" s="51">
        <f>Dairy_Income_Roadmap!E28</f>
        <v>252.22716360213391</v>
      </c>
      <c r="O11" s="51">
        <f ca="1">Dairy_Income_Roadmap!E56</f>
        <v>27.17820831127468</v>
      </c>
      <c r="P11" s="51">
        <f>(F11*(Dairy_Income_Roadmap!E23 + Dairy_Income_Baseline!B25)  -   F3*Dairy_Income_Baseline!B25)</f>
        <v>-5.2026360861875426E-2</v>
      </c>
      <c r="Q11" s="38">
        <f>(P11*(Dairy_Income_Roadmap!E20))</f>
        <v>-14.997483752827678</v>
      </c>
      <c r="R11" s="38">
        <f>IF(P11&gt;0, P11*Dairy_Income_Roadmap!L20/12, 0)</f>
        <v>0</v>
      </c>
      <c r="S11" s="5">
        <f>F11*I11*N11</f>
        <v>1815.8763590625169</v>
      </c>
      <c r="T11" s="5">
        <f ca="1">F11*O11*I11</f>
        <v>195.66594354590987</v>
      </c>
      <c r="U11" s="48">
        <f t="shared" si="2"/>
        <v>886.6912210119259</v>
      </c>
      <c r="V11" s="48">
        <f>V3-Q11-R11</f>
        <v>3211.0611031359699</v>
      </c>
      <c r="W11" s="48">
        <f t="shared" si="2"/>
        <v>78</v>
      </c>
      <c r="X11" s="48">
        <f>X7</f>
        <v>4082.7548403950682</v>
      </c>
      <c r="Y11" s="75">
        <f t="shared" si="0"/>
        <v>5026.9374621984871</v>
      </c>
      <c r="Z11" s="31">
        <f>Z3</f>
        <v>2.8350970310121178E-2</v>
      </c>
      <c r="AA11" s="31">
        <f>S11*D11</f>
        <v>44291991.063574232</v>
      </c>
      <c r="AB11" s="48">
        <f>Y11*D11</f>
        <v>122614663.73613185</v>
      </c>
      <c r="AC11" s="32"/>
      <c r="AD11" s="27"/>
    </row>
    <row r="12" spans="1:30" ht="15.6" x14ac:dyDescent="0.3">
      <c r="A12" s="12"/>
      <c r="B12" t="str">
        <f t="shared" si="3"/>
        <v>Extant-improved</v>
      </c>
      <c r="C12" s="59">
        <f>D12/SUM(D10:D12)</f>
        <v>0.60991749093065084</v>
      </c>
      <c r="D12" s="60">
        <f>D8</f>
        <v>43093.351220715318</v>
      </c>
      <c r="E12" s="60">
        <f>E8</f>
        <v>0.43</v>
      </c>
      <c r="F12" s="61">
        <f>J12*(1/D12)</f>
        <v>2.9564309681064214</v>
      </c>
      <c r="G12" s="62"/>
      <c r="H12" s="60">
        <f t="shared" si="4"/>
        <v>5</v>
      </c>
      <c r="I12" s="86">
        <f>I8</f>
        <v>0.51839999999999997</v>
      </c>
      <c r="J12" s="64">
        <f t="shared" ref="J12" si="5">M12*K12</f>
        <v>127402.51806840942</v>
      </c>
      <c r="K12" s="65">
        <f>K4*(1-C27)</f>
        <v>0.9425</v>
      </c>
      <c r="L12" s="53"/>
      <c r="M12" s="52">
        <f>M10</f>
        <v>135175.08548372352</v>
      </c>
      <c r="N12" s="51">
        <f>Dairy_Income_Roadmap!G28</f>
        <v>1698.6687148983697</v>
      </c>
      <c r="O12" s="51">
        <f ca="1">Dairy_Income_Roadmap!G56</f>
        <v>301.14660119113933</v>
      </c>
      <c r="P12" s="51">
        <f>(F12*(Dairy_Income_Roadmap!G23 + Dairy_Income_Baseline!D25)  -   F4*Dairy_Income_Baseline!D25)</f>
        <v>0.8814955589675737</v>
      </c>
      <c r="Q12" s="38">
        <f>(P12*(Dairy_Income_Roadmap!G20))</f>
        <v>164.39046471222733</v>
      </c>
      <c r="R12" s="38">
        <f>IF(P12&gt;0, P12*Dairy_Income_Roadmap!L20/12, 0)</f>
        <v>2.0568229709243386</v>
      </c>
      <c r="S12" s="5">
        <f>F12*I12*N12</f>
        <v>2603.4031376358739</v>
      </c>
      <c r="T12" s="5">
        <f ca="1">F12*O12*I12</f>
        <v>461.54144098444641</v>
      </c>
      <c r="U12" s="48">
        <f t="shared" si="2"/>
        <v>2500.4587627653777</v>
      </c>
      <c r="V12" s="48">
        <f>V4-Q12-R12</f>
        <v>9838.9327312664045</v>
      </c>
      <c r="W12" s="48">
        <f t="shared" si="2"/>
        <v>97.05503607098467</v>
      </c>
      <c r="X12" s="48">
        <f>X8</f>
        <v>12505.838781714934</v>
      </c>
      <c r="Y12" s="75">
        <f t="shared" si="0"/>
        <v>12442.335868902279</v>
      </c>
      <c r="Z12" s="31">
        <f>Z8</f>
        <v>2.8350970310121178E-2</v>
      </c>
      <c r="AA12" s="31">
        <f>S12*D12</f>
        <v>112189365.77925497</v>
      </c>
      <c r="AB12" s="48">
        <f>Y12*D12</f>
        <v>536181949.60470998</v>
      </c>
      <c r="AC12" s="32">
        <f>-1+SUM(AB10:AB12)/SUM(AB3:AB4)</f>
        <v>0.1540061133021835</v>
      </c>
      <c r="AD12" s="27">
        <f ca="1">MC_Middle_road!I20</f>
        <v>34.372155512676869</v>
      </c>
    </row>
    <row r="13" spans="1:30" ht="15.6" x14ac:dyDescent="0.3">
      <c r="A13" s="12"/>
      <c r="C13" s="59"/>
      <c r="D13" s="60"/>
      <c r="E13" s="60"/>
      <c r="F13" s="61"/>
      <c r="G13" s="62"/>
      <c r="H13" s="60">
        <f t="shared" si="4"/>
        <v>0</v>
      </c>
      <c r="I13" s="86"/>
      <c r="J13" s="64"/>
      <c r="K13" s="65"/>
      <c r="L13" s="53"/>
      <c r="M13" s="52"/>
      <c r="N13" s="51"/>
      <c r="O13" s="51"/>
      <c r="P13" s="51"/>
      <c r="Q13" s="38"/>
      <c r="R13" s="38"/>
      <c r="S13" s="5"/>
      <c r="T13" s="5"/>
      <c r="U13" s="48"/>
      <c r="V13" s="48"/>
      <c r="W13" s="48"/>
      <c r="X13" s="48"/>
      <c r="Y13" s="75"/>
      <c r="Z13" s="31"/>
      <c r="AA13" s="31"/>
      <c r="AB13" s="48"/>
      <c r="AC13" s="32"/>
      <c r="AD13" s="27"/>
    </row>
    <row r="14" spans="1:30" ht="15.6" x14ac:dyDescent="0.3">
      <c r="A14" s="12" t="s">
        <v>98</v>
      </c>
      <c r="B14" t="str">
        <f t="shared" si="3"/>
        <v>New-improved</v>
      </c>
      <c r="C14" s="59">
        <f>D14/SUM(D14:D16)</f>
        <v>1.1702475272080473E-2</v>
      </c>
      <c r="D14" s="60">
        <f>D3*C32</f>
        <v>826.83130841519005</v>
      </c>
      <c r="E14" s="60">
        <f>E10</f>
        <v>0.43</v>
      </c>
      <c r="F14" s="61">
        <f>J14*(1/D14)</f>
        <v>2.4401786588847552</v>
      </c>
      <c r="G14" s="62"/>
      <c r="H14" s="60">
        <f t="shared" si="4"/>
        <v>5.95</v>
      </c>
      <c r="I14" s="86">
        <f>I11</f>
        <v>0.51839999999999997</v>
      </c>
      <c r="J14" s="64">
        <f>M14*K14</f>
        <v>2017.616113292506</v>
      </c>
      <c r="K14" s="65">
        <f>C28</f>
        <v>1.4999999999999999E-2</v>
      </c>
      <c r="L14" s="53"/>
      <c r="M14" s="52">
        <f>([2]prod_herd_data!D43*[2]prod_herd_data!D49+[2]prod_herd_data!E43*[2]prod_herd_data!E49)*(1-C24)</f>
        <v>134507.74088616707</v>
      </c>
      <c r="N14" s="51">
        <f>Dairy_Income_Roadmap!C28</f>
        <v>1397.1848252981956</v>
      </c>
      <c r="O14" s="51">
        <f ca="1">Dairy_Income_Roadmap!C56</f>
        <v>329.142684091371</v>
      </c>
      <c r="P14" s="51">
        <f>(F14*(Dairy_Income_Roadmap!C23+ Dairy_Income_Baseline!B25)  -   F3*Dairy_Income_Baseline!B25)</f>
        <v>0.72679656091551248</v>
      </c>
      <c r="Q14" s="38">
        <f>(P14*(Dairy_Income_Roadmap!C20))</f>
        <v>209.51147520927157</v>
      </c>
      <c r="R14" s="38">
        <f>IF(P14&gt;0, P14*Dairy_Income_Roadmap!L20/12, 0)</f>
        <v>1.6958586421361959</v>
      </c>
      <c r="S14" s="5">
        <f>F14*I14*N14</f>
        <v>1767.4228995202102</v>
      </c>
      <c r="T14" s="5">
        <f ca="1">F14*O14*I14</f>
        <v>416.36174866734484</v>
      </c>
      <c r="U14" s="48">
        <f t="shared" ref="U14:U16" si="6">U10</f>
        <v>886.6912210119259</v>
      </c>
      <c r="V14" s="48">
        <f>V3-Q14-R14</f>
        <v>2984.856285531735</v>
      </c>
      <c r="W14" s="48">
        <f t="shared" ref="W14:W20" si="7">W10</f>
        <v>78</v>
      </c>
      <c r="X14" s="48">
        <f t="shared" ref="X14:X20" si="8">X10</f>
        <v>4082.7548403950682</v>
      </c>
      <c r="Y14" s="75">
        <f t="shared" si="0"/>
        <v>4752.2791850519452</v>
      </c>
      <c r="Z14" s="31">
        <f>Z10</f>
        <v>2.8350970310121178E-2</v>
      </c>
      <c r="AA14" s="31">
        <f>S14*D14</f>
        <v>1461360.5885332644</v>
      </c>
      <c r="AB14" s="48">
        <f>Y14*D14</f>
        <v>3929333.2165307729</v>
      </c>
      <c r="AC14" s="32"/>
      <c r="AD14" s="27"/>
    </row>
    <row r="15" spans="1:30" ht="15.6" x14ac:dyDescent="0.3">
      <c r="A15" s="12"/>
      <c r="B15" t="str">
        <f t="shared" si="3"/>
        <v>Local-only</v>
      </c>
      <c r="C15" s="59">
        <f>D15/SUM(D14:D16)</f>
        <v>0.37838003379726859</v>
      </c>
      <c r="D15" s="60">
        <f>D3*(1-C32)</f>
        <v>26734.212305424477</v>
      </c>
      <c r="E15" s="60">
        <f>E11</f>
        <v>0.53</v>
      </c>
      <c r="F15" s="61">
        <f>J15*(1/D15)</f>
        <v>13.07951592840468</v>
      </c>
      <c r="G15" s="62"/>
      <c r="H15" s="60">
        <f t="shared" si="4"/>
        <v>5.95</v>
      </c>
      <c r="I15" s="86">
        <f>I3</f>
        <v>0.40200000000000002</v>
      </c>
      <c r="J15" s="64">
        <f>M15*K15</f>
        <v>349670.55568215181</v>
      </c>
      <c r="K15" s="65">
        <v>1</v>
      </c>
      <c r="L15" s="53"/>
      <c r="M15" s="52">
        <f>([2]prod_herd_data!D44*[2]prod_herd_data!D49+[2]prod_herd_data!E44*[2]prod_herd_data!E49)*C25</f>
        <v>349670.55568215181</v>
      </c>
      <c r="N15" s="51">
        <f>Dairy_Income_Roadmap!E28</f>
        <v>252.22716360213391</v>
      </c>
      <c r="O15" s="51">
        <f ca="1">Dairy_Income_Roadmap!E56</f>
        <v>27.17820831127468</v>
      </c>
      <c r="P15" s="51">
        <f>(F15*(Dairy_Income_Roadmap!E23 + Dairy_Income_Baseline!B25)  -   F3*Dairy_Income_Baseline!B25)</f>
        <v>-6.4370710046510293E-2</v>
      </c>
      <c r="Q15" s="38">
        <f>(P15*(Dairy_Income_Roadmap!E20))</f>
        <v>-18.555952445790943</v>
      </c>
      <c r="R15" s="38">
        <f>IF(P15&gt;0, P15*Dairy_Income_Roadmap!L20/12, 0)</f>
        <v>0</v>
      </c>
      <c r="S15" s="5">
        <f>F15*I15*N15</f>
        <v>1326.2016999719986</v>
      </c>
      <c r="T15" s="5">
        <f ca="1">F15*O15*I15</f>
        <v>142.90207902215272</v>
      </c>
      <c r="U15" s="48">
        <f t="shared" si="6"/>
        <v>886.6912210119259</v>
      </c>
      <c r="V15" s="48">
        <f>V3-Q15-R15</f>
        <v>3214.6195718289332</v>
      </c>
      <c r="W15" s="48">
        <f t="shared" si="7"/>
        <v>78</v>
      </c>
      <c r="X15" s="48">
        <f t="shared" si="8"/>
        <v>4082.7548403950682</v>
      </c>
      <c r="Y15" s="75">
        <f t="shared" si="0"/>
        <v>4540.8212718009318</v>
      </c>
      <c r="Z15" s="31">
        <f>Z11</f>
        <v>2.8350970310121178E-2</v>
      </c>
      <c r="AA15" s="31">
        <f>S15*D15</f>
        <v>35454957.806866266</v>
      </c>
      <c r="AB15" s="48">
        <f>Y15*D15</f>
        <v>121395279.92131369</v>
      </c>
      <c r="AC15" s="32"/>
      <c r="AD15" s="27"/>
    </row>
    <row r="16" spans="1:30" ht="15.6" x14ac:dyDescent="0.3">
      <c r="A16" s="13"/>
      <c r="B16" t="str">
        <f t="shared" si="3"/>
        <v>Extant-improved</v>
      </c>
      <c r="C16" s="59">
        <f>D16/SUM(D14:D16)</f>
        <v>0.60991749093065084</v>
      </c>
      <c r="D16" s="60">
        <f>D12</f>
        <v>43093.351220715318</v>
      </c>
      <c r="E16" s="60">
        <f>E12</f>
        <v>0.43</v>
      </c>
      <c r="F16" s="61">
        <f>J16*(1/D16)</f>
        <v>3.0744910994340464</v>
      </c>
      <c r="G16" s="62"/>
      <c r="H16" s="60">
        <f t="shared" si="4"/>
        <v>5</v>
      </c>
      <c r="I16" s="86">
        <f>I12</f>
        <v>0.51839999999999997</v>
      </c>
      <c r="J16" s="64">
        <f>M16*K16</f>
        <v>132490.12477287455</v>
      </c>
      <c r="K16" s="65">
        <f>K4*(1-C28)</f>
        <v>0.98499999999999999</v>
      </c>
      <c r="L16" s="53"/>
      <c r="M16" s="52">
        <f>M14</f>
        <v>134507.74088616707</v>
      </c>
      <c r="N16" s="51">
        <f>Dairy_Income_Roadmap!G28</f>
        <v>1698.6687148983697</v>
      </c>
      <c r="O16" s="51">
        <f ca="1">Dairy_Income_Roadmap!G56</f>
        <v>301.14660119113933</v>
      </c>
      <c r="P16" s="51">
        <f>(F16*(Dairy_Income_Roadmap!G23 + Dairy_Income_Baseline!D25)  -   F4*Dairy_Income_Baseline!D25)</f>
        <v>0.96087499689500966</v>
      </c>
      <c r="Q16" s="38">
        <f>(P16*(Dairy_Income_Roadmap!G20))</f>
        <v>179.19396832235341</v>
      </c>
      <c r="R16" s="38">
        <f>IF(P16&gt;0, P16*Dairy_Income_Roadmap!L20/12, 0)</f>
        <v>2.2420416594216892</v>
      </c>
      <c r="S16" s="5">
        <f>F16*I16*N16</f>
        <v>2707.3656923661483</v>
      </c>
      <c r="T16" s="5">
        <f ca="1">F16*O16*I16</f>
        <v>479.97232732124638</v>
      </c>
      <c r="U16" s="48">
        <f t="shared" si="6"/>
        <v>2500.4587627653777</v>
      </c>
      <c r="V16" s="48">
        <f>V4-Q16-R16</f>
        <v>9823.944008967781</v>
      </c>
      <c r="W16" s="48">
        <f t="shared" si="7"/>
        <v>97.05503607098467</v>
      </c>
      <c r="X16" s="48">
        <f t="shared" si="8"/>
        <v>12505.838781714934</v>
      </c>
      <c r="Y16" s="75">
        <f t="shared" si="0"/>
        <v>12531.309701333928</v>
      </c>
      <c r="Z16" s="31">
        <f>Z12</f>
        <v>2.8350970310121178E-2</v>
      </c>
      <c r="AA16" s="31">
        <f>S16*D16</f>
        <v>116669460.66404954</v>
      </c>
      <c r="AB16" s="48">
        <f>Y16*D16</f>
        <v>540016130.2151401</v>
      </c>
      <c r="AC16" s="32">
        <f>-1+SUM(AB14:AB16)/SUM(AB3:AB4)</f>
        <v>0.13937887991766473</v>
      </c>
      <c r="AD16" s="27">
        <f ca="1">MC_Status_quo!I20</f>
        <v>17.932658547343742</v>
      </c>
    </row>
    <row r="17" spans="1:30" ht="15.6" x14ac:dyDescent="0.3">
      <c r="A17" s="13"/>
      <c r="C17" s="59"/>
      <c r="D17" s="60"/>
      <c r="E17" s="60"/>
      <c r="F17" s="61"/>
      <c r="G17" s="62"/>
      <c r="H17" s="60">
        <f t="shared" si="4"/>
        <v>0</v>
      </c>
      <c r="I17" s="86"/>
      <c r="J17" s="64"/>
      <c r="K17" s="65"/>
      <c r="L17" s="53"/>
      <c r="M17" s="52"/>
      <c r="N17" s="51"/>
      <c r="O17" s="51"/>
      <c r="P17" s="51"/>
      <c r="Q17" s="38"/>
      <c r="R17" s="38"/>
      <c r="S17" s="5"/>
      <c r="T17" s="5"/>
      <c r="U17" s="48"/>
      <c r="V17" s="48"/>
      <c r="W17" s="48"/>
      <c r="X17" s="48"/>
      <c r="Y17" s="75"/>
      <c r="Z17" s="31"/>
      <c r="AA17" s="31"/>
      <c r="AB17" s="48"/>
      <c r="AC17" s="32"/>
      <c r="AD17" s="27"/>
    </row>
    <row r="18" spans="1:30" ht="15.6" x14ac:dyDescent="0.3">
      <c r="A18" s="12" t="s">
        <v>107</v>
      </c>
      <c r="B18" t="str">
        <f t="shared" si="3"/>
        <v>New-improved</v>
      </c>
      <c r="C18" s="59">
        <f>D18/SUM(D18:D20)</f>
        <v>7.8016501813869821E-2</v>
      </c>
      <c r="D18" s="60">
        <f>D3*C33</f>
        <v>5512.208722767934</v>
      </c>
      <c r="E18" s="60">
        <f>E14</f>
        <v>0.43</v>
      </c>
      <c r="F18" s="61">
        <f>J18*(1/D18)</f>
        <v>3.1198845090294705</v>
      </c>
      <c r="G18" s="62"/>
      <c r="H18" s="60">
        <f t="shared" si="4"/>
        <v>5.95</v>
      </c>
      <c r="I18" s="86">
        <f>I14</f>
        <v>0.51839999999999997</v>
      </c>
      <c r="J18" s="64">
        <f>M18*K18</f>
        <v>17197.454604700801</v>
      </c>
      <c r="K18" s="65">
        <f>C29</f>
        <v>0.1</v>
      </c>
      <c r="L18" s="53"/>
      <c r="M18" s="52">
        <f>([2]prod_herd_data!D58*[2]prod_herd_data!D52+[2]prod_herd_data!E58*[2]prod_herd_data!E52)*(1-C24)</f>
        <v>171974.54604700799</v>
      </c>
      <c r="N18" s="51">
        <f>Dairy_Income_Roadmap!C28</f>
        <v>1397.1848252981956</v>
      </c>
      <c r="O18" s="51">
        <f ca="1">Dairy_Income_Roadmap!C56</f>
        <v>329.142684091371</v>
      </c>
      <c r="P18" s="51">
        <f>(F18*(Dairy_Income_Roadmap!C23 + Dairy_Income_Baseline!B25)  -   F3*Dairy_Income_Baseline!B25)</f>
        <v>1.0028241935418305</v>
      </c>
      <c r="Q18" s="38">
        <f>(P18*(Dairy_Income_Roadmap!C20))</f>
        <v>289.08113695507802</v>
      </c>
      <c r="R18" s="38">
        <f>IF(P18&gt;0, P18*Dairy_Income_Roadmap!L20/12, 0)</f>
        <v>2.3399231182642715</v>
      </c>
      <c r="S18" s="5">
        <f>F18*I18*N18</f>
        <v>2259.734263735103</v>
      </c>
      <c r="T18" s="5">
        <f ca="1">F18*O18*I18</f>
        <v>532.33830444749424</v>
      </c>
      <c r="U18" s="48">
        <f t="shared" ref="U18:U20" si="9">U14</f>
        <v>886.6912210119259</v>
      </c>
      <c r="V18" s="48">
        <f>V3-Q18-R18</f>
        <v>2904.6425593098002</v>
      </c>
      <c r="W18" s="48">
        <f t="shared" si="7"/>
        <v>78</v>
      </c>
      <c r="X18" s="48">
        <f t="shared" si="8"/>
        <v>4082.7548403950682</v>
      </c>
      <c r="Y18" s="75">
        <f t="shared" si="0"/>
        <v>5164.3768230449032</v>
      </c>
      <c r="Z18" s="31">
        <f>Z14</f>
        <v>2.8350970310121178E-2</v>
      </c>
      <c r="AA18" s="31">
        <f>S18*D18</f>
        <v>12456126.91969821</v>
      </c>
      <c r="AB18" s="48">
        <f>Y18*D18</f>
        <v>28467122.971648667</v>
      </c>
      <c r="AC18" s="32"/>
      <c r="AD18" s="27"/>
    </row>
    <row r="19" spans="1:30" ht="15.6" x14ac:dyDescent="0.3">
      <c r="A19" s="12"/>
      <c r="B19" t="str">
        <f t="shared" si="3"/>
        <v>Local-only</v>
      </c>
      <c r="C19" s="59">
        <f>D19/SUM(D18:D20)</f>
        <v>0.31206600725547928</v>
      </c>
      <c r="D19" s="60">
        <f>D3*(1-C33)</f>
        <v>22048.834891071736</v>
      </c>
      <c r="E19" s="60">
        <f>E15</f>
        <v>0.53</v>
      </c>
      <c r="F19" s="61">
        <f>J19*(1/D19)</f>
        <v>18.836613115413851</v>
      </c>
      <c r="G19" s="62"/>
      <c r="H19" s="60">
        <f t="shared" si="4"/>
        <v>5.95</v>
      </c>
      <c r="I19" s="86">
        <f>I15</f>
        <v>0.40200000000000002</v>
      </c>
      <c r="J19" s="64">
        <f t="shared" ref="J19:J20" si="10">M19*K19</f>
        <v>415325.37248875643</v>
      </c>
      <c r="K19" s="65">
        <v>1</v>
      </c>
      <c r="L19" s="53"/>
      <c r="M19" s="52">
        <f>([2]prod_herd_data!D58*[2]prod_herd_data!D53+[2]prod_herd_data!E58*[2]prod_herd_data!E53)*C25</f>
        <v>415325.37248875643</v>
      </c>
      <c r="N19" s="51">
        <f>Dairy_Income_Roadmap!E28</f>
        <v>252.22716360213391</v>
      </c>
      <c r="O19" s="51">
        <f ca="1">Dairy_Income_Roadmap!E56</f>
        <v>27.17820831127468</v>
      </c>
      <c r="P19" s="51">
        <f>(F19*(Dairy_Income_Roadmap!E23 + Dairy_Income_Baseline!B25)  -   F3*Dairy_Income_Baseline!B25)</f>
        <v>2.3567364229257648E-2</v>
      </c>
      <c r="Q19" s="38">
        <f>(P19*(Dairy_Income_Roadmap!E20))</f>
        <v>6.7936937404413085</v>
      </c>
      <c r="R19" s="38">
        <f>IF(P19&gt;0, P19*Dairy_Income_Roadmap!L20/12, 0)</f>
        <v>5.499051653493451E-2</v>
      </c>
      <c r="S19" s="5">
        <f>F19*I19*N19</f>
        <v>1909.9444101845795</v>
      </c>
      <c r="T19" s="5">
        <f ca="1">F19*O19*I19</f>
        <v>205.80204884210178</v>
      </c>
      <c r="U19" s="48">
        <f t="shared" si="9"/>
        <v>886.6912210119259</v>
      </c>
      <c r="V19" s="48">
        <f>V3-Q19-R19</f>
        <v>3189.2149351261664</v>
      </c>
      <c r="W19" s="48">
        <f t="shared" si="7"/>
        <v>78</v>
      </c>
      <c r="X19" s="48">
        <f t="shared" si="8"/>
        <v>4082.7548403950682</v>
      </c>
      <c r="Y19" s="75">
        <f t="shared" si="0"/>
        <v>5099.1593453107462</v>
      </c>
      <c r="Z19" s="31">
        <f>Z15</f>
        <v>2.8350970310121178E-2</v>
      </c>
      <c r="AA19" s="31">
        <f>S19*D19</f>
        <v>42112048.951285183</v>
      </c>
      <c r="AB19" s="48">
        <f>Y19*D19</f>
        <v>112430522.48802209</v>
      </c>
      <c r="AC19" s="32"/>
      <c r="AD19" s="27"/>
    </row>
    <row r="20" spans="1:30" ht="15.6" x14ac:dyDescent="0.3">
      <c r="A20" s="14"/>
      <c r="B20" t="str">
        <f t="shared" si="3"/>
        <v>Extant-improved</v>
      </c>
      <c r="C20" s="59">
        <f>D20/SUM(D18:D20)</f>
        <v>0.60991749093065084</v>
      </c>
      <c r="D20" s="60">
        <f>D16</f>
        <v>43093.351220715318</v>
      </c>
      <c r="E20" s="60">
        <f>E16</f>
        <v>0.43</v>
      </c>
      <c r="F20" s="61">
        <f>J20*(1/D20)</f>
        <v>3.5916698761618844</v>
      </c>
      <c r="G20" s="62"/>
      <c r="H20" s="60">
        <f t="shared" si="4"/>
        <v>5</v>
      </c>
      <c r="I20" s="86">
        <f>I16</f>
        <v>0.51839999999999997</v>
      </c>
      <c r="J20" s="64">
        <f t="shared" si="10"/>
        <v>154777.0914423072</v>
      </c>
      <c r="K20" s="65">
        <f>K4*(1-C29)</f>
        <v>0.9</v>
      </c>
      <c r="L20" s="53"/>
      <c r="M20" s="52">
        <f>M18</f>
        <v>171974.54604700799</v>
      </c>
      <c r="N20" s="51">
        <f>Dairy_Income_Roadmap!G28</f>
        <v>1698.6687148983697</v>
      </c>
      <c r="O20" s="51">
        <f ca="1">Dairy_Income_Roadmap!G56</f>
        <v>301.14660119113933</v>
      </c>
      <c r="P20" s="51">
        <f>(F20*(Dairy_Income_Roadmap!G23+ Dairy_Income_Baseline!D25)  -   F4*Dairy_Income_Baseline!D25)</f>
        <v>1.3086076323155873</v>
      </c>
      <c r="Q20" s="38">
        <f>(P20*(Dairy_Income_Roadmap!G20))</f>
        <v>244.04276869447085</v>
      </c>
      <c r="R20" s="38">
        <f>IF(P20&gt;0, P20*Dairy_Income_Roadmap!L20/12, 0)</f>
        <v>3.0534178087363704</v>
      </c>
      <c r="S20" s="5">
        <f>F20*I20*N20</f>
        <v>3162.7880798925225</v>
      </c>
      <c r="T20" s="5">
        <f ca="1">F20*O20*I20</f>
        <v>560.7113807382201</v>
      </c>
      <c r="U20" s="48">
        <f t="shared" si="9"/>
        <v>2500.4587627653777</v>
      </c>
      <c r="V20" s="48">
        <f>V4-Q20-R20</f>
        <v>9758.2838324463482</v>
      </c>
      <c r="W20" s="48">
        <f t="shared" si="7"/>
        <v>97.05503607098467</v>
      </c>
      <c r="X20" s="48">
        <f t="shared" si="8"/>
        <v>12505.838781714934</v>
      </c>
      <c r="Y20" s="75">
        <f t="shared" si="0"/>
        <v>12921.07191233887</v>
      </c>
      <c r="Z20" s="31">
        <f>Z16</f>
        <v>2.8350970310121178E-2</v>
      </c>
      <c r="AA20" s="31">
        <f>S20*D20</f>
        <v>136295137.56350029</v>
      </c>
      <c r="AB20" s="48">
        <f>Y20*D20</f>
        <v>556812290.06653869</v>
      </c>
      <c r="AC20" s="32">
        <f>-1+SUM(AB18:AB20)/SUM(AB3:AB4)</f>
        <v>0.19481028749434182</v>
      </c>
      <c r="AD20" s="27">
        <f ca="1">MC_High_ambition_plus!I20</f>
        <v>16.315014091305667</v>
      </c>
    </row>
    <row r="21" spans="1:30" x14ac:dyDescent="0.3">
      <c r="M21" s="71" t="s">
        <v>84</v>
      </c>
      <c r="N21" s="72">
        <f>([8]prod_herd_data!D8+[8]prod_herd_data!E8)</f>
        <v>587106.96065862395</v>
      </c>
    </row>
    <row r="22" spans="1:30" ht="15.6" x14ac:dyDescent="0.3">
      <c r="A22" s="82" t="s">
        <v>78</v>
      </c>
      <c r="B22" s="57"/>
      <c r="C22" s="57"/>
      <c r="D22" s="57" t="s">
        <v>110</v>
      </c>
    </row>
    <row r="23" spans="1:30" x14ac:dyDescent="0.3">
      <c r="A23" s="73" t="s">
        <v>108</v>
      </c>
      <c r="B23" s="57"/>
      <c r="C23" s="57">
        <f>532194/(250800+532194)</f>
        <v>0.67969103211518866</v>
      </c>
      <c r="D23" s="57"/>
    </row>
    <row r="24" spans="1:30" x14ac:dyDescent="0.3">
      <c r="A24" s="73" t="s">
        <v>109</v>
      </c>
      <c r="B24" s="57"/>
      <c r="C24" s="57">
        <f>9226165/(9226165+3518000)</f>
        <v>0.723952098862499</v>
      </c>
      <c r="D24" s="57"/>
    </row>
    <row r="25" spans="1:30" x14ac:dyDescent="0.3">
      <c r="A25" s="73" t="s">
        <v>33</v>
      </c>
      <c r="B25" s="57"/>
      <c r="C25" s="57">
        <f>1-0</f>
        <v>1</v>
      </c>
      <c r="D25" s="57"/>
      <c r="E25" s="21"/>
    </row>
    <row r="26" spans="1:30" x14ac:dyDescent="0.3">
      <c r="A26" s="73" t="s">
        <v>87</v>
      </c>
      <c r="B26" s="57" t="s">
        <v>96</v>
      </c>
      <c r="C26" s="57">
        <f>0.1</f>
        <v>0.1</v>
      </c>
      <c r="D26" s="57"/>
      <c r="E26" s="21"/>
      <c r="O26" s="2" t="s">
        <v>82</v>
      </c>
      <c r="P26" s="2"/>
    </row>
    <row r="27" spans="1:30" x14ac:dyDescent="0.3">
      <c r="A27" s="73"/>
      <c r="B27" s="57" t="s">
        <v>97</v>
      </c>
      <c r="C27" s="57">
        <f>0.5*(C26-C28)+C28</f>
        <v>5.7500000000000002E-2</v>
      </c>
      <c r="D27" s="57"/>
      <c r="E27" s="21"/>
      <c r="O27" s="56" t="s">
        <v>81</v>
      </c>
      <c r="P27" s="56"/>
      <c r="Q27" s="15"/>
      <c r="R27" s="15"/>
      <c r="S27" s="8"/>
      <c r="T27" s="8"/>
    </row>
    <row r="28" spans="1:30" x14ac:dyDescent="0.3">
      <c r="A28" s="73"/>
      <c r="B28" s="57" t="s">
        <v>98</v>
      </c>
      <c r="C28" s="57">
        <f>0.015</f>
        <v>1.4999999999999999E-2</v>
      </c>
      <c r="D28" s="57"/>
      <c r="E28" s="23"/>
      <c r="M28" s="15"/>
      <c r="O28" s="57" t="s">
        <v>22</v>
      </c>
      <c r="P28" s="57"/>
      <c r="Q28" s="19"/>
      <c r="R28" s="19"/>
    </row>
    <row r="29" spans="1:30" x14ac:dyDescent="0.3">
      <c r="A29" s="73"/>
      <c r="B29" s="57" t="s">
        <v>107</v>
      </c>
      <c r="C29" s="57">
        <f>C26</f>
        <v>0.1</v>
      </c>
      <c r="D29" s="57"/>
      <c r="E29" s="23"/>
      <c r="M29" s="15"/>
      <c r="O29" s="70" t="s">
        <v>83</v>
      </c>
      <c r="P29" s="70"/>
      <c r="Q29" s="19"/>
      <c r="R29" s="19"/>
    </row>
    <row r="30" spans="1:30" x14ac:dyDescent="0.3">
      <c r="A30" s="73" t="s">
        <v>95</v>
      </c>
      <c r="B30" s="57" t="s">
        <v>96</v>
      </c>
      <c r="C30" s="76">
        <f>0.2</f>
        <v>0.2</v>
      </c>
      <c r="D30" s="58">
        <f>(C6+C8)/SUM(C6,C7,C8)</f>
        <v>0.68793399274452072</v>
      </c>
      <c r="E30" s="24"/>
      <c r="F30" s="44"/>
      <c r="M30" s="19"/>
      <c r="O30" s="16"/>
      <c r="P30" s="16"/>
      <c r="Q30" s="16"/>
      <c r="R30" s="16"/>
    </row>
    <row r="31" spans="1:30" x14ac:dyDescent="0.3">
      <c r="A31" s="57"/>
      <c r="B31" s="57" t="s">
        <v>97</v>
      </c>
      <c r="C31" s="76">
        <f>C32+(C30-C32)*0.5</f>
        <v>0.115</v>
      </c>
      <c r="D31" s="58">
        <f>(C10+C12)/SUM(C10,C11,C12)</f>
        <v>0.65477697947362601</v>
      </c>
      <c r="E31" s="24"/>
      <c r="M31" s="16"/>
      <c r="O31" s="20"/>
      <c r="P31" s="20"/>
      <c r="Q31" s="20"/>
      <c r="R31" s="20"/>
    </row>
    <row r="32" spans="1:30" x14ac:dyDescent="0.3">
      <c r="A32" s="57"/>
      <c r="B32" s="57" t="s">
        <v>98</v>
      </c>
      <c r="C32" s="76">
        <f>0.03</f>
        <v>0.03</v>
      </c>
      <c r="D32" s="58">
        <f>(C14+C16)/SUM(C14,C15,C16)</f>
        <v>0.62161996620273141</v>
      </c>
      <c r="E32" s="24"/>
      <c r="M32" s="16"/>
      <c r="O32" s="20"/>
      <c r="P32" s="20"/>
      <c r="Q32" s="20"/>
      <c r="R32" s="20"/>
    </row>
    <row r="33" spans="1:18" x14ac:dyDescent="0.3">
      <c r="A33" s="57"/>
      <c r="B33" s="57" t="s">
        <v>107</v>
      </c>
      <c r="C33" s="76">
        <f>C30</f>
        <v>0.2</v>
      </c>
      <c r="D33" s="58">
        <f>(C18+C20)/SUM(C18,C19,C20)</f>
        <v>0.68793399274452072</v>
      </c>
      <c r="E33" s="24"/>
      <c r="M33" s="20"/>
      <c r="O33" s="21"/>
      <c r="P33" s="21"/>
      <c r="Q33" s="21"/>
      <c r="R33" s="21"/>
    </row>
    <row r="34" spans="1:18" x14ac:dyDescent="0.3">
      <c r="M34" s="21"/>
      <c r="O34" s="22"/>
      <c r="P34" s="22"/>
      <c r="Q34" s="22"/>
      <c r="R34" s="22"/>
    </row>
    <row r="35" spans="1:18" x14ac:dyDescent="0.3">
      <c r="M35" s="22"/>
      <c r="N35" s="15">
        <f>[1]All!$B$9</f>
        <v>296</v>
      </c>
      <c r="O35" s="15" t="s">
        <v>20</v>
      </c>
      <c r="P35" s="15"/>
      <c r="Q35" s="15"/>
      <c r="R35" s="15"/>
    </row>
    <row r="36" spans="1:18" x14ac:dyDescent="0.3">
      <c r="N36" s="34"/>
    </row>
    <row r="37" spans="1:18" x14ac:dyDescent="0.3">
      <c r="E37" s="31"/>
      <c r="F37" s="31"/>
      <c r="G37" s="31"/>
      <c r="H37" s="31"/>
      <c r="I37" s="31"/>
      <c r="N37" s="35"/>
    </row>
    <row r="38" spans="1:18" x14ac:dyDescent="0.3">
      <c r="E38" s="31"/>
      <c r="F38" s="31"/>
      <c r="G38" s="31"/>
      <c r="H38" s="31"/>
      <c r="I38" s="31"/>
      <c r="N38" s="34"/>
    </row>
    <row r="39" spans="1:18" x14ac:dyDescent="0.3">
      <c r="E39" s="31"/>
      <c r="F39" s="31"/>
      <c r="G39" s="31"/>
      <c r="H39" s="31"/>
      <c r="I39" s="31"/>
      <c r="N39" s="34"/>
    </row>
    <row r="40" spans="1:18" x14ac:dyDescent="0.3">
      <c r="N40" s="34"/>
    </row>
    <row r="41" spans="1:18" x14ac:dyDescent="0.3">
      <c r="E41" s="27"/>
      <c r="F41" s="27"/>
      <c r="G41" s="27"/>
      <c r="H41" s="27"/>
      <c r="I41" s="27"/>
    </row>
    <row r="42" spans="1:18" x14ac:dyDescent="0.3">
      <c r="E42" s="27"/>
      <c r="F42" s="27"/>
      <c r="G42" s="27"/>
      <c r="H42" s="27"/>
      <c r="I42" s="27"/>
    </row>
    <row r="43" spans="1:18" x14ac:dyDescent="0.3">
      <c r="E43" s="27"/>
      <c r="F43" s="27"/>
      <c r="G43" s="27"/>
      <c r="H43" s="27"/>
      <c r="I43" s="27"/>
    </row>
    <row r="45" spans="1:18" x14ac:dyDescent="0.3">
      <c r="H45" s="31"/>
    </row>
    <row r="49" spans="4:10" x14ac:dyDescent="0.3">
      <c r="H49" s="31"/>
    </row>
    <row r="52" spans="4:10" x14ac:dyDescent="0.3">
      <c r="D52" s="30"/>
      <c r="E52" s="30"/>
      <c r="F52" s="30"/>
      <c r="G52" s="30"/>
      <c r="H52" s="30"/>
    </row>
    <row r="53" spans="4:10" x14ac:dyDescent="0.3">
      <c r="D53" s="30"/>
      <c r="E53" s="30"/>
      <c r="F53" s="30"/>
      <c r="G53" s="30"/>
      <c r="H53" s="30"/>
    </row>
    <row r="54" spans="4:10" x14ac:dyDescent="0.3">
      <c r="D54" s="30"/>
      <c r="E54" s="30"/>
      <c r="F54" s="30"/>
      <c r="G54" s="30"/>
      <c r="H54" s="30"/>
    </row>
    <row r="56" spans="4:10" x14ac:dyDescent="0.3">
      <c r="F56" s="30"/>
      <c r="G56" s="30"/>
    </row>
    <row r="57" spans="4:10" x14ac:dyDescent="0.3">
      <c r="D57" s="29"/>
      <c r="E57" s="29"/>
      <c r="F57" s="29"/>
      <c r="G57" s="29"/>
      <c r="H57" s="29"/>
    </row>
    <row r="58" spans="4:10" x14ac:dyDescent="0.3">
      <c r="D58" s="29"/>
      <c r="E58" s="29"/>
      <c r="F58" s="29"/>
      <c r="G58" s="29"/>
      <c r="H58" s="29"/>
    </row>
    <row r="59" spans="4:10" x14ac:dyDescent="0.3">
      <c r="D59" s="29"/>
      <c r="E59" s="29"/>
      <c r="F59" s="29"/>
      <c r="G59" s="29"/>
      <c r="H59" s="29"/>
    </row>
    <row r="60" spans="4:10" x14ac:dyDescent="0.3">
      <c r="F60" s="30"/>
      <c r="G60" s="30"/>
    </row>
    <row r="64" spans="4:10" x14ac:dyDescent="0.3">
      <c r="F64" s="30"/>
      <c r="G64" s="30"/>
      <c r="H64" s="27"/>
      <c r="I64" s="27"/>
      <c r="J64" s="27"/>
    </row>
    <row r="65" spans="4:10" x14ac:dyDescent="0.3">
      <c r="H65" s="27"/>
      <c r="I65" s="27"/>
      <c r="J65" s="27"/>
    </row>
    <row r="66" spans="4:10" x14ac:dyDescent="0.3">
      <c r="H66" s="27"/>
      <c r="I66" s="27"/>
      <c r="J66" s="27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1"/>
      <c r="D81" s="11"/>
      <c r="E81" s="3"/>
      <c r="F81" s="3"/>
      <c r="G81" s="3"/>
      <c r="H81" s="28"/>
      <c r="I81" s="3"/>
    </row>
    <row r="82" spans="3:9" x14ac:dyDescent="0.3">
      <c r="C82" s="11"/>
      <c r="D82" s="11"/>
      <c r="E82" s="3"/>
      <c r="F82" s="3"/>
      <c r="G82" s="3"/>
      <c r="H82" s="25"/>
      <c r="I82" s="3"/>
    </row>
    <row r="83" spans="3:9" x14ac:dyDescent="0.3">
      <c r="C83" s="11"/>
      <c r="D83" s="11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29"/>
      <c r="F85" s="29"/>
      <c r="G85" s="29"/>
      <c r="H85" s="29"/>
      <c r="I85" s="29"/>
    </row>
    <row r="86" spans="3:9" x14ac:dyDescent="0.3">
      <c r="E86" s="29"/>
      <c r="F86" s="29"/>
      <c r="G86" s="29"/>
      <c r="H86" s="29"/>
      <c r="I86" s="29"/>
    </row>
    <row r="87" spans="3:9" x14ac:dyDescent="0.3">
      <c r="C87" s="27"/>
      <c r="D87" s="27"/>
      <c r="E87" s="29"/>
      <c r="F87" s="29"/>
      <c r="G87" s="29"/>
      <c r="H87" s="29"/>
      <c r="I87" s="29"/>
    </row>
    <row r="88" spans="3:9" x14ac:dyDescent="0.3">
      <c r="C88" s="27"/>
      <c r="D88" s="27"/>
    </row>
    <row r="89" spans="3:9" x14ac:dyDescent="0.3">
      <c r="C89" s="27"/>
      <c r="D89" s="27"/>
      <c r="E89" s="27"/>
    </row>
    <row r="92" spans="3:9" x14ac:dyDescent="0.3">
      <c r="H92" s="3"/>
    </row>
  </sheetData>
  <mergeCells count="4">
    <mergeCell ref="N1:T1"/>
    <mergeCell ref="U1:Y1"/>
    <mergeCell ref="C1:M1"/>
    <mergeCell ref="Z1:AB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A1:H129"/>
  <sheetViews>
    <sheetView workbookViewId="0">
      <selection activeCell="D10" sqref="D10"/>
    </sheetView>
  </sheetViews>
  <sheetFormatPr defaultRowHeight="14.4" x14ac:dyDescent="0.3"/>
  <cols>
    <col min="1" max="1" width="48.21875" customWidth="1"/>
    <col min="2" max="2" width="18.21875" customWidth="1"/>
    <col min="3" max="3" width="17.44140625" customWidth="1"/>
    <col min="5" max="6" width="22.6640625" customWidth="1"/>
    <col min="7" max="7" width="29.44140625" customWidth="1"/>
  </cols>
  <sheetData>
    <row r="1" spans="1:7" ht="18" customHeight="1" x14ac:dyDescent="0.3">
      <c r="B1" s="84" t="s">
        <v>112</v>
      </c>
      <c r="C1" s="84" t="s">
        <v>113</v>
      </c>
      <c r="E1" s="2" t="str">
        <f>MC_High_ambition!F1</f>
        <v>All dairy households</v>
      </c>
      <c r="F1" s="2"/>
      <c r="G1" s="2"/>
    </row>
    <row r="3" spans="1:7" x14ac:dyDescent="0.3">
      <c r="A3" t="s">
        <v>115</v>
      </c>
      <c r="B3" s="27">
        <f>Mappings!N3</f>
        <v>67.893172585437696</v>
      </c>
      <c r="C3" s="27">
        <f>Mappings!N4</f>
        <v>686.41137522672511</v>
      </c>
    </row>
    <row r="4" spans="1:7" x14ac:dyDescent="0.3">
      <c r="A4" t="s">
        <v>116</v>
      </c>
      <c r="B4" s="27">
        <f ca="1">_xlfn.NORM.INV(RAND(),Mappings!N3,Mappings!O3)</f>
        <v>274.93011227787213</v>
      </c>
      <c r="C4" s="27">
        <f ca="1">_xlfn.NORM.INV(RAND(),Mappings!N4,Mappings!O4)</f>
        <v>803.49919917269517</v>
      </c>
    </row>
    <row r="5" spans="1:7" x14ac:dyDescent="0.3">
      <c r="A5" t="s">
        <v>117</v>
      </c>
      <c r="B5" s="27">
        <f>Mappings!F3*Mappings!I3</f>
        <v>3.5778000000000003</v>
      </c>
      <c r="C5" s="27">
        <f>Mappings!F4*Mappings!I4</f>
        <v>1.3170833279999998</v>
      </c>
    </row>
    <row r="6" spans="1:7" x14ac:dyDescent="0.3">
      <c r="A6" t="s">
        <v>39</v>
      </c>
      <c r="B6" s="27">
        <f ca="1">_xlfn.NORM.INV(RAND(),B5,B5*Mappings!E6)*0+B5</f>
        <v>3.5778000000000003</v>
      </c>
      <c r="C6" s="27">
        <f ca="1">_xlfn.NORM.INV(RAND(),C5,C5*Mappings!E7)*0+C5</f>
        <v>1.3170833279999998</v>
      </c>
    </row>
    <row r="7" spans="1:7" x14ac:dyDescent="0.3">
      <c r="A7" t="s">
        <v>118</v>
      </c>
      <c r="B7" s="27">
        <f>Mappings!V3</f>
        <v>3196.0636193831424</v>
      </c>
      <c r="C7" s="27">
        <f>Mappings!V4</f>
        <v>10005.380018949556</v>
      </c>
    </row>
    <row r="8" spans="1:7" x14ac:dyDescent="0.3">
      <c r="A8" t="s">
        <v>119</v>
      </c>
      <c r="B8" s="27">
        <f ca="1">_xlfn.NORM.INV(RAND(),B7,B7*25/100)*0+B7</f>
        <v>3196.0636193831424</v>
      </c>
      <c r="C8" s="27">
        <f ca="1">_xlfn.NORM.INV(RAND(),C7,C7*25/100)*0+C7</f>
        <v>10005.380018949556</v>
      </c>
    </row>
    <row r="9" spans="1:7" x14ac:dyDescent="0.3">
      <c r="A9" t="s">
        <v>102</v>
      </c>
      <c r="B9" s="27">
        <f>[9]Mappings!Q3</f>
        <v>44.606958098634109</v>
      </c>
      <c r="C9" s="27">
        <f>[9]Mappings!Q4</f>
        <v>30.361004885281496</v>
      </c>
    </row>
    <row r="10" spans="1:7" x14ac:dyDescent="0.3">
      <c r="A10" t="s">
        <v>120</v>
      </c>
      <c r="B10" s="27">
        <f ca="1">IF(B9&gt;0,_xlfn.NORM.INV(RAND(),B9,B9*Dairy_Income_Roadmap!L37),_xlfn.NORM.INV(RAND(),ABS(B9),ABS(B9)*Dairy_Income_Roadmap!L37))</f>
        <v>56.271383407962077</v>
      </c>
      <c r="C10" s="27">
        <f ca="1">IF(C9&gt;0,_xlfn.NORM.INV(RAND(),C9,C9*Dairy_Income_Roadmap!L39),_xlfn.NORM.INV(RAND(),ABS(C9),ABS(C9)*Dairy_Income_Roadmap!L39))</f>
        <v>-61.154149864354984</v>
      </c>
    </row>
    <row r="11" spans="1:7" x14ac:dyDescent="0.3">
      <c r="A11" t="s">
        <v>42</v>
      </c>
      <c r="B11" s="27">
        <f>Mappings!D3</f>
        <v>27561.043613839669</v>
      </c>
      <c r="C11" s="27">
        <f>Mappings!D4</f>
        <v>43093.351220715318</v>
      </c>
    </row>
    <row r="12" spans="1:7" x14ac:dyDescent="0.3">
      <c r="A12" t="s">
        <v>121</v>
      </c>
      <c r="B12" s="27">
        <f>Mappings!Z3*B11</f>
        <v>781.38232921192332</v>
      </c>
      <c r="C12" s="27">
        <f>Mappings!Z4*C11</f>
        <v>1221.7383210221242</v>
      </c>
    </row>
    <row r="13" spans="1:7" x14ac:dyDescent="0.3">
      <c r="B13" s="27"/>
      <c r="C13" s="27"/>
    </row>
    <row r="14" spans="1:7" x14ac:dyDescent="0.3">
      <c r="A14" t="s">
        <v>37</v>
      </c>
      <c r="B14" s="27">
        <f ca="1">B4*B6</f>
        <v>983.64495570777103</v>
      </c>
      <c r="C14" s="27">
        <f ca="1">C4*C6</f>
        <v>1058.275399291708</v>
      </c>
    </row>
    <row r="15" spans="1:7" x14ac:dyDescent="0.3">
      <c r="A15" t="s">
        <v>38</v>
      </c>
      <c r="B15" s="27">
        <f ca="1">IF(B9&gt;0,B8-B10,    B8 +B10)</f>
        <v>3139.7922359751801</v>
      </c>
      <c r="C15" s="27">
        <f ca="1">C8-IF(C9&gt;0,C10,(-1)*C10)</f>
        <v>10066.534168813911</v>
      </c>
    </row>
    <row r="16" spans="1:7" x14ac:dyDescent="0.3">
      <c r="A16" t="s">
        <v>42</v>
      </c>
      <c r="B16" s="27">
        <f ca="1">_xlfn.NORM.INV(RAND(),B11,B12)</f>
        <v>27929.393954727875</v>
      </c>
      <c r="C16" s="27">
        <f t="shared" ref="C16" ca="1" si="0">_xlfn.NORM.INV(RAND(),C11,C12)</f>
        <v>42826.880479565647</v>
      </c>
    </row>
    <row r="17" spans="1:8" x14ac:dyDescent="0.3">
      <c r="B17" s="27"/>
      <c r="C17" s="27"/>
    </row>
    <row r="18" spans="1:8" x14ac:dyDescent="0.3">
      <c r="A18" t="s">
        <v>40</v>
      </c>
      <c r="B18" s="37">
        <f ca="1">(B14+B15)*B16</f>
        <v>115165101.7740899</v>
      </c>
      <c r="C18" s="37">
        <f ca="1">(C14+C15)*C16</f>
        <v>476440889.73118764</v>
      </c>
      <c r="D18" s="10"/>
      <c r="E18" s="33">
        <f ca="1">B18+C18</f>
        <v>591605991.50527751</v>
      </c>
      <c r="F18" s="33"/>
      <c r="G18" s="33"/>
      <c r="H18" s="4"/>
    </row>
    <row r="19" spans="1:8" x14ac:dyDescent="0.3">
      <c r="A19" t="s">
        <v>122</v>
      </c>
      <c r="B19" t="s">
        <v>46</v>
      </c>
      <c r="C19" t="s">
        <v>46</v>
      </c>
      <c r="D19" s="36"/>
      <c r="E19" s="33">
        <f ca="1">STDEVA(E22:E129)</f>
        <v>27632424.693319015</v>
      </c>
      <c r="F19" s="33"/>
      <c r="G19" s="97" t="s">
        <v>49</v>
      </c>
    </row>
    <row r="20" spans="1:8" x14ac:dyDescent="0.3">
      <c r="A20" t="s">
        <v>41</v>
      </c>
      <c r="B20" s="4" t="s">
        <v>46</v>
      </c>
      <c r="C20" s="4" t="s">
        <v>46</v>
      </c>
      <c r="D20" s="36"/>
      <c r="E20" s="33">
        <f ca="1">AVERAGE(E22:E129)</f>
        <v>560429964.48816729</v>
      </c>
      <c r="F20" s="33"/>
      <c r="G20" s="97"/>
      <c r="H20" s="4">
        <f ca="1">100*E19/E20</f>
        <v>4.9305758871325365</v>
      </c>
    </row>
    <row r="21" spans="1:8" x14ac:dyDescent="0.3">
      <c r="H21" s="4"/>
    </row>
    <row r="22" spans="1:8" x14ac:dyDescent="0.3">
      <c r="D22">
        <v>1</v>
      </c>
      <c r="E22">
        <f ca="1">E18</f>
        <v>591605991.50527751</v>
      </c>
      <c r="H22" s="4"/>
    </row>
    <row r="23" spans="1:8" x14ac:dyDescent="0.3">
      <c r="D23">
        <v>2</v>
      </c>
      <c r="E23">
        <f t="dataTable" ref="E23:E129" dt2D="0" dtr="0" r1="E21" ca="1"/>
        <v>538603296.27039015</v>
      </c>
      <c r="H23" s="4"/>
    </row>
    <row r="24" spans="1:8" x14ac:dyDescent="0.3">
      <c r="D24">
        <v>3</v>
      </c>
      <c r="E24">
        <v>566034114.49263561</v>
      </c>
      <c r="H24" s="4"/>
    </row>
    <row r="25" spans="1:8" x14ac:dyDescent="0.3">
      <c r="D25">
        <v>4</v>
      </c>
      <c r="E25">
        <v>525377915.33212894</v>
      </c>
      <c r="H25" s="4"/>
    </row>
    <row r="26" spans="1:8" x14ac:dyDescent="0.3">
      <c r="D26">
        <v>5</v>
      </c>
      <c r="E26">
        <v>559702293.94858062</v>
      </c>
      <c r="H26" s="4"/>
    </row>
    <row r="27" spans="1:8" x14ac:dyDescent="0.3">
      <c r="D27">
        <v>6</v>
      </c>
      <c r="E27">
        <v>632714817.83022141</v>
      </c>
      <c r="H27" s="4"/>
    </row>
    <row r="28" spans="1:8" x14ac:dyDescent="0.3">
      <c r="D28">
        <v>7</v>
      </c>
      <c r="E28">
        <v>572097375.1829983</v>
      </c>
      <c r="H28" s="4"/>
    </row>
    <row r="29" spans="1:8" x14ac:dyDescent="0.3">
      <c r="D29">
        <v>8</v>
      </c>
      <c r="E29">
        <v>555588185.22608352</v>
      </c>
      <c r="H29" s="4"/>
    </row>
    <row r="30" spans="1:8" x14ac:dyDescent="0.3">
      <c r="D30">
        <v>9</v>
      </c>
      <c r="E30">
        <v>540909417.42809212</v>
      </c>
      <c r="H30" s="4"/>
    </row>
    <row r="31" spans="1:8" x14ac:dyDescent="0.3">
      <c r="D31">
        <v>10</v>
      </c>
      <c r="E31">
        <v>553185437.07230234</v>
      </c>
      <c r="H31" s="4"/>
    </row>
    <row r="32" spans="1:8" x14ac:dyDescent="0.3">
      <c r="D32">
        <v>11</v>
      </c>
      <c r="E32">
        <v>564942141.2110976</v>
      </c>
      <c r="H32" s="4"/>
    </row>
    <row r="33" spans="4:8" x14ac:dyDescent="0.3">
      <c r="D33">
        <v>12</v>
      </c>
      <c r="E33">
        <v>554534450.04464197</v>
      </c>
      <c r="H33" s="4"/>
    </row>
    <row r="34" spans="4:8" x14ac:dyDescent="0.3">
      <c r="D34">
        <v>13</v>
      </c>
      <c r="E34">
        <v>572392634.23749006</v>
      </c>
      <c r="H34" s="4"/>
    </row>
    <row r="35" spans="4:8" x14ac:dyDescent="0.3">
      <c r="D35">
        <v>14</v>
      </c>
      <c r="E35">
        <v>585524466.82490039</v>
      </c>
      <c r="H35" s="4"/>
    </row>
    <row r="36" spans="4:8" x14ac:dyDescent="0.3">
      <c r="D36">
        <v>15</v>
      </c>
      <c r="E36">
        <v>534197285.09637314</v>
      </c>
      <c r="H36" s="4"/>
    </row>
    <row r="37" spans="4:8" x14ac:dyDescent="0.3">
      <c r="D37">
        <v>16</v>
      </c>
      <c r="E37">
        <v>548731086.226601</v>
      </c>
      <c r="H37" s="4"/>
    </row>
    <row r="38" spans="4:8" x14ac:dyDescent="0.3">
      <c r="D38">
        <v>17</v>
      </c>
      <c r="E38">
        <v>565018128.46208942</v>
      </c>
      <c r="H38" s="4"/>
    </row>
    <row r="39" spans="4:8" x14ac:dyDescent="0.3">
      <c r="D39">
        <v>18</v>
      </c>
      <c r="E39">
        <v>614658094.5014137</v>
      </c>
      <c r="H39" s="4"/>
    </row>
    <row r="40" spans="4:8" x14ac:dyDescent="0.3">
      <c r="D40">
        <v>19</v>
      </c>
      <c r="E40">
        <v>536309970.23933631</v>
      </c>
      <c r="H40" s="4"/>
    </row>
    <row r="41" spans="4:8" x14ac:dyDescent="0.3">
      <c r="D41">
        <v>20</v>
      </c>
      <c r="E41">
        <v>583902298.78717983</v>
      </c>
      <c r="H41" s="4"/>
    </row>
    <row r="42" spans="4:8" x14ac:dyDescent="0.3">
      <c r="D42">
        <v>21</v>
      </c>
      <c r="E42">
        <v>570313905.98368537</v>
      </c>
      <c r="H42" s="4"/>
    </row>
    <row r="43" spans="4:8" x14ac:dyDescent="0.3">
      <c r="D43">
        <v>22</v>
      </c>
      <c r="E43">
        <v>539321139.94413877</v>
      </c>
      <c r="H43" s="4"/>
    </row>
    <row r="44" spans="4:8" x14ac:dyDescent="0.3">
      <c r="D44">
        <v>23</v>
      </c>
      <c r="E44">
        <v>543757784.53164697</v>
      </c>
      <c r="H44" s="4"/>
    </row>
    <row r="45" spans="4:8" x14ac:dyDescent="0.3">
      <c r="D45">
        <v>24</v>
      </c>
      <c r="E45">
        <v>506234007.38352209</v>
      </c>
      <c r="H45" s="4"/>
    </row>
    <row r="46" spans="4:8" x14ac:dyDescent="0.3">
      <c r="D46">
        <v>25</v>
      </c>
      <c r="E46">
        <v>567295830.97221828</v>
      </c>
      <c r="H46" s="4"/>
    </row>
    <row r="47" spans="4:8" x14ac:dyDescent="0.3">
      <c r="D47">
        <v>26</v>
      </c>
      <c r="E47">
        <v>617096559.22409379</v>
      </c>
      <c r="H47" s="4"/>
    </row>
    <row r="48" spans="4:8" x14ac:dyDescent="0.3">
      <c r="D48">
        <v>27</v>
      </c>
      <c r="E48">
        <v>585411873.87368941</v>
      </c>
      <c r="H48" s="4"/>
    </row>
    <row r="49" spans="4:8" x14ac:dyDescent="0.3">
      <c r="D49">
        <v>28</v>
      </c>
      <c r="E49">
        <v>560373778.5793705</v>
      </c>
      <c r="H49" s="4"/>
    </row>
    <row r="50" spans="4:8" x14ac:dyDescent="0.3">
      <c r="D50">
        <v>29</v>
      </c>
      <c r="E50">
        <v>533672895.43140846</v>
      </c>
      <c r="H50" s="4"/>
    </row>
    <row r="51" spans="4:8" x14ac:dyDescent="0.3">
      <c r="D51">
        <v>30</v>
      </c>
      <c r="E51">
        <v>555222281.87645864</v>
      </c>
      <c r="H51" s="4"/>
    </row>
    <row r="52" spans="4:8" x14ac:dyDescent="0.3">
      <c r="D52">
        <v>31</v>
      </c>
      <c r="E52">
        <v>564773987.09156418</v>
      </c>
      <c r="H52" s="4"/>
    </row>
    <row r="53" spans="4:8" x14ac:dyDescent="0.3">
      <c r="D53">
        <v>32</v>
      </c>
      <c r="E53">
        <v>565923847.29401016</v>
      </c>
      <c r="H53" s="4"/>
    </row>
    <row r="54" spans="4:8" x14ac:dyDescent="0.3">
      <c r="D54">
        <v>33</v>
      </c>
      <c r="E54">
        <v>587466114.39225209</v>
      </c>
      <c r="H54" s="4"/>
    </row>
    <row r="55" spans="4:8" x14ac:dyDescent="0.3">
      <c r="D55">
        <v>34</v>
      </c>
      <c r="E55">
        <v>591777637.15859699</v>
      </c>
      <c r="H55" s="4"/>
    </row>
    <row r="56" spans="4:8" x14ac:dyDescent="0.3">
      <c r="D56">
        <v>35</v>
      </c>
      <c r="E56">
        <v>568868213.83481836</v>
      </c>
      <c r="H56" s="4"/>
    </row>
    <row r="57" spans="4:8" x14ac:dyDescent="0.3">
      <c r="D57">
        <v>36</v>
      </c>
      <c r="E57">
        <v>550229197.8401165</v>
      </c>
      <c r="H57" s="4"/>
    </row>
    <row r="58" spans="4:8" x14ac:dyDescent="0.3">
      <c r="D58">
        <v>37</v>
      </c>
      <c r="E58">
        <v>547623780.16810036</v>
      </c>
      <c r="H58" s="4"/>
    </row>
    <row r="59" spans="4:8" x14ac:dyDescent="0.3">
      <c r="D59">
        <v>38</v>
      </c>
      <c r="E59">
        <v>524188147.24978292</v>
      </c>
      <c r="H59" s="4"/>
    </row>
    <row r="60" spans="4:8" x14ac:dyDescent="0.3">
      <c r="D60">
        <v>39</v>
      </c>
      <c r="E60">
        <v>614612966.24158597</v>
      </c>
      <c r="H60" s="4"/>
    </row>
    <row r="61" spans="4:8" x14ac:dyDescent="0.3">
      <c r="D61">
        <v>40</v>
      </c>
      <c r="E61">
        <v>512103052.17682528</v>
      </c>
      <c r="H61" s="4"/>
    </row>
    <row r="62" spans="4:8" x14ac:dyDescent="0.3">
      <c r="D62">
        <v>41</v>
      </c>
      <c r="E62">
        <v>577093729.00858414</v>
      </c>
      <c r="H62" s="4"/>
    </row>
    <row r="63" spans="4:8" x14ac:dyDescent="0.3">
      <c r="D63">
        <v>42</v>
      </c>
      <c r="E63">
        <v>558510835.01596975</v>
      </c>
      <c r="H63" s="4"/>
    </row>
    <row r="64" spans="4:8" x14ac:dyDescent="0.3">
      <c r="D64">
        <v>43</v>
      </c>
      <c r="E64">
        <v>575806484.53988147</v>
      </c>
      <c r="H64" s="4"/>
    </row>
    <row r="65" spans="4:8" x14ac:dyDescent="0.3">
      <c r="D65">
        <v>44</v>
      </c>
      <c r="E65">
        <v>576130696.42806458</v>
      </c>
      <c r="H65" s="4"/>
    </row>
    <row r="66" spans="4:8" x14ac:dyDescent="0.3">
      <c r="D66">
        <v>45</v>
      </c>
      <c r="E66">
        <v>533990890.77977926</v>
      </c>
      <c r="H66" s="4"/>
    </row>
    <row r="67" spans="4:8" x14ac:dyDescent="0.3">
      <c r="D67">
        <v>46</v>
      </c>
      <c r="E67">
        <v>524608712.10455734</v>
      </c>
      <c r="H67" s="4"/>
    </row>
    <row r="68" spans="4:8" x14ac:dyDescent="0.3">
      <c r="D68">
        <v>47</v>
      </c>
      <c r="E68">
        <v>573524848.39336753</v>
      </c>
      <c r="H68" s="4"/>
    </row>
    <row r="69" spans="4:8" x14ac:dyDescent="0.3">
      <c r="D69">
        <v>48</v>
      </c>
      <c r="E69">
        <v>508050005.484483</v>
      </c>
      <c r="H69" s="4"/>
    </row>
    <row r="70" spans="4:8" x14ac:dyDescent="0.3">
      <c r="D70">
        <v>49</v>
      </c>
      <c r="E70">
        <v>536141153.05200702</v>
      </c>
      <c r="H70" s="4"/>
    </row>
    <row r="71" spans="4:8" x14ac:dyDescent="0.3">
      <c r="D71">
        <v>50</v>
      </c>
      <c r="E71">
        <v>512117726.74056154</v>
      </c>
      <c r="H71" s="4"/>
    </row>
    <row r="72" spans="4:8" x14ac:dyDescent="0.3">
      <c r="D72">
        <v>51</v>
      </c>
      <c r="E72">
        <v>544768080.75506997</v>
      </c>
      <c r="H72" s="4"/>
    </row>
    <row r="73" spans="4:8" x14ac:dyDescent="0.3">
      <c r="D73">
        <v>52</v>
      </c>
      <c r="E73">
        <v>520846573.17281693</v>
      </c>
      <c r="H73" s="4"/>
    </row>
    <row r="74" spans="4:8" x14ac:dyDescent="0.3">
      <c r="D74">
        <v>53</v>
      </c>
      <c r="E74">
        <v>551901319.25434458</v>
      </c>
      <c r="H74" s="4"/>
    </row>
    <row r="75" spans="4:8" x14ac:dyDescent="0.3">
      <c r="D75">
        <v>54</v>
      </c>
      <c r="E75">
        <v>511488874.53800833</v>
      </c>
      <c r="H75" s="4"/>
    </row>
    <row r="76" spans="4:8" x14ac:dyDescent="0.3">
      <c r="D76">
        <v>55</v>
      </c>
      <c r="E76">
        <v>515016176.53526759</v>
      </c>
      <c r="H76" s="4"/>
    </row>
    <row r="77" spans="4:8" x14ac:dyDescent="0.3">
      <c r="D77">
        <v>56</v>
      </c>
      <c r="E77">
        <v>556329873.70494163</v>
      </c>
      <c r="H77" s="4"/>
    </row>
    <row r="78" spans="4:8" x14ac:dyDescent="0.3">
      <c r="D78">
        <v>57</v>
      </c>
      <c r="E78">
        <v>544306816.02445996</v>
      </c>
      <c r="H78" s="4"/>
    </row>
    <row r="79" spans="4:8" x14ac:dyDescent="0.3">
      <c r="D79">
        <v>58</v>
      </c>
      <c r="E79">
        <v>633842951.3450433</v>
      </c>
      <c r="H79" s="4"/>
    </row>
    <row r="80" spans="4:8" x14ac:dyDescent="0.3">
      <c r="D80">
        <v>59</v>
      </c>
      <c r="E80">
        <v>513579027.38714957</v>
      </c>
      <c r="H80" s="4"/>
    </row>
    <row r="81" spans="4:8" x14ac:dyDescent="0.3">
      <c r="D81">
        <v>60</v>
      </c>
      <c r="E81">
        <v>551616173.40283895</v>
      </c>
      <c r="H81" s="4"/>
    </row>
    <row r="82" spans="4:8" x14ac:dyDescent="0.3">
      <c r="D82">
        <v>61</v>
      </c>
      <c r="E82">
        <v>556201487.89527214</v>
      </c>
      <c r="H82" s="4"/>
    </row>
    <row r="83" spans="4:8" x14ac:dyDescent="0.3">
      <c r="D83">
        <v>62</v>
      </c>
      <c r="E83">
        <v>580194093.74540031</v>
      </c>
      <c r="H83" s="4"/>
    </row>
    <row r="84" spans="4:8" x14ac:dyDescent="0.3">
      <c r="D84">
        <v>63</v>
      </c>
      <c r="E84">
        <v>571651517.91789651</v>
      </c>
      <c r="H84" s="4"/>
    </row>
    <row r="85" spans="4:8" x14ac:dyDescent="0.3">
      <c r="D85">
        <v>64</v>
      </c>
      <c r="E85">
        <v>582077014.67860639</v>
      </c>
      <c r="H85" s="4"/>
    </row>
    <row r="86" spans="4:8" x14ac:dyDescent="0.3">
      <c r="D86">
        <v>65</v>
      </c>
      <c r="E86">
        <v>567779015.05530739</v>
      </c>
      <c r="H86" s="4"/>
    </row>
    <row r="87" spans="4:8" x14ac:dyDescent="0.3">
      <c r="D87">
        <v>66</v>
      </c>
      <c r="E87">
        <v>539817035.11849213</v>
      </c>
      <c r="H87" s="4"/>
    </row>
    <row r="88" spans="4:8" x14ac:dyDescent="0.3">
      <c r="D88">
        <v>67</v>
      </c>
      <c r="E88">
        <v>562188918.34780312</v>
      </c>
      <c r="H88" s="4"/>
    </row>
    <row r="89" spans="4:8" x14ac:dyDescent="0.3">
      <c r="D89">
        <v>68</v>
      </c>
      <c r="E89">
        <v>583396346.82521451</v>
      </c>
      <c r="H89" s="4"/>
    </row>
    <row r="90" spans="4:8" x14ac:dyDescent="0.3">
      <c r="D90">
        <v>69</v>
      </c>
      <c r="E90">
        <v>607780611.5340333</v>
      </c>
      <c r="H90" s="4"/>
    </row>
    <row r="91" spans="4:8" x14ac:dyDescent="0.3">
      <c r="D91">
        <v>70</v>
      </c>
      <c r="E91">
        <v>541928925.02379262</v>
      </c>
      <c r="H91" s="4"/>
    </row>
    <row r="92" spans="4:8" x14ac:dyDescent="0.3">
      <c r="D92">
        <v>71</v>
      </c>
      <c r="E92">
        <v>521831047.27387524</v>
      </c>
      <c r="H92" s="4"/>
    </row>
    <row r="93" spans="4:8" x14ac:dyDescent="0.3">
      <c r="D93">
        <v>72</v>
      </c>
      <c r="E93">
        <v>595729158.95539093</v>
      </c>
      <c r="H93" s="4"/>
    </row>
    <row r="94" spans="4:8" x14ac:dyDescent="0.3">
      <c r="D94">
        <v>73</v>
      </c>
      <c r="E94">
        <v>550431245.80061364</v>
      </c>
      <c r="H94" s="4"/>
    </row>
    <row r="95" spans="4:8" x14ac:dyDescent="0.3">
      <c r="D95">
        <v>74</v>
      </c>
      <c r="E95">
        <v>565616993.35543549</v>
      </c>
      <c r="H95" s="4"/>
    </row>
    <row r="96" spans="4:8" x14ac:dyDescent="0.3">
      <c r="D96">
        <v>75</v>
      </c>
      <c r="E96">
        <v>587428705.69696271</v>
      </c>
      <c r="H96" s="4"/>
    </row>
    <row r="97" spans="4:8" x14ac:dyDescent="0.3">
      <c r="D97">
        <v>76</v>
      </c>
      <c r="E97">
        <v>580766194.65609002</v>
      </c>
      <c r="H97" s="4"/>
    </row>
    <row r="98" spans="4:8" x14ac:dyDescent="0.3">
      <c r="D98">
        <v>77</v>
      </c>
      <c r="E98">
        <v>554113226.93961847</v>
      </c>
      <c r="H98" s="4"/>
    </row>
    <row r="99" spans="4:8" x14ac:dyDescent="0.3">
      <c r="D99">
        <v>78</v>
      </c>
      <c r="E99">
        <v>540603033.708565</v>
      </c>
      <c r="H99" s="4"/>
    </row>
    <row r="100" spans="4:8" x14ac:dyDescent="0.3">
      <c r="D100">
        <v>79</v>
      </c>
      <c r="E100">
        <v>578228338.13964176</v>
      </c>
      <c r="H100" s="4"/>
    </row>
    <row r="101" spans="4:8" x14ac:dyDescent="0.3">
      <c r="D101">
        <v>80</v>
      </c>
      <c r="E101">
        <v>583673788.10211837</v>
      </c>
      <c r="H101" s="4"/>
    </row>
    <row r="102" spans="4:8" x14ac:dyDescent="0.3">
      <c r="D102">
        <v>81</v>
      </c>
      <c r="E102">
        <v>575995894.59674108</v>
      </c>
      <c r="H102" s="4"/>
    </row>
    <row r="103" spans="4:8" x14ac:dyDescent="0.3">
      <c r="D103">
        <v>82</v>
      </c>
      <c r="E103">
        <v>570670591.14800715</v>
      </c>
      <c r="H103" s="4"/>
    </row>
    <row r="104" spans="4:8" x14ac:dyDescent="0.3">
      <c r="D104">
        <v>83</v>
      </c>
      <c r="E104">
        <v>541847471.52193046</v>
      </c>
      <c r="H104" s="4"/>
    </row>
    <row r="105" spans="4:8" x14ac:dyDescent="0.3">
      <c r="D105">
        <v>84</v>
      </c>
      <c r="E105">
        <v>552479372.79360104</v>
      </c>
      <c r="H105" s="4"/>
    </row>
    <row r="106" spans="4:8" x14ac:dyDescent="0.3">
      <c r="D106">
        <v>85</v>
      </c>
      <c r="E106">
        <v>568602264.33875644</v>
      </c>
      <c r="H106" s="4"/>
    </row>
    <row r="107" spans="4:8" x14ac:dyDescent="0.3">
      <c r="D107">
        <v>86</v>
      </c>
      <c r="E107">
        <v>564805431.05997741</v>
      </c>
      <c r="H107" s="4"/>
    </row>
    <row r="108" spans="4:8" x14ac:dyDescent="0.3">
      <c r="D108">
        <v>87</v>
      </c>
      <c r="E108">
        <v>564257127.02537525</v>
      </c>
      <c r="H108" s="4"/>
    </row>
    <row r="109" spans="4:8" x14ac:dyDescent="0.3">
      <c r="D109">
        <v>88</v>
      </c>
      <c r="E109">
        <v>546024060.74290931</v>
      </c>
      <c r="H109" s="4"/>
    </row>
    <row r="110" spans="4:8" x14ac:dyDescent="0.3">
      <c r="D110">
        <v>89</v>
      </c>
      <c r="E110">
        <v>538578233.90732038</v>
      </c>
      <c r="H110" s="4"/>
    </row>
    <row r="111" spans="4:8" x14ac:dyDescent="0.3">
      <c r="D111">
        <v>90</v>
      </c>
      <c r="E111">
        <v>536644263.54585469</v>
      </c>
      <c r="H111" s="4"/>
    </row>
    <row r="112" spans="4:8" x14ac:dyDescent="0.3">
      <c r="D112">
        <v>91</v>
      </c>
      <c r="E112">
        <v>535367919.88958484</v>
      </c>
      <c r="H112" s="4"/>
    </row>
    <row r="113" spans="4:8" x14ac:dyDescent="0.3">
      <c r="D113">
        <v>92</v>
      </c>
      <c r="E113">
        <v>595567933.79842377</v>
      </c>
      <c r="H113" s="4"/>
    </row>
    <row r="114" spans="4:8" x14ac:dyDescent="0.3">
      <c r="D114">
        <v>93</v>
      </c>
      <c r="E114">
        <v>534343107.54142362</v>
      </c>
      <c r="H114" s="4"/>
    </row>
    <row r="115" spans="4:8" x14ac:dyDescent="0.3">
      <c r="D115">
        <v>94</v>
      </c>
      <c r="E115">
        <v>547576518.32758641</v>
      </c>
      <c r="H115" s="4"/>
    </row>
    <row r="116" spans="4:8" x14ac:dyDescent="0.3">
      <c r="D116">
        <v>95</v>
      </c>
      <c r="E116">
        <v>567312732.01289928</v>
      </c>
      <c r="H116" s="4"/>
    </row>
    <row r="117" spans="4:8" x14ac:dyDescent="0.3">
      <c r="D117">
        <v>96</v>
      </c>
      <c r="E117">
        <v>601033967.07758033</v>
      </c>
      <c r="H117" s="4"/>
    </row>
    <row r="118" spans="4:8" x14ac:dyDescent="0.3">
      <c r="D118">
        <v>97</v>
      </c>
      <c r="E118">
        <v>578882972.00406861</v>
      </c>
      <c r="H118" s="4"/>
    </row>
    <row r="119" spans="4:8" x14ac:dyDescent="0.3">
      <c r="D119">
        <v>98</v>
      </c>
      <c r="E119">
        <v>506033880.75421607</v>
      </c>
      <c r="H119" s="4"/>
    </row>
    <row r="120" spans="4:8" x14ac:dyDescent="0.3">
      <c r="D120">
        <v>99</v>
      </c>
      <c r="E120">
        <v>541552693.10280669</v>
      </c>
      <c r="H120" s="4"/>
    </row>
    <row r="121" spans="4:8" x14ac:dyDescent="0.3">
      <c r="D121">
        <v>100</v>
      </c>
      <c r="E121">
        <v>583189514.93538308</v>
      </c>
      <c r="H121" s="4"/>
    </row>
    <row r="122" spans="4:8" x14ac:dyDescent="0.3">
      <c r="D122">
        <v>101</v>
      </c>
      <c r="E122">
        <v>568383049.55651188</v>
      </c>
      <c r="H122" s="4"/>
    </row>
    <row r="123" spans="4:8" x14ac:dyDescent="0.3">
      <c r="D123">
        <v>102</v>
      </c>
      <c r="E123">
        <v>560095130.06340051</v>
      </c>
      <c r="H123" s="4"/>
    </row>
    <row r="124" spans="4:8" x14ac:dyDescent="0.3">
      <c r="D124">
        <v>103</v>
      </c>
      <c r="E124">
        <v>572802716.85119832</v>
      </c>
      <c r="H124" s="4"/>
    </row>
    <row r="125" spans="4:8" x14ac:dyDescent="0.3">
      <c r="D125">
        <v>104</v>
      </c>
      <c r="E125">
        <v>577969000.40911436</v>
      </c>
      <c r="H125" s="4"/>
    </row>
    <row r="126" spans="4:8" x14ac:dyDescent="0.3">
      <c r="D126">
        <v>105</v>
      </c>
      <c r="E126">
        <v>579415142.76606226</v>
      </c>
      <c r="H126" s="4"/>
    </row>
    <row r="127" spans="4:8" x14ac:dyDescent="0.3">
      <c r="D127">
        <v>106</v>
      </c>
      <c r="E127">
        <v>555411065.2047925</v>
      </c>
      <c r="H127" s="4"/>
    </row>
    <row r="128" spans="4:8" x14ac:dyDescent="0.3">
      <c r="D128">
        <v>107</v>
      </c>
      <c r="E128">
        <v>550887716.91560304</v>
      </c>
      <c r="H128" s="4"/>
    </row>
    <row r="129" spans="4:8" x14ac:dyDescent="0.3">
      <c r="D129">
        <v>108</v>
      </c>
      <c r="E129">
        <v>637302345.22589922</v>
      </c>
      <c r="H129" s="4"/>
    </row>
  </sheetData>
  <mergeCells count="1">
    <mergeCell ref="G19:G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C10" sqref="C10"/>
    </sheetView>
  </sheetViews>
  <sheetFormatPr defaultRowHeight="14.4" x14ac:dyDescent="0.3"/>
  <cols>
    <col min="1" max="1" width="48.21875" customWidth="1"/>
    <col min="2" max="2" width="22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8867187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">
        <v>114</v>
      </c>
      <c r="G1" s="2"/>
      <c r="H1" s="2"/>
    </row>
    <row r="3" spans="1:8" x14ac:dyDescent="0.3">
      <c r="A3" t="str">
        <f>MC_Baseline!A3</f>
        <v>Income per cow (USD/yr)</v>
      </c>
      <c r="B3" s="17">
        <f>Mappings!N6</f>
        <v>1397.1848252981956</v>
      </c>
      <c r="C3" s="17">
        <f>Mappings!N7</f>
        <v>252.22716360213391</v>
      </c>
      <c r="D3" s="40">
        <f>Mappings!N8</f>
        <v>1698.6687148983697</v>
      </c>
    </row>
    <row r="4" spans="1:8" x14ac:dyDescent="0.3">
      <c r="A4" t="str">
        <f>MC_Baseline!A4</f>
        <v>Random value income per cow (USD/yr)</v>
      </c>
      <c r="B4" s="17">
        <f ca="1">_xlfn.NORM.INV(RAND(),Mappings!N6,Mappings!O6)</f>
        <v>1139.8286557922606</v>
      </c>
      <c r="C4" s="17">
        <f ca="1">_xlfn.NORM.INV(RAND(),Mappings!N7,Mappings!O7)</f>
        <v>314.66931718634891</v>
      </c>
      <c r="D4" s="17">
        <f ca="1">_xlfn.NORM.INV(RAND(),Mappings!N8,Mappings!O8)</f>
        <v>1648.4283292778387</v>
      </c>
    </row>
    <row r="5" spans="1:8" x14ac:dyDescent="0.3">
      <c r="A5" t="str">
        <f>MC_Baseline!A5</f>
        <v>Cows per household (head)</v>
      </c>
      <c r="B5" s="17">
        <f>Mappings!F6*Mappings!I6</f>
        <v>1.2774144807097469</v>
      </c>
      <c r="C5" s="17">
        <f>Mappings!F7*Mappings!I7</f>
        <v>5.9807712964615627</v>
      </c>
      <c r="D5" s="17">
        <f>Mappings!F8*Mappings!I8</f>
        <v>1.4705836374582404</v>
      </c>
    </row>
    <row r="6" spans="1:8" x14ac:dyDescent="0.3">
      <c r="A6" t="str">
        <f>MC_Baseline!A6</f>
        <v>Random value cows per household (head)</v>
      </c>
      <c r="B6" s="17">
        <f ca="1">_xlfn.NORM.INV(RAND(),B5,B5*Mappings!E4)</f>
        <v>1.0452981199563562</v>
      </c>
      <c r="C6" s="17">
        <f ca="1">_xlfn.NORM.INV(RAND(),C5,C5*Mappings!E3)</f>
        <v>12.535928460800505</v>
      </c>
      <c r="D6" s="17">
        <f ca="1">_xlfn.NORM.INV(RAND(),D5,D5*Mappings!E4)</f>
        <v>1.8566703309524974</v>
      </c>
    </row>
    <row r="7" spans="1:8" x14ac:dyDescent="0.3">
      <c r="A7" t="str">
        <f>MC_Baseline!A7</f>
        <v>Non-dairy income (USD/yr)</v>
      </c>
      <c r="B7" s="17">
        <f>Mappings!V6</f>
        <v>2982.0275699372946</v>
      </c>
      <c r="C7" s="17">
        <f>Mappings!V7</f>
        <v>3206.7025111612879</v>
      </c>
      <c r="D7" s="17">
        <f>Mappings!V8</f>
        <v>9645.227805733668</v>
      </c>
    </row>
    <row r="8" spans="1:8" x14ac:dyDescent="0.3">
      <c r="A8" t="str">
        <f>MC_Baseline!A8</f>
        <v>Random value non dairy income (USD/yr)</v>
      </c>
      <c r="B8" s="17">
        <f ca="1">_xlfn.NORM.INV(RAND(), B7, B7 * 25/100)*0+B7</f>
        <v>2982.0275699372946</v>
      </c>
      <c r="C8" s="17">
        <f ca="1">_xlfn.NORM.INV(RAND(), C7, C7* 25/100)*0+C7</f>
        <v>3206.7025111612879</v>
      </c>
      <c r="D8" s="17">
        <f ca="1">_xlfn.NORM.INV(RAND(),D7,D7*25/100)*0+D7</f>
        <v>9645.227805733668</v>
      </c>
    </row>
    <row r="9" spans="1:8" x14ac:dyDescent="0.3">
      <c r="A9" t="str">
        <f>MC_Baseline!A9</f>
        <v>Reduction in non-dairy income through crop area change</v>
      </c>
      <c r="B9" s="17">
        <f>Mappings!Q6</f>
        <v>212.31747804227695</v>
      </c>
      <c r="C9" s="17">
        <f>Mappings!Q7</f>
        <v>-10.638891778145744</v>
      </c>
      <c r="D9" s="17">
        <f>Mappings!Q8</f>
        <v>355.70173910193495</v>
      </c>
    </row>
    <row r="10" spans="1:8" x14ac:dyDescent="0.3">
      <c r="A10" t="str">
        <f>MC_Baseline!A10</f>
        <v>Random value reduction/increase in non-dairy income (USD/yr)</v>
      </c>
      <c r="B10" s="17">
        <f ca="1">IF(B9&gt;0,_xlfn.NORM.INV(RAND(),B9,B9*Dairy_Income_Roadmap!L37),_xlfn.NORM.INV(RAND(),ABS(B9),ABS(B9)*Dairy_Income_Roadmap!L37))</f>
        <v>360.44597918899046</v>
      </c>
      <c r="C10" s="17">
        <f ca="1">IF(C9&gt;0,_xlfn.NORM.INV(RAND(),C9,C9*Dairy_Income_Roadmap!L37),_xlfn.NORM.INV(RAND(),ABS(C9),ABS(C9)*Dairy_Income_Roadmap!L37))</f>
        <v>19.507574621538797</v>
      </c>
      <c r="D10" s="17">
        <f ca="1">IF(D9&gt;0,_xlfn.NORM.INV(RAND(),D9,D9*Dairy_Income_Roadmap!L39),_xlfn.NORM.INV(RAND(),ABS(D9),ABS(D9)*Dairy_Income_Roadmap!L39))</f>
        <v>380.14847193845446</v>
      </c>
    </row>
    <row r="11" spans="1:8" x14ac:dyDescent="0.3">
      <c r="A11" t="str">
        <f>MC_Baseline!A11</f>
        <v>Quantity households</v>
      </c>
      <c r="B11" s="17">
        <f>Mappings!D6</f>
        <v>5512.208722767934</v>
      </c>
      <c r="C11" s="4">
        <f>Mappings!D7</f>
        <v>22048.834891071736</v>
      </c>
      <c r="D11" s="4">
        <f>Mappings!D8</f>
        <v>43093.351220715318</v>
      </c>
    </row>
    <row r="12" spans="1:8" x14ac:dyDescent="0.3">
      <c r="A12" t="str">
        <f>MC_Baseline!A12</f>
        <v>SE quantity households</v>
      </c>
      <c r="B12" s="17">
        <f>Mappings!Z6*Mappings!D6</f>
        <v>156.27646584238468</v>
      </c>
      <c r="C12" s="17">
        <f>Mappings!Z7*C5</f>
        <v>0.1695606694576067</v>
      </c>
      <c r="D12" s="4">
        <f>Mappings!Z8*D11</f>
        <v>1221.7383210221242</v>
      </c>
    </row>
    <row r="13" spans="1:8" x14ac:dyDescent="0.3">
      <c r="B13" s="17"/>
    </row>
    <row r="14" spans="1:8" x14ac:dyDescent="0.3">
      <c r="A14" t="str">
        <f>MC_Baseline!A14</f>
        <v>Dairy Income (USD/household/year)</v>
      </c>
      <c r="B14" s="17">
        <f ca="1">B4*B6</f>
        <v>1191.4607509720308</v>
      </c>
      <c r="C14" s="17">
        <f ca="1">C4*C6</f>
        <v>3944.6720490570128</v>
      </c>
      <c r="D14" s="17">
        <f ca="1">D4*D6</f>
        <v>3060.5879716717573</v>
      </c>
    </row>
    <row r="15" spans="1:8" x14ac:dyDescent="0.3">
      <c r="A15" t="str">
        <f>MC_Baseline!A15</f>
        <v>Non dairy income (USD/household/year)</v>
      </c>
      <c r="B15" s="17">
        <f ca="1">B8-IF(B9&gt;0,B8-B10,B8+B10)</f>
        <v>360.44597918899035</v>
      </c>
      <c r="C15" s="17">
        <f t="shared" ref="C15:D15" ca="1" si="0">C8-IF(C9&gt;0,C8-C10,C8+C10)</f>
        <v>-19.507574621538879</v>
      </c>
      <c r="D15" s="17">
        <f t="shared" ca="1" si="0"/>
        <v>380.14847193845526</v>
      </c>
    </row>
    <row r="16" spans="1:8" x14ac:dyDescent="0.3">
      <c r="A16" t="str">
        <f>MC_Baseline!A16</f>
        <v>Quantity households</v>
      </c>
      <c r="B16" s="17">
        <f ca="1">_xlfn.NORM.INV(RAND(),B11,B12)</f>
        <v>5566.9949793833666</v>
      </c>
      <c r="C16" s="17">
        <f ca="1">_xlfn.NORM.INV(RAND(),C11,C12)</f>
        <v>22049.098690889783</v>
      </c>
      <c r="D16" s="17">
        <f t="shared" ref="D16" ca="1" si="1">_xlfn.NORM.INV(RAND(),D11,D12)</f>
        <v>42782.446393893915</v>
      </c>
    </row>
    <row r="18" spans="1:9" x14ac:dyDescent="0.3">
      <c r="A18" t="str">
        <f>MC_Baseline!A18</f>
        <v>Estimated population income (USD/yr)</v>
      </c>
      <c r="B18" s="10">
        <f ca="1">(B14+B15)*B16</f>
        <v>8639456.9752776623</v>
      </c>
      <c r="C18" s="10">
        <f ca="1">(C14+C15)*C16</f>
        <v>86546338.874802291</v>
      </c>
      <c r="D18" s="10">
        <f ca="1">(D14+D15)*D16</f>
        <v>147203122.45427111</v>
      </c>
      <c r="F18" s="29">
        <f ca="1">B18+C18+D18</f>
        <v>242388918.30435106</v>
      </c>
    </row>
    <row r="19" spans="1:9" x14ac:dyDescent="0.3">
      <c r="A19" t="str">
        <f>MC_Baseline!A19</f>
        <v>SE population income (USD/yr)</v>
      </c>
      <c r="B19" t="s">
        <v>46</v>
      </c>
      <c r="C19" t="s">
        <v>46</v>
      </c>
      <c r="D19" t="s">
        <v>46</v>
      </c>
      <c r="F19" s="29">
        <f ca="1">STDEV(F22:F129)</f>
        <v>55725693.888406292</v>
      </c>
      <c r="H19" s="97" t="s">
        <v>49</v>
      </c>
    </row>
    <row r="20" spans="1:9" x14ac:dyDescent="0.3">
      <c r="A20" t="str">
        <f>MC_Baseline!A20</f>
        <v>Mean population income (USD/yr)</v>
      </c>
      <c r="B20" s="4" t="s">
        <v>46</v>
      </c>
      <c r="C20" s="4" t="s">
        <v>46</v>
      </c>
      <c r="D20" s="4" t="s">
        <v>46</v>
      </c>
      <c r="E20" s="4"/>
      <c r="F20" s="29">
        <f ca="1">AVERAGE(F22:F129)</f>
        <v>171961404.78895372</v>
      </c>
      <c r="G20" s="4"/>
      <c r="H20" s="97"/>
      <c r="I20" s="4">
        <f ca="1">100*F19/F20</f>
        <v>32.405930828954212</v>
      </c>
    </row>
    <row r="21" spans="1:9" x14ac:dyDescent="0.3">
      <c r="F21" s="29"/>
      <c r="G21" s="4"/>
      <c r="H21" s="4"/>
    </row>
    <row r="22" spans="1:9" x14ac:dyDescent="0.3">
      <c r="B22" s="4"/>
      <c r="E22">
        <v>1</v>
      </c>
      <c r="F22" s="29">
        <f ca="1">F18</f>
        <v>242388918.30435106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58453591.641038984</v>
      </c>
      <c r="G23" s="4"/>
      <c r="H23" s="4"/>
    </row>
    <row r="24" spans="1:9" x14ac:dyDescent="0.3">
      <c r="E24">
        <v>3</v>
      </c>
      <c r="F24" s="29">
        <v>174512207.09253889</v>
      </c>
      <c r="G24" s="4"/>
      <c r="H24" s="4"/>
    </row>
    <row r="25" spans="1:9" x14ac:dyDescent="0.3">
      <c r="E25">
        <v>4</v>
      </c>
      <c r="F25" s="29">
        <v>125091047.93878523</v>
      </c>
      <c r="G25" s="4"/>
      <c r="H25" s="4"/>
    </row>
    <row r="26" spans="1:9" x14ac:dyDescent="0.3">
      <c r="E26">
        <v>5</v>
      </c>
      <c r="F26" s="29">
        <v>225557480.8576647</v>
      </c>
      <c r="G26" s="4"/>
      <c r="H26" s="4"/>
    </row>
    <row r="27" spans="1:9" x14ac:dyDescent="0.3">
      <c r="E27">
        <v>6</v>
      </c>
      <c r="F27" s="29">
        <v>78425448.410705462</v>
      </c>
      <c r="G27" s="4"/>
      <c r="H27" s="4"/>
    </row>
    <row r="28" spans="1:9" x14ac:dyDescent="0.3">
      <c r="E28">
        <v>7</v>
      </c>
      <c r="F28" s="29">
        <v>122786812.19069511</v>
      </c>
      <c r="G28" s="4"/>
      <c r="H28" s="4"/>
    </row>
    <row r="29" spans="1:9" x14ac:dyDescent="0.3">
      <c r="E29">
        <v>8</v>
      </c>
      <c r="F29" s="29">
        <v>177140972.12825319</v>
      </c>
      <c r="G29" s="4"/>
      <c r="H29" s="4"/>
    </row>
    <row r="30" spans="1:9" x14ac:dyDescent="0.3">
      <c r="E30">
        <v>9</v>
      </c>
      <c r="F30" s="29">
        <v>86653714.72273083</v>
      </c>
      <c r="G30" s="4"/>
      <c r="H30" s="4"/>
    </row>
    <row r="31" spans="1:9" x14ac:dyDescent="0.3">
      <c r="E31">
        <v>10</v>
      </c>
      <c r="F31" s="29">
        <v>272735156.69634634</v>
      </c>
      <c r="G31" s="4"/>
      <c r="H31" s="4"/>
    </row>
    <row r="32" spans="1:9" x14ac:dyDescent="0.3">
      <c r="E32">
        <v>11</v>
      </c>
      <c r="F32" s="29">
        <v>191373191.18588006</v>
      </c>
      <c r="G32" s="4"/>
      <c r="H32" s="4"/>
    </row>
    <row r="33" spans="5:8" x14ac:dyDescent="0.3">
      <c r="E33">
        <v>12</v>
      </c>
      <c r="F33" s="29">
        <v>152305274.85746488</v>
      </c>
      <c r="G33" s="4"/>
      <c r="H33" s="4"/>
    </row>
    <row r="34" spans="5:8" x14ac:dyDescent="0.3">
      <c r="E34">
        <v>13</v>
      </c>
      <c r="F34" s="29">
        <v>118734491.35104312</v>
      </c>
      <c r="G34" s="4"/>
      <c r="H34" s="4"/>
    </row>
    <row r="35" spans="5:8" x14ac:dyDescent="0.3">
      <c r="E35">
        <v>14</v>
      </c>
      <c r="F35" s="29">
        <v>135820604.38711989</v>
      </c>
      <c r="G35" s="4"/>
      <c r="H35" s="4"/>
    </row>
    <row r="36" spans="5:8" x14ac:dyDescent="0.3">
      <c r="E36">
        <v>15</v>
      </c>
      <c r="F36" s="29">
        <v>113815153.09231903</v>
      </c>
      <c r="G36" s="4"/>
      <c r="H36" s="4"/>
    </row>
    <row r="37" spans="5:8" x14ac:dyDescent="0.3">
      <c r="E37">
        <v>16</v>
      </c>
      <c r="F37" s="29">
        <v>161281367.27362475</v>
      </c>
      <c r="G37" s="4"/>
      <c r="H37" s="4"/>
    </row>
    <row r="38" spans="5:8" x14ac:dyDescent="0.3">
      <c r="E38">
        <v>17</v>
      </c>
      <c r="F38" s="29">
        <v>149703599.00816369</v>
      </c>
      <c r="G38" s="4"/>
      <c r="H38" s="4"/>
    </row>
    <row r="39" spans="5:8" x14ac:dyDescent="0.3">
      <c r="E39">
        <v>18</v>
      </c>
      <c r="F39" s="29">
        <v>240058705.79123285</v>
      </c>
      <c r="G39" s="4"/>
      <c r="H39" s="4"/>
    </row>
    <row r="40" spans="5:8" x14ac:dyDescent="0.3">
      <c r="E40">
        <v>19</v>
      </c>
      <c r="F40" s="29">
        <v>163716265.08045149</v>
      </c>
      <c r="G40" s="4"/>
      <c r="H40" s="4"/>
    </row>
    <row r="41" spans="5:8" x14ac:dyDescent="0.3">
      <c r="E41">
        <v>20</v>
      </c>
      <c r="F41" s="29">
        <v>161021183.92327297</v>
      </c>
      <c r="G41" s="4"/>
      <c r="H41" s="4"/>
    </row>
    <row r="42" spans="5:8" x14ac:dyDescent="0.3">
      <c r="E42">
        <v>21</v>
      </c>
      <c r="F42" s="29">
        <v>90220889.500966951</v>
      </c>
      <c r="G42" s="4"/>
      <c r="H42" s="4"/>
    </row>
    <row r="43" spans="5:8" x14ac:dyDescent="0.3">
      <c r="E43">
        <v>22</v>
      </c>
      <c r="F43" s="29">
        <v>56620532.68850372</v>
      </c>
      <c r="G43" s="4"/>
      <c r="H43" s="4"/>
    </row>
    <row r="44" spans="5:8" x14ac:dyDescent="0.3">
      <c r="E44">
        <v>23</v>
      </c>
      <c r="F44" s="29">
        <v>203343433.83174002</v>
      </c>
      <c r="G44" s="4"/>
      <c r="H44" s="4"/>
    </row>
    <row r="45" spans="5:8" x14ac:dyDescent="0.3">
      <c r="E45">
        <v>24</v>
      </c>
      <c r="F45" s="29">
        <v>285113594.29872257</v>
      </c>
      <c r="G45" s="4"/>
      <c r="H45" s="4"/>
    </row>
    <row r="46" spans="5:8" x14ac:dyDescent="0.3">
      <c r="E46">
        <v>25</v>
      </c>
      <c r="F46" s="29">
        <v>181048621.70863634</v>
      </c>
      <c r="G46" s="4"/>
      <c r="H46" s="4"/>
    </row>
    <row r="47" spans="5:8" x14ac:dyDescent="0.3">
      <c r="E47">
        <v>26</v>
      </c>
      <c r="F47" s="29">
        <v>180418982.03713223</v>
      </c>
      <c r="G47" s="4"/>
      <c r="H47" s="4"/>
    </row>
    <row r="48" spans="5:8" x14ac:dyDescent="0.3">
      <c r="E48">
        <v>27</v>
      </c>
      <c r="F48" s="29">
        <v>220618127.74073544</v>
      </c>
      <c r="G48" s="4"/>
      <c r="H48" s="4"/>
    </row>
    <row r="49" spans="5:8" x14ac:dyDescent="0.3">
      <c r="E49">
        <v>28</v>
      </c>
      <c r="F49" s="29">
        <v>169030042.32511306</v>
      </c>
      <c r="G49" s="4"/>
      <c r="H49" s="4"/>
    </row>
    <row r="50" spans="5:8" x14ac:dyDescent="0.3">
      <c r="E50">
        <v>29</v>
      </c>
      <c r="F50" s="29">
        <v>123552079.77728379</v>
      </c>
      <c r="G50" s="4"/>
      <c r="H50" s="4"/>
    </row>
    <row r="51" spans="5:8" x14ac:dyDescent="0.3">
      <c r="E51">
        <v>30</v>
      </c>
      <c r="F51" s="29">
        <v>160115519.61422986</v>
      </c>
      <c r="G51" s="4"/>
      <c r="H51" s="4"/>
    </row>
    <row r="52" spans="5:8" x14ac:dyDescent="0.3">
      <c r="E52">
        <v>31</v>
      </c>
      <c r="F52" s="29">
        <v>146677293.89595217</v>
      </c>
      <c r="G52" s="4"/>
      <c r="H52" s="4"/>
    </row>
    <row r="53" spans="5:8" x14ac:dyDescent="0.3">
      <c r="E53">
        <v>32</v>
      </c>
      <c r="F53" s="29">
        <v>200694836.68230855</v>
      </c>
      <c r="G53" s="4"/>
      <c r="H53" s="4"/>
    </row>
    <row r="54" spans="5:8" x14ac:dyDescent="0.3">
      <c r="E54">
        <v>33</v>
      </c>
      <c r="F54" s="29">
        <v>221916848.15362176</v>
      </c>
      <c r="G54" s="4"/>
      <c r="H54" s="4"/>
    </row>
    <row r="55" spans="5:8" x14ac:dyDescent="0.3">
      <c r="E55">
        <v>34</v>
      </c>
      <c r="F55" s="29">
        <v>76902882.837309167</v>
      </c>
      <c r="G55" s="4"/>
      <c r="H55" s="4"/>
    </row>
    <row r="56" spans="5:8" x14ac:dyDescent="0.3">
      <c r="E56">
        <v>35</v>
      </c>
      <c r="F56" s="29">
        <v>277043284.07759768</v>
      </c>
      <c r="G56" s="4"/>
      <c r="H56" s="4"/>
    </row>
    <row r="57" spans="5:8" x14ac:dyDescent="0.3">
      <c r="E57">
        <v>36</v>
      </c>
      <c r="F57" s="29">
        <v>211967944.60278642</v>
      </c>
      <c r="G57" s="4"/>
      <c r="H57" s="4"/>
    </row>
    <row r="58" spans="5:8" x14ac:dyDescent="0.3">
      <c r="E58">
        <v>37</v>
      </c>
      <c r="F58" s="29">
        <v>176485165.86874139</v>
      </c>
      <c r="G58" s="4"/>
      <c r="H58" s="4"/>
    </row>
    <row r="59" spans="5:8" x14ac:dyDescent="0.3">
      <c r="E59">
        <v>38</v>
      </c>
      <c r="F59" s="29">
        <v>68305404.428430706</v>
      </c>
      <c r="G59" s="4"/>
      <c r="H59" s="4"/>
    </row>
    <row r="60" spans="5:8" x14ac:dyDescent="0.3">
      <c r="E60">
        <v>39</v>
      </c>
      <c r="F60" s="29">
        <v>195087543.88716358</v>
      </c>
      <c r="G60" s="4"/>
      <c r="H60" s="4"/>
    </row>
    <row r="61" spans="5:8" x14ac:dyDescent="0.3">
      <c r="E61">
        <v>40</v>
      </c>
      <c r="F61" s="29">
        <v>241312172.70922744</v>
      </c>
      <c r="G61" s="4"/>
      <c r="H61" s="4"/>
    </row>
    <row r="62" spans="5:8" x14ac:dyDescent="0.3">
      <c r="E62">
        <v>41</v>
      </c>
      <c r="F62" s="29">
        <v>180481222.90403694</v>
      </c>
      <c r="G62" s="4"/>
      <c r="H62" s="4"/>
    </row>
    <row r="63" spans="5:8" x14ac:dyDescent="0.3">
      <c r="E63">
        <v>42</v>
      </c>
      <c r="F63" s="29">
        <v>184761686.6874865</v>
      </c>
      <c r="G63" s="4"/>
      <c r="H63" s="4"/>
    </row>
    <row r="64" spans="5:8" x14ac:dyDescent="0.3">
      <c r="E64">
        <v>43</v>
      </c>
      <c r="F64" s="29">
        <v>228243834.89267868</v>
      </c>
      <c r="G64" s="4"/>
      <c r="H64" s="4"/>
    </row>
    <row r="65" spans="5:8" x14ac:dyDescent="0.3">
      <c r="E65">
        <v>44</v>
      </c>
      <c r="F65" s="29">
        <v>179996031.49597251</v>
      </c>
      <c r="G65" s="4"/>
      <c r="H65" s="4"/>
    </row>
    <row r="66" spans="5:8" x14ac:dyDescent="0.3">
      <c r="E66">
        <v>45</v>
      </c>
      <c r="F66" s="29">
        <v>197504352.23165256</v>
      </c>
      <c r="G66" s="4"/>
      <c r="H66" s="4"/>
    </row>
    <row r="67" spans="5:8" x14ac:dyDescent="0.3">
      <c r="E67">
        <v>46</v>
      </c>
      <c r="F67" s="29">
        <v>190931764.18009797</v>
      </c>
      <c r="G67" s="4"/>
      <c r="H67" s="4"/>
    </row>
    <row r="68" spans="5:8" x14ac:dyDescent="0.3">
      <c r="E68">
        <v>47</v>
      </c>
      <c r="F68" s="29">
        <v>146340642.18446505</v>
      </c>
      <c r="G68" s="4"/>
      <c r="H68" s="4"/>
    </row>
    <row r="69" spans="5:8" x14ac:dyDescent="0.3">
      <c r="E69">
        <v>48</v>
      </c>
      <c r="F69" s="29">
        <v>160094398.04238176</v>
      </c>
      <c r="G69" s="4"/>
      <c r="H69" s="4"/>
    </row>
    <row r="70" spans="5:8" x14ac:dyDescent="0.3">
      <c r="E70">
        <v>49</v>
      </c>
      <c r="F70" s="29">
        <v>63546214.384237312</v>
      </c>
      <c r="G70" s="4"/>
      <c r="H70" s="4"/>
    </row>
    <row r="71" spans="5:8" x14ac:dyDescent="0.3">
      <c r="E71">
        <v>50</v>
      </c>
      <c r="F71" s="29">
        <v>58421707.567070439</v>
      </c>
      <c r="G71" s="4"/>
      <c r="H71" s="4"/>
    </row>
    <row r="72" spans="5:8" x14ac:dyDescent="0.3">
      <c r="E72">
        <v>51</v>
      </c>
      <c r="F72" s="29">
        <v>244382311.38997614</v>
      </c>
      <c r="G72" s="4"/>
      <c r="H72" s="4"/>
    </row>
    <row r="73" spans="5:8" x14ac:dyDescent="0.3">
      <c r="E73">
        <v>52</v>
      </c>
      <c r="F73" s="29">
        <v>92906626.96025309</v>
      </c>
      <c r="G73" s="4"/>
      <c r="H73" s="4"/>
    </row>
    <row r="74" spans="5:8" x14ac:dyDescent="0.3">
      <c r="E74">
        <v>53</v>
      </c>
      <c r="F74" s="29">
        <v>154890622.66738504</v>
      </c>
      <c r="G74" s="4"/>
      <c r="H74" s="4"/>
    </row>
    <row r="75" spans="5:8" x14ac:dyDescent="0.3">
      <c r="E75">
        <v>54</v>
      </c>
      <c r="F75" s="29">
        <v>219047199.68543258</v>
      </c>
      <c r="G75" s="4"/>
      <c r="H75" s="4"/>
    </row>
    <row r="76" spans="5:8" x14ac:dyDescent="0.3">
      <c r="E76">
        <v>55</v>
      </c>
      <c r="F76" s="29">
        <v>272936102.47966117</v>
      </c>
      <c r="G76" s="4"/>
      <c r="H76" s="4"/>
    </row>
    <row r="77" spans="5:8" x14ac:dyDescent="0.3">
      <c r="E77">
        <v>56</v>
      </c>
      <c r="F77" s="29">
        <v>302092308.94066477</v>
      </c>
      <c r="G77" s="4"/>
      <c r="H77" s="4"/>
    </row>
    <row r="78" spans="5:8" x14ac:dyDescent="0.3">
      <c r="E78">
        <v>57</v>
      </c>
      <c r="F78" s="29">
        <v>103658025.13059536</v>
      </c>
      <c r="G78" s="4"/>
      <c r="H78" s="4"/>
    </row>
    <row r="79" spans="5:8" x14ac:dyDescent="0.3">
      <c r="E79">
        <v>58</v>
      </c>
      <c r="F79" s="29">
        <v>224992046.73932812</v>
      </c>
      <c r="G79" s="4"/>
      <c r="H79" s="4"/>
    </row>
    <row r="80" spans="5:8" x14ac:dyDescent="0.3">
      <c r="E80">
        <v>59</v>
      </c>
      <c r="F80" s="29">
        <v>92655481.121829107</v>
      </c>
      <c r="G80" s="4"/>
      <c r="H80" s="4"/>
    </row>
    <row r="81" spans="5:8" x14ac:dyDescent="0.3">
      <c r="E81">
        <v>60</v>
      </c>
      <c r="F81" s="29">
        <v>179295256.96192676</v>
      </c>
      <c r="G81" s="4"/>
      <c r="H81" s="4"/>
    </row>
    <row r="82" spans="5:8" x14ac:dyDescent="0.3">
      <c r="E82">
        <v>61</v>
      </c>
      <c r="F82" s="29">
        <v>197614758.70191085</v>
      </c>
      <c r="G82" s="4"/>
      <c r="H82" s="4"/>
    </row>
    <row r="83" spans="5:8" x14ac:dyDescent="0.3">
      <c r="E83">
        <v>62</v>
      </c>
      <c r="F83" s="29">
        <v>152826800.68443018</v>
      </c>
      <c r="G83" s="4"/>
      <c r="H83" s="4"/>
    </row>
    <row r="84" spans="5:8" x14ac:dyDescent="0.3">
      <c r="E84">
        <v>63</v>
      </c>
      <c r="F84" s="29">
        <v>157451360.41651368</v>
      </c>
      <c r="G84" s="4"/>
      <c r="H84" s="4"/>
    </row>
    <row r="85" spans="5:8" x14ac:dyDescent="0.3">
      <c r="E85">
        <v>64</v>
      </c>
      <c r="F85" s="29">
        <v>144070733.74563298</v>
      </c>
      <c r="G85" s="4"/>
      <c r="H85" s="4"/>
    </row>
    <row r="86" spans="5:8" x14ac:dyDescent="0.3">
      <c r="E86">
        <v>65</v>
      </c>
      <c r="F86" s="29">
        <v>198179368.54942524</v>
      </c>
      <c r="G86" s="4"/>
      <c r="H86" s="4"/>
    </row>
    <row r="87" spans="5:8" x14ac:dyDescent="0.3">
      <c r="E87">
        <v>66</v>
      </c>
      <c r="F87" s="29">
        <v>239357880.32058486</v>
      </c>
      <c r="G87" s="4"/>
      <c r="H87" s="4"/>
    </row>
    <row r="88" spans="5:8" x14ac:dyDescent="0.3">
      <c r="E88">
        <v>67</v>
      </c>
      <c r="F88" s="29">
        <v>211396411.02649075</v>
      </c>
      <c r="G88" s="4"/>
      <c r="H88" s="4"/>
    </row>
    <row r="89" spans="5:8" x14ac:dyDescent="0.3">
      <c r="E89">
        <v>68</v>
      </c>
      <c r="F89" s="29">
        <v>260583288.90719157</v>
      </c>
      <c r="G89" s="4"/>
      <c r="H89" s="4"/>
    </row>
    <row r="90" spans="5:8" x14ac:dyDescent="0.3">
      <c r="E90">
        <v>69</v>
      </c>
      <c r="F90" s="29">
        <v>160630454.5266656</v>
      </c>
      <c r="G90" s="4"/>
      <c r="H90" s="4"/>
    </row>
    <row r="91" spans="5:8" x14ac:dyDescent="0.3">
      <c r="E91">
        <v>70</v>
      </c>
      <c r="F91" s="29">
        <v>180802311.80957592</v>
      </c>
      <c r="G91" s="4"/>
      <c r="H91" s="4"/>
    </row>
    <row r="92" spans="5:8" x14ac:dyDescent="0.3">
      <c r="E92">
        <v>71</v>
      </c>
      <c r="F92" s="29">
        <v>199714065.38289756</v>
      </c>
      <c r="G92" s="4"/>
      <c r="H92" s="4"/>
    </row>
    <row r="93" spans="5:8" x14ac:dyDescent="0.3">
      <c r="E93">
        <v>72</v>
      </c>
      <c r="F93" s="29">
        <v>75293066.899946183</v>
      </c>
      <c r="G93" s="4"/>
      <c r="H93" s="4"/>
    </row>
    <row r="94" spans="5:8" x14ac:dyDescent="0.3">
      <c r="E94">
        <v>73</v>
      </c>
      <c r="F94" s="29">
        <v>187596919.97191522</v>
      </c>
      <c r="G94" s="4"/>
      <c r="H94" s="4"/>
    </row>
    <row r="95" spans="5:8" x14ac:dyDescent="0.3">
      <c r="E95">
        <v>74</v>
      </c>
      <c r="F95" s="29">
        <v>121614350.43499705</v>
      </c>
      <c r="G95" s="4"/>
      <c r="H95" s="4"/>
    </row>
    <row r="96" spans="5:8" x14ac:dyDescent="0.3">
      <c r="E96">
        <v>75</v>
      </c>
      <c r="F96" s="29">
        <v>137779651.78701439</v>
      </c>
      <c r="G96" s="4"/>
      <c r="H96" s="4"/>
    </row>
    <row r="97" spans="5:8" x14ac:dyDescent="0.3">
      <c r="E97">
        <v>76</v>
      </c>
      <c r="F97" s="29">
        <v>241415884.50138164</v>
      </c>
      <c r="G97" s="4"/>
      <c r="H97" s="4"/>
    </row>
    <row r="98" spans="5:8" x14ac:dyDescent="0.3">
      <c r="E98">
        <v>77</v>
      </c>
      <c r="F98" s="29">
        <v>188540998.69514585</v>
      </c>
      <c r="G98" s="4"/>
      <c r="H98" s="4"/>
    </row>
    <row r="99" spans="5:8" x14ac:dyDescent="0.3">
      <c r="E99">
        <v>78</v>
      </c>
      <c r="F99" s="29">
        <v>171084512.90774703</v>
      </c>
      <c r="G99" s="4"/>
      <c r="H99" s="4"/>
    </row>
    <row r="100" spans="5:8" x14ac:dyDescent="0.3">
      <c r="E100">
        <v>79</v>
      </c>
      <c r="F100" s="29">
        <v>122865799.98910737</v>
      </c>
      <c r="G100" s="4"/>
      <c r="H100" s="4"/>
    </row>
    <row r="101" spans="5:8" x14ac:dyDescent="0.3">
      <c r="E101">
        <v>80</v>
      </c>
      <c r="F101" s="29">
        <v>228680184.51274437</v>
      </c>
      <c r="G101" s="4"/>
      <c r="H101" s="4"/>
    </row>
    <row r="102" spans="5:8" x14ac:dyDescent="0.3">
      <c r="E102">
        <v>81</v>
      </c>
      <c r="F102" s="29">
        <v>248544567.5684641</v>
      </c>
      <c r="G102" s="4"/>
      <c r="H102" s="4"/>
    </row>
    <row r="103" spans="5:8" x14ac:dyDescent="0.3">
      <c r="E103">
        <v>82</v>
      </c>
      <c r="F103" s="29">
        <v>166578401.39526069</v>
      </c>
      <c r="G103" s="4"/>
      <c r="H103" s="4"/>
    </row>
    <row r="104" spans="5:8" x14ac:dyDescent="0.3">
      <c r="E104">
        <v>83</v>
      </c>
      <c r="F104" s="29">
        <v>157220990.33811489</v>
      </c>
      <c r="G104" s="4"/>
      <c r="H104" s="4"/>
    </row>
    <row r="105" spans="5:8" x14ac:dyDescent="0.3">
      <c r="E105">
        <v>84</v>
      </c>
      <c r="F105" s="29">
        <v>192889923.17255706</v>
      </c>
      <c r="G105" s="4"/>
      <c r="H105" s="4"/>
    </row>
    <row r="106" spans="5:8" x14ac:dyDescent="0.3">
      <c r="E106">
        <v>85</v>
      </c>
      <c r="F106" s="29">
        <v>111268331.43215759</v>
      </c>
      <c r="G106" s="4"/>
      <c r="H106" s="4"/>
    </row>
    <row r="107" spans="5:8" x14ac:dyDescent="0.3">
      <c r="E107">
        <v>86</v>
      </c>
      <c r="F107" s="29">
        <v>187605523.90400392</v>
      </c>
      <c r="G107" s="4"/>
      <c r="H107" s="4"/>
    </row>
    <row r="108" spans="5:8" x14ac:dyDescent="0.3">
      <c r="E108">
        <v>87</v>
      </c>
      <c r="F108" s="29">
        <v>182811549.777538</v>
      </c>
      <c r="G108" s="4"/>
      <c r="H108" s="4"/>
    </row>
    <row r="109" spans="5:8" x14ac:dyDescent="0.3">
      <c r="E109">
        <v>88</v>
      </c>
      <c r="F109" s="29">
        <v>155758855.374778</v>
      </c>
      <c r="G109" s="4"/>
      <c r="H109" s="4"/>
    </row>
    <row r="110" spans="5:8" x14ac:dyDescent="0.3">
      <c r="E110">
        <v>89</v>
      </c>
      <c r="F110" s="29">
        <v>208028898.41265684</v>
      </c>
      <c r="G110" s="4"/>
      <c r="H110" s="4"/>
    </row>
    <row r="111" spans="5:8" x14ac:dyDescent="0.3">
      <c r="E111">
        <v>90</v>
      </c>
      <c r="F111" s="29">
        <v>106562094.77451605</v>
      </c>
      <c r="G111" s="4"/>
      <c r="H111" s="4"/>
    </row>
    <row r="112" spans="5:8" x14ac:dyDescent="0.3">
      <c r="E112">
        <v>91</v>
      </c>
      <c r="F112" s="29">
        <v>178581144.58044356</v>
      </c>
      <c r="G112" s="4"/>
      <c r="H112" s="4"/>
    </row>
    <row r="113" spans="5:8" x14ac:dyDescent="0.3">
      <c r="E113">
        <v>92</v>
      </c>
      <c r="F113" s="29">
        <v>306312218.7676692</v>
      </c>
      <c r="G113" s="4"/>
      <c r="H113" s="4"/>
    </row>
    <row r="114" spans="5:8" x14ac:dyDescent="0.3">
      <c r="E114">
        <v>93</v>
      </c>
      <c r="F114" s="29">
        <v>169618106.64811212</v>
      </c>
      <c r="G114" s="4"/>
      <c r="H114" s="4"/>
    </row>
    <row r="115" spans="5:8" x14ac:dyDescent="0.3">
      <c r="E115">
        <v>94</v>
      </c>
      <c r="F115" s="29">
        <v>201689363.77403909</v>
      </c>
      <c r="G115" s="4"/>
      <c r="H115" s="4"/>
    </row>
    <row r="116" spans="5:8" x14ac:dyDescent="0.3">
      <c r="E116">
        <v>95</v>
      </c>
      <c r="F116" s="29">
        <v>139337482.85382962</v>
      </c>
      <c r="G116" s="4"/>
      <c r="H116" s="4"/>
    </row>
    <row r="117" spans="5:8" x14ac:dyDescent="0.3">
      <c r="E117">
        <v>96</v>
      </c>
      <c r="F117" s="29">
        <v>212987689.45888272</v>
      </c>
      <c r="G117" s="4"/>
      <c r="H117" s="4"/>
    </row>
    <row r="118" spans="5:8" x14ac:dyDescent="0.3">
      <c r="E118">
        <v>97</v>
      </c>
      <c r="F118" s="29">
        <v>143114822.51946244</v>
      </c>
      <c r="G118" s="4"/>
      <c r="H118" s="4"/>
    </row>
    <row r="119" spans="5:8" x14ac:dyDescent="0.3">
      <c r="E119">
        <v>98</v>
      </c>
      <c r="F119" s="29">
        <v>113816068.83672968</v>
      </c>
      <c r="G119" s="4"/>
      <c r="H119" s="4"/>
    </row>
    <row r="120" spans="5:8" x14ac:dyDescent="0.3">
      <c r="E120">
        <v>99</v>
      </c>
      <c r="F120" s="29">
        <v>218697142.61003259</v>
      </c>
      <c r="G120" s="4"/>
      <c r="H120" s="4"/>
    </row>
    <row r="121" spans="5:8" x14ac:dyDescent="0.3">
      <c r="E121">
        <v>100</v>
      </c>
      <c r="F121" s="29">
        <v>175929985.53830898</v>
      </c>
      <c r="G121" s="4"/>
      <c r="H121" s="4"/>
    </row>
    <row r="122" spans="5:8" x14ac:dyDescent="0.3">
      <c r="E122">
        <v>101</v>
      </c>
      <c r="F122" s="29">
        <v>179362998.8597289</v>
      </c>
      <c r="G122" s="4"/>
      <c r="H122" s="4"/>
    </row>
    <row r="123" spans="5:8" x14ac:dyDescent="0.3">
      <c r="E123">
        <v>102</v>
      </c>
      <c r="F123" s="29">
        <v>105849532.43644467</v>
      </c>
      <c r="G123" s="4"/>
      <c r="H123" s="4"/>
    </row>
    <row r="124" spans="5:8" x14ac:dyDescent="0.3">
      <c r="E124">
        <v>103</v>
      </c>
      <c r="F124" s="29">
        <v>137864690.55140153</v>
      </c>
      <c r="G124" s="4"/>
      <c r="H124" s="4"/>
    </row>
    <row r="125" spans="5:8" x14ac:dyDescent="0.3">
      <c r="E125">
        <v>104</v>
      </c>
      <c r="F125" s="29">
        <v>252612089.4983528</v>
      </c>
      <c r="G125" s="4"/>
      <c r="H125" s="4"/>
    </row>
    <row r="126" spans="5:8" x14ac:dyDescent="0.3">
      <c r="E126">
        <v>105</v>
      </c>
      <c r="F126" s="29">
        <v>186840251.00764966</v>
      </c>
      <c r="G126" s="4"/>
      <c r="H126" s="4"/>
    </row>
    <row r="127" spans="5:8" x14ac:dyDescent="0.3">
      <c r="E127">
        <v>106</v>
      </c>
      <c r="F127" s="29">
        <v>130679491.4566181</v>
      </c>
      <c r="G127" s="4"/>
      <c r="H127" s="4"/>
    </row>
    <row r="128" spans="5:8" x14ac:dyDescent="0.3">
      <c r="E128">
        <v>107</v>
      </c>
      <c r="F128" s="29">
        <v>173300767.00800347</v>
      </c>
      <c r="G128" s="4"/>
      <c r="H128" s="4"/>
    </row>
    <row r="129" spans="5:8" x14ac:dyDescent="0.3">
      <c r="E129">
        <v>108</v>
      </c>
      <c r="F129" s="29">
        <v>135241707.63290957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D16" sqref="D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.664062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Mappings!N10</f>
        <v>1397.1848252981956</v>
      </c>
      <c r="C3" s="27">
        <f>Mappings!N11</f>
        <v>252.22716360213391</v>
      </c>
      <c r="D3" s="27">
        <f>Mappings!N12</f>
        <v>1698.6687148983697</v>
      </c>
    </row>
    <row r="4" spans="1:8" x14ac:dyDescent="0.3">
      <c r="A4" t="str">
        <f>MC_High_ambition!A4</f>
        <v>Random value income per cow (USD/yr)</v>
      </c>
      <c r="B4" s="27">
        <f ca="1">_xlfn.NORM.INV(RAND(),Mappings!N10,Mappings!O10)</f>
        <v>2025.7984447892227</v>
      </c>
      <c r="C4" s="27">
        <f ca="1">_xlfn.NORM.INV(RAND(),Mappings!N11,Mappings!O11)</f>
        <v>201.10345119034434</v>
      </c>
      <c r="D4" s="27">
        <f ca="1">_xlfn.NORM.INV(RAND(),Mappings!N12,Mappings!O12)</f>
        <v>1727.8041235871251</v>
      </c>
    </row>
    <row r="5" spans="1:8" x14ac:dyDescent="0.3">
      <c r="A5" t="str">
        <f>MC_High_ambition!A5</f>
        <v>Cows per household (head)</v>
      </c>
      <c r="B5" s="27">
        <f>Mappings!F10*Mappings!I10</f>
        <v>1.2712647114635112</v>
      </c>
      <c r="C5" s="27">
        <f>Mappings!F11*Mappings!I11</f>
        <v>7.1993687481135122</v>
      </c>
      <c r="D5" s="27">
        <f>Mappings!F12*Mappings!I12</f>
        <v>1.5326138138663687</v>
      </c>
    </row>
    <row r="6" spans="1:8" x14ac:dyDescent="0.3">
      <c r="A6" t="str">
        <f>MC_High_ambition!A6</f>
        <v>Random value cows per household (head)</v>
      </c>
      <c r="B6" s="27">
        <f ca="1">_xlfn.NORM.INV(RAND(),B5,B5*Mappings!E4)</f>
        <v>1.7047084825633547</v>
      </c>
      <c r="C6" s="27">
        <f ca="1">_xlfn.NORM.INV(RAND(),C5,C5*Mappings!E3)</f>
        <v>8.6217983299922842</v>
      </c>
      <c r="D6" s="27">
        <f ca="1">_xlfn.NORM.INV(RAND(),D5,D5*Mappings!E4)</f>
        <v>0.86098945984162878</v>
      </c>
    </row>
    <row r="7" spans="1:8" x14ac:dyDescent="0.3">
      <c r="A7" t="str">
        <f>MC_High_ambition!A7</f>
        <v>Non-dairy income (USD/yr)</v>
      </c>
      <c r="B7" s="27">
        <f>Mappings!V10</f>
        <v>2983.4275489043575</v>
      </c>
      <c r="C7" s="27">
        <f>Mappings!V11</f>
        <v>3211.0611031359699</v>
      </c>
      <c r="D7" s="27">
        <f>Mappings!V12</f>
        <v>9838.9327312664045</v>
      </c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2983.4275489043575</v>
      </c>
      <c r="C8" s="27">
        <f ca="1">_xlfn.NORM.INV(RAND(), C7, C7* 25/100)*0+C7</f>
        <v>3211.0611031359699</v>
      </c>
      <c r="D8" s="27">
        <f ca="1">_xlfn.NORM.INV(RAND(),D7,D7*25/100)*0+D7</f>
        <v>9838.9327312664045</v>
      </c>
    </row>
    <row r="9" spans="1:8" x14ac:dyDescent="0.3">
      <c r="A9" t="str">
        <f>MC_Baseline!A9</f>
        <v>Reduction in non-dairy income through crop area change</v>
      </c>
      <c r="B9" s="27">
        <f>Mappings!Q10</f>
        <v>210.92874000320063</v>
      </c>
      <c r="C9" s="27">
        <f>Mappings!Q11</f>
        <v>-14.997483752827678</v>
      </c>
      <c r="D9" s="27">
        <f>Mappings!Q12</f>
        <v>164.39046471222733</v>
      </c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487.32988662721107</v>
      </c>
      <c r="C10" s="27">
        <f ca="1">IF(C9&gt;0,_xlfn.NORM.INV(RAND(),C9,C9*Dairy_Income_Roadmap!L37),_xlfn.NORM.INV(RAND(),ABS(C9),ABS(C9)*Dairy_Income_Roadmap!L37))</f>
        <v>11.616021637772757</v>
      </c>
      <c r="D10" s="27">
        <f ca="1">IF(D9&gt;0,_xlfn.NORM.INV(RAND(),D9,D9*Dairy_Income_Roadmap!L39),_xlfn.NORM.INV(RAND(),ABS(D9),ABS(D9)*Dairy_Income_Roadmap!L39))</f>
        <v>411.28214878642257</v>
      </c>
    </row>
    <row r="11" spans="1:8" x14ac:dyDescent="0.3">
      <c r="A11" t="str">
        <f>MC_High_ambition!A11</f>
        <v>Quantity households</v>
      </c>
      <c r="B11" s="27">
        <f>Mappings!D10</f>
        <v>3169.5200155915622</v>
      </c>
      <c r="C11" s="27">
        <f>Mappings!D11</f>
        <v>24391.523598248106</v>
      </c>
      <c r="D11" s="27">
        <f>Mappings!D12</f>
        <v>43093.351220715318</v>
      </c>
    </row>
    <row r="12" spans="1:8" x14ac:dyDescent="0.3">
      <c r="A12" t="str">
        <f>MC_High_ambition!A12</f>
        <v>SE quantity households</v>
      </c>
      <c r="B12" s="27">
        <f>Mappings!Z10*B11</f>
        <v>89.858967859371191</v>
      </c>
      <c r="C12" s="27">
        <f>Mappings!Z11*C11</f>
        <v>691.52336135255212</v>
      </c>
      <c r="D12" s="27">
        <f>Mappings!Z12*D11</f>
        <v>1221.7383210221242</v>
      </c>
    </row>
    <row r="13" spans="1:8" x14ac:dyDescent="0.3">
      <c r="B13" s="27"/>
      <c r="C13" s="27"/>
      <c r="D13" s="27"/>
    </row>
    <row r="14" spans="1:8" x14ac:dyDescent="0.3">
      <c r="A14" t="str">
        <f>MC_High_ambition!A14</f>
        <v>Dairy Income (USD/household/year)</v>
      </c>
      <c r="B14" s="27">
        <f ca="1">B4*B6</f>
        <v>3453.39579279584</v>
      </c>
      <c r="C14" s="27">
        <f ca="1">C4*C6</f>
        <v>1733.8733996285957</v>
      </c>
      <c r="D14" s="27">
        <f ca="1">D4*D6</f>
        <v>1487.6211390794176</v>
      </c>
    </row>
    <row r="15" spans="1:8" x14ac:dyDescent="0.3">
      <c r="A15" t="str">
        <f>MC_High_ambition!A15</f>
        <v>Non dairy income (USD/household/year)</v>
      </c>
      <c r="B15" s="27">
        <f ca="1">B8-IF(B9&gt;0,B8-B10,B8+B10)</f>
        <v>487.32988662721118</v>
      </c>
      <c r="C15" s="27">
        <f t="shared" ref="C15:D15" ca="1" si="0">C8-IF(C9&gt;0,C8-C10,C8+C10)</f>
        <v>-11.616021637772974</v>
      </c>
      <c r="D15" s="27">
        <f t="shared" ca="1" si="0"/>
        <v>411.28214878642211</v>
      </c>
    </row>
    <row r="16" spans="1:8" x14ac:dyDescent="0.3">
      <c r="A16" t="str">
        <f>MC_High_ambition!A16</f>
        <v>Quantity households</v>
      </c>
      <c r="B16" s="27">
        <f ca="1">_xlfn.NORM.INV(RAND(),B11,B12)</f>
        <v>3293.1850018253567</v>
      </c>
      <c r="C16" s="27">
        <f ca="1">_xlfn.NORM.INV(RAND(),C11,C12)</f>
        <v>24440.807340776733</v>
      </c>
      <c r="D16" s="27">
        <f t="shared" ref="D16" ca="1" si="1">_xlfn.NORM.INV(RAND(),D11,D12)</f>
        <v>43088.13316038491</v>
      </c>
    </row>
    <row r="17" spans="1:9" x14ac:dyDescent="0.3">
      <c r="B17" s="27"/>
      <c r="C17" s="27"/>
      <c r="D17" s="27"/>
    </row>
    <row r="18" spans="1:9" x14ac:dyDescent="0.3">
      <c r="A18" t="str">
        <f>MC_High_ambition!A18</f>
        <v>Estimated population income (USD/yr)</v>
      </c>
      <c r="B18" s="37">
        <f ca="1">(B14+B15)*B16</f>
        <v>12977538.70378403</v>
      </c>
      <c r="C18" s="37">
        <f ca="1">(C14+C15)*C16</f>
        <v>42093360.766704991</v>
      </c>
      <c r="D18" s="37">
        <f ca="1">(D14+D15)*D16</f>
        <v>81820197.726256028</v>
      </c>
      <c r="F18" s="27">
        <f ca="1">B18+C18+D18</f>
        <v>136891097.19674504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F19" s="27">
        <f ca="1">STDEV(F22:F129)</f>
        <v>59769682.989608712</v>
      </c>
      <c r="H19" s="97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4"/>
      <c r="F20" s="27">
        <f ca="1">AVERAGE(F22:F129)</f>
        <v>173889830.58558819</v>
      </c>
      <c r="G20" s="4"/>
      <c r="H20" s="97"/>
      <c r="I20" s="4">
        <f ca="1">100*F19/F20</f>
        <v>34.372155512676869</v>
      </c>
    </row>
    <row r="21" spans="1:9" x14ac:dyDescent="0.3">
      <c r="F21" s="27"/>
      <c r="G21" s="4"/>
      <c r="H21" s="4"/>
    </row>
    <row r="22" spans="1:9" x14ac:dyDescent="0.3">
      <c r="B22" s="4"/>
      <c r="E22">
        <v>1</v>
      </c>
      <c r="F22" s="27">
        <f ca="1">F18</f>
        <v>136891097.19674504</v>
      </c>
      <c r="G22" s="4"/>
      <c r="H22" s="4"/>
    </row>
    <row r="23" spans="1:9" x14ac:dyDescent="0.3">
      <c r="E23">
        <v>2</v>
      </c>
      <c r="F23" s="27">
        <f t="dataTable" ref="F23:F129" dt2D="0" dtr="0" r1="F21" ca="1"/>
        <v>165249303.83725524</v>
      </c>
      <c r="G23" s="4"/>
      <c r="H23" s="4"/>
    </row>
    <row r="24" spans="1:9" x14ac:dyDescent="0.3">
      <c r="E24">
        <v>3</v>
      </c>
      <c r="F24" s="27">
        <v>173420684.16967839</v>
      </c>
      <c r="G24" s="4"/>
      <c r="H24" s="4"/>
    </row>
    <row r="25" spans="1:9" x14ac:dyDescent="0.3">
      <c r="E25">
        <v>4</v>
      </c>
      <c r="F25" s="27">
        <v>242391800.61722735</v>
      </c>
      <c r="G25" s="4"/>
      <c r="H25" s="4"/>
    </row>
    <row r="26" spans="1:9" x14ac:dyDescent="0.3">
      <c r="E26">
        <v>5</v>
      </c>
      <c r="F26" s="27">
        <v>142089743.50684845</v>
      </c>
      <c r="G26" s="4"/>
      <c r="H26" s="4"/>
    </row>
    <row r="27" spans="1:9" x14ac:dyDescent="0.3">
      <c r="E27">
        <v>6</v>
      </c>
      <c r="F27" s="27">
        <v>131489683.77047387</v>
      </c>
      <c r="G27" s="4"/>
      <c r="H27" s="4"/>
    </row>
    <row r="28" spans="1:9" x14ac:dyDescent="0.3">
      <c r="E28">
        <v>7</v>
      </c>
      <c r="F28" s="27">
        <v>199935005.55673102</v>
      </c>
      <c r="G28" s="4"/>
      <c r="H28" s="4"/>
    </row>
    <row r="29" spans="1:9" x14ac:dyDescent="0.3">
      <c r="E29">
        <v>8</v>
      </c>
      <c r="F29" s="27">
        <v>167383152.5000861</v>
      </c>
      <c r="G29" s="4"/>
      <c r="H29" s="4"/>
    </row>
    <row r="30" spans="1:9" x14ac:dyDescent="0.3">
      <c r="E30">
        <v>9</v>
      </c>
      <c r="F30" s="27">
        <v>203775336.88464731</v>
      </c>
      <c r="G30" s="4"/>
      <c r="H30" s="4"/>
    </row>
    <row r="31" spans="1:9" x14ac:dyDescent="0.3">
      <c r="E31">
        <v>10</v>
      </c>
      <c r="F31" s="27">
        <v>140357967.38740802</v>
      </c>
      <c r="G31" s="4"/>
      <c r="H31" s="4"/>
    </row>
    <row r="32" spans="1:9" x14ac:dyDescent="0.3">
      <c r="E32">
        <v>11</v>
      </c>
      <c r="F32" s="27">
        <v>260888915.3326658</v>
      </c>
      <c r="G32" s="4"/>
      <c r="H32" s="4"/>
    </row>
    <row r="33" spans="5:8" x14ac:dyDescent="0.3">
      <c r="E33">
        <v>12</v>
      </c>
      <c r="F33" s="27">
        <v>152705023.04570809</v>
      </c>
      <c r="G33" s="4"/>
      <c r="H33" s="4"/>
    </row>
    <row r="34" spans="5:8" x14ac:dyDescent="0.3">
      <c r="E34">
        <v>13</v>
      </c>
      <c r="F34" s="27">
        <v>226009492.83154365</v>
      </c>
      <c r="G34" s="4"/>
      <c r="H34" s="4"/>
    </row>
    <row r="35" spans="5:8" x14ac:dyDescent="0.3">
      <c r="E35">
        <v>14</v>
      </c>
      <c r="F35" s="27">
        <v>274114851.08718157</v>
      </c>
      <c r="G35" s="4"/>
      <c r="H35" s="4"/>
    </row>
    <row r="36" spans="5:8" x14ac:dyDescent="0.3">
      <c r="E36">
        <v>15</v>
      </c>
      <c r="F36" s="27">
        <v>136286554.2672562</v>
      </c>
      <c r="G36" s="4"/>
      <c r="H36" s="4"/>
    </row>
    <row r="37" spans="5:8" x14ac:dyDescent="0.3">
      <c r="E37">
        <v>16</v>
      </c>
      <c r="F37" s="27">
        <v>163084777.52283037</v>
      </c>
      <c r="G37" s="4"/>
      <c r="H37" s="4"/>
    </row>
    <row r="38" spans="5:8" x14ac:dyDescent="0.3">
      <c r="E38">
        <v>17</v>
      </c>
      <c r="F38" s="27">
        <v>198290483.33221477</v>
      </c>
      <c r="G38" s="4"/>
      <c r="H38" s="4"/>
    </row>
    <row r="39" spans="5:8" x14ac:dyDescent="0.3">
      <c r="E39">
        <v>18</v>
      </c>
      <c r="F39" s="27">
        <v>171270890.52612907</v>
      </c>
      <c r="G39" s="4"/>
      <c r="H39" s="4"/>
    </row>
    <row r="40" spans="5:8" x14ac:dyDescent="0.3">
      <c r="E40">
        <v>19</v>
      </c>
      <c r="F40" s="27">
        <v>130591068.91351444</v>
      </c>
      <c r="G40" s="4"/>
      <c r="H40" s="4"/>
    </row>
    <row r="41" spans="5:8" x14ac:dyDescent="0.3">
      <c r="E41">
        <v>20</v>
      </c>
      <c r="F41" s="27">
        <v>223285322.46530247</v>
      </c>
      <c r="G41" s="4"/>
      <c r="H41" s="4"/>
    </row>
    <row r="42" spans="5:8" x14ac:dyDescent="0.3">
      <c r="E42">
        <v>21</v>
      </c>
      <c r="F42" s="27">
        <v>188582214.69634756</v>
      </c>
      <c r="G42" s="4"/>
      <c r="H42" s="4"/>
    </row>
    <row r="43" spans="5:8" x14ac:dyDescent="0.3">
      <c r="E43">
        <v>22</v>
      </c>
      <c r="F43" s="27">
        <v>187767964.3331084</v>
      </c>
      <c r="G43" s="4"/>
      <c r="H43" s="4"/>
    </row>
    <row r="44" spans="5:8" x14ac:dyDescent="0.3">
      <c r="E44">
        <v>23</v>
      </c>
      <c r="F44" s="27">
        <v>186406813.68028471</v>
      </c>
      <c r="G44" s="4"/>
      <c r="H44" s="4"/>
    </row>
    <row r="45" spans="5:8" x14ac:dyDescent="0.3">
      <c r="E45">
        <v>24</v>
      </c>
      <c r="F45" s="27">
        <v>76519047.390602887</v>
      </c>
      <c r="G45" s="4"/>
      <c r="H45" s="4"/>
    </row>
    <row r="46" spans="5:8" x14ac:dyDescent="0.3">
      <c r="E46">
        <v>25</v>
      </c>
      <c r="F46" s="27">
        <v>92943588.202175885</v>
      </c>
      <c r="G46" s="4"/>
      <c r="H46" s="4"/>
    </row>
    <row r="47" spans="5:8" x14ac:dyDescent="0.3">
      <c r="E47">
        <v>26</v>
      </c>
      <c r="F47" s="27">
        <v>133825696.83056828</v>
      </c>
      <c r="G47" s="4"/>
      <c r="H47" s="4"/>
    </row>
    <row r="48" spans="5:8" x14ac:dyDescent="0.3">
      <c r="E48">
        <v>27</v>
      </c>
      <c r="F48" s="27">
        <v>128553820.93976362</v>
      </c>
      <c r="G48" s="4"/>
      <c r="H48" s="4"/>
    </row>
    <row r="49" spans="5:8" x14ac:dyDescent="0.3">
      <c r="E49">
        <v>28</v>
      </c>
      <c r="F49" s="27">
        <v>72547797.633498862</v>
      </c>
      <c r="G49" s="4"/>
      <c r="H49" s="4"/>
    </row>
    <row r="50" spans="5:8" x14ac:dyDescent="0.3">
      <c r="E50">
        <v>29</v>
      </c>
      <c r="F50" s="27">
        <v>108692399.06017826</v>
      </c>
      <c r="G50" s="4"/>
      <c r="H50" s="4"/>
    </row>
    <row r="51" spans="5:8" x14ac:dyDescent="0.3">
      <c r="E51">
        <v>30</v>
      </c>
      <c r="F51" s="27">
        <v>141223658.76314601</v>
      </c>
      <c r="G51" s="4"/>
      <c r="H51" s="4"/>
    </row>
    <row r="52" spans="5:8" x14ac:dyDescent="0.3">
      <c r="E52">
        <v>31</v>
      </c>
      <c r="F52" s="27">
        <v>170240279.34570736</v>
      </c>
      <c r="G52" s="4"/>
      <c r="H52" s="4"/>
    </row>
    <row r="53" spans="5:8" x14ac:dyDescent="0.3">
      <c r="E53">
        <v>32</v>
      </c>
      <c r="F53" s="27">
        <v>210393508.13682193</v>
      </c>
      <c r="G53" s="4"/>
      <c r="H53" s="4"/>
    </row>
    <row r="54" spans="5:8" x14ac:dyDescent="0.3">
      <c r="E54">
        <v>33</v>
      </c>
      <c r="F54" s="27">
        <v>117323098.25537634</v>
      </c>
      <c r="G54" s="4"/>
      <c r="H54" s="4"/>
    </row>
    <row r="55" spans="5:8" x14ac:dyDescent="0.3">
      <c r="E55">
        <v>34</v>
      </c>
      <c r="F55" s="27">
        <v>179485278.87770519</v>
      </c>
      <c r="G55" s="4"/>
      <c r="H55" s="4"/>
    </row>
    <row r="56" spans="5:8" x14ac:dyDescent="0.3">
      <c r="E56">
        <v>35</v>
      </c>
      <c r="F56" s="27">
        <v>93702331.910699323</v>
      </c>
      <c r="G56" s="4"/>
      <c r="H56" s="4"/>
    </row>
    <row r="57" spans="5:8" x14ac:dyDescent="0.3">
      <c r="E57">
        <v>36</v>
      </c>
      <c r="F57" s="27">
        <v>126962926.57667518</v>
      </c>
      <c r="G57" s="4"/>
      <c r="H57" s="4"/>
    </row>
    <row r="58" spans="5:8" x14ac:dyDescent="0.3">
      <c r="E58">
        <v>37</v>
      </c>
      <c r="F58" s="27">
        <v>185894174.17799315</v>
      </c>
      <c r="G58" s="4"/>
      <c r="H58" s="4"/>
    </row>
    <row r="59" spans="5:8" x14ac:dyDescent="0.3">
      <c r="E59">
        <v>38</v>
      </c>
      <c r="F59" s="27">
        <v>101491573.09307057</v>
      </c>
      <c r="G59" s="4"/>
      <c r="H59" s="4"/>
    </row>
    <row r="60" spans="5:8" x14ac:dyDescent="0.3">
      <c r="E60">
        <v>39</v>
      </c>
      <c r="F60" s="27">
        <v>171233777.86720702</v>
      </c>
      <c r="G60" s="4"/>
      <c r="H60" s="4"/>
    </row>
    <row r="61" spans="5:8" x14ac:dyDescent="0.3">
      <c r="E61">
        <v>40</v>
      </c>
      <c r="F61" s="27">
        <v>225171406.09980249</v>
      </c>
      <c r="G61" s="4"/>
      <c r="H61" s="4"/>
    </row>
    <row r="62" spans="5:8" x14ac:dyDescent="0.3">
      <c r="E62">
        <v>41</v>
      </c>
      <c r="F62" s="27">
        <v>249072706.6458227</v>
      </c>
      <c r="G62" s="4"/>
      <c r="H62" s="4"/>
    </row>
    <row r="63" spans="5:8" x14ac:dyDescent="0.3">
      <c r="E63">
        <v>42</v>
      </c>
      <c r="F63" s="27">
        <v>230657267.95171061</v>
      </c>
      <c r="G63" s="4"/>
      <c r="H63" s="4"/>
    </row>
    <row r="64" spans="5:8" x14ac:dyDescent="0.3">
      <c r="E64">
        <v>43</v>
      </c>
      <c r="F64" s="27">
        <v>129332019.85162617</v>
      </c>
      <c r="G64" s="4"/>
      <c r="H64" s="4"/>
    </row>
    <row r="65" spans="5:8" x14ac:dyDescent="0.3">
      <c r="E65">
        <v>44</v>
      </c>
      <c r="F65" s="27">
        <v>210786311.24280393</v>
      </c>
      <c r="G65" s="4"/>
      <c r="H65" s="4"/>
    </row>
    <row r="66" spans="5:8" x14ac:dyDescent="0.3">
      <c r="E66">
        <v>45</v>
      </c>
      <c r="F66" s="27">
        <v>206914794.60478953</v>
      </c>
      <c r="G66" s="4"/>
      <c r="H66" s="4"/>
    </row>
    <row r="67" spans="5:8" x14ac:dyDescent="0.3">
      <c r="E67">
        <v>46</v>
      </c>
      <c r="F67" s="27">
        <v>139029537.49508318</v>
      </c>
      <c r="G67" s="4"/>
      <c r="H67" s="4"/>
    </row>
    <row r="68" spans="5:8" x14ac:dyDescent="0.3">
      <c r="E68">
        <v>47</v>
      </c>
      <c r="F68" s="27">
        <v>117227026.01217654</v>
      </c>
      <c r="G68" s="4"/>
      <c r="H68" s="4"/>
    </row>
    <row r="69" spans="5:8" x14ac:dyDescent="0.3">
      <c r="E69">
        <v>48</v>
      </c>
      <c r="F69" s="27">
        <v>213465795.39149392</v>
      </c>
      <c r="G69" s="4"/>
      <c r="H69" s="4"/>
    </row>
    <row r="70" spans="5:8" x14ac:dyDescent="0.3">
      <c r="E70">
        <v>49</v>
      </c>
      <c r="F70" s="27">
        <v>189300165.86092934</v>
      </c>
      <c r="G70" s="4"/>
      <c r="H70" s="4"/>
    </row>
    <row r="71" spans="5:8" x14ac:dyDescent="0.3">
      <c r="E71">
        <v>50</v>
      </c>
      <c r="F71" s="27">
        <v>207215804.25529197</v>
      </c>
      <c r="G71" s="4"/>
      <c r="H71" s="4"/>
    </row>
    <row r="72" spans="5:8" x14ac:dyDescent="0.3">
      <c r="E72">
        <v>51</v>
      </c>
      <c r="F72" s="27">
        <v>141482575.21103212</v>
      </c>
      <c r="G72" s="4"/>
      <c r="H72" s="4"/>
    </row>
    <row r="73" spans="5:8" x14ac:dyDescent="0.3">
      <c r="E73">
        <v>52</v>
      </c>
      <c r="F73" s="27">
        <v>165543529.79530928</v>
      </c>
      <c r="G73" s="4"/>
      <c r="H73" s="4"/>
    </row>
    <row r="74" spans="5:8" x14ac:dyDescent="0.3">
      <c r="E74">
        <v>53</v>
      </c>
      <c r="F74" s="27">
        <v>288441507.7704308</v>
      </c>
      <c r="G74" s="4"/>
      <c r="H74" s="4"/>
    </row>
    <row r="75" spans="5:8" x14ac:dyDescent="0.3">
      <c r="E75">
        <v>54</v>
      </c>
      <c r="F75" s="27">
        <v>123421315.95671302</v>
      </c>
      <c r="G75" s="4"/>
      <c r="H75" s="4"/>
    </row>
    <row r="76" spans="5:8" x14ac:dyDescent="0.3">
      <c r="E76">
        <v>55</v>
      </c>
      <c r="F76" s="27">
        <v>199247570.39358839</v>
      </c>
      <c r="G76" s="4"/>
      <c r="H76" s="4"/>
    </row>
    <row r="77" spans="5:8" x14ac:dyDescent="0.3">
      <c r="E77">
        <v>56</v>
      </c>
      <c r="F77" s="27">
        <v>179593731.06116456</v>
      </c>
      <c r="G77" s="4"/>
      <c r="H77" s="4"/>
    </row>
    <row r="78" spans="5:8" x14ac:dyDescent="0.3">
      <c r="E78">
        <v>57</v>
      </c>
      <c r="F78" s="27">
        <v>231441375.55035931</v>
      </c>
      <c r="G78" s="4"/>
      <c r="H78" s="4"/>
    </row>
    <row r="79" spans="5:8" x14ac:dyDescent="0.3">
      <c r="E79">
        <v>58</v>
      </c>
      <c r="F79" s="27">
        <v>124577483.08801313</v>
      </c>
      <c r="G79" s="4"/>
      <c r="H79" s="4"/>
    </row>
    <row r="80" spans="5:8" x14ac:dyDescent="0.3">
      <c r="E80">
        <v>59</v>
      </c>
      <c r="F80" s="27">
        <v>27777790.497427322</v>
      </c>
      <c r="G80" s="4"/>
      <c r="H80" s="4"/>
    </row>
    <row r="81" spans="5:8" x14ac:dyDescent="0.3">
      <c r="E81">
        <v>60</v>
      </c>
      <c r="F81" s="27">
        <v>69740246.045651659</v>
      </c>
      <c r="G81" s="4"/>
      <c r="H81" s="4"/>
    </row>
    <row r="82" spans="5:8" x14ac:dyDescent="0.3">
      <c r="E82">
        <v>61</v>
      </c>
      <c r="F82" s="27">
        <v>233960645.91937086</v>
      </c>
      <c r="G82" s="4"/>
      <c r="H82" s="4"/>
    </row>
    <row r="83" spans="5:8" x14ac:dyDescent="0.3">
      <c r="E83">
        <v>62</v>
      </c>
      <c r="F83" s="27">
        <v>158579629.05971637</v>
      </c>
      <c r="G83" s="4"/>
      <c r="H83" s="4"/>
    </row>
    <row r="84" spans="5:8" x14ac:dyDescent="0.3">
      <c r="E84">
        <v>63</v>
      </c>
      <c r="F84" s="27">
        <v>73145693.519256219</v>
      </c>
      <c r="G84" s="4"/>
      <c r="H84" s="4"/>
    </row>
    <row r="85" spans="5:8" x14ac:dyDescent="0.3">
      <c r="E85">
        <v>64</v>
      </c>
      <c r="F85" s="27">
        <v>92719142.654635847</v>
      </c>
      <c r="G85" s="4"/>
      <c r="H85" s="4"/>
    </row>
    <row r="86" spans="5:8" x14ac:dyDescent="0.3">
      <c r="E86">
        <v>65</v>
      </c>
      <c r="F86" s="27">
        <v>96256702.747220874</v>
      </c>
      <c r="G86" s="4"/>
      <c r="H86" s="4"/>
    </row>
    <row r="87" spans="5:8" x14ac:dyDescent="0.3">
      <c r="E87">
        <v>66</v>
      </c>
      <c r="F87" s="27">
        <v>289484813.97025496</v>
      </c>
      <c r="G87" s="4"/>
      <c r="H87" s="4"/>
    </row>
    <row r="88" spans="5:8" x14ac:dyDescent="0.3">
      <c r="E88">
        <v>67</v>
      </c>
      <c r="F88" s="27">
        <v>241509393.70595562</v>
      </c>
      <c r="G88" s="4"/>
      <c r="H88" s="4"/>
    </row>
    <row r="89" spans="5:8" x14ac:dyDescent="0.3">
      <c r="E89">
        <v>68</v>
      </c>
      <c r="F89" s="27">
        <v>214888963.51048449</v>
      </c>
      <c r="G89" s="4"/>
      <c r="H89" s="4"/>
    </row>
    <row r="90" spans="5:8" x14ac:dyDescent="0.3">
      <c r="E90">
        <v>69</v>
      </c>
      <c r="F90" s="27">
        <v>155074958.06545836</v>
      </c>
      <c r="G90" s="4"/>
      <c r="H90" s="4"/>
    </row>
    <row r="91" spans="5:8" x14ac:dyDescent="0.3">
      <c r="E91">
        <v>70</v>
      </c>
      <c r="F91" s="27">
        <v>182624174.9029043</v>
      </c>
      <c r="G91" s="4"/>
      <c r="H91" s="4"/>
    </row>
    <row r="92" spans="5:8" x14ac:dyDescent="0.3">
      <c r="E92">
        <v>71</v>
      </c>
      <c r="F92" s="27">
        <v>162832593.60985494</v>
      </c>
      <c r="G92" s="4"/>
      <c r="H92" s="4"/>
    </row>
    <row r="93" spans="5:8" x14ac:dyDescent="0.3">
      <c r="E93">
        <v>72</v>
      </c>
      <c r="F93" s="27">
        <v>178506455.08590886</v>
      </c>
      <c r="G93" s="4"/>
      <c r="H93" s="4"/>
    </row>
    <row r="94" spans="5:8" x14ac:dyDescent="0.3">
      <c r="E94">
        <v>73</v>
      </c>
      <c r="F94" s="27">
        <v>163212904.53906512</v>
      </c>
      <c r="G94" s="4"/>
      <c r="H94" s="4"/>
    </row>
    <row r="95" spans="5:8" x14ac:dyDescent="0.3">
      <c r="E95">
        <v>74</v>
      </c>
      <c r="F95" s="27">
        <v>202809602.33138126</v>
      </c>
      <c r="G95" s="4"/>
      <c r="H95" s="4"/>
    </row>
    <row r="96" spans="5:8" x14ac:dyDescent="0.3">
      <c r="E96">
        <v>75</v>
      </c>
      <c r="F96" s="27">
        <v>208968711.24409783</v>
      </c>
      <c r="G96" s="4"/>
      <c r="H96" s="4"/>
    </row>
    <row r="97" spans="5:8" x14ac:dyDescent="0.3">
      <c r="E97">
        <v>76</v>
      </c>
      <c r="F97" s="27">
        <v>98594260.24005717</v>
      </c>
      <c r="G97" s="4"/>
      <c r="H97" s="4"/>
    </row>
    <row r="98" spans="5:8" x14ac:dyDescent="0.3">
      <c r="E98">
        <v>77</v>
      </c>
      <c r="F98" s="27">
        <v>147347340.15311944</v>
      </c>
      <c r="G98" s="4"/>
      <c r="H98" s="4"/>
    </row>
    <row r="99" spans="5:8" x14ac:dyDescent="0.3">
      <c r="E99">
        <v>78</v>
      </c>
      <c r="F99" s="27">
        <v>244005898.73402518</v>
      </c>
      <c r="G99" s="4"/>
      <c r="H99" s="4"/>
    </row>
    <row r="100" spans="5:8" x14ac:dyDescent="0.3">
      <c r="E100">
        <v>79</v>
      </c>
      <c r="F100" s="27">
        <v>143419241.34025764</v>
      </c>
      <c r="G100" s="4"/>
      <c r="H100" s="4"/>
    </row>
    <row r="101" spans="5:8" x14ac:dyDescent="0.3">
      <c r="E101">
        <v>80</v>
      </c>
      <c r="F101" s="27">
        <v>193495540.42047074</v>
      </c>
      <c r="G101" s="4"/>
      <c r="H101" s="4"/>
    </row>
    <row r="102" spans="5:8" x14ac:dyDescent="0.3">
      <c r="E102">
        <v>81</v>
      </c>
      <c r="F102" s="27">
        <v>75501819.942080349</v>
      </c>
      <c r="G102" s="4"/>
      <c r="H102" s="4"/>
    </row>
    <row r="103" spans="5:8" x14ac:dyDescent="0.3">
      <c r="E103">
        <v>82</v>
      </c>
      <c r="F103" s="27">
        <v>196705164.14578858</v>
      </c>
      <c r="G103" s="4"/>
      <c r="H103" s="4"/>
    </row>
    <row r="104" spans="5:8" x14ac:dyDescent="0.3">
      <c r="E104">
        <v>83</v>
      </c>
      <c r="F104" s="27">
        <v>142785508.53802627</v>
      </c>
      <c r="G104" s="4"/>
      <c r="H104" s="4"/>
    </row>
    <row r="105" spans="5:8" x14ac:dyDescent="0.3">
      <c r="E105">
        <v>84</v>
      </c>
      <c r="F105" s="27">
        <v>129843262.13109161</v>
      </c>
      <c r="G105" s="4"/>
      <c r="H105" s="4"/>
    </row>
    <row r="106" spans="5:8" x14ac:dyDescent="0.3">
      <c r="E106">
        <v>85</v>
      </c>
      <c r="F106" s="27">
        <v>182468923.5214034</v>
      </c>
      <c r="G106" s="4"/>
      <c r="H106" s="4"/>
    </row>
    <row r="107" spans="5:8" x14ac:dyDescent="0.3">
      <c r="E107">
        <v>86</v>
      </c>
      <c r="F107" s="27">
        <v>139417067.46962839</v>
      </c>
      <c r="G107" s="4"/>
      <c r="H107" s="4"/>
    </row>
    <row r="108" spans="5:8" x14ac:dyDescent="0.3">
      <c r="E108">
        <v>87</v>
      </c>
      <c r="F108" s="27">
        <v>70167852.888385311</v>
      </c>
      <c r="G108" s="4"/>
      <c r="H108" s="4"/>
    </row>
    <row r="109" spans="5:8" x14ac:dyDescent="0.3">
      <c r="E109">
        <v>88</v>
      </c>
      <c r="F109" s="27">
        <v>259004148.62801945</v>
      </c>
      <c r="G109" s="4"/>
      <c r="H109" s="4"/>
    </row>
    <row r="110" spans="5:8" x14ac:dyDescent="0.3">
      <c r="E110">
        <v>89</v>
      </c>
      <c r="F110" s="27">
        <v>288103936.47958124</v>
      </c>
      <c r="G110" s="4"/>
      <c r="H110" s="4"/>
    </row>
    <row r="111" spans="5:8" x14ac:dyDescent="0.3">
      <c r="E111">
        <v>90</v>
      </c>
      <c r="F111" s="27">
        <v>163104290.75843033</v>
      </c>
      <c r="G111" s="4"/>
      <c r="H111" s="4"/>
    </row>
    <row r="112" spans="5:8" x14ac:dyDescent="0.3">
      <c r="E112">
        <v>91</v>
      </c>
      <c r="F112" s="27">
        <v>86600480.472353652</v>
      </c>
      <c r="G112" s="4"/>
      <c r="H112" s="4"/>
    </row>
    <row r="113" spans="5:8" x14ac:dyDescent="0.3">
      <c r="E113">
        <v>92</v>
      </c>
      <c r="F113" s="27">
        <v>234225145.83803424</v>
      </c>
      <c r="G113" s="4"/>
      <c r="H113" s="4"/>
    </row>
    <row r="114" spans="5:8" x14ac:dyDescent="0.3">
      <c r="E114">
        <v>93</v>
      </c>
      <c r="F114" s="27">
        <v>209712967.0934931</v>
      </c>
      <c r="G114" s="4"/>
      <c r="H114" s="4"/>
    </row>
    <row r="115" spans="5:8" x14ac:dyDescent="0.3">
      <c r="E115">
        <v>94</v>
      </c>
      <c r="F115" s="27">
        <v>289254618.04232121</v>
      </c>
      <c r="G115" s="4"/>
      <c r="H115" s="4"/>
    </row>
    <row r="116" spans="5:8" x14ac:dyDescent="0.3">
      <c r="E116">
        <v>95</v>
      </c>
      <c r="F116" s="27">
        <v>197843948.06338385</v>
      </c>
      <c r="G116" s="4"/>
      <c r="H116" s="4"/>
    </row>
    <row r="117" spans="5:8" x14ac:dyDescent="0.3">
      <c r="E117">
        <v>96</v>
      </c>
      <c r="F117" s="27">
        <v>225820829.4388541</v>
      </c>
      <c r="G117" s="4"/>
      <c r="H117" s="4"/>
    </row>
    <row r="118" spans="5:8" x14ac:dyDescent="0.3">
      <c r="E118">
        <v>97</v>
      </c>
      <c r="F118" s="27">
        <v>254150298.74374801</v>
      </c>
      <c r="G118" s="4"/>
      <c r="H118" s="4"/>
    </row>
    <row r="119" spans="5:8" x14ac:dyDescent="0.3">
      <c r="E119">
        <v>98</v>
      </c>
      <c r="F119" s="27">
        <v>148401813.00100318</v>
      </c>
      <c r="G119" s="4"/>
      <c r="H119" s="4"/>
    </row>
    <row r="120" spans="5:8" x14ac:dyDescent="0.3">
      <c r="E120">
        <v>99</v>
      </c>
      <c r="F120" s="27">
        <v>254722383.62618071</v>
      </c>
      <c r="G120" s="4"/>
      <c r="H120" s="4"/>
    </row>
    <row r="121" spans="5:8" x14ac:dyDescent="0.3">
      <c r="E121">
        <v>100</v>
      </c>
      <c r="F121" s="27">
        <v>211000152.03259251</v>
      </c>
      <c r="G121" s="4"/>
      <c r="H121" s="4"/>
    </row>
    <row r="122" spans="5:8" x14ac:dyDescent="0.3">
      <c r="E122">
        <v>101</v>
      </c>
      <c r="F122" s="27">
        <v>123126121.30943267</v>
      </c>
      <c r="G122" s="4"/>
      <c r="H122" s="4"/>
    </row>
    <row r="123" spans="5:8" x14ac:dyDescent="0.3">
      <c r="E123">
        <v>102</v>
      </c>
      <c r="F123" s="27">
        <v>254562023.1333831</v>
      </c>
      <c r="G123" s="4"/>
      <c r="H123" s="4"/>
    </row>
    <row r="124" spans="5:8" x14ac:dyDescent="0.3">
      <c r="E124">
        <v>103</v>
      </c>
      <c r="F124" s="27">
        <v>331094592.38420737</v>
      </c>
      <c r="G124" s="4"/>
      <c r="H124" s="4"/>
    </row>
    <row r="125" spans="5:8" x14ac:dyDescent="0.3">
      <c r="E125">
        <v>104</v>
      </c>
      <c r="F125" s="27">
        <v>157305643.56035203</v>
      </c>
      <c r="G125" s="4"/>
      <c r="H125" s="4"/>
    </row>
    <row r="126" spans="5:8" x14ac:dyDescent="0.3">
      <c r="E126">
        <v>105</v>
      </c>
      <c r="F126" s="27">
        <v>294935029.63308275</v>
      </c>
      <c r="G126" s="4"/>
      <c r="H126" s="4"/>
    </row>
    <row r="127" spans="5:8" x14ac:dyDescent="0.3">
      <c r="E127">
        <v>106</v>
      </c>
      <c r="F127" s="27">
        <v>184831813.57943901</v>
      </c>
      <c r="G127" s="4"/>
      <c r="H127" s="4"/>
    </row>
    <row r="128" spans="5:8" x14ac:dyDescent="0.3">
      <c r="E128">
        <v>107</v>
      </c>
      <c r="F128" s="27">
        <v>85685523.74529025</v>
      </c>
      <c r="G128" s="4"/>
      <c r="H128" s="4"/>
    </row>
    <row r="129" spans="5:8" x14ac:dyDescent="0.3">
      <c r="E129">
        <v>108</v>
      </c>
      <c r="F129" s="27">
        <v>125548613.98683575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B16" sqref="B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1" customWidth="1"/>
  </cols>
  <sheetData>
    <row r="1" spans="1:8" ht="18" customHeight="1" x14ac:dyDescent="0.3">
      <c r="B1" s="26" t="str">
        <f>Mappings!B6</f>
        <v>New-improved</v>
      </c>
      <c r="C1" s="84" t="str">
        <f>Mappings!B7</f>
        <v>Local-only</v>
      </c>
      <c r="D1" s="8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Mappings!N14</f>
        <v>1397.1848252981956</v>
      </c>
      <c r="C3" s="27">
        <f>Mappings!N15</f>
        <v>252.22716360213391</v>
      </c>
      <c r="D3" s="27">
        <f>Mappings!N16</f>
        <v>1698.6687148983697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_xlfn.NORM.INV(RAND(),Mappings!N14,Mappings!O14)</f>
        <v>2305.0417425900005</v>
      </c>
      <c r="C4" s="27">
        <f ca="1">_xlfn.NORM.INV(RAND(),Mappings!N15,Mappings!O15)</f>
        <v>339.20919221261329</v>
      </c>
      <c r="D4" s="27">
        <f ca="1">_xlfn.NORM.INV(RAND(),Mappings!N16,Mappings!O16)</f>
        <v>1824.2085145567903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Mappings!F14*Mappings!I14</f>
        <v>1.2649886167658571</v>
      </c>
      <c r="C5" s="27">
        <f>Mappings!F15*Mappings!I15</f>
        <v>5.257965403218682</v>
      </c>
      <c r="D5" s="27">
        <f>Mappings!F16*Mappings!I16</f>
        <v>1.5938161859466096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1.2649886167658571</v>
      </c>
      <c r="C6" s="27">
        <f ca="1">_xlfn.NORM.INV(RAND(),C5,C5*Mappings!E7)*0+C5</f>
        <v>5.257965403218682</v>
      </c>
      <c r="D6" s="27">
        <f ca="1">_xlfn.NORM.INV(RAND(),D5,D5*Mappings!E8)*0+D5</f>
        <v>1.5938161859466096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Mappings!V14</f>
        <v>2984.856285531735</v>
      </c>
      <c r="C7" s="27">
        <f>Mappings!V15</f>
        <v>3214.6195718289332</v>
      </c>
      <c r="D7" s="27">
        <f>Mappings!V16</f>
        <v>9823.944008967781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2984.856285531735</v>
      </c>
      <c r="C8" s="27">
        <f ca="1">_xlfn.NORM.INV(RAND(), C7, C7* 25/100)*0+C7</f>
        <v>3214.6195718289332</v>
      </c>
      <c r="D8" s="27">
        <f ca="1">_xlfn.NORM.INV(RAND(),D7,D7*25/100)*0+D7</f>
        <v>9823.944008967781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Mappings!Q14</f>
        <v>209.51147520927157</v>
      </c>
      <c r="C9" s="27">
        <f>Mappings!Q15</f>
        <v>-18.555952445790943</v>
      </c>
      <c r="D9" s="27">
        <f>Mappings!Q16</f>
        <v>179.19396832235341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187.78518426660168</v>
      </c>
      <c r="C10" s="27">
        <f ca="1">IF(C9&gt;0,_xlfn.NORM.INV(RAND(),C9,C9*Dairy_Income_Roadmap!L37),_xlfn.NORM.INV(RAND(),ABS(C9),ABS(C9)*Dairy_Income_Roadmap!L37))</f>
        <v>3.2702020057019201</v>
      </c>
      <c r="D10" s="27">
        <f ca="1">IF(D9&gt;0,_xlfn.NORM.INV(RAND(),D9,D9*Dairy_Income_Roadmap!L39),_xlfn.NORM.INV(RAND(),ABS(D9),ABS(D9)*Dairy_Income_Roadmap!L39))</f>
        <v>160.16916670922336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Mappings!D14</f>
        <v>826.83130841519005</v>
      </c>
      <c r="C11" s="27">
        <f>Mappings!D15</f>
        <v>26734.212305424477</v>
      </c>
      <c r="D11" s="27">
        <f>Mappings!D16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Mappings!Z14*Mappings!D14</f>
        <v>23.441469876357701</v>
      </c>
      <c r="C12" s="27">
        <f>Mappings!Z15*Mappings!D15</f>
        <v>757.94085933556562</v>
      </c>
      <c r="D12" s="27">
        <f>Mappings!Z16*Mappings!D16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2915.8515655464853</v>
      </c>
      <c r="C14" s="27">
        <f ca="1">C4*C6</f>
        <v>1783.5501971076767</v>
      </c>
      <c r="D14" s="27">
        <f ca="1">D4*D6</f>
        <v>2907.4530570422339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187.78518426660185</v>
      </c>
      <c r="C15" s="27">
        <f t="shared" ref="C15:D15" ca="1" si="0">C8-IF(C9&gt;0,C8-C10,C8+C10)</f>
        <v>-3.2702020057017762</v>
      </c>
      <c r="D15" s="27">
        <f t="shared" ca="1" si="0"/>
        <v>160.16916670922365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844.82670985642926</v>
      </c>
      <c r="C16" s="27">
        <f ca="1">_xlfn.NORM.INV(RAND(),C11,C12)</f>
        <v>26710.495882132807</v>
      </c>
      <c r="D16" s="27">
        <f t="shared" ref="D16" ca="1" si="1">_xlfn.NORM.INV(RAND(),D11,D12)</f>
        <v>42374.308587459745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2622035.2239340921</v>
      </c>
      <c r="C18" s="37">
        <f ca="1">(C14+C15)*C16</f>
        <v>47552161.478214718</v>
      </c>
      <c r="D18" s="37">
        <f ca="1">(D14+D15)*D16</f>
        <v>129988370.73899375</v>
      </c>
      <c r="E18" s="27"/>
      <c r="F18" s="27">
        <f ca="1">B18+C18+D18</f>
        <v>180162567.44114256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29212636.423761614</v>
      </c>
      <c r="H19" s="97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162901871.72547659</v>
      </c>
      <c r="G20" s="4"/>
      <c r="H20" s="97"/>
      <c r="I20" s="4">
        <f ca="1">100*F19/F20</f>
        <v>17.932658547343742</v>
      </c>
    </row>
    <row r="21" spans="1:9" x14ac:dyDescent="0.3">
      <c r="B21" s="27"/>
      <c r="C21" s="27"/>
      <c r="D21" s="27"/>
      <c r="E21" s="27"/>
      <c r="F21" s="27"/>
      <c r="G21" s="4"/>
      <c r="H21" s="4"/>
    </row>
    <row r="22" spans="1:9" x14ac:dyDescent="0.3">
      <c r="B22" s="27"/>
      <c r="C22" s="27"/>
      <c r="D22" s="41"/>
      <c r="E22" s="41">
        <v>1</v>
      </c>
      <c r="F22" s="27">
        <f ca="1">F18</f>
        <v>180162567.44114256</v>
      </c>
      <c r="G22" s="4"/>
      <c r="H22" s="4"/>
    </row>
    <row r="23" spans="1:9" x14ac:dyDescent="0.3">
      <c r="B23" s="27"/>
      <c r="C23" s="27"/>
      <c r="D23" s="41"/>
      <c r="E23" s="41">
        <v>2</v>
      </c>
      <c r="F23" s="27">
        <f t="dataTable" ref="F23:F129" dt2D="0" dtr="0" r1="F21" ca="1"/>
        <v>166539018.25718355</v>
      </c>
      <c r="G23" s="4"/>
      <c r="H23" s="4"/>
    </row>
    <row r="24" spans="1:9" x14ac:dyDescent="0.3">
      <c r="B24" s="27"/>
      <c r="C24" s="27"/>
      <c r="D24" s="41"/>
      <c r="E24" s="41">
        <v>3</v>
      </c>
      <c r="F24" s="27">
        <v>114883582.28128511</v>
      </c>
      <c r="G24" s="4"/>
      <c r="H24" s="4"/>
    </row>
    <row r="25" spans="1:9" x14ac:dyDescent="0.3">
      <c r="B25" s="27"/>
      <c r="C25" s="27"/>
      <c r="D25" s="41"/>
      <c r="E25" s="41">
        <v>4</v>
      </c>
      <c r="F25" s="27">
        <v>199664081.44489259</v>
      </c>
      <c r="G25" s="4"/>
      <c r="H25" s="4"/>
    </row>
    <row r="26" spans="1:9" x14ac:dyDescent="0.3">
      <c r="B26" s="27"/>
      <c r="C26" s="27"/>
      <c r="D26" s="41"/>
      <c r="E26" s="41">
        <v>5</v>
      </c>
      <c r="F26" s="27">
        <v>179994040.72415653</v>
      </c>
      <c r="G26" s="4"/>
      <c r="H26" s="4"/>
    </row>
    <row r="27" spans="1:9" x14ac:dyDescent="0.3">
      <c r="B27" s="27"/>
      <c r="C27" s="27"/>
      <c r="D27" s="41"/>
      <c r="E27" s="41">
        <v>6</v>
      </c>
      <c r="F27" s="27">
        <v>144246911.28574067</v>
      </c>
      <c r="G27" s="4"/>
      <c r="H27" s="4"/>
    </row>
    <row r="28" spans="1:9" x14ac:dyDescent="0.3">
      <c r="B28" s="27"/>
      <c r="C28" s="27"/>
      <c r="D28" s="41"/>
      <c r="E28" s="41">
        <v>7</v>
      </c>
      <c r="F28" s="27">
        <v>174825133.6271168</v>
      </c>
      <c r="G28" s="4"/>
      <c r="H28" s="4"/>
    </row>
    <row r="29" spans="1:9" x14ac:dyDescent="0.3">
      <c r="B29" s="27"/>
      <c r="C29" s="27"/>
      <c r="D29" s="41"/>
      <c r="E29" s="41">
        <v>8</v>
      </c>
      <c r="F29" s="27">
        <v>123116794.93523005</v>
      </c>
      <c r="G29" s="4"/>
      <c r="H29" s="4"/>
    </row>
    <row r="30" spans="1:9" x14ac:dyDescent="0.3">
      <c r="B30" s="27"/>
      <c r="C30" s="27"/>
      <c r="D30" s="41"/>
      <c r="E30" s="41">
        <v>9</v>
      </c>
      <c r="F30" s="27">
        <v>97886576.598603308</v>
      </c>
      <c r="G30" s="4"/>
      <c r="H30" s="4"/>
    </row>
    <row r="31" spans="1:9" x14ac:dyDescent="0.3">
      <c r="B31" s="27"/>
      <c r="C31" s="27"/>
      <c r="D31" s="41"/>
      <c r="E31" s="41">
        <v>10</v>
      </c>
      <c r="F31" s="27">
        <v>114687024.60890269</v>
      </c>
      <c r="G31" s="4"/>
      <c r="H31" s="4"/>
    </row>
    <row r="32" spans="1:9" x14ac:dyDescent="0.3">
      <c r="B32" s="27"/>
      <c r="C32" s="27"/>
      <c r="D32" s="41"/>
      <c r="E32" s="41">
        <v>11</v>
      </c>
      <c r="F32" s="27">
        <v>182181477.39092094</v>
      </c>
      <c r="G32" s="4"/>
      <c r="H32" s="4"/>
    </row>
    <row r="33" spans="2:8" x14ac:dyDescent="0.3">
      <c r="B33" s="27"/>
      <c r="C33" s="27"/>
      <c r="D33" s="41"/>
      <c r="E33" s="41">
        <v>12</v>
      </c>
      <c r="F33" s="27">
        <v>191662671.88637102</v>
      </c>
      <c r="G33" s="4"/>
      <c r="H33" s="4"/>
    </row>
    <row r="34" spans="2:8" x14ac:dyDescent="0.3">
      <c r="B34" s="27"/>
      <c r="C34" s="27"/>
      <c r="D34" s="41"/>
      <c r="E34" s="41">
        <v>13</v>
      </c>
      <c r="F34" s="27">
        <v>169986622.75387394</v>
      </c>
      <c r="G34" s="4"/>
      <c r="H34" s="4"/>
    </row>
    <row r="35" spans="2:8" x14ac:dyDescent="0.3">
      <c r="B35" s="27"/>
      <c r="C35" s="27"/>
      <c r="D35" s="41"/>
      <c r="E35" s="41">
        <v>14</v>
      </c>
      <c r="F35" s="27">
        <v>205563867.92944956</v>
      </c>
      <c r="G35" s="4"/>
      <c r="H35" s="4"/>
    </row>
    <row r="36" spans="2:8" x14ac:dyDescent="0.3">
      <c r="B36" s="27"/>
      <c r="C36" s="27"/>
      <c r="D36" s="41"/>
      <c r="E36" s="41">
        <v>15</v>
      </c>
      <c r="F36" s="27">
        <v>141200734.2068775</v>
      </c>
      <c r="G36" s="4"/>
      <c r="H36" s="4"/>
    </row>
    <row r="37" spans="2:8" x14ac:dyDescent="0.3">
      <c r="B37" s="27"/>
      <c r="C37" s="27"/>
      <c r="D37" s="41"/>
      <c r="E37" s="41">
        <v>16</v>
      </c>
      <c r="F37" s="27">
        <v>130924740.29939201</v>
      </c>
      <c r="G37" s="4"/>
      <c r="H37" s="4"/>
    </row>
    <row r="38" spans="2:8" x14ac:dyDescent="0.3">
      <c r="B38" s="27"/>
      <c r="C38" s="27"/>
      <c r="D38" s="41"/>
      <c r="E38" s="41">
        <v>17</v>
      </c>
      <c r="F38" s="27">
        <v>184023930.21477714</v>
      </c>
      <c r="G38" s="4"/>
      <c r="H38" s="4"/>
    </row>
    <row r="39" spans="2:8" x14ac:dyDescent="0.3">
      <c r="B39" s="27"/>
      <c r="C39" s="27"/>
      <c r="D39" s="41"/>
      <c r="E39" s="41">
        <v>18</v>
      </c>
      <c r="F39" s="27">
        <v>209506774.96077672</v>
      </c>
      <c r="G39" s="4"/>
      <c r="H39" s="4"/>
    </row>
    <row r="40" spans="2:8" x14ac:dyDescent="0.3">
      <c r="B40" s="27"/>
      <c r="C40" s="27"/>
      <c r="D40" s="41"/>
      <c r="E40" s="41">
        <v>19</v>
      </c>
      <c r="F40" s="27">
        <v>141080731.21820256</v>
      </c>
      <c r="G40" s="4"/>
      <c r="H40" s="4"/>
    </row>
    <row r="41" spans="2:8" x14ac:dyDescent="0.3">
      <c r="B41" s="27"/>
      <c r="C41" s="27"/>
      <c r="D41" s="41"/>
      <c r="E41" s="41">
        <v>20</v>
      </c>
      <c r="F41" s="27">
        <v>177553045.92836124</v>
      </c>
      <c r="G41" s="4"/>
      <c r="H41" s="4"/>
    </row>
    <row r="42" spans="2:8" x14ac:dyDescent="0.3">
      <c r="B42" s="27"/>
      <c r="C42" s="27"/>
      <c r="D42" s="41"/>
      <c r="E42" s="41">
        <v>21</v>
      </c>
      <c r="F42" s="27">
        <v>166087349.25489044</v>
      </c>
      <c r="G42" s="4"/>
      <c r="H42" s="4"/>
    </row>
    <row r="43" spans="2:8" x14ac:dyDescent="0.3">
      <c r="B43" s="27"/>
      <c r="C43" s="27"/>
      <c r="D43" s="41"/>
      <c r="E43" s="41">
        <v>22</v>
      </c>
      <c r="F43" s="27">
        <v>182031901.57896587</v>
      </c>
      <c r="G43" s="4"/>
      <c r="H43" s="4"/>
    </row>
    <row r="44" spans="2:8" x14ac:dyDescent="0.3">
      <c r="B44" s="27"/>
      <c r="C44" s="27"/>
      <c r="D44" s="41"/>
      <c r="E44" s="41">
        <v>23</v>
      </c>
      <c r="F44" s="27">
        <v>137019598.53806317</v>
      </c>
      <c r="G44" s="4"/>
      <c r="H44" s="4"/>
    </row>
    <row r="45" spans="2:8" x14ac:dyDescent="0.3">
      <c r="B45" s="27"/>
      <c r="C45" s="27"/>
      <c r="D45" s="41"/>
      <c r="E45" s="41">
        <v>24</v>
      </c>
      <c r="F45" s="27">
        <v>138564960.1804775</v>
      </c>
      <c r="G45" s="4"/>
      <c r="H45" s="4"/>
    </row>
    <row r="46" spans="2:8" x14ac:dyDescent="0.3">
      <c r="B46" s="27"/>
      <c r="C46" s="27"/>
      <c r="D46" s="41"/>
      <c r="E46" s="41">
        <v>25</v>
      </c>
      <c r="F46" s="27">
        <v>161046408.51132384</v>
      </c>
      <c r="G46" s="4"/>
      <c r="H46" s="4"/>
    </row>
    <row r="47" spans="2:8" x14ac:dyDescent="0.3">
      <c r="B47" s="27"/>
      <c r="C47" s="27"/>
      <c r="D47" s="41"/>
      <c r="E47" s="41">
        <v>26</v>
      </c>
      <c r="F47" s="27">
        <v>175302927.68818313</v>
      </c>
      <c r="G47" s="4"/>
      <c r="H47" s="4"/>
    </row>
    <row r="48" spans="2:8" x14ac:dyDescent="0.3">
      <c r="B48" s="27"/>
      <c r="C48" s="27"/>
      <c r="D48" s="41"/>
      <c r="E48" s="41">
        <v>27</v>
      </c>
      <c r="F48" s="27">
        <v>125538251.69038671</v>
      </c>
      <c r="G48" s="4"/>
      <c r="H48" s="4"/>
    </row>
    <row r="49" spans="2:8" x14ac:dyDescent="0.3">
      <c r="B49" s="27"/>
      <c r="C49" s="27"/>
      <c r="D49" s="41"/>
      <c r="E49" s="41">
        <v>28</v>
      </c>
      <c r="F49" s="27">
        <v>130441534.12470217</v>
      </c>
      <c r="G49" s="4"/>
      <c r="H49" s="4"/>
    </row>
    <row r="50" spans="2:8" x14ac:dyDescent="0.3">
      <c r="B50" s="27"/>
      <c r="C50" s="27"/>
      <c r="D50" s="41"/>
      <c r="E50" s="41">
        <v>29</v>
      </c>
      <c r="F50" s="27">
        <v>219320867.82291746</v>
      </c>
      <c r="G50" s="4"/>
      <c r="H50" s="4"/>
    </row>
    <row r="51" spans="2:8" x14ac:dyDescent="0.3">
      <c r="B51" s="27"/>
      <c r="C51" s="27"/>
      <c r="D51" s="41"/>
      <c r="E51" s="41">
        <v>30</v>
      </c>
      <c r="F51" s="27">
        <v>131385829.27586755</v>
      </c>
      <c r="G51" s="4"/>
      <c r="H51" s="4"/>
    </row>
    <row r="52" spans="2:8" x14ac:dyDescent="0.3">
      <c r="B52" s="27"/>
      <c r="C52" s="27"/>
      <c r="D52" s="41"/>
      <c r="E52" s="41">
        <v>31</v>
      </c>
      <c r="F52" s="27">
        <v>180708886.07627833</v>
      </c>
      <c r="G52" s="4"/>
      <c r="H52" s="4"/>
    </row>
    <row r="53" spans="2:8" x14ac:dyDescent="0.3">
      <c r="B53" s="27"/>
      <c r="C53" s="27"/>
      <c r="D53" s="41"/>
      <c r="E53" s="41">
        <v>32</v>
      </c>
      <c r="F53" s="27">
        <v>191908707.1624569</v>
      </c>
      <c r="G53" s="4"/>
      <c r="H53" s="4"/>
    </row>
    <row r="54" spans="2:8" x14ac:dyDescent="0.3">
      <c r="B54" s="27"/>
      <c r="C54" s="27"/>
      <c r="D54" s="41"/>
      <c r="E54" s="41">
        <v>33</v>
      </c>
      <c r="F54" s="27">
        <v>193125168.49092597</v>
      </c>
      <c r="G54" s="4"/>
      <c r="H54" s="4"/>
    </row>
    <row r="55" spans="2:8" x14ac:dyDescent="0.3">
      <c r="B55" s="27"/>
      <c r="C55" s="27"/>
      <c r="D55" s="41"/>
      <c r="E55" s="41">
        <v>34</v>
      </c>
      <c r="F55" s="27">
        <v>155924819.99423191</v>
      </c>
      <c r="G55" s="4"/>
      <c r="H55" s="4"/>
    </row>
    <row r="56" spans="2:8" x14ac:dyDescent="0.3">
      <c r="B56" s="27"/>
      <c r="C56" s="27"/>
      <c r="D56" s="41"/>
      <c r="E56" s="41">
        <v>35</v>
      </c>
      <c r="F56" s="27">
        <v>146407151.7350834</v>
      </c>
      <c r="G56" s="4"/>
      <c r="H56" s="4"/>
    </row>
    <row r="57" spans="2:8" x14ac:dyDescent="0.3">
      <c r="B57" s="27"/>
      <c r="C57" s="27"/>
      <c r="D57" s="41"/>
      <c r="E57" s="41">
        <v>36</v>
      </c>
      <c r="F57" s="27">
        <v>144188407.79721779</v>
      </c>
      <c r="G57" s="4"/>
      <c r="H57" s="4"/>
    </row>
    <row r="58" spans="2:8" x14ac:dyDescent="0.3">
      <c r="B58" s="27"/>
      <c r="C58" s="27"/>
      <c r="D58" s="41"/>
      <c r="E58" s="41">
        <v>37</v>
      </c>
      <c r="F58" s="27">
        <v>151589857.54122999</v>
      </c>
      <c r="G58" s="4"/>
      <c r="H58" s="4"/>
    </row>
    <row r="59" spans="2:8" x14ac:dyDescent="0.3">
      <c r="B59" s="27"/>
      <c r="C59" s="27"/>
      <c r="D59" s="41"/>
      <c r="E59" s="41">
        <v>38</v>
      </c>
      <c r="F59" s="27">
        <v>186568249.72336984</v>
      </c>
      <c r="G59" s="4"/>
      <c r="H59" s="4"/>
    </row>
    <row r="60" spans="2:8" x14ac:dyDescent="0.3">
      <c r="B60" s="27"/>
      <c r="C60" s="27"/>
      <c r="D60" s="41"/>
      <c r="E60" s="41">
        <v>39</v>
      </c>
      <c r="F60" s="27">
        <v>161255799.09579074</v>
      </c>
      <c r="G60" s="4"/>
      <c r="H60" s="4"/>
    </row>
    <row r="61" spans="2:8" x14ac:dyDescent="0.3">
      <c r="B61" s="27"/>
      <c r="C61" s="27"/>
      <c r="D61" s="41"/>
      <c r="E61" s="41">
        <v>40</v>
      </c>
      <c r="F61" s="27">
        <v>222637583.08442488</v>
      </c>
      <c r="G61" s="4"/>
      <c r="H61" s="4"/>
    </row>
    <row r="62" spans="2:8" x14ac:dyDescent="0.3">
      <c r="B62" s="27"/>
      <c r="C62" s="27"/>
      <c r="D62" s="41"/>
      <c r="E62" s="41">
        <v>41</v>
      </c>
      <c r="F62" s="27">
        <v>150050964.42993742</v>
      </c>
      <c r="G62" s="4"/>
      <c r="H62" s="4"/>
    </row>
    <row r="63" spans="2:8" x14ac:dyDescent="0.3">
      <c r="B63" s="27"/>
      <c r="C63" s="27"/>
      <c r="D63" s="41"/>
      <c r="E63" s="41">
        <v>42</v>
      </c>
      <c r="F63" s="27">
        <v>152976055.85997555</v>
      </c>
      <c r="G63" s="4"/>
      <c r="H63" s="4"/>
    </row>
    <row r="64" spans="2:8" x14ac:dyDescent="0.3">
      <c r="B64" s="27"/>
      <c r="C64" s="27"/>
      <c r="D64" s="41"/>
      <c r="E64" s="41">
        <v>43</v>
      </c>
      <c r="F64" s="27">
        <v>144521367.1072793</v>
      </c>
      <c r="G64" s="4"/>
      <c r="H64" s="4"/>
    </row>
    <row r="65" spans="2:8" x14ac:dyDescent="0.3">
      <c r="B65" s="27"/>
      <c r="C65" s="27"/>
      <c r="D65" s="41"/>
      <c r="E65" s="41">
        <v>44</v>
      </c>
      <c r="F65" s="27">
        <v>143056918.36914998</v>
      </c>
      <c r="G65" s="4"/>
      <c r="H65" s="4"/>
    </row>
    <row r="66" spans="2:8" x14ac:dyDescent="0.3">
      <c r="B66" s="27"/>
      <c r="C66" s="27"/>
      <c r="D66" s="41"/>
      <c r="E66" s="41">
        <v>45</v>
      </c>
      <c r="F66" s="27">
        <v>206887825.05779135</v>
      </c>
      <c r="G66" s="4"/>
      <c r="H66" s="4"/>
    </row>
    <row r="67" spans="2:8" x14ac:dyDescent="0.3">
      <c r="B67" s="27"/>
      <c r="C67" s="27"/>
      <c r="D67" s="41"/>
      <c r="E67" s="41">
        <v>46</v>
      </c>
      <c r="F67" s="27">
        <v>197954194.49782866</v>
      </c>
      <c r="G67" s="4"/>
      <c r="H67" s="4"/>
    </row>
    <row r="68" spans="2:8" x14ac:dyDescent="0.3">
      <c r="B68" s="27"/>
      <c r="C68" s="27"/>
      <c r="D68" s="41"/>
      <c r="E68" s="41">
        <v>47</v>
      </c>
      <c r="F68" s="27">
        <v>172696057.89201918</v>
      </c>
      <c r="G68" s="4"/>
      <c r="H68" s="4"/>
    </row>
    <row r="69" spans="2:8" x14ac:dyDescent="0.3">
      <c r="B69" s="27"/>
      <c r="C69" s="27"/>
      <c r="D69" s="41"/>
      <c r="E69" s="41">
        <v>48</v>
      </c>
      <c r="F69" s="27">
        <v>161569953.60731208</v>
      </c>
      <c r="G69" s="4"/>
      <c r="H69" s="4"/>
    </row>
    <row r="70" spans="2:8" x14ac:dyDescent="0.3">
      <c r="B70" s="27"/>
      <c r="C70" s="27"/>
      <c r="D70" s="41"/>
      <c r="E70" s="41">
        <v>49</v>
      </c>
      <c r="F70" s="27">
        <v>178543745.48696226</v>
      </c>
      <c r="G70" s="4"/>
      <c r="H70" s="4"/>
    </row>
    <row r="71" spans="2:8" x14ac:dyDescent="0.3">
      <c r="B71" s="27"/>
      <c r="C71" s="27"/>
      <c r="D71" s="41"/>
      <c r="E71" s="41">
        <v>50</v>
      </c>
      <c r="F71" s="27">
        <v>131153228.77412955</v>
      </c>
      <c r="G71" s="4"/>
      <c r="H71" s="4"/>
    </row>
    <row r="72" spans="2:8" x14ac:dyDescent="0.3">
      <c r="B72" s="27"/>
      <c r="C72" s="27"/>
      <c r="D72" s="41"/>
      <c r="E72" s="41">
        <v>51</v>
      </c>
      <c r="F72" s="27">
        <v>154587538.39528561</v>
      </c>
      <c r="G72" s="4"/>
      <c r="H72" s="4"/>
    </row>
    <row r="73" spans="2:8" x14ac:dyDescent="0.3">
      <c r="B73" s="27"/>
      <c r="C73" s="27"/>
      <c r="D73" s="41"/>
      <c r="E73" s="41">
        <v>52</v>
      </c>
      <c r="F73" s="27">
        <v>156701967.3118608</v>
      </c>
      <c r="G73" s="4"/>
      <c r="H73" s="4"/>
    </row>
    <row r="74" spans="2:8" x14ac:dyDescent="0.3">
      <c r="B74" s="27"/>
      <c r="C74" s="27"/>
      <c r="D74" s="41"/>
      <c r="E74" s="41">
        <v>53</v>
      </c>
      <c r="F74" s="27">
        <v>151231381.06119454</v>
      </c>
      <c r="G74" s="4"/>
      <c r="H74" s="4"/>
    </row>
    <row r="75" spans="2:8" x14ac:dyDescent="0.3">
      <c r="B75" s="27"/>
      <c r="C75" s="27"/>
      <c r="D75" s="41"/>
      <c r="E75" s="41">
        <v>54</v>
      </c>
      <c r="F75" s="27">
        <v>197724646.22577295</v>
      </c>
      <c r="G75" s="4"/>
      <c r="H75" s="4"/>
    </row>
    <row r="76" spans="2:8" x14ac:dyDescent="0.3">
      <c r="B76" s="27"/>
      <c r="C76" s="27"/>
      <c r="D76" s="41"/>
      <c r="E76" s="41">
        <v>55</v>
      </c>
      <c r="F76" s="27">
        <v>178106758.78339422</v>
      </c>
      <c r="G76" s="4"/>
      <c r="H76" s="4"/>
    </row>
    <row r="77" spans="2:8" x14ac:dyDescent="0.3">
      <c r="B77" s="27"/>
      <c r="C77" s="27"/>
      <c r="D77" s="41"/>
      <c r="E77" s="41">
        <v>56</v>
      </c>
      <c r="F77" s="27">
        <v>140940854.07926843</v>
      </c>
      <c r="G77" s="4"/>
      <c r="H77" s="4"/>
    </row>
    <row r="78" spans="2:8" x14ac:dyDescent="0.3">
      <c r="B78" s="27"/>
      <c r="C78" s="27"/>
      <c r="D78" s="41"/>
      <c r="E78" s="41">
        <v>57</v>
      </c>
      <c r="F78" s="27">
        <v>139036837.62609005</v>
      </c>
      <c r="G78" s="4"/>
      <c r="H78" s="4"/>
    </row>
    <row r="79" spans="2:8" x14ac:dyDescent="0.3">
      <c r="B79" s="27"/>
      <c r="C79" s="27"/>
      <c r="D79" s="41"/>
      <c r="E79" s="41">
        <v>58</v>
      </c>
      <c r="F79" s="27">
        <v>168026489.43025374</v>
      </c>
      <c r="G79" s="4"/>
      <c r="H79" s="4"/>
    </row>
    <row r="80" spans="2:8" x14ac:dyDescent="0.3">
      <c r="B80" s="27"/>
      <c r="C80" s="27"/>
      <c r="D80" s="41"/>
      <c r="E80" s="41">
        <v>59</v>
      </c>
      <c r="F80" s="27">
        <v>170546048.33919826</v>
      </c>
      <c r="G80" s="4"/>
      <c r="H80" s="4"/>
    </row>
    <row r="81" spans="2:8" x14ac:dyDescent="0.3">
      <c r="B81" s="27"/>
      <c r="C81" s="27"/>
      <c r="D81" s="41"/>
      <c r="E81" s="41">
        <v>60</v>
      </c>
      <c r="F81" s="27">
        <v>133254228.99152553</v>
      </c>
      <c r="G81" s="4"/>
      <c r="H81" s="4"/>
    </row>
    <row r="82" spans="2:8" x14ac:dyDescent="0.3">
      <c r="B82" s="27"/>
      <c r="C82" s="27"/>
      <c r="D82" s="41"/>
      <c r="E82" s="41">
        <v>61</v>
      </c>
      <c r="F82" s="27">
        <v>124752295.64638245</v>
      </c>
      <c r="G82" s="4"/>
      <c r="H82" s="4"/>
    </row>
    <row r="83" spans="2:8" x14ac:dyDescent="0.3">
      <c r="B83" s="27"/>
      <c r="C83" s="27"/>
      <c r="D83" s="41"/>
      <c r="E83" s="41">
        <v>62</v>
      </c>
      <c r="F83" s="27">
        <v>143505590.07706714</v>
      </c>
      <c r="G83" s="4"/>
      <c r="H83" s="4"/>
    </row>
    <row r="84" spans="2:8" x14ac:dyDescent="0.3">
      <c r="B84" s="27"/>
      <c r="C84" s="27"/>
      <c r="D84" s="41"/>
      <c r="E84" s="41">
        <v>63</v>
      </c>
      <c r="F84" s="27">
        <v>206036222.75162336</v>
      </c>
      <c r="G84" s="4"/>
      <c r="H84" s="4"/>
    </row>
    <row r="85" spans="2:8" x14ac:dyDescent="0.3">
      <c r="B85" s="27"/>
      <c r="C85" s="27"/>
      <c r="D85" s="41"/>
      <c r="E85" s="41">
        <v>64</v>
      </c>
      <c r="F85" s="27">
        <v>149522002.99480724</v>
      </c>
      <c r="G85" s="4"/>
      <c r="H85" s="4"/>
    </row>
    <row r="86" spans="2:8" x14ac:dyDescent="0.3">
      <c r="B86" s="27"/>
      <c r="C86" s="27"/>
      <c r="D86" s="41"/>
      <c r="E86" s="41">
        <v>65</v>
      </c>
      <c r="F86" s="27">
        <v>230779385.12777147</v>
      </c>
      <c r="G86" s="4"/>
      <c r="H86" s="4"/>
    </row>
    <row r="87" spans="2:8" x14ac:dyDescent="0.3">
      <c r="B87" s="27"/>
      <c r="C87" s="27"/>
      <c r="D87" s="41"/>
      <c r="E87" s="41">
        <v>66</v>
      </c>
      <c r="F87" s="27">
        <v>112620633.4971593</v>
      </c>
      <c r="G87" s="4"/>
      <c r="H87" s="4"/>
    </row>
    <row r="88" spans="2:8" x14ac:dyDescent="0.3">
      <c r="B88" s="27"/>
      <c r="C88" s="27"/>
      <c r="D88" s="41"/>
      <c r="E88" s="41">
        <v>67</v>
      </c>
      <c r="F88" s="27">
        <v>132558049.74387795</v>
      </c>
      <c r="G88" s="4"/>
      <c r="H88" s="4"/>
    </row>
    <row r="89" spans="2:8" x14ac:dyDescent="0.3">
      <c r="B89" s="27"/>
      <c r="C89" s="27"/>
      <c r="D89" s="41"/>
      <c r="E89" s="41">
        <v>68</v>
      </c>
      <c r="F89" s="27">
        <v>203989460.01696572</v>
      </c>
      <c r="G89" s="4"/>
      <c r="H89" s="4"/>
    </row>
    <row r="90" spans="2:8" x14ac:dyDescent="0.3">
      <c r="B90" s="27"/>
      <c r="C90" s="27"/>
      <c r="D90" s="41"/>
      <c r="E90" s="41">
        <v>69</v>
      </c>
      <c r="F90" s="27">
        <v>168199783.62058407</v>
      </c>
      <c r="G90" s="4"/>
      <c r="H90" s="4"/>
    </row>
    <row r="91" spans="2:8" x14ac:dyDescent="0.3">
      <c r="B91" s="27"/>
      <c r="C91" s="27"/>
      <c r="D91" s="41"/>
      <c r="E91" s="41">
        <v>70</v>
      </c>
      <c r="F91" s="27">
        <v>158413339.82552722</v>
      </c>
      <c r="G91" s="4"/>
      <c r="H91" s="4"/>
    </row>
    <row r="92" spans="2:8" x14ac:dyDescent="0.3">
      <c r="B92" s="27"/>
      <c r="C92" s="27"/>
      <c r="D92" s="41"/>
      <c r="E92" s="41">
        <v>71</v>
      </c>
      <c r="F92" s="27">
        <v>151898650.82610297</v>
      </c>
      <c r="G92" s="4"/>
      <c r="H92" s="4"/>
    </row>
    <row r="93" spans="2:8" x14ac:dyDescent="0.3">
      <c r="B93" s="27"/>
      <c r="C93" s="27"/>
      <c r="D93" s="41"/>
      <c r="E93" s="41">
        <v>72</v>
      </c>
      <c r="F93" s="27">
        <v>231087409.27614835</v>
      </c>
      <c r="G93" s="4"/>
      <c r="H93" s="4"/>
    </row>
    <row r="94" spans="2:8" x14ac:dyDescent="0.3">
      <c r="B94" s="27"/>
      <c r="C94" s="27"/>
      <c r="D94" s="41"/>
      <c r="E94" s="41">
        <v>73</v>
      </c>
      <c r="F94" s="27">
        <v>150131628.5781123</v>
      </c>
      <c r="G94" s="4"/>
      <c r="H94" s="4"/>
    </row>
    <row r="95" spans="2:8" x14ac:dyDescent="0.3">
      <c r="B95" s="27"/>
      <c r="C95" s="27"/>
      <c r="D95" s="41"/>
      <c r="E95" s="41">
        <v>74</v>
      </c>
      <c r="F95" s="27">
        <v>190814217.55919379</v>
      </c>
      <c r="G95" s="4"/>
      <c r="H95" s="4"/>
    </row>
    <row r="96" spans="2:8" x14ac:dyDescent="0.3">
      <c r="B96" s="27"/>
      <c r="C96" s="27"/>
      <c r="D96" s="41"/>
      <c r="E96" s="41">
        <v>75</v>
      </c>
      <c r="F96" s="27">
        <v>147606514.69578835</v>
      </c>
      <c r="G96" s="4"/>
      <c r="H96" s="4"/>
    </row>
    <row r="97" spans="2:8" x14ac:dyDescent="0.3">
      <c r="B97" s="27"/>
      <c r="C97" s="27"/>
      <c r="D97" s="41"/>
      <c r="E97" s="41">
        <v>76</v>
      </c>
      <c r="F97" s="27">
        <v>168614131.78517258</v>
      </c>
      <c r="G97" s="4"/>
      <c r="H97" s="4"/>
    </row>
    <row r="98" spans="2:8" x14ac:dyDescent="0.3">
      <c r="B98" s="27"/>
      <c r="C98" s="27"/>
      <c r="D98" s="41"/>
      <c r="E98" s="41">
        <v>77</v>
      </c>
      <c r="F98" s="27">
        <v>179315486.56216809</v>
      </c>
      <c r="G98" s="4"/>
      <c r="H98" s="4"/>
    </row>
    <row r="99" spans="2:8" x14ac:dyDescent="0.3">
      <c r="B99" s="27"/>
      <c r="C99" s="27"/>
      <c r="D99" s="41"/>
      <c r="E99" s="41">
        <v>78</v>
      </c>
      <c r="F99" s="27">
        <v>158807511.43102634</v>
      </c>
      <c r="G99" s="4"/>
      <c r="H99" s="4"/>
    </row>
    <row r="100" spans="2:8" x14ac:dyDescent="0.3">
      <c r="B100" s="27"/>
      <c r="C100" s="27"/>
      <c r="D100" s="41"/>
      <c r="E100" s="41">
        <v>79</v>
      </c>
      <c r="F100" s="27">
        <v>176642378.61613357</v>
      </c>
      <c r="G100" s="4"/>
      <c r="H100" s="4"/>
    </row>
    <row r="101" spans="2:8" x14ac:dyDescent="0.3">
      <c r="B101" s="27"/>
      <c r="C101" s="27"/>
      <c r="D101" s="41"/>
      <c r="E101" s="41">
        <v>80</v>
      </c>
      <c r="F101" s="27">
        <v>164006627.09031546</v>
      </c>
      <c r="G101" s="4"/>
      <c r="H101" s="4"/>
    </row>
    <row r="102" spans="2:8" x14ac:dyDescent="0.3">
      <c r="B102" s="27"/>
      <c r="C102" s="27"/>
      <c r="D102" s="41"/>
      <c r="E102" s="41">
        <v>81</v>
      </c>
      <c r="F102" s="27">
        <v>234116246.56352094</v>
      </c>
      <c r="G102" s="4"/>
      <c r="H102" s="4"/>
    </row>
    <row r="103" spans="2:8" x14ac:dyDescent="0.3">
      <c r="B103" s="27"/>
      <c r="C103" s="27"/>
      <c r="D103" s="41"/>
      <c r="E103" s="41">
        <v>82</v>
      </c>
      <c r="F103" s="27">
        <v>145626771.61965495</v>
      </c>
      <c r="G103" s="4"/>
      <c r="H103" s="4"/>
    </row>
    <row r="104" spans="2:8" x14ac:dyDescent="0.3">
      <c r="B104" s="27"/>
      <c r="C104" s="27"/>
      <c r="D104" s="41"/>
      <c r="E104" s="41">
        <v>83</v>
      </c>
      <c r="F104" s="27">
        <v>176703820.91814625</v>
      </c>
      <c r="G104" s="4"/>
      <c r="H104" s="4"/>
    </row>
    <row r="105" spans="2:8" x14ac:dyDescent="0.3">
      <c r="B105" s="27"/>
      <c r="C105" s="27"/>
      <c r="D105" s="41"/>
      <c r="E105" s="41">
        <v>84</v>
      </c>
      <c r="F105" s="27">
        <v>206912310.64256126</v>
      </c>
      <c r="G105" s="4"/>
      <c r="H105" s="4"/>
    </row>
    <row r="106" spans="2:8" x14ac:dyDescent="0.3">
      <c r="B106" s="27"/>
      <c r="C106" s="27"/>
      <c r="D106" s="41"/>
      <c r="E106" s="41">
        <v>85</v>
      </c>
      <c r="F106" s="27">
        <v>181333366.82606515</v>
      </c>
      <c r="G106" s="4"/>
      <c r="H106" s="4"/>
    </row>
    <row r="107" spans="2:8" x14ac:dyDescent="0.3">
      <c r="B107" s="27"/>
      <c r="C107" s="27"/>
      <c r="D107" s="41"/>
      <c r="E107" s="41">
        <v>86</v>
      </c>
      <c r="F107" s="27">
        <v>180809831.92735156</v>
      </c>
      <c r="G107" s="4"/>
      <c r="H107" s="4"/>
    </row>
    <row r="108" spans="2:8" x14ac:dyDescent="0.3">
      <c r="B108" s="27"/>
      <c r="C108" s="27"/>
      <c r="D108" s="41"/>
      <c r="E108" s="41">
        <v>87</v>
      </c>
      <c r="F108" s="27">
        <v>136975126.58966255</v>
      </c>
      <c r="G108" s="4"/>
      <c r="H108" s="4"/>
    </row>
    <row r="109" spans="2:8" x14ac:dyDescent="0.3">
      <c r="B109" s="27"/>
      <c r="C109" s="27"/>
      <c r="D109" s="41"/>
      <c r="E109" s="41">
        <v>88</v>
      </c>
      <c r="F109" s="27">
        <v>106727559.65732655</v>
      </c>
      <c r="G109" s="4"/>
      <c r="H109" s="4"/>
    </row>
    <row r="110" spans="2:8" x14ac:dyDescent="0.3">
      <c r="B110" s="27"/>
      <c r="C110" s="27"/>
      <c r="D110" s="41"/>
      <c r="E110" s="41">
        <v>89</v>
      </c>
      <c r="F110" s="27">
        <v>181641185.73189116</v>
      </c>
      <c r="G110" s="4"/>
      <c r="H110" s="4"/>
    </row>
    <row r="111" spans="2:8" x14ac:dyDescent="0.3">
      <c r="B111" s="27"/>
      <c r="C111" s="27"/>
      <c r="D111" s="41"/>
      <c r="E111" s="41">
        <v>90</v>
      </c>
      <c r="F111" s="27">
        <v>118925846.31435362</v>
      </c>
      <c r="G111" s="4"/>
      <c r="H111" s="4"/>
    </row>
    <row r="112" spans="2:8" x14ac:dyDescent="0.3">
      <c r="B112" s="27"/>
      <c r="C112" s="27"/>
      <c r="D112" s="41"/>
      <c r="E112" s="41">
        <v>91</v>
      </c>
      <c r="F112" s="27">
        <v>153441609.12438861</v>
      </c>
      <c r="G112" s="4"/>
      <c r="H112" s="4"/>
    </row>
    <row r="113" spans="2:8" x14ac:dyDescent="0.3">
      <c r="B113" s="27"/>
      <c r="C113" s="27"/>
      <c r="D113" s="41"/>
      <c r="E113" s="41">
        <v>92</v>
      </c>
      <c r="F113" s="27">
        <v>176122881.76765722</v>
      </c>
      <c r="G113" s="4"/>
      <c r="H113" s="4"/>
    </row>
    <row r="114" spans="2:8" x14ac:dyDescent="0.3">
      <c r="B114" s="27"/>
      <c r="C114" s="27"/>
      <c r="D114" s="41"/>
      <c r="E114" s="41">
        <v>93</v>
      </c>
      <c r="F114" s="27">
        <v>154692616.09698376</v>
      </c>
      <c r="G114" s="4"/>
      <c r="H114" s="4"/>
    </row>
    <row r="115" spans="2:8" x14ac:dyDescent="0.3">
      <c r="B115" s="27"/>
      <c r="C115" s="27"/>
      <c r="D115" s="41"/>
      <c r="E115" s="41">
        <v>94</v>
      </c>
      <c r="F115" s="27">
        <v>120567144.34555455</v>
      </c>
      <c r="G115" s="4"/>
      <c r="H115" s="4"/>
    </row>
    <row r="116" spans="2:8" x14ac:dyDescent="0.3">
      <c r="B116" s="27"/>
      <c r="C116" s="27"/>
      <c r="D116" s="41"/>
      <c r="E116" s="41">
        <v>95</v>
      </c>
      <c r="F116" s="27">
        <v>120520279.34636904</v>
      </c>
      <c r="G116" s="4"/>
      <c r="H116" s="4"/>
    </row>
    <row r="117" spans="2:8" x14ac:dyDescent="0.3">
      <c r="B117" s="27"/>
      <c r="C117" s="27"/>
      <c r="D117" s="41"/>
      <c r="E117" s="41">
        <v>96</v>
      </c>
      <c r="F117" s="27">
        <v>147263877.96403676</v>
      </c>
      <c r="G117" s="4"/>
      <c r="H117" s="4"/>
    </row>
    <row r="118" spans="2:8" x14ac:dyDescent="0.3">
      <c r="B118" s="27"/>
      <c r="C118" s="27"/>
      <c r="D118" s="41"/>
      <c r="E118" s="41">
        <v>97</v>
      </c>
      <c r="F118" s="27">
        <v>141384100.14847827</v>
      </c>
      <c r="G118" s="4"/>
      <c r="H118" s="4"/>
    </row>
    <row r="119" spans="2:8" x14ac:dyDescent="0.3">
      <c r="B119" s="27"/>
      <c r="C119" s="27"/>
      <c r="D119" s="41"/>
      <c r="E119" s="41">
        <v>98</v>
      </c>
      <c r="F119" s="27">
        <v>182300682.44041562</v>
      </c>
      <c r="G119" s="4"/>
      <c r="H119" s="4"/>
    </row>
    <row r="120" spans="2:8" x14ac:dyDescent="0.3">
      <c r="B120" s="27"/>
      <c r="C120" s="27"/>
      <c r="D120" s="41"/>
      <c r="E120" s="41">
        <v>99</v>
      </c>
      <c r="F120" s="27">
        <v>143527559.93045744</v>
      </c>
      <c r="G120" s="4"/>
      <c r="H120" s="4"/>
    </row>
    <row r="121" spans="2:8" x14ac:dyDescent="0.3">
      <c r="B121" s="27"/>
      <c r="C121" s="27"/>
      <c r="D121" s="41"/>
      <c r="E121" s="41">
        <v>100</v>
      </c>
      <c r="F121" s="27">
        <v>148721310.85200992</v>
      </c>
      <c r="G121" s="4"/>
      <c r="H121" s="4"/>
    </row>
    <row r="122" spans="2:8" x14ac:dyDescent="0.3">
      <c r="B122" s="27"/>
      <c r="C122" s="27"/>
      <c r="D122" s="41"/>
      <c r="E122" s="41">
        <v>101</v>
      </c>
      <c r="F122" s="27">
        <v>149277794.26493603</v>
      </c>
      <c r="G122" s="4"/>
      <c r="H122" s="4"/>
    </row>
    <row r="123" spans="2:8" x14ac:dyDescent="0.3">
      <c r="B123" s="27"/>
      <c r="C123" s="27"/>
      <c r="D123" s="41"/>
      <c r="E123" s="41">
        <v>102</v>
      </c>
      <c r="F123" s="27">
        <v>145933443.09727892</v>
      </c>
      <c r="G123" s="4"/>
      <c r="H123" s="4"/>
    </row>
    <row r="124" spans="2:8" x14ac:dyDescent="0.3">
      <c r="B124" s="27"/>
      <c r="C124" s="27"/>
      <c r="D124" s="41"/>
      <c r="E124" s="41">
        <v>103</v>
      </c>
      <c r="F124" s="27">
        <v>190311070.32581589</v>
      </c>
      <c r="G124" s="4"/>
      <c r="H124" s="4"/>
    </row>
    <row r="125" spans="2:8" x14ac:dyDescent="0.3">
      <c r="B125" s="27"/>
      <c r="C125" s="27"/>
      <c r="D125" s="41"/>
      <c r="E125" s="41">
        <v>104</v>
      </c>
      <c r="F125" s="27">
        <v>185674872.12386474</v>
      </c>
      <c r="G125" s="4"/>
      <c r="H125" s="4"/>
    </row>
    <row r="126" spans="2:8" x14ac:dyDescent="0.3">
      <c r="B126" s="27"/>
      <c r="C126" s="27"/>
      <c r="D126" s="41"/>
      <c r="E126" s="41">
        <v>105</v>
      </c>
      <c r="F126" s="27">
        <v>187145570.30782712</v>
      </c>
      <c r="G126" s="4"/>
      <c r="H126" s="4"/>
    </row>
    <row r="127" spans="2:8" x14ac:dyDescent="0.3">
      <c r="B127" s="27"/>
      <c r="C127" s="27"/>
      <c r="D127" s="41"/>
      <c r="E127" s="41">
        <v>106</v>
      </c>
      <c r="F127" s="27">
        <v>125508238.89146625</v>
      </c>
      <c r="G127" s="4"/>
      <c r="H127" s="4"/>
    </row>
    <row r="128" spans="2:8" x14ac:dyDescent="0.3">
      <c r="B128" s="27"/>
      <c r="C128" s="27"/>
      <c r="D128" s="41"/>
      <c r="E128" s="41">
        <v>107</v>
      </c>
      <c r="F128" s="27">
        <v>203170228.5055446</v>
      </c>
      <c r="G128" s="4"/>
      <c r="H128" s="4"/>
    </row>
    <row r="129" spans="2:8" x14ac:dyDescent="0.3">
      <c r="B129" s="27"/>
      <c r="C129" s="27"/>
      <c r="D129" s="41"/>
      <c r="E129" s="41">
        <v>108</v>
      </c>
      <c r="F129" s="27">
        <v>138453831.61965412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A24" sqref="A24"/>
    </sheetView>
  </sheetViews>
  <sheetFormatPr defaultRowHeight="14.4" x14ac:dyDescent="0.3"/>
  <cols>
    <col min="1" max="1" width="48.21875" customWidth="1"/>
    <col min="2" max="2" width="18.5546875" customWidth="1"/>
    <col min="3" max="3" width="18.21875" customWidth="1"/>
    <col min="4" max="4" width="20.33203125" customWidth="1"/>
    <col min="6" max="7" width="18.6640625" customWidth="1"/>
    <col min="8" max="8" width="29.109375" customWidth="1"/>
  </cols>
  <sheetData>
    <row r="1" spans="1:8" ht="18" customHeight="1" x14ac:dyDescent="0.3">
      <c r="B1" s="26" t="str">
        <f>Mappings!B6</f>
        <v>New-improved</v>
      </c>
      <c r="C1" s="84" t="str">
        <f>Mappings!B7</f>
        <v>Local-only</v>
      </c>
      <c r="D1" s="84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Mappings!N18</f>
        <v>1397.1848252981956</v>
      </c>
      <c r="C3" s="27">
        <f>Mappings!N19</f>
        <v>252.22716360213391</v>
      </c>
      <c r="D3" s="27">
        <f>Mappings!N15</f>
        <v>252.22716360213391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_xlfn.NORM.INV(RAND(),Mappings!N18,Mappings!O18)</f>
        <v>1472.1563090284203</v>
      </c>
      <c r="C4" s="27">
        <f ca="1">_xlfn.NORM.INV(RAND(),Mappings!N19,Mappings!O19)</f>
        <v>205.17577663453886</v>
      </c>
      <c r="D4" s="27">
        <f ca="1">_xlfn.NORM.INV(RAND(),Mappings!N20,Mappings!O20)</f>
        <v>1726.5990824623427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Mappings!F18*Mappings!I18</f>
        <v>1.6173481294808774</v>
      </c>
      <c r="C5" s="27">
        <f>Mappings!F19*Mappings!I19</f>
        <v>7.5723184723963683</v>
      </c>
      <c r="D5" s="27">
        <f>Mappings!F20*Mappings!I20</f>
        <v>1.8619216638023208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1.6173481294808774</v>
      </c>
      <c r="C6" s="27">
        <f ca="1">_xlfn.NORM.INV(RAND(),B5,B5*Mappings!E6)*0+C5</f>
        <v>7.5723184723963683</v>
      </c>
      <c r="D6" s="27">
        <f ca="1">_xlfn.NORM.INV(RAND(),D5,D5*Mappings!E8)*0+D5</f>
        <v>1.8619216638023208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Mappings!V18</f>
        <v>2904.6425593098002</v>
      </c>
      <c r="C7" s="27">
        <f>Mappings!V19</f>
        <v>3189.2149351261664</v>
      </c>
      <c r="D7" s="27">
        <f>Mappings!V20</f>
        <v>9758.2838324463482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2904.6425593098002</v>
      </c>
      <c r="C8" s="27">
        <f ca="1">_xlfn.NORM.INV(RAND(), C7, C7* 25/100)*0+C7</f>
        <v>3189.2149351261664</v>
      </c>
      <c r="D8" s="27">
        <f ca="1">_xlfn.NORM.INV(RAND(),D7,D7*25/100)*0+D7</f>
        <v>9758.2838324463482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Mappings!Q18</f>
        <v>289.08113695507802</v>
      </c>
      <c r="C9" s="27">
        <f>Mappings!Q19</f>
        <v>6.7936937404413085</v>
      </c>
      <c r="D9" s="27">
        <f>Mappings!Q20</f>
        <v>244.04276869447085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IF(B9&gt;=0,_xlfn.NORM.INV(RAND(),B9,B9*Dairy_Income_Roadmap!L37),_xlfn.NORM.INV(RAND(),ABS(B9),ABS(B9)*Dairy_Income_Roadmap!L37))</f>
        <v>489.97410078727739</v>
      </c>
      <c r="C10" s="27">
        <f ca="1">IF(C9&gt;0,_xlfn.NORM.INV(RAND(),C9,C9*Dairy_Income_Roadmap!L37),_xlfn.NORM.INV(RAND(),ABS(C9),ABS(C9)*Dairy_Income_Roadmap!L37))</f>
        <v>8.1541755700777401</v>
      </c>
      <c r="D10" s="27">
        <f ca="1">IF(D9&gt;0,_xlfn.NORM.INV(RAND(),D9,D9*Dairy_Income_Roadmap!L39),_xlfn.NORM.INV(RAND(),ABS(D9),ABS(D9)*Dairy_Income_Roadmap!L39))</f>
        <v>246.38667623659083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Mappings!D18</f>
        <v>5512.208722767934</v>
      </c>
      <c r="C11" s="27">
        <f>Mappings!D19</f>
        <v>22048.834891071736</v>
      </c>
      <c r="D11" s="27">
        <f>Mappings!D20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Mappings!Z18*Mappings!D18</f>
        <v>156.27646584238468</v>
      </c>
      <c r="C12" s="27">
        <f>Mappings!Z19*Mappings!D19</f>
        <v>625.10586336953872</v>
      </c>
      <c r="D12" s="27">
        <f>Mappings!Z20*Mappings!D20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2380.9892527105881</v>
      </c>
      <c r="C14" s="27">
        <f ca="1">C4*C6</f>
        <v>1553.6563234979899</v>
      </c>
      <c r="D14" s="27">
        <f ca="1">D4*D6</f>
        <v>3214.7922363378457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489.97410078727717</v>
      </c>
      <c r="C15" s="27">
        <f t="shared" ref="C15:D15" ca="1" si="0">C8-IF(C9&gt;0,C8-C10,C8+C10)</f>
        <v>8.1541755700777685</v>
      </c>
      <c r="D15" s="27">
        <f t="shared" ca="1" si="0"/>
        <v>246.38667623659057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5525.1550432806998</v>
      </c>
      <c r="C16" s="27">
        <f ca="1">_xlfn.NORM.INV(RAND(),C11,C12)</f>
        <v>21999.062624102738</v>
      </c>
      <c r="D16" s="27">
        <f t="shared" ref="D16" ca="1" si="1">_xlfn.NORM.INV(RAND(),D11,D12)</f>
        <v>41526.383660594227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15862517.6516528</v>
      </c>
      <c r="C18" s="37">
        <f ca="1">(C14+C15)*C16</f>
        <v>34358366.975979574</v>
      </c>
      <c r="D18" s="37">
        <f ca="1">(D14+D15)*D16</f>
        <v>143730243.44152436</v>
      </c>
      <c r="E18" s="27"/>
      <c r="F18" s="27">
        <f ca="1">B18+C18+D18</f>
        <v>193951128.06915674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32607270.71862936</v>
      </c>
      <c r="H19" s="97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199860512.14020035</v>
      </c>
      <c r="G20" s="4"/>
      <c r="H20" s="97"/>
      <c r="I20" s="4">
        <f ca="1">100*F19/F20</f>
        <v>16.315014091305667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29">
        <f ca="1">F18</f>
        <v>193951128.06915674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132829457.66037335</v>
      </c>
      <c r="G23" s="4"/>
      <c r="H23" s="4"/>
    </row>
    <row r="24" spans="1:9" x14ac:dyDescent="0.3">
      <c r="E24">
        <v>3</v>
      </c>
      <c r="F24" s="29">
        <v>189903133.26966891</v>
      </c>
      <c r="G24" s="4"/>
      <c r="H24" s="4"/>
    </row>
    <row r="25" spans="1:9" x14ac:dyDescent="0.3">
      <c r="E25">
        <v>4</v>
      </c>
      <c r="F25" s="29">
        <v>163958151.13763028</v>
      </c>
      <c r="G25" s="4"/>
      <c r="H25" s="4"/>
    </row>
    <row r="26" spans="1:9" x14ac:dyDescent="0.3">
      <c r="E26">
        <v>5</v>
      </c>
      <c r="F26" s="29">
        <v>228587336.30756232</v>
      </c>
      <c r="G26" s="4"/>
      <c r="H26" s="4"/>
    </row>
    <row r="27" spans="1:9" x14ac:dyDescent="0.3">
      <c r="E27">
        <v>6</v>
      </c>
      <c r="F27" s="29">
        <v>189359776.02209005</v>
      </c>
      <c r="G27" s="4"/>
      <c r="H27" s="4"/>
    </row>
    <row r="28" spans="1:9" x14ac:dyDescent="0.3">
      <c r="E28">
        <v>7</v>
      </c>
      <c r="F28" s="29">
        <v>192081735.43999207</v>
      </c>
      <c r="G28" s="4"/>
      <c r="H28" s="4"/>
    </row>
    <row r="29" spans="1:9" x14ac:dyDescent="0.3">
      <c r="E29">
        <v>8</v>
      </c>
      <c r="F29" s="29">
        <v>168121996.426296</v>
      </c>
      <c r="G29" s="4"/>
      <c r="H29" s="4"/>
    </row>
    <row r="30" spans="1:9" x14ac:dyDescent="0.3">
      <c r="E30">
        <v>9</v>
      </c>
      <c r="F30" s="29">
        <v>238086814.02012953</v>
      </c>
      <c r="G30" s="4"/>
      <c r="H30" s="4"/>
    </row>
    <row r="31" spans="1:9" x14ac:dyDescent="0.3">
      <c r="E31">
        <v>10</v>
      </c>
      <c r="F31" s="29">
        <v>200074584.65922025</v>
      </c>
      <c r="G31" s="4"/>
      <c r="H31" s="4"/>
    </row>
    <row r="32" spans="1:9" x14ac:dyDescent="0.3">
      <c r="E32">
        <v>11</v>
      </c>
      <c r="F32" s="29">
        <v>209598704.73386323</v>
      </c>
      <c r="G32" s="4"/>
      <c r="H32" s="4"/>
    </row>
    <row r="33" spans="5:8" x14ac:dyDescent="0.3">
      <c r="E33">
        <v>12</v>
      </c>
      <c r="F33" s="29">
        <v>167891207.96482044</v>
      </c>
      <c r="G33" s="4"/>
      <c r="H33" s="4"/>
    </row>
    <row r="34" spans="5:8" x14ac:dyDescent="0.3">
      <c r="E34">
        <v>13</v>
      </c>
      <c r="F34" s="29">
        <v>225816477.07630104</v>
      </c>
      <c r="G34" s="4"/>
      <c r="H34" s="4"/>
    </row>
    <row r="35" spans="5:8" x14ac:dyDescent="0.3">
      <c r="E35">
        <v>14</v>
      </c>
      <c r="F35" s="29">
        <v>233591451.67577785</v>
      </c>
      <c r="G35" s="4"/>
      <c r="H35" s="4"/>
    </row>
    <row r="36" spans="5:8" x14ac:dyDescent="0.3">
      <c r="E36">
        <v>15</v>
      </c>
      <c r="F36" s="29">
        <v>193867208.99899119</v>
      </c>
      <c r="G36" s="4"/>
      <c r="H36" s="4"/>
    </row>
    <row r="37" spans="5:8" x14ac:dyDescent="0.3">
      <c r="E37">
        <v>16</v>
      </c>
      <c r="F37" s="29">
        <v>201186043.75084496</v>
      </c>
      <c r="G37" s="4"/>
      <c r="H37" s="4"/>
    </row>
    <row r="38" spans="5:8" x14ac:dyDescent="0.3">
      <c r="E38">
        <v>17</v>
      </c>
      <c r="F38" s="29">
        <v>197375884.58531785</v>
      </c>
      <c r="G38" s="4"/>
      <c r="H38" s="4"/>
    </row>
    <row r="39" spans="5:8" x14ac:dyDescent="0.3">
      <c r="E39">
        <v>18</v>
      </c>
      <c r="F39" s="29">
        <v>169901601.59914181</v>
      </c>
      <c r="G39" s="4"/>
      <c r="H39" s="4"/>
    </row>
    <row r="40" spans="5:8" x14ac:dyDescent="0.3">
      <c r="E40">
        <v>19</v>
      </c>
      <c r="F40" s="29">
        <v>191223234.32694656</v>
      </c>
      <c r="G40" s="4"/>
      <c r="H40" s="4"/>
    </row>
    <row r="41" spans="5:8" x14ac:dyDescent="0.3">
      <c r="E41">
        <v>20</v>
      </c>
      <c r="F41" s="29">
        <v>246283129.15444523</v>
      </c>
      <c r="G41" s="4"/>
      <c r="H41" s="4"/>
    </row>
    <row r="42" spans="5:8" x14ac:dyDescent="0.3">
      <c r="E42">
        <v>21</v>
      </c>
      <c r="F42" s="29">
        <v>204399390.76146996</v>
      </c>
      <c r="G42" s="4"/>
      <c r="H42" s="4"/>
    </row>
    <row r="43" spans="5:8" x14ac:dyDescent="0.3">
      <c r="E43">
        <v>22</v>
      </c>
      <c r="F43" s="29">
        <v>163712956.10121167</v>
      </c>
      <c r="G43" s="4"/>
      <c r="H43" s="4"/>
    </row>
    <row r="44" spans="5:8" x14ac:dyDescent="0.3">
      <c r="E44">
        <v>23</v>
      </c>
      <c r="F44" s="29">
        <v>216980267.50275183</v>
      </c>
      <c r="G44" s="4"/>
      <c r="H44" s="4"/>
    </row>
    <row r="45" spans="5:8" x14ac:dyDescent="0.3">
      <c r="E45">
        <v>24</v>
      </c>
      <c r="F45" s="29">
        <v>170075447.13687295</v>
      </c>
      <c r="G45" s="4"/>
      <c r="H45" s="4"/>
    </row>
    <row r="46" spans="5:8" x14ac:dyDescent="0.3">
      <c r="E46">
        <v>25</v>
      </c>
      <c r="F46" s="29">
        <v>233503400.69573557</v>
      </c>
      <c r="G46" s="4"/>
      <c r="H46" s="4"/>
    </row>
    <row r="47" spans="5:8" x14ac:dyDescent="0.3">
      <c r="E47">
        <v>26</v>
      </c>
      <c r="F47" s="29">
        <v>180108708.68931982</v>
      </c>
      <c r="G47" s="4"/>
      <c r="H47" s="4"/>
    </row>
    <row r="48" spans="5:8" x14ac:dyDescent="0.3">
      <c r="E48">
        <v>27</v>
      </c>
      <c r="F48" s="29">
        <v>200631357.57233757</v>
      </c>
      <c r="G48" s="4"/>
      <c r="H48" s="4"/>
    </row>
    <row r="49" spans="5:8" x14ac:dyDescent="0.3">
      <c r="E49">
        <v>28</v>
      </c>
      <c r="F49" s="29">
        <v>166593827.17239645</v>
      </c>
      <c r="G49" s="4"/>
      <c r="H49" s="4"/>
    </row>
    <row r="50" spans="5:8" x14ac:dyDescent="0.3">
      <c r="E50">
        <v>29</v>
      </c>
      <c r="F50" s="29">
        <v>243794851.5662623</v>
      </c>
      <c r="G50" s="4"/>
      <c r="H50" s="4"/>
    </row>
    <row r="51" spans="5:8" x14ac:dyDescent="0.3">
      <c r="E51">
        <v>30</v>
      </c>
      <c r="F51" s="29">
        <v>234187825.96615016</v>
      </c>
      <c r="G51" s="4"/>
      <c r="H51" s="4"/>
    </row>
    <row r="52" spans="5:8" x14ac:dyDescent="0.3">
      <c r="E52">
        <v>31</v>
      </c>
      <c r="F52" s="29">
        <v>179431994.28592879</v>
      </c>
      <c r="G52" s="4"/>
      <c r="H52" s="4"/>
    </row>
    <row r="53" spans="5:8" x14ac:dyDescent="0.3">
      <c r="E53">
        <v>32</v>
      </c>
      <c r="F53" s="29">
        <v>220607836.13995317</v>
      </c>
      <c r="G53" s="4"/>
      <c r="H53" s="4"/>
    </row>
    <row r="54" spans="5:8" x14ac:dyDescent="0.3">
      <c r="E54">
        <v>33</v>
      </c>
      <c r="F54" s="29">
        <v>186115580.88840729</v>
      </c>
      <c r="G54" s="4"/>
      <c r="H54" s="4"/>
    </row>
    <row r="55" spans="5:8" x14ac:dyDescent="0.3">
      <c r="E55">
        <v>34</v>
      </c>
      <c r="F55" s="29">
        <v>231633734.64559487</v>
      </c>
      <c r="G55" s="4"/>
      <c r="H55" s="4"/>
    </row>
    <row r="56" spans="5:8" x14ac:dyDescent="0.3">
      <c r="E56">
        <v>35</v>
      </c>
      <c r="F56" s="29">
        <v>208456002.88241804</v>
      </c>
      <c r="G56" s="4"/>
      <c r="H56" s="4"/>
    </row>
    <row r="57" spans="5:8" x14ac:dyDescent="0.3">
      <c r="E57">
        <v>36</v>
      </c>
      <c r="F57" s="29">
        <v>215592465.18992615</v>
      </c>
      <c r="G57" s="4"/>
      <c r="H57" s="4"/>
    </row>
    <row r="58" spans="5:8" x14ac:dyDescent="0.3">
      <c r="E58">
        <v>37</v>
      </c>
      <c r="F58" s="29">
        <v>213448749.95821667</v>
      </c>
      <c r="G58" s="4"/>
      <c r="H58" s="4"/>
    </row>
    <row r="59" spans="5:8" x14ac:dyDescent="0.3">
      <c r="E59">
        <v>38</v>
      </c>
      <c r="F59" s="29">
        <v>216433908.86589161</v>
      </c>
      <c r="G59" s="4"/>
      <c r="H59" s="4"/>
    </row>
    <row r="60" spans="5:8" x14ac:dyDescent="0.3">
      <c r="E60">
        <v>39</v>
      </c>
      <c r="F60" s="29">
        <v>235797139.78060496</v>
      </c>
      <c r="G60" s="4"/>
      <c r="H60" s="4"/>
    </row>
    <row r="61" spans="5:8" x14ac:dyDescent="0.3">
      <c r="E61">
        <v>40</v>
      </c>
      <c r="F61" s="29">
        <v>202896108.07312933</v>
      </c>
      <c r="G61" s="4"/>
      <c r="H61" s="4"/>
    </row>
    <row r="62" spans="5:8" x14ac:dyDescent="0.3">
      <c r="E62">
        <v>41</v>
      </c>
      <c r="F62" s="29">
        <v>257515435.60177052</v>
      </c>
      <c r="G62" s="4"/>
      <c r="H62" s="4"/>
    </row>
    <row r="63" spans="5:8" x14ac:dyDescent="0.3">
      <c r="E63">
        <v>42</v>
      </c>
      <c r="F63" s="29">
        <v>193927987.32777378</v>
      </c>
      <c r="G63" s="4"/>
      <c r="H63" s="4"/>
    </row>
    <row r="64" spans="5:8" x14ac:dyDescent="0.3">
      <c r="E64">
        <v>43</v>
      </c>
      <c r="F64" s="29">
        <v>189783317.0692164</v>
      </c>
      <c r="G64" s="4"/>
      <c r="H64" s="4"/>
    </row>
    <row r="65" spans="5:8" x14ac:dyDescent="0.3">
      <c r="E65">
        <v>44</v>
      </c>
      <c r="F65" s="29">
        <v>195673462.69684777</v>
      </c>
      <c r="G65" s="4"/>
      <c r="H65" s="4"/>
    </row>
    <row r="66" spans="5:8" x14ac:dyDescent="0.3">
      <c r="E66">
        <v>45</v>
      </c>
      <c r="F66" s="29">
        <v>191691065.23432213</v>
      </c>
      <c r="G66" s="4"/>
      <c r="H66" s="4"/>
    </row>
    <row r="67" spans="5:8" x14ac:dyDescent="0.3">
      <c r="E67">
        <v>46</v>
      </c>
      <c r="F67" s="29">
        <v>222999612.14377123</v>
      </c>
      <c r="G67" s="4"/>
      <c r="H67" s="4"/>
    </row>
    <row r="68" spans="5:8" x14ac:dyDescent="0.3">
      <c r="E68">
        <v>47</v>
      </c>
      <c r="F68" s="29">
        <v>174291630.05090579</v>
      </c>
      <c r="G68" s="4"/>
      <c r="H68" s="4"/>
    </row>
    <row r="69" spans="5:8" x14ac:dyDescent="0.3">
      <c r="E69">
        <v>48</v>
      </c>
      <c r="F69" s="29">
        <v>191295963.36215848</v>
      </c>
      <c r="G69" s="4"/>
      <c r="H69" s="4"/>
    </row>
    <row r="70" spans="5:8" x14ac:dyDescent="0.3">
      <c r="E70">
        <v>49</v>
      </c>
      <c r="F70" s="29">
        <v>224809790.02235764</v>
      </c>
      <c r="G70" s="4"/>
      <c r="H70" s="4"/>
    </row>
    <row r="71" spans="5:8" x14ac:dyDescent="0.3">
      <c r="E71">
        <v>50</v>
      </c>
      <c r="F71" s="29">
        <v>149429921.78262487</v>
      </c>
      <c r="G71" s="4"/>
      <c r="H71" s="4"/>
    </row>
    <row r="72" spans="5:8" x14ac:dyDescent="0.3">
      <c r="E72">
        <v>51</v>
      </c>
      <c r="F72" s="29">
        <v>174402599.2171247</v>
      </c>
      <c r="G72" s="4"/>
      <c r="H72" s="4"/>
    </row>
    <row r="73" spans="5:8" x14ac:dyDescent="0.3">
      <c r="E73">
        <v>52</v>
      </c>
      <c r="F73" s="29">
        <v>214088518.65061867</v>
      </c>
      <c r="G73" s="4"/>
      <c r="H73" s="4"/>
    </row>
    <row r="74" spans="5:8" x14ac:dyDescent="0.3">
      <c r="E74">
        <v>53</v>
      </c>
      <c r="F74" s="29">
        <v>99119707.305544823</v>
      </c>
      <c r="G74" s="4"/>
      <c r="H74" s="4"/>
    </row>
    <row r="75" spans="5:8" x14ac:dyDescent="0.3">
      <c r="E75">
        <v>54</v>
      </c>
      <c r="F75" s="29">
        <v>222057034.41432878</v>
      </c>
      <c r="G75" s="4"/>
      <c r="H75" s="4"/>
    </row>
    <row r="76" spans="5:8" x14ac:dyDescent="0.3">
      <c r="E76">
        <v>55</v>
      </c>
      <c r="F76" s="29">
        <v>244798468.821343</v>
      </c>
      <c r="G76" s="4"/>
      <c r="H76" s="4"/>
    </row>
    <row r="77" spans="5:8" x14ac:dyDescent="0.3">
      <c r="E77">
        <v>56</v>
      </c>
      <c r="F77" s="29">
        <v>191428565.2117874</v>
      </c>
      <c r="G77" s="4"/>
      <c r="H77" s="4"/>
    </row>
    <row r="78" spans="5:8" x14ac:dyDescent="0.3">
      <c r="E78">
        <v>57</v>
      </c>
      <c r="F78" s="29">
        <v>229307019.57793176</v>
      </c>
      <c r="G78" s="4"/>
      <c r="H78" s="4"/>
    </row>
    <row r="79" spans="5:8" x14ac:dyDescent="0.3">
      <c r="E79">
        <v>58</v>
      </c>
      <c r="F79" s="29">
        <v>173015783.71858057</v>
      </c>
      <c r="G79" s="4"/>
      <c r="H79" s="4"/>
    </row>
    <row r="80" spans="5:8" x14ac:dyDescent="0.3">
      <c r="E80">
        <v>59</v>
      </c>
      <c r="F80" s="29">
        <v>199791245.81284082</v>
      </c>
      <c r="G80" s="4"/>
      <c r="H80" s="4"/>
    </row>
    <row r="81" spans="5:8" x14ac:dyDescent="0.3">
      <c r="E81">
        <v>60</v>
      </c>
      <c r="F81" s="29">
        <v>259980491.84833243</v>
      </c>
      <c r="G81" s="4"/>
      <c r="H81" s="4"/>
    </row>
    <row r="82" spans="5:8" x14ac:dyDescent="0.3">
      <c r="E82">
        <v>61</v>
      </c>
      <c r="F82" s="29">
        <v>132161999.63649738</v>
      </c>
      <c r="G82" s="4"/>
      <c r="H82" s="4"/>
    </row>
    <row r="83" spans="5:8" x14ac:dyDescent="0.3">
      <c r="E83">
        <v>62</v>
      </c>
      <c r="F83" s="29">
        <v>216008394.52633005</v>
      </c>
      <c r="G83" s="4"/>
      <c r="H83" s="4"/>
    </row>
    <row r="84" spans="5:8" x14ac:dyDescent="0.3">
      <c r="E84">
        <v>63</v>
      </c>
      <c r="F84" s="29">
        <v>160955352.06465209</v>
      </c>
      <c r="G84" s="4"/>
      <c r="H84" s="4"/>
    </row>
    <row r="85" spans="5:8" x14ac:dyDescent="0.3">
      <c r="E85">
        <v>64</v>
      </c>
      <c r="F85" s="29">
        <v>190632862.60551795</v>
      </c>
      <c r="G85" s="4"/>
      <c r="H85" s="4"/>
    </row>
    <row r="86" spans="5:8" x14ac:dyDescent="0.3">
      <c r="E86">
        <v>65</v>
      </c>
      <c r="F86" s="29">
        <v>206402587.5142377</v>
      </c>
      <c r="G86" s="4"/>
      <c r="H86" s="4"/>
    </row>
    <row r="87" spans="5:8" x14ac:dyDescent="0.3">
      <c r="E87">
        <v>66</v>
      </c>
      <c r="F87" s="29">
        <v>162100483.42898774</v>
      </c>
      <c r="G87" s="4"/>
      <c r="H87" s="4"/>
    </row>
    <row r="88" spans="5:8" x14ac:dyDescent="0.3">
      <c r="E88">
        <v>67</v>
      </c>
      <c r="F88" s="29">
        <v>225355758.00813118</v>
      </c>
      <c r="G88" s="4"/>
      <c r="H88" s="4"/>
    </row>
    <row r="89" spans="5:8" x14ac:dyDescent="0.3">
      <c r="E89">
        <v>68</v>
      </c>
      <c r="F89" s="29">
        <v>200048015.33704594</v>
      </c>
      <c r="G89" s="4"/>
      <c r="H89" s="4"/>
    </row>
    <row r="90" spans="5:8" x14ac:dyDescent="0.3">
      <c r="E90">
        <v>69</v>
      </c>
      <c r="F90" s="29">
        <v>191786875.55671343</v>
      </c>
      <c r="G90" s="4"/>
      <c r="H90" s="4"/>
    </row>
    <row r="91" spans="5:8" x14ac:dyDescent="0.3">
      <c r="E91">
        <v>70</v>
      </c>
      <c r="F91" s="29">
        <v>196560965.12792218</v>
      </c>
      <c r="G91" s="4"/>
      <c r="H91" s="4"/>
    </row>
    <row r="92" spans="5:8" x14ac:dyDescent="0.3">
      <c r="E92">
        <v>71</v>
      </c>
      <c r="F92" s="29">
        <v>247041459.49095243</v>
      </c>
      <c r="G92" s="4"/>
      <c r="H92" s="4"/>
    </row>
    <row r="93" spans="5:8" x14ac:dyDescent="0.3">
      <c r="E93">
        <v>72</v>
      </c>
      <c r="F93" s="29">
        <v>223680469.66206104</v>
      </c>
      <c r="G93" s="4"/>
      <c r="H93" s="4"/>
    </row>
    <row r="94" spans="5:8" x14ac:dyDescent="0.3">
      <c r="E94">
        <v>73</v>
      </c>
      <c r="F94" s="29">
        <v>148200174.49222618</v>
      </c>
      <c r="G94" s="4"/>
      <c r="H94" s="4"/>
    </row>
    <row r="95" spans="5:8" x14ac:dyDescent="0.3">
      <c r="E95">
        <v>74</v>
      </c>
      <c r="F95" s="29">
        <v>237345603.38351682</v>
      </c>
      <c r="G95" s="4"/>
      <c r="H95" s="4"/>
    </row>
    <row r="96" spans="5:8" x14ac:dyDescent="0.3">
      <c r="E96">
        <v>75</v>
      </c>
      <c r="F96" s="29">
        <v>193038018.48243299</v>
      </c>
      <c r="G96" s="4"/>
      <c r="H96" s="4"/>
    </row>
    <row r="97" spans="5:8" x14ac:dyDescent="0.3">
      <c r="E97">
        <v>76</v>
      </c>
      <c r="F97" s="29">
        <v>214671477.07822147</v>
      </c>
      <c r="G97" s="4"/>
      <c r="H97" s="4"/>
    </row>
    <row r="98" spans="5:8" x14ac:dyDescent="0.3">
      <c r="E98">
        <v>77</v>
      </c>
      <c r="F98" s="29">
        <v>215154895.84576258</v>
      </c>
      <c r="G98" s="4"/>
      <c r="H98" s="4"/>
    </row>
    <row r="99" spans="5:8" x14ac:dyDescent="0.3">
      <c r="E99">
        <v>78</v>
      </c>
      <c r="F99" s="29">
        <v>262924747.36140558</v>
      </c>
      <c r="G99" s="4"/>
      <c r="H99" s="4"/>
    </row>
    <row r="100" spans="5:8" x14ac:dyDescent="0.3">
      <c r="E100">
        <v>79</v>
      </c>
      <c r="F100" s="29">
        <v>202885843.34346676</v>
      </c>
      <c r="G100" s="4"/>
      <c r="H100" s="4"/>
    </row>
    <row r="101" spans="5:8" x14ac:dyDescent="0.3">
      <c r="E101">
        <v>80</v>
      </c>
      <c r="F101" s="29">
        <v>231398964.06985176</v>
      </c>
      <c r="G101" s="4"/>
      <c r="H101" s="4"/>
    </row>
    <row r="102" spans="5:8" x14ac:dyDescent="0.3">
      <c r="E102">
        <v>81</v>
      </c>
      <c r="F102" s="29">
        <v>212972745.71859515</v>
      </c>
      <c r="G102" s="4"/>
      <c r="H102" s="4"/>
    </row>
    <row r="103" spans="5:8" x14ac:dyDescent="0.3">
      <c r="E103">
        <v>82</v>
      </c>
      <c r="F103" s="29">
        <v>282875448.50126225</v>
      </c>
      <c r="G103" s="4"/>
      <c r="H103" s="4"/>
    </row>
    <row r="104" spans="5:8" x14ac:dyDescent="0.3">
      <c r="E104">
        <v>83</v>
      </c>
      <c r="F104" s="29">
        <v>172072554.00198913</v>
      </c>
      <c r="G104" s="4"/>
      <c r="H104" s="4"/>
    </row>
    <row r="105" spans="5:8" x14ac:dyDescent="0.3">
      <c r="E105">
        <v>84</v>
      </c>
      <c r="F105" s="29">
        <v>183775593.16440806</v>
      </c>
      <c r="G105" s="4"/>
      <c r="H105" s="4"/>
    </row>
    <row r="106" spans="5:8" x14ac:dyDescent="0.3">
      <c r="E106">
        <v>85</v>
      </c>
      <c r="F106" s="29">
        <v>193304316.3301577</v>
      </c>
      <c r="G106" s="4"/>
      <c r="H106" s="4"/>
    </row>
    <row r="107" spans="5:8" x14ac:dyDescent="0.3">
      <c r="E107">
        <v>86</v>
      </c>
      <c r="F107" s="29">
        <v>277640932.0951556</v>
      </c>
      <c r="G107" s="4"/>
      <c r="H107" s="4"/>
    </row>
    <row r="108" spans="5:8" x14ac:dyDescent="0.3">
      <c r="E108">
        <v>87</v>
      </c>
      <c r="F108" s="29">
        <v>193290446.16306105</v>
      </c>
      <c r="G108" s="4"/>
      <c r="H108" s="4"/>
    </row>
    <row r="109" spans="5:8" x14ac:dyDescent="0.3">
      <c r="E109">
        <v>88</v>
      </c>
      <c r="F109" s="29">
        <v>197920221.216133</v>
      </c>
      <c r="G109" s="4"/>
      <c r="H109" s="4"/>
    </row>
    <row r="110" spans="5:8" x14ac:dyDescent="0.3">
      <c r="E110">
        <v>89</v>
      </c>
      <c r="F110" s="29">
        <v>190555317.98075539</v>
      </c>
      <c r="G110" s="4"/>
      <c r="H110" s="4"/>
    </row>
    <row r="111" spans="5:8" x14ac:dyDescent="0.3">
      <c r="E111">
        <v>90</v>
      </c>
      <c r="F111" s="29">
        <v>246544078.445903</v>
      </c>
      <c r="G111" s="4"/>
      <c r="H111" s="4"/>
    </row>
    <row r="112" spans="5:8" x14ac:dyDescent="0.3">
      <c r="E112">
        <v>91</v>
      </c>
      <c r="F112" s="29">
        <v>176242059.49498069</v>
      </c>
      <c r="G112" s="4"/>
      <c r="H112" s="4"/>
    </row>
    <row r="113" spans="5:8" x14ac:dyDescent="0.3">
      <c r="E113">
        <v>92</v>
      </c>
      <c r="F113" s="29">
        <v>211342846.08950436</v>
      </c>
      <c r="G113" s="4"/>
      <c r="H113" s="4"/>
    </row>
    <row r="114" spans="5:8" x14ac:dyDescent="0.3">
      <c r="E114">
        <v>93</v>
      </c>
      <c r="F114" s="29">
        <v>229675581.17225015</v>
      </c>
      <c r="G114" s="4"/>
      <c r="H114" s="4"/>
    </row>
    <row r="115" spans="5:8" x14ac:dyDescent="0.3">
      <c r="E115">
        <v>94</v>
      </c>
      <c r="F115" s="29">
        <v>174732194.23442745</v>
      </c>
      <c r="G115" s="4"/>
      <c r="H115" s="4"/>
    </row>
    <row r="116" spans="5:8" x14ac:dyDescent="0.3">
      <c r="E116">
        <v>95</v>
      </c>
      <c r="F116" s="29">
        <v>156255026.42090747</v>
      </c>
      <c r="G116" s="4"/>
      <c r="H116" s="4"/>
    </row>
    <row r="117" spans="5:8" x14ac:dyDescent="0.3">
      <c r="E117">
        <v>96</v>
      </c>
      <c r="F117" s="29">
        <v>172140821.5523439</v>
      </c>
      <c r="G117" s="4"/>
      <c r="H117" s="4"/>
    </row>
    <row r="118" spans="5:8" x14ac:dyDescent="0.3">
      <c r="E118">
        <v>97</v>
      </c>
      <c r="F118" s="29">
        <v>211026644.48824707</v>
      </c>
      <c r="G118" s="4"/>
      <c r="H118" s="4"/>
    </row>
    <row r="119" spans="5:8" x14ac:dyDescent="0.3">
      <c r="E119">
        <v>98</v>
      </c>
      <c r="F119" s="29">
        <v>177942912.07204455</v>
      </c>
      <c r="G119" s="4"/>
      <c r="H119" s="4"/>
    </row>
    <row r="120" spans="5:8" x14ac:dyDescent="0.3">
      <c r="E120">
        <v>99</v>
      </c>
      <c r="F120" s="29">
        <v>195898772.56752402</v>
      </c>
      <c r="G120" s="4"/>
      <c r="H120" s="4"/>
    </row>
    <row r="121" spans="5:8" x14ac:dyDescent="0.3">
      <c r="E121">
        <v>100</v>
      </c>
      <c r="F121" s="29">
        <v>162741256.20341507</v>
      </c>
      <c r="G121" s="4"/>
      <c r="H121" s="4"/>
    </row>
    <row r="122" spans="5:8" x14ac:dyDescent="0.3">
      <c r="E122">
        <v>101</v>
      </c>
      <c r="F122" s="29">
        <v>236475968.85414398</v>
      </c>
      <c r="G122" s="4"/>
      <c r="H122" s="4"/>
    </row>
    <row r="123" spans="5:8" x14ac:dyDescent="0.3">
      <c r="E123">
        <v>102</v>
      </c>
      <c r="F123" s="29">
        <v>138080408.79761139</v>
      </c>
      <c r="G123" s="4"/>
      <c r="H123" s="4"/>
    </row>
    <row r="124" spans="5:8" x14ac:dyDescent="0.3">
      <c r="E124">
        <v>103</v>
      </c>
      <c r="F124" s="29">
        <v>168977133.61398301</v>
      </c>
      <c r="G124" s="4"/>
      <c r="H124" s="4"/>
    </row>
    <row r="125" spans="5:8" x14ac:dyDescent="0.3">
      <c r="E125">
        <v>104</v>
      </c>
      <c r="F125" s="29">
        <v>140828534.2901881</v>
      </c>
      <c r="G125" s="4"/>
      <c r="H125" s="4"/>
    </row>
    <row r="126" spans="5:8" x14ac:dyDescent="0.3">
      <c r="E126">
        <v>105</v>
      </c>
      <c r="F126" s="29">
        <v>218077172.38072455</v>
      </c>
      <c r="G126" s="4"/>
      <c r="H126" s="4"/>
    </row>
    <row r="127" spans="5:8" x14ac:dyDescent="0.3">
      <c r="E127">
        <v>106</v>
      </c>
      <c r="F127" s="29">
        <v>173064190.07303765</v>
      </c>
      <c r="G127" s="4"/>
      <c r="H127" s="4"/>
    </row>
    <row r="128" spans="5:8" x14ac:dyDescent="0.3">
      <c r="E128">
        <v>107</v>
      </c>
      <c r="F128" s="29">
        <v>231077138.12361592</v>
      </c>
      <c r="G128" s="4"/>
      <c r="H128" s="4"/>
    </row>
    <row r="129" spans="5:8" x14ac:dyDescent="0.3">
      <c r="E129">
        <v>108</v>
      </c>
      <c r="F129" s="29">
        <v>143551819.45600218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2022-04-13T08:44:33Z</dcterms:modified>
</cp:coreProperties>
</file>