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"/>
    </mc:Choice>
  </mc:AlternateContent>
  <xr:revisionPtr revIDLastSave="0" documentId="13_ncr:1_{AD1F82D2-F63C-4798-B834-FBD555F942DB}" xr6:coauthVersionLast="47" xr6:coauthVersionMax="47" xr10:uidLastSave="{00000000-0000-0000-0000-000000000000}"/>
  <bookViews>
    <workbookView xWindow="-108" yWindow="-108" windowWidth="23256" windowHeight="12456" activeTab="2" xr2:uid="{64B7B528-6AFC-453E-A699-FBF307BA8192}"/>
  </bookViews>
  <sheets>
    <sheet name="Dairy_Income_Roadmap" sheetId="4" r:id="rId1"/>
    <sheet name="Dairy_Income_Baseline" sheetId="10" r:id="rId2"/>
    <sheet name="Mappings" sheetId="1" r:id="rId3"/>
    <sheet name="MC_Baseline" sheetId="26" r:id="rId4"/>
    <sheet name="MC_High_ambition" sheetId="25" r:id="rId5"/>
    <sheet name="MC_Middle_road" sheetId="18" r:id="rId6"/>
    <sheet name="MC_Status_quo" sheetId="19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8" l="1"/>
  <c r="A19" i="18"/>
  <c r="A20" i="18"/>
  <c r="A4" i="21"/>
  <c r="A5" i="21"/>
  <c r="A6" i="21"/>
  <c r="A7" i="21"/>
  <c r="A8" i="21"/>
  <c r="A9" i="21"/>
  <c r="A10" i="21"/>
  <c r="A11" i="21"/>
  <c r="A12" i="21"/>
  <c r="A14" i="21"/>
  <c r="A15" i="21"/>
  <c r="A16" i="21"/>
  <c r="A18" i="21"/>
  <c r="A19" i="21"/>
  <c r="A20" i="21"/>
  <c r="A4" i="19"/>
  <c r="A5" i="19"/>
  <c r="A6" i="19"/>
  <c r="A7" i="19"/>
  <c r="A8" i="19"/>
  <c r="A9" i="19"/>
  <c r="A10" i="19"/>
  <c r="A11" i="19"/>
  <c r="A12" i="19"/>
  <c r="A14" i="19"/>
  <c r="A15" i="19"/>
  <c r="A16" i="19"/>
  <c r="A18" i="19"/>
  <c r="A19" i="19"/>
  <c r="A20" i="19"/>
  <c r="A3" i="19"/>
  <c r="A4" i="25"/>
  <c r="A5" i="25"/>
  <c r="A6" i="25"/>
  <c r="A7" i="25"/>
  <c r="A8" i="25"/>
  <c r="A9" i="25"/>
  <c r="A10" i="25"/>
  <c r="A11" i="25"/>
  <c r="A12" i="25"/>
  <c r="A14" i="25"/>
  <c r="A15" i="25"/>
  <c r="A16" i="25"/>
  <c r="A18" i="25"/>
  <c r="A19" i="25"/>
  <c r="A20" i="25"/>
  <c r="A3" i="25"/>
  <c r="F1" i="21"/>
  <c r="F1" i="19"/>
  <c r="F1" i="18"/>
  <c r="D1" i="21" l="1"/>
  <c r="C1" i="21"/>
  <c r="B1" i="21"/>
  <c r="D1" i="19"/>
  <c r="C1" i="19"/>
  <c r="B1" i="19"/>
  <c r="D1" i="18"/>
  <c r="C1" i="18"/>
  <c r="B1" i="18"/>
  <c r="D1" i="25"/>
  <c r="C1" i="25"/>
  <c r="B1" i="25"/>
  <c r="E4" i="4" l="1"/>
  <c r="G4" i="4"/>
  <c r="C4" i="4" s="1"/>
  <c r="C30" i="1" l="1"/>
  <c r="C24" i="1" l="1"/>
  <c r="C23" i="1"/>
  <c r="B11" i="1" l="1"/>
  <c r="B15" i="1" s="1"/>
  <c r="B19" i="1" s="1"/>
  <c r="B12" i="1"/>
  <c r="B16" i="1" s="1"/>
  <c r="B20" i="1" s="1"/>
  <c r="B10" i="1"/>
  <c r="B14" i="1" s="1"/>
  <c r="B18" i="1" s="1"/>
  <c r="C28" i="1" l="1"/>
  <c r="C32" i="1"/>
  <c r="C26" i="1"/>
  <c r="C25" i="1"/>
  <c r="A10" i="18" l="1"/>
  <c r="A9" i="18"/>
  <c r="F3" i="1" l="1"/>
  <c r="C33" i="1" l="1"/>
  <c r="C29" i="1"/>
  <c r="F4" i="1" l="1"/>
  <c r="C31" i="1" l="1"/>
  <c r="C27" i="1" l="1"/>
  <c r="I4" i="1" l="1"/>
  <c r="I3" i="1"/>
  <c r="L16" i="4" l="1"/>
  <c r="L29" i="4" l="1"/>
  <c r="L30" i="4"/>
  <c r="G8" i="4" l="1"/>
  <c r="E8" i="4"/>
  <c r="C8" i="4"/>
  <c r="L27" i="4"/>
  <c r="L26" i="4" l="1"/>
  <c r="K23" i="10" l="1"/>
  <c r="K25" i="10"/>
  <c r="L25" i="10"/>
  <c r="K27" i="10"/>
  <c r="L27" i="10"/>
  <c r="K28" i="10"/>
  <c r="L28" i="10"/>
  <c r="K30" i="10"/>
  <c r="K31" i="10"/>
  <c r="K33" i="10"/>
  <c r="L33" i="10"/>
  <c r="K34" i="10"/>
  <c r="L34" i="10"/>
  <c r="K36" i="10"/>
  <c r="K37" i="10"/>
  <c r="K38" i="10"/>
  <c r="K39" i="10"/>
  <c r="K20" i="10"/>
  <c r="K11" i="10"/>
  <c r="K14" i="10"/>
  <c r="K15" i="10"/>
  <c r="K17" i="10"/>
  <c r="K10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64" i="10"/>
  <c r="D63" i="10"/>
  <c r="L19" i="4"/>
  <c r="L20" i="10" s="1"/>
  <c r="L17" i="10" l="1"/>
  <c r="D11" i="10" l="1"/>
  <c r="D9" i="10"/>
  <c r="B9" i="10"/>
  <c r="D10" i="10"/>
  <c r="B38" i="10"/>
  <c r="L38" i="10"/>
  <c r="L36" i="10"/>
  <c r="L31" i="10"/>
  <c r="L30" i="10"/>
  <c r="B40" i="10"/>
  <c r="B11" i="10"/>
  <c r="E39" i="10"/>
  <c r="E36" i="10"/>
  <c r="B36" i="10"/>
  <c r="B39" i="10"/>
  <c r="E41" i="10"/>
  <c r="E40" i="10"/>
  <c r="B10" i="10"/>
  <c r="B41" i="10"/>
  <c r="E38" i="10"/>
  <c r="B12" i="10"/>
  <c r="D12" i="10"/>
  <c r="B8" i="10" l="1"/>
  <c r="B14" i="10" s="1"/>
  <c r="D8" i="10"/>
  <c r="D14" i="10" s="1"/>
  <c r="L37" i="10"/>
  <c r="L36" i="4" s="1"/>
  <c r="B19" i="10"/>
  <c r="L39" i="10"/>
  <c r="L38" i="4" s="1"/>
  <c r="D19" i="10"/>
  <c r="E49" i="10"/>
  <c r="L35" i="4"/>
  <c r="L37" i="4"/>
  <c r="G19" i="4" s="1"/>
  <c r="B42" i="10"/>
  <c r="E42" i="10"/>
  <c r="H3" i="1"/>
  <c r="H4" i="1"/>
  <c r="E19" i="4" l="1"/>
  <c r="C19" i="4"/>
  <c r="H8" i="1"/>
  <c r="H12" i="1" s="1"/>
  <c r="H16" i="1" s="1"/>
  <c r="H20" i="1" s="1"/>
  <c r="H6" i="1"/>
  <c r="H10" i="1" s="1"/>
  <c r="H14" i="1" s="1"/>
  <c r="H18" i="1" s="1"/>
  <c r="C38" i="4"/>
  <c r="H7" i="1"/>
  <c r="H11" i="1" s="1"/>
  <c r="H15" i="1" s="1"/>
  <c r="H19" i="1" s="1"/>
  <c r="L13" i="4" l="1"/>
  <c r="C15" i="4" s="1"/>
  <c r="L14" i="10" l="1"/>
  <c r="V4" i="1"/>
  <c r="C6" i="26" l="1"/>
  <c r="E6" i="1"/>
  <c r="E10" i="1" l="1"/>
  <c r="A3" i="21"/>
  <c r="A4" i="18"/>
  <c r="A5" i="18"/>
  <c r="A6" i="18"/>
  <c r="A7" i="18"/>
  <c r="A8" i="18"/>
  <c r="A11" i="18"/>
  <c r="A12" i="18"/>
  <c r="A14" i="18"/>
  <c r="A15" i="18"/>
  <c r="A16" i="18"/>
  <c r="A3" i="18"/>
  <c r="V3" i="1"/>
  <c r="B4" i="26"/>
  <c r="B6" i="26" l="1"/>
  <c r="C4" i="26"/>
  <c r="C5" i="26" s="1"/>
  <c r="L23" i="4" l="1"/>
  <c r="L23" i="10" l="1"/>
  <c r="K20" i="1" l="1"/>
  <c r="K18" i="1"/>
  <c r="K6" i="1" l="1"/>
  <c r="I15" i="1" l="1"/>
  <c r="I7" i="1"/>
  <c r="E8" i="1" l="1"/>
  <c r="E12" i="1" l="1"/>
  <c r="E16" i="1" s="1"/>
  <c r="E20" i="1" s="1"/>
  <c r="E14" i="1"/>
  <c r="E18" i="1" l="1"/>
  <c r="K14" i="1"/>
  <c r="K10" i="1"/>
  <c r="I6" i="1"/>
  <c r="B29" i="1" l="1"/>
  <c r="B33" i="1" s="1"/>
  <c r="B28" i="1"/>
  <c r="B32" i="1" s="1"/>
  <c r="B27" i="1"/>
  <c r="B31" i="1" s="1"/>
  <c r="I8" i="1"/>
  <c r="B26" i="1" l="1"/>
  <c r="B30" i="1"/>
  <c r="I12" i="1"/>
  <c r="I10" i="1"/>
  <c r="I11" i="1"/>
  <c r="I19" i="1"/>
  <c r="I16" i="1" l="1"/>
  <c r="I14" i="1"/>
  <c r="I18" i="1" l="1"/>
  <c r="I20" i="1"/>
  <c r="E37" i="4"/>
  <c r="E32" i="4"/>
  <c r="E35" i="4"/>
  <c r="E36" i="4"/>
  <c r="B49" i="10"/>
  <c r="C36" i="4"/>
  <c r="G36" i="4"/>
  <c r="G11" i="4"/>
  <c r="C11" i="4"/>
  <c r="E52" i="10"/>
  <c r="G9" i="4"/>
  <c r="C9" i="4"/>
  <c r="E50" i="10"/>
  <c r="E9" i="4"/>
  <c r="B50" i="10"/>
  <c r="C37" i="4"/>
  <c r="G37" i="4"/>
  <c r="G10" i="4"/>
  <c r="C10" i="4"/>
  <c r="E51" i="10"/>
  <c r="E10" i="4"/>
  <c r="B51" i="10"/>
  <c r="C35" i="4"/>
  <c r="G35" i="4"/>
  <c r="B52" i="10"/>
  <c r="E11" i="4"/>
  <c r="C32" i="4"/>
  <c r="G32" i="4"/>
  <c r="E55" i="10" l="1"/>
  <c r="B55" i="10"/>
  <c r="E45" i="4"/>
  <c r="E47" i="4"/>
  <c r="E46" i="4"/>
  <c r="E38" i="4"/>
  <c r="G45" i="4"/>
  <c r="G46" i="4"/>
  <c r="C47" i="4"/>
  <c r="G47" i="4"/>
  <c r="G38" i="4"/>
  <c r="C46" i="4"/>
  <c r="C45" i="4"/>
  <c r="G50" i="4" l="1"/>
  <c r="E50" i="4"/>
  <c r="C50" i="4"/>
  <c r="K8" i="1"/>
  <c r="K12" i="1"/>
  <c r="K16" i="1"/>
  <c r="N35" i="1" l="1"/>
  <c r="L14" i="4"/>
  <c r="L15" i="10" l="1"/>
  <c r="W4" i="1"/>
  <c r="C7" i="26" s="1"/>
  <c r="W3" i="1"/>
  <c r="B7" i="26" s="1"/>
  <c r="W8" i="1" l="1"/>
  <c r="W12" i="1" s="1"/>
  <c r="W16" i="1" s="1"/>
  <c r="W20" i="1" s="1"/>
  <c r="W7" i="1"/>
  <c r="W11" i="1" s="1"/>
  <c r="W15" i="1" s="1"/>
  <c r="W19" i="1" s="1"/>
  <c r="W6" i="1"/>
  <c r="W10" i="1" s="1"/>
  <c r="W14" i="1" s="1"/>
  <c r="W18" i="1" s="1"/>
  <c r="E42" i="4" l="1"/>
  <c r="C42" i="4" l="1"/>
  <c r="G42" i="4"/>
  <c r="G3" i="4" l="1"/>
  <c r="G5" i="4" s="1"/>
  <c r="B3" i="10"/>
  <c r="D3" i="10"/>
  <c r="E3" i="4" l="1"/>
  <c r="E5" i="4" s="1"/>
  <c r="B46" i="10"/>
  <c r="E46" i="10"/>
  <c r="G41" i="4"/>
  <c r="G52" i="4" s="1"/>
  <c r="C3" i="4"/>
  <c r="C5" i="4" s="1"/>
  <c r="C41" i="4" l="1"/>
  <c r="C52" i="4" s="1"/>
  <c r="E41" i="4"/>
  <c r="E52" i="4" s="1"/>
  <c r="G58" i="4" l="1"/>
  <c r="E58" i="4"/>
  <c r="C58" i="4"/>
  <c r="C54" i="4" s="1"/>
  <c r="G55" i="4" l="1"/>
  <c r="O8" i="1" s="1"/>
  <c r="G54" i="4"/>
  <c r="E54" i="4"/>
  <c r="E55" i="4"/>
  <c r="O11" i="1" s="1"/>
  <c r="C55" i="4"/>
  <c r="O10" i="1" s="1"/>
  <c r="O15" i="1" l="1"/>
  <c r="O19" i="1"/>
  <c r="O7" i="1"/>
  <c r="O12" i="1"/>
  <c r="O16" i="1"/>
  <c r="O20" i="1"/>
  <c r="O6" i="1"/>
  <c r="O14" i="1"/>
  <c r="O18" i="1"/>
  <c r="E3" i="1" l="1"/>
  <c r="B5" i="26" l="1"/>
  <c r="E7" i="1"/>
  <c r="E11" i="1" l="1"/>
  <c r="E15" i="1" l="1"/>
  <c r="E19" i="1" l="1"/>
  <c r="D22" i="10" l="1"/>
  <c r="D23" i="10" s="1"/>
  <c r="B22" i="10"/>
  <c r="B23" i="10" s="1"/>
  <c r="D20" i="10" l="1"/>
  <c r="D21" i="10" s="1"/>
  <c r="B20" i="10"/>
  <c r="B21" i="10" s="1"/>
  <c r="B24" i="10" l="1"/>
  <c r="B25" i="10"/>
  <c r="B26" i="10" s="1"/>
  <c r="D25" i="10"/>
  <c r="D26" i="10" s="1"/>
  <c r="D24" i="10"/>
  <c r="L4" i="1" l="1"/>
  <c r="D4" i="1" s="1"/>
  <c r="L3" i="1"/>
  <c r="D3" i="1" s="1"/>
  <c r="N21" i="1"/>
  <c r="M4" i="1" l="1"/>
  <c r="C3" i="1"/>
  <c r="J3" i="1"/>
  <c r="D11" i="1"/>
  <c r="C11" i="18" s="1"/>
  <c r="D18" i="1"/>
  <c r="D19" i="1"/>
  <c r="D14" i="1"/>
  <c r="D15" i="1"/>
  <c r="D6" i="1"/>
  <c r="D10" i="1"/>
  <c r="B10" i="26"/>
  <c r="M3" i="1"/>
  <c r="D8" i="1"/>
  <c r="J4" i="1"/>
  <c r="C10" i="26"/>
  <c r="B11" i="18" l="1"/>
  <c r="B11" i="25"/>
  <c r="C11" i="19"/>
  <c r="C11" i="21"/>
  <c r="D12" i="1"/>
  <c r="D11" i="25"/>
  <c r="G3" i="1"/>
  <c r="B11" i="19"/>
  <c r="B11" i="21"/>
  <c r="C4" i="1"/>
  <c r="Z4" i="1" s="1"/>
  <c r="Z8" i="1" s="1"/>
  <c r="Z12" i="1" s="1"/>
  <c r="Z16" i="1" s="1"/>
  <c r="Z3" i="1"/>
  <c r="B11" i="26" s="1"/>
  <c r="B15" i="26" s="1"/>
  <c r="D7" i="1"/>
  <c r="G4" i="1"/>
  <c r="C6" i="1" l="1"/>
  <c r="Z7" i="1"/>
  <c r="Z6" i="1"/>
  <c r="Z10" i="1" s="1"/>
  <c r="Z14" i="1" s="1"/>
  <c r="Z11" i="1"/>
  <c r="Z15" i="1" s="1"/>
  <c r="D11" i="18"/>
  <c r="D12" i="18" s="1"/>
  <c r="D16" i="18" s="1"/>
  <c r="D16" i="1"/>
  <c r="C12" i="1"/>
  <c r="Z20" i="1"/>
  <c r="C10" i="1"/>
  <c r="P4" i="1"/>
  <c r="C11" i="1"/>
  <c r="C11" i="26"/>
  <c r="C15" i="26" s="1"/>
  <c r="C11" i="25"/>
  <c r="C7" i="1"/>
  <c r="C8" i="1"/>
  <c r="P3" i="1"/>
  <c r="D12" i="25"/>
  <c r="D16" i="25" s="1"/>
  <c r="D12" i="19" l="1"/>
  <c r="C12" i="25"/>
  <c r="C16" i="25" s="1"/>
  <c r="B12" i="25"/>
  <c r="B16" i="25" s="1"/>
  <c r="C12" i="18"/>
  <c r="C16" i="18" s="1"/>
  <c r="D30" i="1"/>
  <c r="Z19" i="1"/>
  <c r="C12" i="21" s="1"/>
  <c r="C16" i="21" s="1"/>
  <c r="C12" i="19"/>
  <c r="C16" i="19" s="1"/>
  <c r="B12" i="19"/>
  <c r="B16" i="19" s="1"/>
  <c r="Z18" i="1"/>
  <c r="B12" i="21" s="1"/>
  <c r="B16" i="21" s="1"/>
  <c r="D31" i="1"/>
  <c r="Q3" i="1"/>
  <c r="R3" i="1"/>
  <c r="R4" i="1"/>
  <c r="Q4" i="1"/>
  <c r="B12" i="18"/>
  <c r="B16" i="18" s="1"/>
  <c r="D20" i="1"/>
  <c r="C16" i="1"/>
  <c r="D11" i="19"/>
  <c r="C14" i="1"/>
  <c r="C15" i="1"/>
  <c r="D16" i="19" l="1"/>
  <c r="D12" i="21"/>
  <c r="C8" i="26"/>
  <c r="C9" i="26" s="1"/>
  <c r="C14" i="26" s="1"/>
  <c r="D32" i="1"/>
  <c r="D11" i="21"/>
  <c r="C20" i="1"/>
  <c r="C19" i="1"/>
  <c r="C18" i="1"/>
  <c r="B8" i="26"/>
  <c r="B9" i="26" s="1"/>
  <c r="B14" i="26" s="1"/>
  <c r="D16" i="21" l="1"/>
  <c r="D33" i="1"/>
  <c r="G13" i="4" l="1"/>
  <c r="G27" i="4" s="1"/>
  <c r="E34" i="4"/>
  <c r="E44" i="4" s="1"/>
  <c r="E13" i="4"/>
  <c r="E27" i="4" s="1"/>
  <c r="G34" i="4" l="1"/>
  <c r="G44" i="4" s="1"/>
  <c r="N8" i="1"/>
  <c r="N16" i="1"/>
  <c r="N20" i="1"/>
  <c r="N12" i="1"/>
  <c r="C13" i="4"/>
  <c r="C27" i="4" s="1"/>
  <c r="C34" i="4"/>
  <c r="C44" i="4" s="1"/>
  <c r="N11" i="1"/>
  <c r="N7" i="1"/>
  <c r="N19" i="1"/>
  <c r="N15" i="1"/>
  <c r="C3" i="19" l="1"/>
  <c r="C4" i="19"/>
  <c r="C3" i="21"/>
  <c r="C4" i="21"/>
  <c r="D3" i="21"/>
  <c r="D4" i="21"/>
  <c r="C3" i="25"/>
  <c r="C4" i="25"/>
  <c r="N18" i="1"/>
  <c r="N14" i="1"/>
  <c r="N6" i="1"/>
  <c r="N10" i="1"/>
  <c r="D3" i="18"/>
  <c r="D4" i="18"/>
  <c r="D3" i="19"/>
  <c r="D4" i="19"/>
  <c r="C3" i="18"/>
  <c r="C4" i="18"/>
  <c r="D3" i="25"/>
  <c r="D4" i="25"/>
  <c r="G21" i="4"/>
  <c r="C21" i="4"/>
  <c r="E21" i="4"/>
  <c r="B3" i="25" l="1"/>
  <c r="B4" i="25"/>
  <c r="B3" i="21"/>
  <c r="B4" i="21"/>
  <c r="B4" i="19"/>
  <c r="B3" i="19"/>
  <c r="B3" i="18"/>
  <c r="B4" i="18"/>
  <c r="E20" i="4" l="1"/>
  <c r="C20" i="4"/>
  <c r="G20" i="4"/>
  <c r="E22" i="4" l="1"/>
  <c r="E23" i="4"/>
  <c r="E24" i="4" s="1"/>
  <c r="G23" i="4"/>
  <c r="G24" i="4" s="1"/>
  <c r="G22" i="4"/>
  <c r="C22" i="4"/>
  <c r="C23" i="4"/>
  <c r="C24" i="4" s="1"/>
  <c r="B4" i="10" l="1"/>
  <c r="D4" i="10"/>
  <c r="D5" i="10" l="1"/>
  <c r="D28" i="10" s="1"/>
  <c r="E47" i="10"/>
  <c r="E57" i="10" s="1"/>
  <c r="E63" i="10" s="1"/>
  <c r="B47" i="10"/>
  <c r="B57" i="10" s="1"/>
  <c r="C63" i="10" s="1"/>
  <c r="B5" i="10"/>
  <c r="B28" i="10" s="1"/>
  <c r="N3" i="1" l="1"/>
  <c r="C28" i="4"/>
  <c r="B60" i="10"/>
  <c r="O3" i="1" s="1"/>
  <c r="B59" i="10"/>
  <c r="M19" i="1"/>
  <c r="J19" i="1" s="1"/>
  <c r="M18" i="1"/>
  <c r="E59" i="10"/>
  <c r="E60" i="10"/>
  <c r="O4" i="1" s="1"/>
  <c r="T4" i="1" s="1"/>
  <c r="N4" i="1"/>
  <c r="G28" i="4"/>
  <c r="E28" i="4"/>
  <c r="M8" i="1"/>
  <c r="J8" i="1" s="1"/>
  <c r="F8" i="1" l="1"/>
  <c r="F19" i="1"/>
  <c r="T3" i="1"/>
  <c r="M7" i="1"/>
  <c r="J7" i="1" s="1"/>
  <c r="M6" i="1"/>
  <c r="J6" i="1" s="1"/>
  <c r="M20" i="1"/>
  <c r="J20" i="1" s="1"/>
  <c r="J18" i="1"/>
  <c r="P19" i="1"/>
  <c r="C5" i="21"/>
  <c r="C6" i="21" s="1"/>
  <c r="C14" i="21" s="1"/>
  <c r="M15" i="1"/>
  <c r="J15" i="1" s="1"/>
  <c r="M14" i="1"/>
  <c r="M10" i="1"/>
  <c r="M11" i="1"/>
  <c r="J11" i="1" s="1"/>
  <c r="U4" i="1"/>
  <c r="C2" i="26"/>
  <c r="S4" i="1"/>
  <c r="C3" i="26"/>
  <c r="C13" i="26" s="1"/>
  <c r="C17" i="26" s="1"/>
  <c r="B3" i="26"/>
  <c r="B13" i="26" s="1"/>
  <c r="B17" i="26" s="1"/>
  <c r="S3" i="1"/>
  <c r="U3" i="1"/>
  <c r="B2" i="26"/>
  <c r="T19" i="1" l="1"/>
  <c r="S19" i="1"/>
  <c r="T8" i="1"/>
  <c r="D5" i="25"/>
  <c r="D6" i="25" s="1"/>
  <c r="D14" i="25" s="1"/>
  <c r="S8" i="1"/>
  <c r="P8" i="1"/>
  <c r="R8" i="1" s="1"/>
  <c r="Y3" i="1"/>
  <c r="F18" i="1"/>
  <c r="F7" i="1"/>
  <c r="F20" i="1"/>
  <c r="F11" i="1"/>
  <c r="Y4" i="1"/>
  <c r="F15" i="1"/>
  <c r="F6" i="1"/>
  <c r="AA19" i="1"/>
  <c r="J10" i="1"/>
  <c r="M12" i="1"/>
  <c r="J12" i="1" s="1"/>
  <c r="M16" i="1"/>
  <c r="J16" i="1" s="1"/>
  <c r="J14" i="1"/>
  <c r="AA3" i="1"/>
  <c r="Q19" i="1"/>
  <c r="R19" i="1"/>
  <c r="X4" i="1"/>
  <c r="U8" i="1"/>
  <c r="U6" i="1"/>
  <c r="U10" i="1" s="1"/>
  <c r="X3" i="1"/>
  <c r="U7" i="1"/>
  <c r="E17" i="26"/>
  <c r="E21" i="26" s="1"/>
  <c r="AA4" i="1"/>
  <c r="B5" i="21" l="1"/>
  <c r="B6" i="21" s="1"/>
  <c r="B14" i="21" s="1"/>
  <c r="Q8" i="1"/>
  <c r="V8" i="1" s="1"/>
  <c r="AA8" i="1"/>
  <c r="T18" i="1"/>
  <c r="P18" i="1"/>
  <c r="R18" i="1" s="1"/>
  <c r="S18" i="1"/>
  <c r="P15" i="1"/>
  <c r="Q15" i="1" s="1"/>
  <c r="S11" i="1"/>
  <c r="T11" i="1"/>
  <c r="P11" i="1"/>
  <c r="R11" i="1" s="1"/>
  <c r="C5" i="18"/>
  <c r="C6" i="18" s="1"/>
  <c r="C14" i="18" s="1"/>
  <c r="T6" i="1"/>
  <c r="S6" i="1"/>
  <c r="F14" i="1"/>
  <c r="F16" i="1"/>
  <c r="F12" i="1"/>
  <c r="F10" i="1"/>
  <c r="P20" i="1"/>
  <c r="Q20" i="1" s="1"/>
  <c r="T20" i="1"/>
  <c r="S7" i="1"/>
  <c r="P7" i="1"/>
  <c r="C5" i="25"/>
  <c r="C6" i="25" s="1"/>
  <c r="C14" i="25" s="1"/>
  <c r="T7" i="1"/>
  <c r="T15" i="1"/>
  <c r="S20" i="1"/>
  <c r="C5" i="19"/>
  <c r="C6" i="19" s="1"/>
  <c r="C14" i="19" s="1"/>
  <c r="D5" i="21"/>
  <c r="D6" i="21" s="1"/>
  <c r="D14" i="21" s="1"/>
  <c r="S15" i="1"/>
  <c r="B5" i="25"/>
  <c r="B6" i="25" s="1"/>
  <c r="B14" i="25" s="1"/>
  <c r="P6" i="1"/>
  <c r="Q6" i="1" s="1"/>
  <c r="AB4" i="1"/>
  <c r="AB3" i="1"/>
  <c r="U14" i="1"/>
  <c r="U12" i="1"/>
  <c r="D9" i="25"/>
  <c r="D10" i="25" s="1"/>
  <c r="C9" i="21"/>
  <c r="V19" i="1"/>
  <c r="E18" i="26"/>
  <c r="E19" i="26"/>
  <c r="U11" i="1"/>
  <c r="U15" i="1" s="1"/>
  <c r="B5" i="18"/>
  <c r="B6" i="18" s="1"/>
  <c r="B14" i="18" s="1"/>
  <c r="AA18" i="1" l="1"/>
  <c r="AA11" i="1"/>
  <c r="AA6" i="1"/>
  <c r="R15" i="1"/>
  <c r="Q18" i="1"/>
  <c r="B9" i="21" s="1"/>
  <c r="Q11" i="1"/>
  <c r="C9" i="18" s="1"/>
  <c r="C10" i="18" s="1"/>
  <c r="S10" i="1"/>
  <c r="P16" i="1"/>
  <c r="Q16" i="1" s="1"/>
  <c r="R20" i="1"/>
  <c r="V20" i="1" s="1"/>
  <c r="S16" i="1"/>
  <c r="T14" i="1"/>
  <c r="P14" i="1"/>
  <c r="Q14" i="1" s="1"/>
  <c r="S14" i="1"/>
  <c r="D5" i="18"/>
  <c r="D6" i="18" s="1"/>
  <c r="D14" i="18" s="1"/>
  <c r="B5" i="19"/>
  <c r="B6" i="19" s="1"/>
  <c r="B14" i="19" s="1"/>
  <c r="P12" i="1"/>
  <c r="Q12" i="1" s="1"/>
  <c r="R6" i="1"/>
  <c r="V6" i="1" s="1"/>
  <c r="S12" i="1"/>
  <c r="AA7" i="1"/>
  <c r="D5" i="19"/>
  <c r="D6" i="19" s="1"/>
  <c r="D14" i="19" s="1"/>
  <c r="AA20" i="1"/>
  <c r="T10" i="1"/>
  <c r="R7" i="1"/>
  <c r="Q7" i="1"/>
  <c r="AA15" i="1"/>
  <c r="T16" i="1"/>
  <c r="P10" i="1"/>
  <c r="Q10" i="1" s="1"/>
  <c r="T12" i="1"/>
  <c r="D7" i="25"/>
  <c r="D8" i="25" s="1"/>
  <c r="D15" i="25" s="1"/>
  <c r="D18" i="25" s="1"/>
  <c r="Y8" i="1"/>
  <c r="C9" i="19"/>
  <c r="C10" i="19" s="1"/>
  <c r="V15" i="1"/>
  <c r="X8" i="1"/>
  <c r="U16" i="1"/>
  <c r="B9" i="25"/>
  <c r="B10" i="25" s="1"/>
  <c r="D9" i="21"/>
  <c r="U19" i="1"/>
  <c r="X19" i="1" s="1"/>
  <c r="Y19" i="1"/>
  <c r="C7" i="21"/>
  <c r="C8" i="21" s="1"/>
  <c r="H19" i="26"/>
  <c r="AD4" i="1" s="1"/>
  <c r="U18" i="1"/>
  <c r="AA16" i="1" l="1"/>
  <c r="AA12" i="1"/>
  <c r="V18" i="1"/>
  <c r="X18" i="1" s="1"/>
  <c r="R16" i="1"/>
  <c r="V16" i="1" s="1"/>
  <c r="AA14" i="1"/>
  <c r="AA10" i="1"/>
  <c r="V11" i="1"/>
  <c r="C7" i="18" s="1"/>
  <c r="R14" i="1"/>
  <c r="V14" i="1" s="1"/>
  <c r="R12" i="1"/>
  <c r="V12" i="1" s="1"/>
  <c r="C9" i="25"/>
  <c r="C10" i="25" s="1"/>
  <c r="V7" i="1"/>
  <c r="R10" i="1"/>
  <c r="V10" i="1" s="1"/>
  <c r="AB19" i="1"/>
  <c r="U20" i="1"/>
  <c r="X20" i="1" s="1"/>
  <c r="C7" i="19"/>
  <c r="Y15" i="1"/>
  <c r="AB8" i="1"/>
  <c r="Y20" i="1"/>
  <c r="D7" i="21"/>
  <c r="D8" i="21" s="1"/>
  <c r="B9" i="18"/>
  <c r="B10" i="18" s="1"/>
  <c r="D9" i="18"/>
  <c r="D10" i="18" s="1"/>
  <c r="B9" i="19"/>
  <c r="B10" i="19" s="1"/>
  <c r="X15" i="1"/>
  <c r="X6" i="1"/>
  <c r="B7" i="25"/>
  <c r="B8" i="25" s="1"/>
  <c r="B15" i="25" s="1"/>
  <c r="B18" i="25" s="1"/>
  <c r="Y6" i="1"/>
  <c r="D9" i="19"/>
  <c r="D10" i="19" s="1"/>
  <c r="C8" i="18" l="1"/>
  <c r="C15" i="18" s="1"/>
  <c r="C18" i="18" s="1"/>
  <c r="C8" i="19"/>
  <c r="C15" i="19" s="1"/>
  <c r="C18" i="19" s="1"/>
  <c r="B7" i="21"/>
  <c r="B8" i="21" s="1"/>
  <c r="Y18" i="1"/>
  <c r="Y11" i="1"/>
  <c r="AB11" i="1" s="1"/>
  <c r="X11" i="1"/>
  <c r="Y7" i="1"/>
  <c r="C7" i="25"/>
  <c r="C8" i="25" s="1"/>
  <c r="C15" i="25" s="1"/>
  <c r="C18" i="25" s="1"/>
  <c r="F18" i="25" s="1"/>
  <c r="F22" i="25" s="1"/>
  <c r="F19" i="25" s="1"/>
  <c r="X7" i="1"/>
  <c r="AB15" i="1"/>
  <c r="AB20" i="1"/>
  <c r="Y16" i="1"/>
  <c r="D7" i="19"/>
  <c r="AB6" i="1"/>
  <c r="Y12" i="1"/>
  <c r="D7" i="18"/>
  <c r="X12" i="1"/>
  <c r="Y14" i="1"/>
  <c r="B7" i="19"/>
  <c r="X14" i="1"/>
  <c r="AB18" i="1"/>
  <c r="X16" i="1"/>
  <c r="B7" i="18"/>
  <c r="Y10" i="1"/>
  <c r="X10" i="1"/>
  <c r="B8" i="19" l="1"/>
  <c r="B15" i="19" s="1"/>
  <c r="B18" i="19" s="1"/>
  <c r="D8" i="18"/>
  <c r="D15" i="18" s="1"/>
  <c r="D18" i="18" s="1"/>
  <c r="D8" i="19"/>
  <c r="D15" i="19" s="1"/>
  <c r="D18" i="19" s="1"/>
  <c r="B8" i="18"/>
  <c r="B15" i="18" s="1"/>
  <c r="B18" i="18" s="1"/>
  <c r="AB7" i="1"/>
  <c r="F20" i="25"/>
  <c r="I20" i="25" s="1"/>
  <c r="AD8" i="1" s="1"/>
  <c r="AB16" i="1"/>
  <c r="AB10" i="1"/>
  <c r="AB12" i="1"/>
  <c r="AC20" i="1"/>
  <c r="AB14" i="1"/>
  <c r="F18" i="18" l="1"/>
  <c r="F22" i="18" s="1"/>
  <c r="F19" i="18" s="1"/>
  <c r="F18" i="19"/>
  <c r="F22" i="19" s="1"/>
  <c r="F20" i="19" s="1"/>
  <c r="AC8" i="1"/>
  <c r="AC16" i="1"/>
  <c r="AC12" i="1"/>
  <c r="F20" i="18" l="1"/>
  <c r="I20" i="18" s="1"/>
  <c r="F19" i="19"/>
  <c r="I20" i="19" s="1"/>
  <c r="AD16" i="1" s="1"/>
  <c r="AD12" i="1" l="1"/>
  <c r="D10" i="21" l="1"/>
  <c r="D15" i="21" s="1"/>
  <c r="D18" i="21" s="1"/>
  <c r="C10" i="21" l="1"/>
  <c r="C15" i="21" s="1"/>
  <c r="C18" i="21" s="1"/>
  <c r="B10" i="21"/>
  <c r="B15" i="21" s="1"/>
  <c r="B18" i="21" s="1"/>
  <c r="F18" i="21" l="1"/>
  <c r="F22" i="21" s="1"/>
  <c r="F20" i="21" s="1"/>
  <c r="F19" i="21" l="1"/>
  <c r="I20" i="21" s="1"/>
  <c r="AD20" i="1" s="1"/>
</calcChain>
</file>

<file path=xl/sharedStrings.xml><?xml version="1.0" encoding="utf-8"?>
<sst xmlns="http://schemas.openxmlformats.org/spreadsheetml/2006/main" count="212" uniqueCount="142">
  <si>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</si>
  <si>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</si>
  <si>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</si>
  <si>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</si>
  <si>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</si>
  <si>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</si>
  <si>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</si>
  <si>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</si>
  <si>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</si>
  <si>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</si>
  <si>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</si>
  <si>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</si>
  <si>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</si>
  <si>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</si>
  <si>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Gilbert et al. (2018)</t>
  </si>
  <si>
    <t>Milk price (USD / l)</t>
  </si>
  <si>
    <t>Yield (L/year)</t>
  </si>
  <si>
    <t>Milk price</t>
  </si>
  <si>
    <t>Total expenses</t>
  </si>
  <si>
    <t>Scenario</t>
  </si>
  <si>
    <t>GLS (2019) and typology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</si>
  <si>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</si>
  <si>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</si>
  <si>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</si>
  <si>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</si>
  <si>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</si>
  <si>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</si>
  <si>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</si>
  <si>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</si>
  <si>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</si>
  <si>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</si>
  <si>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</si>
  <si>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</si>
  <si>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</si>
  <si>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</si>
  <si>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</si>
  <si>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</si>
  <si>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</si>
  <si>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Aggregated</t>
  </si>
  <si>
    <t>Random value cows per household (head)</t>
  </si>
  <si>
    <t>Quantity households</t>
  </si>
  <si>
    <t>Dairy Income (USD/household/year)</t>
  </si>
  <si>
    <t>Non dairy income (USD/household/year)</t>
  </si>
  <si>
    <t>Estimated population income (USD/yr)</t>
  </si>
  <si>
    <t>Mean population income (USD/yr)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</si>
  <si>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</si>
  <si>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</si>
  <si>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</si>
  <si>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</si>
  <si>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</si>
  <si>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</si>
  <si>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Parameters (as defined in Table 1 and other sections of text) (based on TLSA, URT 2017)</t>
  </si>
  <si>
    <t>Standard error (%) district level</t>
  </si>
  <si>
    <t>SE population income (USD/yr)</t>
  </si>
  <si>
    <t>Standard deviations of revenue, cost parameters</t>
  </si>
  <si>
    <t>Random values of parameters</t>
  </si>
  <si>
    <t>Uncertainty quantification</t>
  </si>
  <si>
    <t>Milk price (USD/litre)</t>
  </si>
  <si>
    <t>Milk yield (litre/cow/year)</t>
  </si>
  <si>
    <t>Value milk produced (USD/year/cow)</t>
  </si>
  <si>
    <t>Variable expenses (USD/cow/year)</t>
  </si>
  <si>
    <t>Health inputs/services</t>
  </si>
  <si>
    <t>Reproductive inputs/services</t>
  </si>
  <si>
    <t>Heifer</t>
  </si>
  <si>
    <t>Revenue</t>
  </si>
  <si>
    <t>Change in pasture allocation (ha)</t>
  </si>
  <si>
    <t>Forage seeding cost (USD/year)</t>
  </si>
  <si>
    <t>Use efficiency napier</t>
  </si>
  <si>
    <t>Use efficiency pasture</t>
  </si>
  <si>
    <t>Price acquring new animal (USD/head)</t>
  </si>
  <si>
    <t>Standard error animal price (fraction)</t>
  </si>
  <si>
    <t>Monte carlo simulations (n = 500)</t>
  </si>
  <si>
    <t>Forage seeding cost (USD/yr)</t>
  </si>
  <si>
    <t xml:space="preserve">Feeding expenses </t>
  </si>
  <si>
    <t>Forage seeding cost (USD/ha/yr)</t>
  </si>
  <si>
    <t>Dairy expenses</t>
  </si>
  <si>
    <t>Cropping expenses</t>
  </si>
  <si>
    <t xml:space="preserve">Cropping expenses </t>
  </si>
  <si>
    <t>Napier fed (kg/yr)</t>
  </si>
  <si>
    <t xml:space="preserve">Napier land allocation (ha) </t>
  </si>
  <si>
    <t>Pasture fed (kg/yr)</t>
  </si>
  <si>
    <t xml:space="preserve">Pasture allocation (ha) </t>
  </si>
  <si>
    <t>Baseline</t>
  </si>
  <si>
    <t>Total planted forage allocation (ha)</t>
  </si>
  <si>
    <t>Sources</t>
  </si>
  <si>
    <t>Total herd size base year (head)</t>
  </si>
  <si>
    <t>Total variable expenses (USD/head/year)</t>
  </si>
  <si>
    <t>Heifer cost (USD/head)</t>
  </si>
  <si>
    <t>Amortization period (years)</t>
  </si>
  <si>
    <t>Ratio improved cattle for which new adopters adopt (inclusive)</t>
  </si>
  <si>
    <t xml:space="preserve"> Dairy income by household</t>
  </si>
  <si>
    <t>Change in income from cropping (USD)</t>
  </si>
  <si>
    <t xml:space="preserve">Standard error (%) of net household income intervention scenario not including dairy </t>
  </si>
  <si>
    <t>Basic income parameters</t>
  </si>
  <si>
    <t>Change in forage land area (ha)</t>
  </si>
  <si>
    <t>Forage seeding cost (USD)</t>
  </si>
  <si>
    <t>Adoption rate (% of hholds) toggle</t>
  </si>
  <si>
    <t>Total variable expenses (USD/cow/year)</t>
  </si>
  <si>
    <t>Local-owning</t>
  </si>
  <si>
    <t>Improved-owning</t>
  </si>
  <si>
    <t>Price deflator</t>
  </si>
  <si>
    <t>Reduction in non-dairy income through crop area change</t>
  </si>
  <si>
    <t>Total dairy income (USD/yr)</t>
  </si>
  <si>
    <t>Milk yield</t>
  </si>
  <si>
    <t>Milk yield standard error (fraction)</t>
  </si>
  <si>
    <t xml:space="preserve">Proportion of households within region  </t>
  </si>
  <si>
    <t>New-improved</t>
  </si>
  <si>
    <t>Local-only</t>
  </si>
  <si>
    <t>Extant-improved</t>
  </si>
  <si>
    <t>High ambition</t>
  </si>
  <si>
    <t>Middle road</t>
  </si>
  <si>
    <t>Status quo</t>
  </si>
  <si>
    <t>High ambition ++</t>
  </si>
  <si>
    <t>Fraction Improved owned by other farms rearing purebred bos taurus base year</t>
  </si>
  <si>
    <t>Fraction Improved owned by other farms rearing purebred bos taurus final year</t>
  </si>
  <si>
    <t>Fraction all dairy households adopting</t>
  </si>
  <si>
    <t>All dairy households</t>
  </si>
  <si>
    <t>Income per cow (USD/yr)</t>
  </si>
  <si>
    <t>Random value income per cow (USD/yr)</t>
  </si>
  <si>
    <t>Cows per household (head)</t>
  </si>
  <si>
    <t>Non-dairy income (USD/yr)</t>
  </si>
  <si>
    <t>Random value non dairy income (USD/yr)</t>
  </si>
  <si>
    <t>Random value reduction/increase in non-dairy income (USD/yr)</t>
  </si>
  <si>
    <t>SE quantity households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</si>
  <si>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</si>
  <si>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</si>
  <si>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</si>
  <si>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</si>
  <si>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</si>
  <si>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</si>
  <si>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</si>
  <si>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Projection from base year excluding dairy</t>
  </si>
  <si>
    <t xml:space="preserve">Total base year (2018) </t>
  </si>
  <si>
    <t>Total final year (simulated)</t>
  </si>
  <si>
    <t>Uncertainty in population percentage (used for quantifying uncertainty)</t>
  </si>
  <si>
    <t>Total income per household type (USD/yr)</t>
  </si>
  <si>
    <t>Aggregate absolute welfare gain/loss relative to Baseline (fraction)</t>
  </si>
  <si>
    <t>Standard error of imputed income at district level (%)</t>
  </si>
  <si>
    <r>
      <t xml:space="preserve">Household income </t>
    </r>
    <r>
      <rPr>
        <sz val="12"/>
        <color theme="1"/>
        <rFont val="Calibri"/>
        <family val="2"/>
        <scheme val="minor"/>
      </rPr>
      <t>(USD/yr)</t>
    </r>
  </si>
  <si>
    <t>District totals</t>
  </si>
  <si>
    <t xml:space="preserve">Dairy Income </t>
  </si>
  <si>
    <t>Average herd size (head) in base year (2018)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</si>
</sst>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8" formatCode="&quot;$&quot;#,##0.00_);[Red]\(&quot;$&quot;#,##0.00\)"/>
    <numFmt numFmtId="43" formatCode="_(* #,##0.00_);_(* \(#,##0.00\);_(* &quot;-&quot;??_);_(@_)"/>
    <numFmt numFmtId="164" formatCode="0.0000"/>
    <numFmt numFmtId="165" formatCode="0.0"/>
    <numFmt numFmtId="166" formatCode="_(* #,##0.000_);_(* \(#,##0.000\);_(* &quot;-&quot;??_);_(@_)"/>
    <numFmt numFmtId="167" formatCode="_(* #,##0.0_);_(* \(#,##0.0\);_(* &quot;-&quot;??_);_(@_)"/>
    <numFmt numFmtId="168" formatCode="0.000"/>
    <numFmt numFmtId="169" formatCode="_(* #,##0.0000_);_(* \(#,##0.0000\);_(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2"/>
      <color rgb="FF222222"/>
      <name val="Arial"/>
      <family val="2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3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43" fontId="0" fillId="0" borderId="0" xfId="1" applyFont="1" applyAlignment="1">
      <alignment horizontal="center"/>
    </xf>
    <xf numFmtId="43" fontId="0" fillId="0" borderId="0" xfId="0" applyNumberFormat="1"/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43" fontId="0" fillId="0" borderId="0" xfId="1" applyFont="1"/>
    <xf numFmtId="0" fontId="0" fillId="0" borderId="0" xfId="0" applyAlignment="1">
      <alignment horizontal="center"/>
    </xf>
    <xf numFmtId="164" fontId="4" fillId="0" borderId="0" xfId="0" applyNumberFormat="1" applyFont="1"/>
    <xf numFmtId="164" fontId="0" fillId="0" borderId="0" xfId="0" applyNumberFormat="1"/>
    <xf numFmtId="0" fontId="0" fillId="0" borderId="0" xfId="0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0" fontId="8" fillId="0" borderId="0" xfId="0" applyFont="1"/>
    <xf numFmtId="0" fontId="11" fillId="0" borderId="0" xfId="0" applyFont="1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2" fillId="0" borderId="0" xfId="0" applyFont="1"/>
    <xf numFmtId="0" fontId="12" fillId="0" borderId="0" xfId="2" applyFont="1"/>
    <xf numFmtId="0" fontId="0" fillId="0" borderId="0" xfId="0" applyAlignment="1">
      <alignment horizontal="center"/>
    </xf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/>
    <xf numFmtId="43" fontId="0" fillId="0" borderId="0" xfId="1" applyNumberFormat="1" applyFont="1" applyAlignment="1">
      <alignment horizontal="center"/>
    </xf>
    <xf numFmtId="167" fontId="0" fillId="0" borderId="0" xfId="0" applyNumberFormat="1"/>
    <xf numFmtId="166" fontId="0" fillId="0" borderId="0" xfId="1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6" fontId="0" fillId="0" borderId="0" xfId="0" applyNumberFormat="1"/>
    <xf numFmtId="0" fontId="0" fillId="0" borderId="0" xfId="0" applyNumberFormat="1"/>
    <xf numFmtId="0" fontId="17" fillId="0" borderId="0" xfId="0" applyFont="1"/>
    <xf numFmtId="8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43" fontId="18" fillId="0" borderId="0" xfId="0" applyNumberFormat="1" applyFont="1"/>
    <xf numFmtId="0" fontId="2" fillId="0" borderId="0" xfId="0" applyFont="1" applyAlignment="1">
      <alignment horizontal="center"/>
    </xf>
    <xf numFmtId="43" fontId="2" fillId="0" borderId="0" xfId="0" applyNumberFormat="1" applyFont="1"/>
    <xf numFmtId="165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/>
    <xf numFmtId="0" fontId="10" fillId="0" borderId="0" xfId="0" applyFont="1" applyAlignment="1">
      <alignment horizontal="center"/>
    </xf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2" fontId="0" fillId="0" borderId="0" xfId="0" applyNumberFormat="1" applyFont="1"/>
    <xf numFmtId="2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167" fontId="0" fillId="0" borderId="0" xfId="1" applyNumberFormat="1" applyFont="1" applyAlignment="1">
      <alignment horizontal="center"/>
    </xf>
    <xf numFmtId="167" fontId="12" fillId="0" borderId="0" xfId="1" applyNumberFormat="1" applyFont="1"/>
    <xf numFmtId="167" fontId="0" fillId="0" borderId="0" xfId="1" applyNumberFormat="1" applyFont="1"/>
    <xf numFmtId="165" fontId="0" fillId="0" borderId="0" xfId="1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2" fontId="2" fillId="0" borderId="0" xfId="0" applyNumberFormat="1" applyFont="1" applyAlignment="1"/>
    <xf numFmtId="0" fontId="18" fillId="0" borderId="0" xfId="0" applyFont="1"/>
    <xf numFmtId="168" fontId="18" fillId="0" borderId="0" xfId="0" applyNumberFormat="1" applyFont="1"/>
    <xf numFmtId="166" fontId="6" fillId="0" borderId="0" xfId="0" applyNumberFormat="1" applyFont="1"/>
    <xf numFmtId="167" fontId="12" fillId="0" borderId="0" xfId="0" applyNumberFormat="1" applyFont="1"/>
    <xf numFmtId="43" fontId="12" fillId="0" borderId="0" xfId="0" applyNumberFormat="1" applyFont="1"/>
    <xf numFmtId="166" fontId="12" fillId="0" borderId="0" xfId="0" applyNumberFormat="1" applyFont="1"/>
    <xf numFmtId="167" fontId="12" fillId="0" borderId="0" xfId="1" applyNumberFormat="1" applyFont="1" applyAlignment="1">
      <alignment horizontal="center"/>
    </xf>
    <xf numFmtId="2" fontId="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43" fontId="19" fillId="0" borderId="0" xfId="0" applyNumberFormat="1" applyFont="1"/>
    <xf numFmtId="166" fontId="19" fillId="0" borderId="0" xfId="0" applyNumberFormat="1" applyFont="1"/>
    <xf numFmtId="167" fontId="19" fillId="0" borderId="0" xfId="0" applyNumberFormat="1" applyFont="1"/>
    <xf numFmtId="0" fontId="20" fillId="0" borderId="0" xfId="0" applyFont="1"/>
    <xf numFmtId="0" fontId="21" fillId="0" borderId="0" xfId="0" applyFont="1"/>
    <xf numFmtId="43" fontId="20" fillId="0" borderId="0" xfId="0" applyNumberFormat="1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2" fillId="0" borderId="0" xfId="0" applyNumberFormat="1" applyFont="1"/>
    <xf numFmtId="0" fontId="0" fillId="0" borderId="0" xfId="0"/>
    <xf numFmtId="43" fontId="3" fillId="0" borderId="0" xfId="0" applyNumberFormat="1" applyFont="1" applyAlignment="1">
      <alignment horizontal="center"/>
    </xf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43" fontId="12" fillId="0" borderId="0" xfId="1" applyNumberFormat="1" applyFont="1"/>
    <xf numFmtId="0" fontId="22" fillId="0" borderId="0" xfId="0" applyFon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/>
    <xf numFmtId="0" fontId="10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8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 vertical="top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mruColors>
      <color rgb="FFB88C00"/>
      <color rgb="FF8A6D93"/>
      <color rgb="FFCC00CC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Currency_converter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global_parameter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output_ncc_m1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wkj/Documents/GitHub/sm/new%20version/livsim/examples/notebooks/sectoral%20model%20files/regional%20data%20files/New_Income_accounting_Mufind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7">
          <cell r="L7">
            <v>0.4365</v>
          </cell>
        </row>
        <row r="12">
          <cell r="B12">
            <v>285</v>
          </cell>
          <cell r="E12">
            <v>1025.9000000000001</v>
          </cell>
          <cell r="F12">
            <v>86</v>
          </cell>
          <cell r="G12">
            <v>4.8</v>
          </cell>
          <cell r="H12">
            <v>0.67</v>
          </cell>
          <cell r="I12">
            <v>0.44</v>
          </cell>
          <cell r="J12">
            <v>5.7</v>
          </cell>
          <cell r="L12">
            <v>0.37830000000000003</v>
          </cell>
          <cell r="M12">
            <v>397.7</v>
          </cell>
          <cell r="N12">
            <v>290.10000000000002</v>
          </cell>
          <cell r="P12">
            <v>2.9</v>
          </cell>
          <cell r="Q12">
            <v>7.4</v>
          </cell>
          <cell r="R12">
            <v>0.1</v>
          </cell>
          <cell r="S12">
            <v>0.09</v>
          </cell>
          <cell r="T12">
            <v>0</v>
          </cell>
          <cell r="U12">
            <v>154.1</v>
          </cell>
          <cell r="V12">
            <v>132.4</v>
          </cell>
          <cell r="W12">
            <v>17.3</v>
          </cell>
          <cell r="X12">
            <v>9.1</v>
          </cell>
          <cell r="Y12">
            <v>0.7</v>
          </cell>
        </row>
        <row r="13">
          <cell r="E13">
            <v>1038.0999999999999</v>
          </cell>
          <cell r="F13">
            <v>80</v>
          </cell>
          <cell r="G13">
            <v>2.6601940000000002</v>
          </cell>
          <cell r="I13">
            <v>0.55710000000000004</v>
          </cell>
          <cell r="J13">
            <v>5.4</v>
          </cell>
          <cell r="L13">
            <v>0.46559999999999996</v>
          </cell>
          <cell r="N13">
            <v>383.9</v>
          </cell>
          <cell r="P13">
            <v>7.8</v>
          </cell>
          <cell r="Q13">
            <v>7</v>
          </cell>
          <cell r="R13">
            <v>0.8</v>
          </cell>
          <cell r="S13">
            <v>7.0000000000000007E-2</v>
          </cell>
          <cell r="U13">
            <v>174.3</v>
          </cell>
          <cell r="V13">
            <v>84.4</v>
          </cell>
          <cell r="W13">
            <v>50.4</v>
          </cell>
          <cell r="X13">
            <v>8.1999999999999993</v>
          </cell>
          <cell r="Y13">
            <v>3.3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  <cell r="J3">
            <v>0.68386570000000002</v>
          </cell>
        </row>
        <row r="8">
          <cell r="J8">
            <v>658752.030520448</v>
          </cell>
          <cell r="K8">
            <v>337427.14732889878</v>
          </cell>
        </row>
        <row r="9">
          <cell r="J9">
            <v>749487.51429761341</v>
          </cell>
          <cell r="K9">
            <v>383903.83967130841</v>
          </cell>
        </row>
        <row r="10">
          <cell r="J10">
            <v>305597.56120939605</v>
          </cell>
          <cell r="K10">
            <v>156533.73125557942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J25">
            <v>0.75</v>
          </cell>
          <cell r="K25">
            <v>0.75</v>
          </cell>
        </row>
        <row r="26">
          <cell r="J26">
            <v>0.25</v>
          </cell>
          <cell r="K26">
            <v>0.25</v>
          </cell>
        </row>
        <row r="31">
          <cell r="J31">
            <v>741286.48907440051</v>
          </cell>
          <cell r="K31">
            <v>423497.21659299906</v>
          </cell>
        </row>
        <row r="34">
          <cell r="J34">
            <v>0.71693285000000007</v>
          </cell>
          <cell r="K34">
            <v>0.71693285000000007</v>
          </cell>
        </row>
        <row r="35">
          <cell r="J35">
            <v>0.28306714999999993</v>
          </cell>
          <cell r="K35">
            <v>0.28306714999999993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J40">
            <v>766051.15530889854</v>
          </cell>
          <cell r="K40">
            <v>438136.51768563368</v>
          </cell>
        </row>
        <row r="43">
          <cell r="J43">
            <v>0.68386570000000002</v>
          </cell>
          <cell r="K43">
            <v>0.68386570000000002</v>
          </cell>
        </row>
        <row r="44">
          <cell r="J44">
            <v>0.31613429999999998</v>
          </cell>
          <cell r="K44">
            <v>0.31613429999999998</v>
          </cell>
        </row>
        <row r="49">
          <cell r="J49">
            <v>871067.82204284356</v>
          </cell>
          <cell r="K49">
            <v>494382.55647798179</v>
          </cell>
        </row>
        <row r="52">
          <cell r="J52">
            <v>0.75</v>
          </cell>
          <cell r="K52">
            <v>0.75</v>
          </cell>
        </row>
        <row r="53">
          <cell r="J53">
            <v>0.25</v>
          </cell>
          <cell r="K53">
            <v>0.25</v>
          </cell>
        </row>
        <row r="58">
          <cell r="J58">
            <v>938550.74810784589</v>
          </cell>
          <cell r="K58">
            <v>536194.3530783233</v>
          </cell>
        </row>
      </sheetData>
      <sheetData sheetId="4">
        <row r="17">
          <cell r="D17">
            <v>147</v>
          </cell>
          <cell r="J17">
            <v>147</v>
          </cell>
        </row>
        <row r="18">
          <cell r="J18">
            <v>147</v>
          </cell>
        </row>
        <row r="20">
          <cell r="J20">
            <v>605.16654161649069</v>
          </cell>
        </row>
        <row r="21">
          <cell r="J21">
            <v>605.16654161649069</v>
          </cell>
        </row>
        <row r="23">
          <cell r="J23">
            <v>605.16654161649069</v>
          </cell>
        </row>
        <row r="24">
          <cell r="J24">
            <v>605.16654161649069</v>
          </cell>
        </row>
      </sheetData>
      <sheetData sheetId="5">
        <row r="4">
          <cell r="D4">
            <v>0.13015924266423304</v>
          </cell>
          <cell r="J4">
            <v>0.16365313596696862</v>
          </cell>
          <cell r="K4">
            <v>8.3826703011655512E-2</v>
          </cell>
        </row>
        <row r="19">
          <cell r="J19">
            <v>393.39647992256351</v>
          </cell>
        </row>
        <row r="22">
          <cell r="J22">
            <v>619.30066011410622</v>
          </cell>
        </row>
        <row r="25">
          <cell r="J25">
            <v>882.95846790762835</v>
          </cell>
        </row>
      </sheetData>
      <sheetData sheetId="6">
        <row r="17">
          <cell r="D17">
            <v>3.6798211462832722</v>
          </cell>
          <cell r="J17">
            <v>1.8486531574899723</v>
          </cell>
        </row>
        <row r="18">
          <cell r="J18">
            <v>294.01107625407087</v>
          </cell>
        </row>
        <row r="23">
          <cell r="J23">
            <v>619.98571058256346</v>
          </cell>
        </row>
        <row r="24">
          <cell r="J24">
            <v>161.09296191833383</v>
          </cell>
        </row>
      </sheetData>
      <sheetData sheetId="7">
        <row r="4">
          <cell r="E4">
            <v>1.5695177221061046E-2</v>
          </cell>
          <cell r="J4">
            <v>0.16365313596696862</v>
          </cell>
          <cell r="K4">
            <v>8.3826703011655512E-2</v>
          </cell>
        </row>
        <row r="19">
          <cell r="J19">
            <v>393.29670629440375</v>
          </cell>
        </row>
        <row r="22">
          <cell r="J22">
            <v>262.4774297372619</v>
          </cell>
        </row>
        <row r="25">
          <cell r="J25">
            <v>485.49930775561143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  <row r="9">
          <cell r="B9">
            <v>1.7128804434230893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56">
          <cell r="QG56">
            <v>409.15598973068393</v>
          </cell>
          <cell r="QH56">
            <v>91.376104554067012</v>
          </cell>
          <cell r="QO56">
            <v>309.01337188301852</v>
          </cell>
          <cell r="QP56">
            <v>89.133079232505963</v>
          </cell>
        </row>
        <row r="65">
          <cell r="QG65">
            <v>411.13275294219449</v>
          </cell>
          <cell r="QH65">
            <v>175.19745275819511</v>
          </cell>
          <cell r="QO65">
            <v>295.95628606651161</v>
          </cell>
          <cell r="QP65">
            <v>100.2876375018913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  <row r="38">
          <cell r="L38">
            <v>1.1715057393652939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E173F-048C-49FE-AF00-F9A8500FA14F}">
  <dimension ref="A1:Q1757"/>
  <sheetViews>
    <sheetView zoomScaleNormal="100" workbookViewId="0">
      <selection activeCell="L11" sqref="L11"/>
    </sheetView>
  </sheetViews>
  <sheetFormatPr defaultRowHeight="14.4" x14ac:dyDescent="0.3"/>
  <cols>
    <col min="1" max="1" width="43.33203125" customWidth="1"/>
    <col min="2" max="2" width="5" customWidth="1"/>
    <col min="3" max="3" width="8" customWidth="1"/>
    <col min="4" max="4" width="5.88671875" customWidth="1"/>
    <col min="5" max="5" width="9.44140625" customWidth="1"/>
    <col min="6" max="6" width="6.6640625" customWidth="1"/>
    <col min="7" max="7" width="13.77734375" customWidth="1"/>
    <col min="11" max="11" width="35.88671875" customWidth="1"/>
  </cols>
  <sheetData>
    <row r="1" spans="1:12" ht="15.6" x14ac:dyDescent="0.3">
      <c r="C1" s="120" t="s">
        <v>90</v>
      </c>
      <c r="D1" s="124"/>
      <c r="E1" s="124"/>
      <c r="F1" s="124"/>
      <c r="G1" s="124"/>
    </row>
    <row r="2" spans="1:12" x14ac:dyDescent="0.3">
      <c r="A2" s="2" t="s">
        <v>64</v>
      </c>
      <c r="B2" s="5"/>
      <c r="C2" s="118" t="s">
        <v>106</v>
      </c>
      <c r="D2" s="118"/>
      <c r="E2" s="118" t="s">
        <v>107</v>
      </c>
      <c r="F2" s="118"/>
      <c r="G2" s="114" t="s">
        <v>108</v>
      </c>
    </row>
    <row r="3" spans="1:12" x14ac:dyDescent="0.3">
      <c r="A3" t="s">
        <v>57</v>
      </c>
      <c r="B3" s="11"/>
      <c r="C3" s="122">
        <f>G3</f>
        <v>0.55747885382429763</v>
      </c>
      <c r="D3" s="122"/>
      <c r="E3" s="122">
        <f>Dairy_Income_Baseline!B3</f>
        <v>0.48314833998105799</v>
      </c>
      <c r="F3" s="122"/>
      <c r="G3" s="51">
        <f>[1]All!$L$7*L16</f>
        <v>0.55747885382429763</v>
      </c>
      <c r="J3" s="39"/>
    </row>
    <row r="4" spans="1:12" x14ac:dyDescent="0.3">
      <c r="A4" t="s">
        <v>58</v>
      </c>
      <c r="B4" s="11"/>
      <c r="C4" s="117">
        <f>G4</f>
        <v>3007.9506358527424</v>
      </c>
      <c r="D4" s="117"/>
      <c r="E4" s="117">
        <f>[2]prod_herd_data!$J$38</f>
        <v>757.75586056583484</v>
      </c>
      <c r="F4" s="117"/>
      <c r="G4" s="50">
        <f>[2]prod_herd_data!$J$39</f>
        <v>3007.9506358527424</v>
      </c>
    </row>
    <row r="5" spans="1:12" x14ac:dyDescent="0.3">
      <c r="A5" t="s">
        <v>59</v>
      </c>
      <c r="B5" s="11"/>
      <c r="C5" s="117">
        <f>C4*C3*(12*L11-9)/(12*L11)</f>
        <v>1572.0645682830507</v>
      </c>
      <c r="D5" s="117"/>
      <c r="E5" s="117">
        <f>E4*E3</f>
        <v>366.10848614330115</v>
      </c>
      <c r="F5" s="117"/>
      <c r="G5" s="50">
        <f>G4*G3</f>
        <v>1676.868872835254</v>
      </c>
    </row>
    <row r="6" spans="1:12" x14ac:dyDescent="0.3">
      <c r="B6" s="11"/>
      <c r="C6" s="117"/>
      <c r="D6" s="117"/>
      <c r="E6" s="117"/>
      <c r="F6" s="117"/>
      <c r="G6" s="50"/>
    </row>
    <row r="7" spans="1:12" x14ac:dyDescent="0.3">
      <c r="A7" s="2" t="s">
        <v>60</v>
      </c>
      <c r="B7" s="11"/>
      <c r="C7" s="117"/>
      <c r="D7" s="117"/>
      <c r="E7" s="117"/>
      <c r="F7" s="117"/>
      <c r="G7" s="50"/>
    </row>
    <row r="8" spans="1:12" x14ac:dyDescent="0.3">
      <c r="A8" t="s">
        <v>73</v>
      </c>
      <c r="B8" s="11"/>
      <c r="C8" s="117">
        <f>(([2]concentrate_feeding!$J$23*L29)+([2]concentrate_feeding!$J$24*L30))</f>
        <v>355.53052232957771</v>
      </c>
      <c r="D8" s="117"/>
      <c r="E8" s="117">
        <f>(([2]concentrate_feeding!$J$17*L29)+([2]concentrate_feeding!$J$18*L30))</f>
        <v>86.361328970444461</v>
      </c>
      <c r="F8" s="117"/>
      <c r="G8" s="50">
        <f>(([2]concentrate_feeding!$J$20*L29)+([2]concentrate_feeding!$J$21*L30))</f>
        <v>355.53052232957771</v>
      </c>
    </row>
    <row r="9" spans="1:12" x14ac:dyDescent="0.3">
      <c r="A9" t="s">
        <v>1</v>
      </c>
      <c r="B9" s="11"/>
      <c r="C9" s="117">
        <f>Dairy_Income_Baseline!D9</f>
        <v>9.9618214429084109</v>
      </c>
      <c r="D9" s="117"/>
      <c r="E9" s="117">
        <f>Dairy_Income_Baseline!B9</f>
        <v>3.7037541262095375</v>
      </c>
      <c r="F9" s="117"/>
      <c r="G9" s="50">
        <f>Dairy_Income_Baseline!D9</f>
        <v>9.9618214429084109</v>
      </c>
    </row>
    <row r="10" spans="1:12" x14ac:dyDescent="0.3">
      <c r="A10" t="s">
        <v>61</v>
      </c>
      <c r="B10" s="11"/>
      <c r="C10" s="117">
        <f>Dairy_Income_Baseline!D10</f>
        <v>8.9400961667126779</v>
      </c>
      <c r="D10" s="117"/>
      <c r="E10" s="117">
        <f>Dairy_Income_Baseline!B10</f>
        <v>9.4509588048105453</v>
      </c>
      <c r="F10" s="117"/>
      <c r="G10" s="50">
        <f>Dairy_Income_Baseline!D10</f>
        <v>8.9400961667126779</v>
      </c>
      <c r="K10" s="2" t="s">
        <v>93</v>
      </c>
    </row>
    <row r="11" spans="1:12" x14ac:dyDescent="0.3">
      <c r="A11" t="s">
        <v>62</v>
      </c>
      <c r="B11" s="20"/>
      <c r="C11" s="117">
        <f>Dairy_Income_Baseline!D11</f>
        <v>1.0217252761957345</v>
      </c>
      <c r="D11" s="117"/>
      <c r="E11" s="117">
        <f>Dairy_Income_Baseline!B11</f>
        <v>0.12771565952446681</v>
      </c>
      <c r="F11" s="117"/>
      <c r="G11" s="50">
        <f>Dairy_Income_Baseline!D11</f>
        <v>1.0217252761957345</v>
      </c>
      <c r="K11" s="54" t="s">
        <v>88</v>
      </c>
      <c r="L11" s="52">
        <v>12</v>
      </c>
    </row>
    <row r="12" spans="1:12" s="52" customFormat="1" x14ac:dyDescent="0.3">
      <c r="B12" s="48"/>
      <c r="C12" s="117"/>
      <c r="D12" s="117"/>
      <c r="E12" s="117"/>
      <c r="F12" s="117"/>
      <c r="G12" s="50"/>
      <c r="K12" s="54"/>
    </row>
    <row r="13" spans="1:12" x14ac:dyDescent="0.3">
      <c r="A13" s="2" t="s">
        <v>86</v>
      </c>
      <c r="B13" s="11"/>
      <c r="C13" s="117">
        <f>SUM(C8:C11)</f>
        <v>375.45416521539454</v>
      </c>
      <c r="D13" s="117"/>
      <c r="E13" s="117">
        <f>SUM(E8:E11)</f>
        <v>99.643757560989002</v>
      </c>
      <c r="F13" s="117"/>
      <c r="G13" s="50">
        <f>SUM(G8:G11)</f>
        <v>375.45416521539454</v>
      </c>
      <c r="K13" t="s">
        <v>69</v>
      </c>
      <c r="L13">
        <f>[1]All!$M$12</f>
        <v>397.7</v>
      </c>
    </row>
    <row r="14" spans="1:12" x14ac:dyDescent="0.3">
      <c r="B14" s="11"/>
      <c r="C14" s="118"/>
      <c r="D14" s="118"/>
      <c r="E14" s="118"/>
      <c r="F14" s="118"/>
      <c r="G14" s="1"/>
      <c r="K14" t="s">
        <v>70</v>
      </c>
      <c r="L14">
        <f>[1]All!$T$12/L13</f>
        <v>0</v>
      </c>
    </row>
    <row r="15" spans="1:12" x14ac:dyDescent="0.3">
      <c r="A15" s="2" t="s">
        <v>87</v>
      </c>
      <c r="B15" s="11"/>
      <c r="C15" s="117">
        <f>L13/L11</f>
        <v>33.141666666666666</v>
      </c>
      <c r="D15" s="117"/>
      <c r="E15" s="117">
        <v>0</v>
      </c>
      <c r="F15" s="117"/>
      <c r="G15" s="50">
        <v>0</v>
      </c>
    </row>
    <row r="16" spans="1:12" x14ac:dyDescent="0.3">
      <c r="B16" s="11"/>
      <c r="C16" s="117"/>
      <c r="D16" s="117"/>
      <c r="E16" s="117"/>
      <c r="F16" s="117"/>
      <c r="G16" s="50"/>
      <c r="K16" t="s">
        <v>100</v>
      </c>
      <c r="L16" s="21">
        <f>[3]Sheet1!$B$6</f>
        <v>1.2771565952446682</v>
      </c>
    </row>
    <row r="17" spans="1:17" x14ac:dyDescent="0.3">
      <c r="B17" s="32"/>
      <c r="C17" s="117"/>
      <c r="D17" s="117"/>
      <c r="E17" s="125"/>
      <c r="F17" s="125"/>
      <c r="G17" s="50"/>
    </row>
    <row r="18" spans="1:17" x14ac:dyDescent="0.3">
      <c r="B18" s="43"/>
      <c r="C18" s="121" t="s">
        <v>76</v>
      </c>
      <c r="D18" s="121"/>
      <c r="E18" s="121"/>
      <c r="F18" s="121"/>
      <c r="G18" s="121"/>
      <c r="K18" s="2"/>
    </row>
    <row r="19" spans="1:17" x14ac:dyDescent="0.3">
      <c r="A19" t="s">
        <v>7</v>
      </c>
      <c r="B19" s="11"/>
      <c r="C19" s="117">
        <f>L35*L16</f>
        <v>473.19051384219415</v>
      </c>
      <c r="D19" s="117"/>
      <c r="E19" s="117">
        <f>L35*L16</f>
        <v>473.19051384219415</v>
      </c>
      <c r="F19" s="117"/>
      <c r="G19" s="49">
        <f>L37*L16</f>
        <v>626.19041111347224</v>
      </c>
      <c r="K19" t="s">
        <v>74</v>
      </c>
      <c r="L19">
        <f>[4]Sheet1!$B$5</f>
        <v>28</v>
      </c>
    </row>
    <row r="20" spans="1:17" x14ac:dyDescent="0.3">
      <c r="A20" t="s">
        <v>49</v>
      </c>
      <c r="B20" s="11"/>
      <c r="C20" s="117">
        <f>(((1/1000)*(1/L23)*[2]feeding_change_data!$J$25/L32))</f>
        <v>9.0559842862320855E-2</v>
      </c>
      <c r="D20" s="117"/>
      <c r="E20" s="117">
        <f>(((1/1000)*(1/L23)*[2]feeding_change_data!$J$19/L32))</f>
        <v>4.034835691513472E-2</v>
      </c>
      <c r="F20" s="117"/>
      <c r="G20" s="49">
        <f>(((1/1000)*(1/L23)*[2]feeding_change_data!$J$22/L32))</f>
        <v>6.3518016421959617E-2</v>
      </c>
    </row>
    <row r="21" spans="1:17" x14ac:dyDescent="0.3">
      <c r="A21" t="s">
        <v>65</v>
      </c>
      <c r="B21" s="71"/>
      <c r="C21" s="117">
        <f>(((1/1000)*(1/L24)*[2]feeding_change_data_pasture!$J$25/L33))</f>
        <v>0.19419972310224459</v>
      </c>
      <c r="D21" s="117"/>
      <c r="E21" s="117">
        <f>(((1/1000)*(1/L24)*[2]feeding_change_data_pasture!$J$19/L33))</f>
        <v>0.15731868251776152</v>
      </c>
      <c r="F21" s="117"/>
      <c r="G21" s="49">
        <f>(((1/1000)*(1/L24)*[2]feeding_change_data_pasture!$J$22/L33))</f>
        <v>0.10499097189490476</v>
      </c>
      <c r="K21" t="s">
        <v>104</v>
      </c>
      <c r="L21">
        <v>0.14000000000000001</v>
      </c>
    </row>
    <row r="22" spans="1:17" s="70" customFormat="1" x14ac:dyDescent="0.3">
      <c r="A22" s="72" t="s">
        <v>83</v>
      </c>
      <c r="B22" s="91"/>
      <c r="C22" s="117">
        <f>C20+C21</f>
        <v>0.28475956596456542</v>
      </c>
      <c r="D22" s="117"/>
      <c r="E22" s="117">
        <f>E20+E21</f>
        <v>0.19766703943289624</v>
      </c>
      <c r="F22" s="117"/>
      <c r="G22" s="69">
        <f>G21+G20</f>
        <v>0.16850898831686439</v>
      </c>
    </row>
    <row r="23" spans="1:17" s="52" customFormat="1" x14ac:dyDescent="0.3">
      <c r="A23" s="54" t="s">
        <v>66</v>
      </c>
      <c r="B23" s="71"/>
      <c r="C23" s="117">
        <f>L19*(C20+C21)</f>
        <v>7.9732678470078318</v>
      </c>
      <c r="D23" s="117"/>
      <c r="E23" s="117">
        <f>L19*(E20+E21)</f>
        <v>5.5346771041210943</v>
      </c>
      <c r="F23" s="117"/>
      <c r="G23" s="50">
        <f>L19*(G20+G21)</f>
        <v>4.7182516728722028</v>
      </c>
      <c r="K23" t="s">
        <v>67</v>
      </c>
      <c r="L23">
        <f>[4]Sheet1!$B$6</f>
        <v>0.75</v>
      </c>
    </row>
    <row r="24" spans="1:17" x14ac:dyDescent="0.3">
      <c r="A24" t="s">
        <v>8</v>
      </c>
      <c r="B24" s="11"/>
      <c r="C24" s="117">
        <f>(C20+C21)*C19+C23</f>
        <v>142.71879318726073</v>
      </c>
      <c r="D24" s="117"/>
      <c r="E24" s="117">
        <f>(E20+E21)*E19+E23</f>
        <v>99.068845063038509</v>
      </c>
      <c r="F24" s="117"/>
      <c r="G24" s="49">
        <f>(G20+G21)*G19+G23</f>
        <v>110.2369643433248</v>
      </c>
      <c r="K24" t="s">
        <v>68</v>
      </c>
      <c r="L24">
        <v>0.5</v>
      </c>
    </row>
    <row r="25" spans="1:17" s="52" customFormat="1" x14ac:dyDescent="0.3">
      <c r="A25" s="54"/>
      <c r="B25" s="48"/>
      <c r="C25" s="117"/>
      <c r="D25" s="117"/>
      <c r="E25" s="117"/>
      <c r="F25" s="117"/>
      <c r="G25" s="50"/>
    </row>
    <row r="26" spans="1:17" x14ac:dyDescent="0.3">
      <c r="B26" s="11"/>
      <c r="C26" s="117"/>
      <c r="D26" s="117"/>
      <c r="E26" s="117"/>
      <c r="F26" s="117"/>
      <c r="G26" s="49"/>
      <c r="K26" s="28" t="s">
        <v>25</v>
      </c>
      <c r="L26" s="53">
        <f>7.5</f>
        <v>7.5</v>
      </c>
    </row>
    <row r="27" spans="1:17" x14ac:dyDescent="0.3">
      <c r="A27" t="s">
        <v>47</v>
      </c>
      <c r="B27" s="7"/>
      <c r="C27" s="117">
        <f>L16*(C5-C13)-C15</f>
        <v>1495.1172015495711</v>
      </c>
      <c r="D27" s="117"/>
      <c r="E27" s="117">
        <f>L16*(E5-E13)</f>
        <v>340.3171855089804</v>
      </c>
      <c r="F27" s="117"/>
      <c r="G27" s="90">
        <f>L16*(G5-G13)</f>
        <v>1662.110376985115</v>
      </c>
      <c r="H27" s="90"/>
      <c r="K27" s="28" t="s">
        <v>25</v>
      </c>
      <c r="L27" s="53">
        <f>20</f>
        <v>20</v>
      </c>
    </row>
    <row r="28" spans="1:17" x14ac:dyDescent="0.3">
      <c r="A28" t="s">
        <v>6</v>
      </c>
      <c r="B28" s="7"/>
      <c r="C28" s="117">
        <f>C27-Dairy_Income_Baseline!B28</f>
        <v>1410.3801118605588</v>
      </c>
      <c r="D28" s="117"/>
      <c r="E28" s="117">
        <f>E27-Dairy_Income_Baseline!D28</f>
        <v>-245.41979690192807</v>
      </c>
      <c r="F28" s="117"/>
      <c r="G28" s="49">
        <f>G27-Dairy_Income_Baseline!D28</f>
        <v>1076.3733945742065</v>
      </c>
    </row>
    <row r="29" spans="1:17" x14ac:dyDescent="0.3">
      <c r="C29" s="118"/>
      <c r="D29" s="118"/>
      <c r="E29" s="118"/>
      <c r="F29" s="118"/>
      <c r="K29" s="53" t="s">
        <v>27</v>
      </c>
      <c r="L29" s="21">
        <f>0.25*L16*'[1]Sensitiity analysis'!$C$4</f>
        <v>0.31928914881116705</v>
      </c>
    </row>
    <row r="30" spans="1:17" ht="15.6" x14ac:dyDescent="0.3">
      <c r="A30" s="120" t="s">
        <v>56</v>
      </c>
      <c r="B30" s="120"/>
      <c r="C30" s="120"/>
      <c r="D30" s="120"/>
      <c r="E30" s="120"/>
      <c r="F30" s="120"/>
      <c r="G30" s="120"/>
      <c r="K30" s="53" t="s">
        <v>26</v>
      </c>
      <c r="L30" s="21">
        <f>0.21*L16*'[1]Sensitiity analysis'!$C$5</f>
        <v>0.26820288500138029</v>
      </c>
    </row>
    <row r="31" spans="1:17" x14ac:dyDescent="0.3">
      <c r="A31" s="118" t="s">
        <v>54</v>
      </c>
      <c r="B31" s="118"/>
      <c r="C31" s="118"/>
      <c r="D31" s="118"/>
      <c r="E31" s="118"/>
      <c r="F31" s="118"/>
      <c r="G31" s="118"/>
    </row>
    <row r="32" spans="1:17" x14ac:dyDescent="0.3">
      <c r="A32" t="s">
        <v>17</v>
      </c>
      <c r="B32" s="11"/>
      <c r="C32" s="122">
        <f>Dairy_Income_Baseline!E36</f>
        <v>8.9400961667126785E-2</v>
      </c>
      <c r="D32" s="122"/>
      <c r="E32" s="122">
        <f>Dairy_Income_Baseline!B36</f>
        <v>0.11494409357202014</v>
      </c>
      <c r="F32" s="122"/>
      <c r="G32" s="6">
        <f>Dairy_Income_Baseline!E36</f>
        <v>8.9400961667126785E-2</v>
      </c>
      <c r="K32" t="s">
        <v>28</v>
      </c>
      <c r="L32">
        <v>13</v>
      </c>
      <c r="M32" s="118"/>
      <c r="N32" s="118"/>
      <c r="O32" s="118"/>
      <c r="P32" s="118"/>
      <c r="Q32" s="48"/>
    </row>
    <row r="33" spans="1:12" x14ac:dyDescent="0.3">
      <c r="B33" s="11"/>
      <c r="C33" s="118"/>
      <c r="D33" s="118"/>
      <c r="E33" s="118"/>
      <c r="F33" s="118"/>
      <c r="G33" s="29"/>
      <c r="K33" t="s">
        <v>50</v>
      </c>
      <c r="L33" s="54">
        <v>5</v>
      </c>
    </row>
    <row r="34" spans="1:12" x14ac:dyDescent="0.3">
      <c r="A34" t="s">
        <v>0</v>
      </c>
      <c r="B34" s="11"/>
      <c r="C34" s="122">
        <f>C8*Dairy_Income_Baseline!E38/Dairy_Income_Baseline!B8</f>
        <v>482.38923622672843</v>
      </c>
      <c r="D34" s="122"/>
      <c r="E34" s="122">
        <f>E8*Dairy_Income_Baseline!E38/Dairy_Income_Baseline!D8</f>
        <v>38.601136012683426</v>
      </c>
      <c r="F34" s="122"/>
      <c r="G34" s="6">
        <f>G8*Dairy_Income_Baseline!E38/Dairy_Income_Baseline!D8</f>
        <v>158.9123536276422</v>
      </c>
    </row>
    <row r="35" spans="1:12" x14ac:dyDescent="0.3">
      <c r="A35" t="s">
        <v>1</v>
      </c>
      <c r="B35" s="11"/>
      <c r="C35" s="122">
        <f>Dairy_Income_Baseline!E39</f>
        <v>64.36869240033127</v>
      </c>
      <c r="D35" s="122"/>
      <c r="E35" s="122">
        <f>Dairy_Income_Baseline!B39</f>
        <v>22.09480909773276</v>
      </c>
      <c r="F35" s="122"/>
      <c r="G35" s="6">
        <f>Dairy_Income_Baseline!E39</f>
        <v>64.36869240033127</v>
      </c>
      <c r="K35" t="s">
        <v>31</v>
      </c>
      <c r="L35" s="33">
        <f>Dairy_Income_Baseline!L36</f>
        <v>370.50312828047828</v>
      </c>
    </row>
    <row r="36" spans="1:12" x14ac:dyDescent="0.3">
      <c r="A36" t="s">
        <v>2</v>
      </c>
      <c r="B36" s="11"/>
      <c r="C36" s="122">
        <f>Dairy_Income_Baseline!E40</f>
        <v>10.472684081006278</v>
      </c>
      <c r="D36" s="122"/>
      <c r="E36" s="122">
        <f>Dairy_Income_Baseline!B40</f>
        <v>11.62212501672648</v>
      </c>
      <c r="F36" s="122"/>
      <c r="G36" s="6">
        <f>Dairy_Income_Baseline!E40</f>
        <v>10.472684081006278</v>
      </c>
      <c r="K36" t="s">
        <v>23</v>
      </c>
      <c r="L36" s="33">
        <f>Dairy_Income_Baseline!L37</f>
        <v>0.53119613926232334</v>
      </c>
    </row>
    <row r="37" spans="1:12" x14ac:dyDescent="0.3">
      <c r="A37" t="s">
        <v>5</v>
      </c>
      <c r="B37" s="11"/>
      <c r="C37" s="122">
        <f>Dairy_Income_Baseline!E41</f>
        <v>4.2146167643074044</v>
      </c>
      <c r="D37" s="122"/>
      <c r="E37" s="122">
        <f>Dairy_Income_Baseline!B41</f>
        <v>0.89400961667126766</v>
      </c>
      <c r="F37" s="122"/>
      <c r="G37" s="6">
        <f>Dairy_Income_Baseline!E41</f>
        <v>4.2146167643074044</v>
      </c>
      <c r="K37" t="s">
        <v>32</v>
      </c>
      <c r="L37" s="33">
        <f>Dairy_Income_Baseline!L38</f>
        <v>490.30041691442807</v>
      </c>
    </row>
    <row r="38" spans="1:12" x14ac:dyDescent="0.3">
      <c r="A38" t="s">
        <v>3</v>
      </c>
      <c r="B38" s="14"/>
      <c r="C38" s="122">
        <f>Dairy_Income_Baseline!E42</f>
        <v>0</v>
      </c>
      <c r="D38" s="122"/>
      <c r="E38" s="122">
        <f>Dairy_Income_Baseline!B42</f>
        <v>0</v>
      </c>
      <c r="F38" s="122"/>
      <c r="G38" s="6">
        <f>Dairy_Income_Baseline!E42</f>
        <v>0</v>
      </c>
      <c r="K38" t="s">
        <v>23</v>
      </c>
      <c r="L38" s="33">
        <f>Dairy_Income_Baseline!L39</f>
        <v>0.4540244855431102</v>
      </c>
    </row>
    <row r="39" spans="1:12" x14ac:dyDescent="0.3">
      <c r="C39" s="123"/>
      <c r="D39" s="123"/>
      <c r="E39" s="123"/>
      <c r="F39" s="123"/>
    </row>
    <row r="40" spans="1:12" x14ac:dyDescent="0.3">
      <c r="B40" s="121" t="s">
        <v>55</v>
      </c>
      <c r="C40" s="121"/>
      <c r="D40" s="121"/>
      <c r="E40" s="121"/>
      <c r="F40" s="121"/>
      <c r="G40" s="121"/>
    </row>
    <row r="41" spans="1:12" x14ac:dyDescent="0.3">
      <c r="A41" t="s">
        <v>9</v>
      </c>
      <c r="C41" s="119">
        <f ca="1">_xlfn.NORM.INV(RAND(),C3,C32)</f>
        <v>0.63182294692294139</v>
      </c>
      <c r="D41" s="119"/>
      <c r="E41" s="119">
        <f ca="1">_xlfn.NORM.INV(RAND(),E3,E32)</f>
        <v>0.53479270817399338</v>
      </c>
      <c r="F41" s="119"/>
      <c r="G41" s="105">
        <f ca="1">_xlfn.NORM.INV(RAND(),G3,G32)</f>
        <v>0.65266633340742586</v>
      </c>
    </row>
    <row r="42" spans="1:12" s="107" customFormat="1" x14ac:dyDescent="0.3">
      <c r="A42" s="107" t="s">
        <v>103</v>
      </c>
      <c r="C42" s="117">
        <f>C4*L21</f>
        <v>421.11308901938395</v>
      </c>
      <c r="D42" s="117"/>
      <c r="E42" s="117">
        <f>E4*L21</f>
        <v>106.08582047921689</v>
      </c>
      <c r="F42" s="117"/>
      <c r="G42" s="104">
        <f>G4*L21</f>
        <v>421.11308901938395</v>
      </c>
    </row>
    <row r="43" spans="1:12" x14ac:dyDescent="0.3">
      <c r="C43" s="118"/>
      <c r="D43" s="118"/>
      <c r="E43" s="118"/>
      <c r="F43" s="118"/>
      <c r="G43" s="103"/>
    </row>
    <row r="44" spans="1:12" x14ac:dyDescent="0.3">
      <c r="A44" t="s">
        <v>10</v>
      </c>
      <c r="C44" s="117">
        <f ca="1">_xlfn.NORM.INV(RAND(),C8,C34)</f>
        <v>934.69715108443108</v>
      </c>
      <c r="D44" s="117"/>
      <c r="E44" s="117">
        <f ca="1">_xlfn.NORM.INV(RAND(),E8,E34)</f>
        <v>142.98550161986466</v>
      </c>
      <c r="F44" s="117"/>
      <c r="G44" s="104">
        <f ca="1">_xlfn.NORM.INV(RAND(),G8,G34)</f>
        <v>245.86311516225868</v>
      </c>
    </row>
    <row r="45" spans="1:12" x14ac:dyDescent="0.3">
      <c r="A45" t="s">
        <v>1</v>
      </c>
      <c r="C45" s="117">
        <f ca="1">_xlfn.NORM.INV(RAND(),C9,C35)</f>
        <v>-54.185273318633271</v>
      </c>
      <c r="D45" s="117"/>
      <c r="E45" s="117">
        <f ca="1">_xlfn.NORM.INV(RAND(),E9,E35)</f>
        <v>25.545480779994051</v>
      </c>
      <c r="F45" s="117"/>
      <c r="G45" s="104">
        <f ca="1">_xlfn.NORM.INV(RAND(),G9,G35)</f>
        <v>-54.466777475887987</v>
      </c>
    </row>
    <row r="46" spans="1:12" x14ac:dyDescent="0.3">
      <c r="A46" t="s">
        <v>2</v>
      </c>
      <c r="C46" s="117">
        <f ca="1">_xlfn.NORM.INV(RAND(),C10,C36)</f>
        <v>12.761575233291726</v>
      </c>
      <c r="D46" s="117"/>
      <c r="E46" s="117">
        <f ca="1">_xlfn.NORM.INV(RAND(),E10,E36)</f>
        <v>19.974398438579676</v>
      </c>
      <c r="F46" s="117"/>
      <c r="G46" s="104">
        <f ca="1">_xlfn.NORM.INV(RAND(),G10,G36)</f>
        <v>-5.5620019463296835</v>
      </c>
    </row>
    <row r="47" spans="1:12" x14ac:dyDescent="0.3">
      <c r="A47" t="s">
        <v>12</v>
      </c>
      <c r="C47" s="117">
        <f ca="1">_xlfn.NORM.INV(RAND(),C11,C37)</f>
        <v>1.9288378939980722</v>
      </c>
      <c r="D47" s="117"/>
      <c r="E47" s="117">
        <f ca="1">_xlfn.NORM.INV(RAND(),E11,E37)</f>
        <v>-0.5349361511073697</v>
      </c>
      <c r="F47" s="117"/>
      <c r="G47" s="104">
        <f ca="1">_xlfn.NORM.INV(RAND(),G11,G37)</f>
        <v>-4.4078532269928452</v>
      </c>
    </row>
    <row r="48" spans="1:12" x14ac:dyDescent="0.3">
      <c r="A48" t="s">
        <v>3</v>
      </c>
      <c r="C48" s="117">
        <v>1E-4</v>
      </c>
      <c r="D48" s="117"/>
      <c r="E48" s="117">
        <v>1E-4</v>
      </c>
      <c r="F48" s="117"/>
      <c r="G48" s="104">
        <v>1E-4</v>
      </c>
    </row>
    <row r="49" spans="1:7" x14ac:dyDescent="0.3">
      <c r="C49" s="117"/>
      <c r="D49" s="117"/>
      <c r="E49" s="117"/>
      <c r="F49" s="117"/>
      <c r="G49" s="104"/>
    </row>
    <row r="50" spans="1:7" x14ac:dyDescent="0.3">
      <c r="A50" s="2" t="s">
        <v>18</v>
      </c>
      <c r="C50" s="117">
        <f ca="1">SUM(C45:C48)</f>
        <v>-39.494760191343467</v>
      </c>
      <c r="D50" s="117"/>
      <c r="E50" s="117">
        <f ca="1">SUM(E45:E48)</f>
        <v>44.985043067466364</v>
      </c>
      <c r="F50" s="117"/>
      <c r="G50" s="104">
        <f ca="1">SUM(G45:G48)</f>
        <v>-64.436532649210505</v>
      </c>
    </row>
    <row r="51" spans="1:7" x14ac:dyDescent="0.3">
      <c r="A51" s="2"/>
      <c r="C51" s="117"/>
      <c r="D51" s="117"/>
      <c r="E51" s="117"/>
      <c r="F51" s="117"/>
      <c r="G51" s="104"/>
    </row>
    <row r="52" spans="1:7" x14ac:dyDescent="0.3">
      <c r="A52" s="2" t="s">
        <v>47</v>
      </c>
      <c r="C52" s="117">
        <f ca="1">C41*C42-C50</f>
        <v>305.56367308339355</v>
      </c>
      <c r="D52" s="117"/>
      <c r="E52" s="117">
        <f ca="1">E41*E42-E50</f>
        <v>11.748880165474127</v>
      </c>
      <c r="F52" s="117"/>
      <c r="G52" s="104">
        <f ca="1">G41*G42-G50</f>
        <v>339.28286840936676</v>
      </c>
    </row>
    <row r="53" spans="1:7" x14ac:dyDescent="0.3">
      <c r="A53" s="2"/>
      <c r="C53" s="117"/>
      <c r="D53" s="117"/>
      <c r="E53" s="117"/>
      <c r="F53" s="117"/>
      <c r="G53" s="104"/>
    </row>
    <row r="54" spans="1:7" x14ac:dyDescent="0.3">
      <c r="A54" s="2" t="s">
        <v>13</v>
      </c>
      <c r="C54" s="117">
        <f ca="1">AVERAGE(C58:C557)</f>
        <v>217.60110051678572</v>
      </c>
      <c r="D54" s="117"/>
      <c r="E54" s="117">
        <f ca="1">AVERAGE(E58:E557)</f>
        <v>38.824361299150027</v>
      </c>
      <c r="F54" s="117"/>
      <c r="G54" s="104">
        <f ca="1">AVERAGE(G58:G557)</f>
        <v>217.35976715558772</v>
      </c>
    </row>
    <row r="55" spans="1:7" x14ac:dyDescent="0.3">
      <c r="A55" s="2" t="s">
        <v>11</v>
      </c>
      <c r="C55" s="117">
        <f ca="1">STDEVA(C58:C557)</f>
        <v>77.743543925111254</v>
      </c>
      <c r="D55" s="117"/>
      <c r="E55" s="117">
        <f t="shared" ref="E55:G55" ca="1" si="0">STDEVA(E58:E557)</f>
        <v>26.763925699025812</v>
      </c>
      <c r="F55" s="117"/>
      <c r="G55" s="104">
        <f t="shared" ca="1" si="0"/>
        <v>72.290182306762318</v>
      </c>
    </row>
    <row r="56" spans="1:7" x14ac:dyDescent="0.3">
      <c r="C56" s="118"/>
      <c r="D56" s="118"/>
      <c r="E56" s="118"/>
      <c r="F56" s="118"/>
      <c r="G56" s="103"/>
    </row>
    <row r="57" spans="1:7" x14ac:dyDescent="0.3">
      <c r="A57" s="2" t="s">
        <v>71</v>
      </c>
      <c r="C57" s="118"/>
      <c r="D57" s="118"/>
      <c r="E57" s="118"/>
      <c r="F57" s="118"/>
      <c r="G57" s="103"/>
    </row>
    <row r="58" spans="1:7" x14ac:dyDescent="0.3">
      <c r="B58">
        <v>1</v>
      </c>
      <c r="C58" s="33">
        <f ca="1">C52</f>
        <v>305.56367308339355</v>
      </c>
      <c r="D58" s="52">
        <v>1</v>
      </c>
      <c r="E58" s="33">
        <f ca="1">E52</f>
        <v>11.748880165474127</v>
      </c>
      <c r="F58" s="52">
        <v>1</v>
      </c>
      <c r="G58" s="104">
        <f ca="1">G52</f>
        <v>339.28286840936676</v>
      </c>
    </row>
    <row r="59" spans="1:7" x14ac:dyDescent="0.3">
      <c r="B59">
        <v>2</v>
      </c>
      <c r="C59" s="33">
        <f t="dataTable" ref="C59:C557" dt2D="0" dtr="0" r1="C57" ca="1"/>
        <v>239.8243413482364</v>
      </c>
      <c r="D59" s="52">
        <v>2</v>
      </c>
      <c r="E59" s="33">
        <f t="dataTable" ref="E59:E557" dt2D="0" dtr="0" r1="E57" ca="1"/>
        <v>62.491294173302329</v>
      </c>
      <c r="F59" s="52">
        <v>2</v>
      </c>
      <c r="G59" s="104">
        <f t="dataTable" ref="G59:G557" dt2D="0" dtr="0" r1="G57" ca="1"/>
        <v>286.28905571523228</v>
      </c>
    </row>
    <row r="60" spans="1:7" x14ac:dyDescent="0.3">
      <c r="B60">
        <v>3</v>
      </c>
      <c r="C60" s="33">
        <v>214.11584170316334</v>
      </c>
      <c r="D60" s="52">
        <v>3</v>
      </c>
      <c r="E60" s="33">
        <v>17.62926553173601</v>
      </c>
      <c r="F60" s="52">
        <v>3</v>
      </c>
      <c r="G60" s="104">
        <v>177.90463362039247</v>
      </c>
    </row>
    <row r="61" spans="1:7" x14ac:dyDescent="0.3">
      <c r="B61" s="52">
        <v>4</v>
      </c>
      <c r="C61" s="33">
        <v>89.105862270049698</v>
      </c>
      <c r="D61" s="52">
        <v>4</v>
      </c>
      <c r="E61" s="33">
        <v>85.331245006689073</v>
      </c>
      <c r="F61" s="52">
        <v>4</v>
      </c>
      <c r="G61" s="104">
        <v>170.48354854662929</v>
      </c>
    </row>
    <row r="62" spans="1:7" x14ac:dyDescent="0.3">
      <c r="B62" s="52">
        <v>5</v>
      </c>
      <c r="C62" s="33">
        <v>234.10904107202634</v>
      </c>
      <c r="D62" s="52">
        <v>5</v>
      </c>
      <c r="E62" s="33">
        <v>59.286527537053985</v>
      </c>
      <c r="F62" s="52">
        <v>5</v>
      </c>
      <c r="G62" s="104">
        <v>134.99958221661876</v>
      </c>
    </row>
    <row r="63" spans="1:7" x14ac:dyDescent="0.3">
      <c r="B63" s="52">
        <v>6</v>
      </c>
      <c r="C63" s="33">
        <v>168.69850701958333</v>
      </c>
      <c r="D63" s="52">
        <v>6</v>
      </c>
      <c r="E63" s="33">
        <v>-2.107764959223303</v>
      </c>
      <c r="F63" s="52">
        <v>6</v>
      </c>
      <c r="G63" s="104">
        <v>263.98855487575042</v>
      </c>
    </row>
    <row r="64" spans="1:7" x14ac:dyDescent="0.3">
      <c r="B64" s="52">
        <v>7</v>
      </c>
      <c r="C64" s="33">
        <v>361.65220799690712</v>
      </c>
      <c r="D64" s="52">
        <v>7</v>
      </c>
      <c r="E64" s="33">
        <v>72.226488930060455</v>
      </c>
      <c r="F64" s="52">
        <v>7</v>
      </c>
      <c r="G64" s="104">
        <v>193.68878663623337</v>
      </c>
    </row>
    <row r="65" spans="2:7" x14ac:dyDescent="0.3">
      <c r="B65" s="52">
        <v>8</v>
      </c>
      <c r="C65" s="33">
        <v>194.31534513623149</v>
      </c>
      <c r="D65" s="52">
        <v>8</v>
      </c>
      <c r="E65" s="33">
        <v>30.477028587001286</v>
      </c>
      <c r="F65" s="52">
        <v>8</v>
      </c>
      <c r="G65" s="104">
        <v>69.094409666022187</v>
      </c>
    </row>
    <row r="66" spans="2:7" x14ac:dyDescent="0.3">
      <c r="B66" s="52">
        <v>9</v>
      </c>
      <c r="C66" s="33">
        <v>213.9806231319242</v>
      </c>
      <c r="D66" s="52">
        <v>9</v>
      </c>
      <c r="E66" s="33">
        <v>26.673294379108192</v>
      </c>
      <c r="F66" s="52">
        <v>9</v>
      </c>
      <c r="G66" s="104">
        <v>172.85132362848833</v>
      </c>
    </row>
    <row r="67" spans="2:7" x14ac:dyDescent="0.3">
      <c r="B67" s="52">
        <v>10</v>
      </c>
      <c r="C67" s="33">
        <v>322.87889964938535</v>
      </c>
      <c r="D67" s="52">
        <v>10</v>
      </c>
      <c r="E67" s="33">
        <v>51.951770927636474</v>
      </c>
      <c r="F67" s="52">
        <v>10</v>
      </c>
      <c r="G67" s="104">
        <v>160.8631989197857</v>
      </c>
    </row>
    <row r="68" spans="2:7" x14ac:dyDescent="0.3">
      <c r="B68" s="52">
        <v>11</v>
      </c>
      <c r="C68" s="33">
        <v>165.5204822319337</v>
      </c>
      <c r="D68" s="52">
        <v>11</v>
      </c>
      <c r="E68" s="33">
        <v>27.87255098914088</v>
      </c>
      <c r="F68" s="52">
        <v>11</v>
      </c>
      <c r="G68" s="104">
        <v>283.62212560137402</v>
      </c>
    </row>
    <row r="69" spans="2:7" x14ac:dyDescent="0.3">
      <c r="B69" s="52">
        <v>12</v>
      </c>
      <c r="C69" s="33">
        <v>134.5437315980615</v>
      </c>
      <c r="D69" s="52">
        <v>12</v>
      </c>
      <c r="E69" s="33">
        <v>13.150160358228646</v>
      </c>
      <c r="F69" s="52">
        <v>12</v>
      </c>
      <c r="G69" s="104">
        <v>163.21149786781777</v>
      </c>
    </row>
    <row r="70" spans="2:7" x14ac:dyDescent="0.3">
      <c r="B70" s="52">
        <v>13</v>
      </c>
      <c r="C70" s="33">
        <v>270.92086908339849</v>
      </c>
      <c r="D70" s="52">
        <v>13</v>
      </c>
      <c r="E70" s="33">
        <v>74.845321831872425</v>
      </c>
      <c r="F70" s="52">
        <v>13</v>
      </c>
      <c r="G70" s="104">
        <v>175.29149086527701</v>
      </c>
    </row>
    <row r="71" spans="2:7" x14ac:dyDescent="0.3">
      <c r="B71" s="52">
        <v>14</v>
      </c>
      <c r="C71" s="33">
        <v>354.92416339631814</v>
      </c>
      <c r="D71" s="52">
        <v>14</v>
      </c>
      <c r="E71" s="33">
        <v>53.756141647294385</v>
      </c>
      <c r="F71" s="52">
        <v>14</v>
      </c>
      <c r="G71" s="104">
        <v>322.18233354878851</v>
      </c>
    </row>
    <row r="72" spans="2:7" x14ac:dyDescent="0.3">
      <c r="B72" s="52">
        <v>15</v>
      </c>
      <c r="C72" s="33">
        <v>108.39908702925746</v>
      </c>
      <c r="D72" s="52">
        <v>15</v>
      </c>
      <c r="E72" s="33">
        <v>-14.963398784118823</v>
      </c>
      <c r="F72" s="52">
        <v>15</v>
      </c>
      <c r="G72" s="104">
        <v>148.83284248258548</v>
      </c>
    </row>
    <row r="73" spans="2:7" x14ac:dyDescent="0.3">
      <c r="B73" s="52">
        <v>16</v>
      </c>
      <c r="C73" s="33">
        <v>212.6227085147994</v>
      </c>
      <c r="D73" s="52">
        <v>16</v>
      </c>
      <c r="E73" s="33">
        <v>32.45002281829526</v>
      </c>
      <c r="F73" s="52">
        <v>16</v>
      </c>
      <c r="G73" s="104">
        <v>183.31934223714401</v>
      </c>
    </row>
    <row r="74" spans="2:7" x14ac:dyDescent="0.3">
      <c r="B74" s="52">
        <v>17</v>
      </c>
      <c r="C74" s="33">
        <v>222.76452033462527</v>
      </c>
      <c r="D74" s="52">
        <v>17</v>
      </c>
      <c r="E74" s="33">
        <v>44.044770779777608</v>
      </c>
      <c r="F74" s="52">
        <v>17</v>
      </c>
      <c r="G74" s="104">
        <v>223.13146398737234</v>
      </c>
    </row>
    <row r="75" spans="2:7" x14ac:dyDescent="0.3">
      <c r="B75" s="52">
        <v>18</v>
      </c>
      <c r="C75" s="33">
        <v>193.95964576710423</v>
      </c>
      <c r="D75" s="52">
        <v>18</v>
      </c>
      <c r="E75" s="33">
        <v>25.34508631302019</v>
      </c>
      <c r="F75" s="52">
        <v>18</v>
      </c>
      <c r="G75" s="104">
        <v>302.08893967872547</v>
      </c>
    </row>
    <row r="76" spans="2:7" x14ac:dyDescent="0.3">
      <c r="B76" s="52">
        <v>19</v>
      </c>
      <c r="C76" s="33">
        <v>264.37045223548319</v>
      </c>
      <c r="D76" s="52">
        <v>19</v>
      </c>
      <c r="E76" s="33">
        <v>57.459524791439165</v>
      </c>
      <c r="F76" s="52">
        <v>19</v>
      </c>
      <c r="G76" s="104">
        <v>112.64238384124248</v>
      </c>
    </row>
    <row r="77" spans="2:7" x14ac:dyDescent="0.3">
      <c r="B77" s="52">
        <v>20</v>
      </c>
      <c r="C77" s="33">
        <v>253.91533772413737</v>
      </c>
      <c r="D77" s="52">
        <v>20</v>
      </c>
      <c r="E77" s="33">
        <v>45.284648070952464</v>
      </c>
      <c r="F77" s="52">
        <v>20</v>
      </c>
      <c r="G77" s="104">
        <v>211.86663610198701</v>
      </c>
    </row>
    <row r="78" spans="2:7" x14ac:dyDescent="0.3">
      <c r="B78" s="52">
        <v>21</v>
      </c>
      <c r="C78" s="33">
        <v>187.01029999143489</v>
      </c>
      <c r="D78" s="52">
        <v>21</v>
      </c>
      <c r="E78" s="33">
        <v>28.736176313475969</v>
      </c>
      <c r="F78" s="52">
        <v>21</v>
      </c>
      <c r="G78" s="104">
        <v>109.0937092970719</v>
      </c>
    </row>
    <row r="79" spans="2:7" x14ac:dyDescent="0.3">
      <c r="B79" s="52">
        <v>22</v>
      </c>
      <c r="C79" s="33">
        <v>132.23150438326286</v>
      </c>
      <c r="D79" s="52">
        <v>22</v>
      </c>
      <c r="E79" s="33">
        <v>63.387855596907798</v>
      </c>
      <c r="F79" s="52">
        <v>22</v>
      </c>
      <c r="G79" s="104">
        <v>184.85286938856169</v>
      </c>
    </row>
    <row r="80" spans="2:7" x14ac:dyDescent="0.3">
      <c r="B80" s="52">
        <v>23</v>
      </c>
      <c r="C80" s="33">
        <v>220.69368765542299</v>
      </c>
      <c r="D80" s="52">
        <v>23</v>
      </c>
      <c r="E80" s="33">
        <v>68.730889934840633</v>
      </c>
      <c r="F80" s="52">
        <v>23</v>
      </c>
      <c r="G80" s="104">
        <v>166.7502100406968</v>
      </c>
    </row>
    <row r="81" spans="2:7" x14ac:dyDescent="0.3">
      <c r="B81" s="52">
        <v>24</v>
      </c>
      <c r="C81" s="33">
        <v>112.59480380747945</v>
      </c>
      <c r="D81" s="52">
        <v>24</v>
      </c>
      <c r="E81" s="33">
        <v>56.243420063679821</v>
      </c>
      <c r="F81" s="52">
        <v>24</v>
      </c>
      <c r="G81" s="104">
        <v>141.42768658378947</v>
      </c>
    </row>
    <row r="82" spans="2:7" x14ac:dyDescent="0.3">
      <c r="B82" s="52">
        <v>25</v>
      </c>
      <c r="C82" s="33">
        <v>244.15493910485137</v>
      </c>
      <c r="D82" s="52">
        <v>25</v>
      </c>
      <c r="E82" s="33">
        <v>11.349196427855823</v>
      </c>
      <c r="F82" s="52">
        <v>25</v>
      </c>
      <c r="G82" s="104">
        <v>175.26566656724845</v>
      </c>
    </row>
    <row r="83" spans="2:7" x14ac:dyDescent="0.3">
      <c r="B83" s="52">
        <v>26</v>
      </c>
      <c r="C83" s="33">
        <v>155.02915183906009</v>
      </c>
      <c r="D83" s="52">
        <v>26</v>
      </c>
      <c r="E83" s="33">
        <v>45.188914303883216</v>
      </c>
      <c r="F83" s="52">
        <v>26</v>
      </c>
      <c r="G83" s="104">
        <v>245.83214337243521</v>
      </c>
    </row>
    <row r="84" spans="2:7" x14ac:dyDescent="0.3">
      <c r="B84" s="52">
        <v>27</v>
      </c>
      <c r="C84" s="33">
        <v>191.545582423903</v>
      </c>
      <c r="D84" s="52">
        <v>27</v>
      </c>
      <c r="E84" s="33">
        <v>101.0186160007727</v>
      </c>
      <c r="F84" s="52">
        <v>27</v>
      </c>
      <c r="G84" s="104">
        <v>115.80027499214003</v>
      </c>
    </row>
    <row r="85" spans="2:7" x14ac:dyDescent="0.3">
      <c r="B85" s="52">
        <v>28</v>
      </c>
      <c r="C85" s="33">
        <v>179.00938693134273</v>
      </c>
      <c r="D85" s="52">
        <v>28</v>
      </c>
      <c r="E85" s="33">
        <v>43.762057303196912</v>
      </c>
      <c r="F85" s="52">
        <v>28</v>
      </c>
      <c r="G85" s="104">
        <v>304.00894111555499</v>
      </c>
    </row>
    <row r="86" spans="2:7" x14ac:dyDescent="0.3">
      <c r="B86" s="52">
        <v>29</v>
      </c>
      <c r="C86" s="33">
        <v>211.70733811684582</v>
      </c>
      <c r="D86" s="52">
        <v>29</v>
      </c>
      <c r="E86" s="33">
        <v>30.519087115532759</v>
      </c>
      <c r="F86" s="52">
        <v>29</v>
      </c>
      <c r="G86" s="104">
        <v>270.56476140961001</v>
      </c>
    </row>
    <row r="87" spans="2:7" x14ac:dyDescent="0.3">
      <c r="B87" s="52">
        <v>30</v>
      </c>
      <c r="C87" s="33">
        <v>195.18551681749773</v>
      </c>
      <c r="D87" s="52">
        <v>30</v>
      </c>
      <c r="E87" s="33">
        <v>32.222262370132157</v>
      </c>
      <c r="F87" s="52">
        <v>30</v>
      </c>
      <c r="G87" s="104">
        <v>162.32599001527228</v>
      </c>
    </row>
    <row r="88" spans="2:7" x14ac:dyDescent="0.3">
      <c r="B88" s="52">
        <v>31</v>
      </c>
      <c r="C88" s="33">
        <v>335.76409993605012</v>
      </c>
      <c r="D88" s="52">
        <v>31</v>
      </c>
      <c r="E88" s="33">
        <v>58.95336567910536</v>
      </c>
      <c r="F88" s="52">
        <v>31</v>
      </c>
      <c r="G88" s="104">
        <v>136.50752870816206</v>
      </c>
    </row>
    <row r="89" spans="2:7" x14ac:dyDescent="0.3">
      <c r="B89" s="52">
        <v>32</v>
      </c>
      <c r="C89" s="33">
        <v>94.440046934869912</v>
      </c>
      <c r="D89" s="52">
        <v>32</v>
      </c>
      <c r="E89" s="33">
        <v>41.411975407005592</v>
      </c>
      <c r="F89" s="52">
        <v>32</v>
      </c>
      <c r="G89" s="104">
        <v>221.95757226759895</v>
      </c>
    </row>
    <row r="90" spans="2:7" x14ac:dyDescent="0.3">
      <c r="B90" s="52">
        <v>33</v>
      </c>
      <c r="C90" s="33">
        <v>263.20015782708276</v>
      </c>
      <c r="D90" s="52">
        <v>33</v>
      </c>
      <c r="E90" s="33">
        <v>59.409243177168641</v>
      </c>
      <c r="F90" s="52">
        <v>33</v>
      </c>
      <c r="G90" s="104">
        <v>221.45902674146078</v>
      </c>
    </row>
    <row r="91" spans="2:7" x14ac:dyDescent="0.3">
      <c r="B91" s="52">
        <v>34</v>
      </c>
      <c r="C91" s="33">
        <v>263.37692368779256</v>
      </c>
      <c r="D91" s="52">
        <v>34</v>
      </c>
      <c r="E91" s="33">
        <v>12.538314840756733</v>
      </c>
      <c r="F91" s="52">
        <v>34</v>
      </c>
      <c r="G91" s="104">
        <v>197.1548416601093</v>
      </c>
    </row>
    <row r="92" spans="2:7" x14ac:dyDescent="0.3">
      <c r="B92" s="52">
        <v>35</v>
      </c>
      <c r="C92" s="33">
        <v>112.12980292334069</v>
      </c>
      <c r="D92" s="52">
        <v>35</v>
      </c>
      <c r="E92" s="33">
        <v>60.418945679057551</v>
      </c>
      <c r="F92" s="52">
        <v>35</v>
      </c>
      <c r="G92" s="104">
        <v>303.686425879029</v>
      </c>
    </row>
    <row r="93" spans="2:7" x14ac:dyDescent="0.3">
      <c r="B93" s="52">
        <v>36</v>
      </c>
      <c r="C93" s="33">
        <v>87.979813637386741</v>
      </c>
      <c r="D93" s="52">
        <v>36</v>
      </c>
      <c r="E93" s="33">
        <v>71.992399449149673</v>
      </c>
      <c r="F93" s="52">
        <v>36</v>
      </c>
      <c r="G93" s="104">
        <v>257.37889189784335</v>
      </c>
    </row>
    <row r="94" spans="2:7" x14ac:dyDescent="0.3">
      <c r="B94" s="52">
        <v>37</v>
      </c>
      <c r="C94" s="33">
        <v>182.9343646045804</v>
      </c>
      <c r="D94" s="52">
        <v>37</v>
      </c>
      <c r="E94" s="33">
        <v>43.995949276784287</v>
      </c>
      <c r="F94" s="52">
        <v>37</v>
      </c>
      <c r="G94" s="104">
        <v>376.04415851653232</v>
      </c>
    </row>
    <row r="95" spans="2:7" x14ac:dyDescent="0.3">
      <c r="B95" s="52">
        <v>38</v>
      </c>
      <c r="C95" s="33">
        <v>264.33293898886615</v>
      </c>
      <c r="D95" s="52">
        <v>38</v>
      </c>
      <c r="E95" s="33">
        <v>30.595607396241459</v>
      </c>
      <c r="F95" s="52">
        <v>38</v>
      </c>
      <c r="G95" s="104">
        <v>147.43133360251477</v>
      </c>
    </row>
    <row r="96" spans="2:7" x14ac:dyDescent="0.3">
      <c r="B96" s="52">
        <v>39</v>
      </c>
      <c r="C96" s="33">
        <v>23.571678752624422</v>
      </c>
      <c r="D96" s="52">
        <v>39</v>
      </c>
      <c r="E96" s="33">
        <v>50.902891166372711</v>
      </c>
      <c r="F96" s="52">
        <v>39</v>
      </c>
      <c r="G96" s="104">
        <v>192.79354437200473</v>
      </c>
    </row>
    <row r="97" spans="2:7" x14ac:dyDescent="0.3">
      <c r="B97" s="52">
        <v>40</v>
      </c>
      <c r="C97" s="33">
        <v>187.34999446929999</v>
      </c>
      <c r="D97" s="52">
        <v>40</v>
      </c>
      <c r="E97" s="33">
        <v>57.308694115335136</v>
      </c>
      <c r="F97" s="52">
        <v>40</v>
      </c>
      <c r="G97" s="104">
        <v>202.44959347158894</v>
      </c>
    </row>
    <row r="98" spans="2:7" x14ac:dyDescent="0.3">
      <c r="B98" s="52">
        <v>41</v>
      </c>
      <c r="C98" s="33">
        <v>334.33969584882965</v>
      </c>
      <c r="D98" s="52">
        <v>41</v>
      </c>
      <c r="E98" s="33">
        <v>33.741847049996885</v>
      </c>
      <c r="F98" s="52">
        <v>41</v>
      </c>
      <c r="G98" s="104">
        <v>217.7331344839605</v>
      </c>
    </row>
    <row r="99" spans="2:7" x14ac:dyDescent="0.3">
      <c r="B99" s="52">
        <v>42</v>
      </c>
      <c r="C99" s="33">
        <v>107.96919366791494</v>
      </c>
      <c r="D99" s="52">
        <v>42</v>
      </c>
      <c r="E99" s="33">
        <v>48.646319574035864</v>
      </c>
      <c r="F99" s="52">
        <v>42</v>
      </c>
      <c r="G99" s="104">
        <v>236.27868236132684</v>
      </c>
    </row>
    <row r="100" spans="2:7" x14ac:dyDescent="0.3">
      <c r="B100" s="52">
        <v>43</v>
      </c>
      <c r="C100" s="33">
        <v>274.37463127502161</v>
      </c>
      <c r="D100" s="52">
        <v>43</v>
      </c>
      <c r="E100" s="33">
        <v>-39.039015209690525</v>
      </c>
      <c r="F100" s="52">
        <v>43</v>
      </c>
      <c r="G100" s="104">
        <v>168.77281532909646</v>
      </c>
    </row>
    <row r="101" spans="2:7" x14ac:dyDescent="0.3">
      <c r="B101" s="52">
        <v>44</v>
      </c>
      <c r="C101" s="33">
        <v>260.95605826781036</v>
      </c>
      <c r="D101" s="52">
        <v>44</v>
      </c>
      <c r="E101" s="33">
        <v>51.371909589167942</v>
      </c>
      <c r="F101" s="52">
        <v>44</v>
      </c>
      <c r="G101" s="104">
        <v>297.80679467889752</v>
      </c>
    </row>
    <row r="102" spans="2:7" x14ac:dyDescent="0.3">
      <c r="B102" s="52">
        <v>45</v>
      </c>
      <c r="C102" s="33">
        <v>166.64585859105227</v>
      </c>
      <c r="D102" s="52">
        <v>45</v>
      </c>
      <c r="E102" s="33">
        <v>32.306075086081059</v>
      </c>
      <c r="F102" s="52">
        <v>45</v>
      </c>
      <c r="G102" s="104">
        <v>226.89342537157623</v>
      </c>
    </row>
    <row r="103" spans="2:7" x14ac:dyDescent="0.3">
      <c r="B103" s="52">
        <v>46</v>
      </c>
      <c r="C103" s="33">
        <v>238.58298517115051</v>
      </c>
      <c r="D103" s="52">
        <v>46</v>
      </c>
      <c r="E103" s="33">
        <v>37.123393217944582</v>
      </c>
      <c r="F103" s="52">
        <v>46</v>
      </c>
      <c r="G103" s="104">
        <v>72.61375270042285</v>
      </c>
    </row>
    <row r="104" spans="2:7" x14ac:dyDescent="0.3">
      <c r="B104" s="52">
        <v>47</v>
      </c>
      <c r="C104" s="33">
        <v>207.24139610414778</v>
      </c>
      <c r="D104" s="52">
        <v>47</v>
      </c>
      <c r="E104" s="33">
        <v>32.593796061911178</v>
      </c>
      <c r="F104" s="52">
        <v>47</v>
      </c>
      <c r="G104" s="104">
        <v>153.45720852386404</v>
      </c>
    </row>
    <row r="105" spans="2:7" x14ac:dyDescent="0.3">
      <c r="B105" s="52">
        <v>48</v>
      </c>
      <c r="C105" s="33">
        <v>107.55936119494334</v>
      </c>
      <c r="D105" s="52">
        <v>48</v>
      </c>
      <c r="E105" s="33">
        <v>55.693529179696434</v>
      </c>
      <c r="F105" s="52">
        <v>48</v>
      </c>
      <c r="G105" s="104">
        <v>164.72961874348329</v>
      </c>
    </row>
    <row r="106" spans="2:7" x14ac:dyDescent="0.3">
      <c r="B106" s="52">
        <v>49</v>
      </c>
      <c r="C106" s="33">
        <v>113.99646593685381</v>
      </c>
      <c r="D106" s="52">
        <v>49</v>
      </c>
      <c r="E106" s="33">
        <v>47.448212251748124</v>
      </c>
      <c r="F106" s="52">
        <v>49</v>
      </c>
      <c r="G106" s="104">
        <v>227.70947539711736</v>
      </c>
    </row>
    <row r="107" spans="2:7" x14ac:dyDescent="0.3">
      <c r="B107" s="52">
        <v>50</v>
      </c>
      <c r="C107" s="33">
        <v>190.01974845814658</v>
      </c>
      <c r="D107" s="52">
        <v>50</v>
      </c>
      <c r="E107" s="33">
        <v>55.871337368901045</v>
      </c>
      <c r="F107" s="52">
        <v>50</v>
      </c>
      <c r="G107" s="104">
        <v>124.72301316360449</v>
      </c>
    </row>
    <row r="108" spans="2:7" x14ac:dyDescent="0.3">
      <c r="B108" s="52">
        <v>51</v>
      </c>
      <c r="C108" s="33">
        <v>305.59664214091816</v>
      </c>
      <c r="D108" s="52">
        <v>51</v>
      </c>
      <c r="E108" s="33">
        <v>59.189951042061757</v>
      </c>
      <c r="F108" s="52">
        <v>51</v>
      </c>
      <c r="G108" s="104">
        <v>220.48957118651867</v>
      </c>
    </row>
    <row r="109" spans="2:7" x14ac:dyDescent="0.3">
      <c r="B109" s="52">
        <v>52</v>
      </c>
      <c r="C109" s="33">
        <v>149.89528360890785</v>
      </c>
      <c r="D109" s="52">
        <v>52</v>
      </c>
      <c r="E109" s="33">
        <v>37.074409621019413</v>
      </c>
      <c r="F109" s="52">
        <v>52</v>
      </c>
      <c r="G109" s="104">
        <v>241.48575128755067</v>
      </c>
    </row>
    <row r="110" spans="2:7" x14ac:dyDescent="0.3">
      <c r="B110" s="52">
        <v>53</v>
      </c>
      <c r="C110" s="33">
        <v>318.59835943613757</v>
      </c>
      <c r="D110" s="52">
        <v>53</v>
      </c>
      <c r="E110" s="33">
        <v>26.636455741834979</v>
      </c>
      <c r="F110" s="52">
        <v>53</v>
      </c>
      <c r="G110" s="104">
        <v>242.49080505679396</v>
      </c>
    </row>
    <row r="111" spans="2:7" x14ac:dyDescent="0.3">
      <c r="B111" s="52">
        <v>54</v>
      </c>
      <c r="C111" s="33">
        <v>176.53206362510082</v>
      </c>
      <c r="D111" s="52">
        <v>54</v>
      </c>
      <c r="E111" s="33">
        <v>45.645775913509794</v>
      </c>
      <c r="F111" s="52">
        <v>54</v>
      </c>
      <c r="G111" s="104">
        <v>159.6299414773635</v>
      </c>
    </row>
    <row r="112" spans="2:7" x14ac:dyDescent="0.3">
      <c r="B112" s="52">
        <v>55</v>
      </c>
      <c r="C112" s="33">
        <v>161.15885966860512</v>
      </c>
      <c r="D112" s="52">
        <v>55</v>
      </c>
      <c r="E112" s="33">
        <v>6.5754479391054659</v>
      </c>
      <c r="F112" s="52">
        <v>55</v>
      </c>
      <c r="G112" s="104">
        <v>245.90675940544941</v>
      </c>
    </row>
    <row r="113" spans="2:7" x14ac:dyDescent="0.3">
      <c r="B113" s="52">
        <v>56</v>
      </c>
      <c r="C113" s="33">
        <v>203.83983463672072</v>
      </c>
      <c r="D113" s="52">
        <v>56</v>
      </c>
      <c r="E113" s="33">
        <v>62.613464099702306</v>
      </c>
      <c r="F113" s="52">
        <v>56</v>
      </c>
      <c r="G113" s="104">
        <v>216.81451666587705</v>
      </c>
    </row>
    <row r="114" spans="2:7" x14ac:dyDescent="0.3">
      <c r="B114" s="52">
        <v>57</v>
      </c>
      <c r="C114" s="33">
        <v>122.64529604856372</v>
      </c>
      <c r="D114" s="52">
        <v>57</v>
      </c>
      <c r="E114" s="33">
        <v>36.844143609094381</v>
      </c>
      <c r="F114" s="52">
        <v>57</v>
      </c>
      <c r="G114" s="104">
        <v>99.494052479155613</v>
      </c>
    </row>
    <row r="115" spans="2:7" x14ac:dyDescent="0.3">
      <c r="B115" s="52">
        <v>58</v>
      </c>
      <c r="C115" s="33">
        <v>218.42602611817364</v>
      </c>
      <c r="D115" s="52">
        <v>58</v>
      </c>
      <c r="E115" s="33">
        <v>-7.7294543730814311</v>
      </c>
      <c r="F115" s="52">
        <v>58</v>
      </c>
      <c r="G115" s="104">
        <v>274.06292352249523</v>
      </c>
    </row>
    <row r="116" spans="2:7" x14ac:dyDescent="0.3">
      <c r="B116" s="52">
        <v>59</v>
      </c>
      <c r="C116" s="33">
        <v>216.73244188818876</v>
      </c>
      <c r="D116" s="52">
        <v>59</v>
      </c>
      <c r="E116" s="33">
        <v>26.842230543581145</v>
      </c>
      <c r="F116" s="52">
        <v>59</v>
      </c>
      <c r="G116" s="104">
        <v>70.656498640392215</v>
      </c>
    </row>
    <row r="117" spans="2:7" x14ac:dyDescent="0.3">
      <c r="B117" s="52">
        <v>60</v>
      </c>
      <c r="C117" s="33">
        <v>184.84565750173189</v>
      </c>
      <c r="D117" s="52">
        <v>60</v>
      </c>
      <c r="E117" s="33">
        <v>76.150413871363838</v>
      </c>
      <c r="F117" s="52">
        <v>60</v>
      </c>
      <c r="G117" s="104">
        <v>255.24337866278887</v>
      </c>
    </row>
    <row r="118" spans="2:7" x14ac:dyDescent="0.3">
      <c r="B118" s="52">
        <v>61</v>
      </c>
      <c r="C118" s="33">
        <v>277.61918788977709</v>
      </c>
      <c r="D118" s="52">
        <v>61</v>
      </c>
      <c r="E118" s="33">
        <v>39.446104810862145</v>
      </c>
      <c r="F118" s="52">
        <v>61</v>
      </c>
      <c r="G118" s="104">
        <v>168.69451685329926</v>
      </c>
    </row>
    <row r="119" spans="2:7" x14ac:dyDescent="0.3">
      <c r="B119" s="52">
        <v>62</v>
      </c>
      <c r="C119" s="33">
        <v>231.81498031982585</v>
      </c>
      <c r="D119" s="52">
        <v>62</v>
      </c>
      <c r="E119" s="33">
        <v>23.772678413040797</v>
      </c>
      <c r="F119" s="52">
        <v>62</v>
      </c>
      <c r="G119" s="104">
        <v>213.32695128764414</v>
      </c>
    </row>
    <row r="120" spans="2:7" x14ac:dyDescent="0.3">
      <c r="B120" s="52">
        <v>63</v>
      </c>
      <c r="C120" s="33">
        <v>217.37003564221928</v>
      </c>
      <c r="D120" s="52">
        <v>63</v>
      </c>
      <c r="E120" s="33">
        <v>64.351458071551249</v>
      </c>
      <c r="F120" s="52">
        <v>63</v>
      </c>
      <c r="G120" s="104">
        <v>19.481090521203072</v>
      </c>
    </row>
    <row r="121" spans="2:7" x14ac:dyDescent="0.3">
      <c r="B121" s="52">
        <v>64</v>
      </c>
      <c r="C121" s="33">
        <v>225.28164109453195</v>
      </c>
      <c r="D121" s="52">
        <v>64</v>
      </c>
      <c r="E121" s="33">
        <v>-11.611685814454354</v>
      </c>
      <c r="F121" s="52">
        <v>64</v>
      </c>
      <c r="G121" s="104">
        <v>259.64986710255772</v>
      </c>
    </row>
    <row r="122" spans="2:7" x14ac:dyDescent="0.3">
      <c r="B122" s="52">
        <v>65</v>
      </c>
      <c r="C122" s="33">
        <v>148.97039658524685</v>
      </c>
      <c r="D122" s="52">
        <v>65</v>
      </c>
      <c r="E122" s="33">
        <v>28.960733876918759</v>
      </c>
      <c r="F122" s="52">
        <v>65</v>
      </c>
      <c r="G122" s="104">
        <v>355.22069932301935</v>
      </c>
    </row>
    <row r="123" spans="2:7" x14ac:dyDescent="0.3">
      <c r="B123" s="52">
        <v>66</v>
      </c>
      <c r="C123" s="33">
        <v>175.64926705792521</v>
      </c>
      <c r="D123" s="52">
        <v>66</v>
      </c>
      <c r="E123" s="33">
        <v>54.94450852342694</v>
      </c>
      <c r="F123" s="52">
        <v>66</v>
      </c>
      <c r="G123" s="104">
        <v>214.24557078166575</v>
      </c>
    </row>
    <row r="124" spans="2:7" x14ac:dyDescent="0.3">
      <c r="B124" s="52">
        <v>67</v>
      </c>
      <c r="C124" s="33">
        <v>326.99823972595811</v>
      </c>
      <c r="D124" s="52">
        <v>67</v>
      </c>
      <c r="E124" s="33">
        <v>63.561967356285024</v>
      </c>
      <c r="F124" s="52">
        <v>67</v>
      </c>
      <c r="G124" s="104">
        <v>177.46941446903395</v>
      </c>
    </row>
    <row r="125" spans="2:7" x14ac:dyDescent="0.3">
      <c r="B125" s="52">
        <v>68</v>
      </c>
      <c r="C125" s="33">
        <v>190.9494599775598</v>
      </c>
      <c r="D125" s="52">
        <v>68</v>
      </c>
      <c r="E125" s="33">
        <v>37.430997516519049</v>
      </c>
      <c r="F125" s="52">
        <v>68</v>
      </c>
      <c r="G125" s="104">
        <v>99.46997385627904</v>
      </c>
    </row>
    <row r="126" spans="2:7" x14ac:dyDescent="0.3">
      <c r="B126" s="52">
        <v>69</v>
      </c>
      <c r="C126" s="33">
        <v>311.50508830291614</v>
      </c>
      <c r="D126" s="52">
        <v>69</v>
      </c>
      <c r="E126" s="33">
        <v>21.986698354870498</v>
      </c>
      <c r="F126" s="52">
        <v>69</v>
      </c>
      <c r="G126" s="104">
        <v>238.37410518819306</v>
      </c>
    </row>
    <row r="127" spans="2:7" x14ac:dyDescent="0.3">
      <c r="B127" s="52">
        <v>70</v>
      </c>
      <c r="C127" s="33">
        <v>267.72965037401929</v>
      </c>
      <c r="D127" s="52">
        <v>70</v>
      </c>
      <c r="E127" s="33">
        <v>-4.2189161912110436</v>
      </c>
      <c r="F127" s="52">
        <v>70</v>
      </c>
      <c r="G127" s="104">
        <v>348.52644777830108</v>
      </c>
    </row>
    <row r="128" spans="2:7" x14ac:dyDescent="0.3">
      <c r="B128" s="52">
        <v>71</v>
      </c>
      <c r="C128" s="33">
        <v>220.37712289259062</v>
      </c>
      <c r="D128" s="52">
        <v>71</v>
      </c>
      <c r="E128" s="33">
        <v>29.761178102600518</v>
      </c>
      <c r="F128" s="52">
        <v>71</v>
      </c>
      <c r="G128" s="104">
        <v>217.59570605080367</v>
      </c>
    </row>
    <row r="129" spans="2:7" x14ac:dyDescent="0.3">
      <c r="B129" s="52">
        <v>72</v>
      </c>
      <c r="C129" s="33">
        <v>294.12769266272721</v>
      </c>
      <c r="D129" s="52">
        <v>72</v>
      </c>
      <c r="E129" s="33">
        <v>43.584818220242525</v>
      </c>
      <c r="F129" s="52">
        <v>72</v>
      </c>
      <c r="G129" s="104">
        <v>207.70514520437425</v>
      </c>
    </row>
    <row r="130" spans="2:7" x14ac:dyDescent="0.3">
      <c r="B130" s="52">
        <v>73</v>
      </c>
      <c r="C130" s="33">
        <v>357.84115668808778</v>
      </c>
      <c r="D130" s="52">
        <v>73</v>
      </c>
      <c r="E130" s="33">
        <v>85.652365326459574</v>
      </c>
      <c r="F130" s="52">
        <v>73</v>
      </c>
      <c r="G130" s="104">
        <v>122.95204196279832</v>
      </c>
    </row>
    <row r="131" spans="2:7" x14ac:dyDescent="0.3">
      <c r="B131" s="52">
        <v>74</v>
      </c>
      <c r="C131" s="33">
        <v>174.02819964093112</v>
      </c>
      <c r="D131" s="52">
        <v>74</v>
      </c>
      <c r="E131" s="33">
        <v>15.531274231462493</v>
      </c>
      <c r="F131" s="52">
        <v>74</v>
      </c>
      <c r="G131" s="104">
        <v>228.82542164309334</v>
      </c>
    </row>
    <row r="132" spans="2:7" x14ac:dyDescent="0.3">
      <c r="B132" s="52">
        <v>75</v>
      </c>
      <c r="C132" s="33">
        <v>214.79029794336824</v>
      </c>
      <c r="D132" s="52">
        <v>75</v>
      </c>
      <c r="E132" s="33">
        <v>5.231464266380577</v>
      </c>
      <c r="F132" s="52">
        <v>75</v>
      </c>
      <c r="G132" s="104">
        <v>315.38282167968708</v>
      </c>
    </row>
    <row r="133" spans="2:7" x14ac:dyDescent="0.3">
      <c r="B133" s="52">
        <v>76</v>
      </c>
      <c r="C133" s="33">
        <v>221.30819257493178</v>
      </c>
      <c r="D133" s="52">
        <v>76</v>
      </c>
      <c r="E133" s="33">
        <v>17.028837661733817</v>
      </c>
      <c r="F133" s="52">
        <v>76</v>
      </c>
      <c r="G133" s="104">
        <v>287.68027729097139</v>
      </c>
    </row>
    <row r="134" spans="2:7" x14ac:dyDescent="0.3">
      <c r="B134" s="52">
        <v>77</v>
      </c>
      <c r="C134" s="33">
        <v>246.01272862985314</v>
      </c>
      <c r="D134" s="52">
        <v>77</v>
      </c>
      <c r="E134" s="33">
        <v>77.144980735702205</v>
      </c>
      <c r="F134" s="52">
        <v>77</v>
      </c>
      <c r="G134" s="104">
        <v>217.05990842303453</v>
      </c>
    </row>
    <row r="135" spans="2:7" x14ac:dyDescent="0.3">
      <c r="B135" s="52">
        <v>78</v>
      </c>
      <c r="C135" s="33">
        <v>109.15445197446979</v>
      </c>
      <c r="D135" s="52">
        <v>78</v>
      </c>
      <c r="E135" s="33">
        <v>42.656104535906238</v>
      </c>
      <c r="F135" s="52">
        <v>78</v>
      </c>
      <c r="G135" s="104">
        <v>110.80121711448427</v>
      </c>
    </row>
    <row r="136" spans="2:7" x14ac:dyDescent="0.3">
      <c r="B136" s="52">
        <v>79</v>
      </c>
      <c r="C136" s="33">
        <v>255.43990983614032</v>
      </c>
      <c r="D136" s="52">
        <v>79</v>
      </c>
      <c r="E136" s="33">
        <v>31.405748418193149</v>
      </c>
      <c r="F136" s="52">
        <v>79</v>
      </c>
      <c r="G136" s="104">
        <v>305.94023154152541</v>
      </c>
    </row>
    <row r="137" spans="2:7" x14ac:dyDescent="0.3">
      <c r="B137" s="52">
        <v>80</v>
      </c>
      <c r="C137" s="33">
        <v>144.99436734904197</v>
      </c>
      <c r="D137" s="52">
        <v>80</v>
      </c>
      <c r="E137" s="33">
        <v>0.93966443843807568</v>
      </c>
      <c r="F137" s="52">
        <v>80</v>
      </c>
      <c r="G137" s="104">
        <v>202.15817446023345</v>
      </c>
    </row>
    <row r="138" spans="2:7" x14ac:dyDescent="0.3">
      <c r="B138" s="52">
        <v>81</v>
      </c>
      <c r="C138" s="33">
        <v>176.29647558400779</v>
      </c>
      <c r="D138" s="52">
        <v>81</v>
      </c>
      <c r="E138" s="33">
        <v>21.726615696269207</v>
      </c>
      <c r="F138" s="52">
        <v>81</v>
      </c>
      <c r="G138" s="104">
        <v>207.11592226222098</v>
      </c>
    </row>
    <row r="139" spans="2:7" x14ac:dyDescent="0.3">
      <c r="B139" s="52">
        <v>82</v>
      </c>
      <c r="C139" s="33">
        <v>120.65923942607211</v>
      </c>
      <c r="D139" s="52">
        <v>82</v>
      </c>
      <c r="E139" s="33">
        <v>-33.973780195068677</v>
      </c>
      <c r="F139" s="52">
        <v>82</v>
      </c>
      <c r="G139" s="104">
        <v>244.7304407097304</v>
      </c>
    </row>
    <row r="140" spans="2:7" x14ac:dyDescent="0.3">
      <c r="B140" s="52">
        <v>83</v>
      </c>
      <c r="C140" s="33">
        <v>167.44771617042622</v>
      </c>
      <c r="D140" s="52">
        <v>83</v>
      </c>
      <c r="E140" s="33">
        <v>-5.27738574140065</v>
      </c>
      <c r="F140" s="52">
        <v>83</v>
      </c>
      <c r="G140" s="104">
        <v>242.14562761380091</v>
      </c>
    </row>
    <row r="141" spans="2:7" x14ac:dyDescent="0.3">
      <c r="B141" s="52">
        <v>84</v>
      </c>
      <c r="C141" s="33">
        <v>228.35324878150658</v>
      </c>
      <c r="D141" s="52">
        <v>84</v>
      </c>
      <c r="E141" s="33">
        <v>28.801724229675454</v>
      </c>
      <c r="F141" s="52">
        <v>84</v>
      </c>
      <c r="G141" s="104">
        <v>110.91516974567151</v>
      </c>
    </row>
    <row r="142" spans="2:7" x14ac:dyDescent="0.3">
      <c r="B142" s="52">
        <v>85</v>
      </c>
      <c r="C142" s="33">
        <v>28.562927969043983</v>
      </c>
      <c r="D142" s="52">
        <v>85</v>
      </c>
      <c r="E142" s="33">
        <v>77.691237510891867</v>
      </c>
      <c r="F142" s="52">
        <v>85</v>
      </c>
      <c r="G142" s="104">
        <v>260.70671257258118</v>
      </c>
    </row>
    <row r="143" spans="2:7" x14ac:dyDescent="0.3">
      <c r="B143" s="52">
        <v>86</v>
      </c>
      <c r="C143" s="33">
        <v>324.19551954303648</v>
      </c>
      <c r="D143" s="52">
        <v>86</v>
      </c>
      <c r="E143" s="33">
        <v>55.162992121097879</v>
      </c>
      <c r="F143" s="52">
        <v>86</v>
      </c>
      <c r="G143" s="104">
        <v>167.74285931505332</v>
      </c>
    </row>
    <row r="144" spans="2:7" x14ac:dyDescent="0.3">
      <c r="B144" s="52">
        <v>87</v>
      </c>
      <c r="C144" s="33">
        <v>109.62889811917032</v>
      </c>
      <c r="D144" s="52">
        <v>87</v>
      </c>
      <c r="E144" s="33">
        <v>-20.584496780283899</v>
      </c>
      <c r="F144" s="52">
        <v>87</v>
      </c>
      <c r="G144" s="104">
        <v>322.50035059627993</v>
      </c>
    </row>
    <row r="145" spans="2:7" x14ac:dyDescent="0.3">
      <c r="B145" s="52">
        <v>88</v>
      </c>
      <c r="C145" s="33">
        <v>31.322476329343857</v>
      </c>
      <c r="D145" s="52">
        <v>88</v>
      </c>
      <c r="E145" s="33">
        <v>58.54360039397168</v>
      </c>
      <c r="F145" s="52">
        <v>88</v>
      </c>
      <c r="G145" s="104">
        <v>193.17354824463064</v>
      </c>
    </row>
    <row r="146" spans="2:7" x14ac:dyDescent="0.3">
      <c r="B146" s="52">
        <v>89</v>
      </c>
      <c r="C146" s="33">
        <v>310.20914107854827</v>
      </c>
      <c r="D146" s="52">
        <v>89</v>
      </c>
      <c r="E146" s="33">
        <v>53.685543464022253</v>
      </c>
      <c r="F146" s="52">
        <v>89</v>
      </c>
      <c r="G146" s="104">
        <v>210.57255615848368</v>
      </c>
    </row>
    <row r="147" spans="2:7" x14ac:dyDescent="0.3">
      <c r="B147" s="52">
        <v>90</v>
      </c>
      <c r="C147" s="33">
        <v>274.74248274883871</v>
      </c>
      <c r="D147" s="52">
        <v>90</v>
      </c>
      <c r="E147" s="33">
        <v>-8.0432483538476802</v>
      </c>
      <c r="F147" s="52">
        <v>90</v>
      </c>
      <c r="G147" s="104">
        <v>213.11066822294114</v>
      </c>
    </row>
    <row r="148" spans="2:7" x14ac:dyDescent="0.3">
      <c r="B148" s="52">
        <v>91</v>
      </c>
      <c r="C148" s="33">
        <v>243.60136164674586</v>
      </c>
      <c r="D148" s="52">
        <v>91</v>
      </c>
      <c r="E148" s="33">
        <v>66.440418668686618</v>
      </c>
      <c r="F148" s="52">
        <v>91</v>
      </c>
      <c r="G148" s="104">
        <v>208.61150313134226</v>
      </c>
    </row>
    <row r="149" spans="2:7" x14ac:dyDescent="0.3">
      <c r="B149" s="52">
        <v>92</v>
      </c>
      <c r="C149" s="33">
        <v>235.67070722138823</v>
      </c>
      <c r="D149" s="52">
        <v>92</v>
      </c>
      <c r="E149" s="33">
        <v>97.557510183536039</v>
      </c>
      <c r="F149" s="52">
        <v>92</v>
      </c>
      <c r="G149" s="104">
        <v>178.79937028941762</v>
      </c>
    </row>
    <row r="150" spans="2:7" x14ac:dyDescent="0.3">
      <c r="B150" s="52">
        <v>93</v>
      </c>
      <c r="C150" s="33">
        <v>208.21781610905975</v>
      </c>
      <c r="D150" s="52">
        <v>93</v>
      </c>
      <c r="E150" s="33">
        <v>-0.70447295929206177</v>
      </c>
      <c r="F150" s="52">
        <v>93</v>
      </c>
      <c r="G150" s="104">
        <v>223.97551764262985</v>
      </c>
    </row>
    <row r="151" spans="2:7" x14ac:dyDescent="0.3">
      <c r="B151" s="52">
        <v>94</v>
      </c>
      <c r="C151" s="33">
        <v>308.7686103324462</v>
      </c>
      <c r="D151" s="52">
        <v>94</v>
      </c>
      <c r="E151" s="33">
        <v>18.59319205083731</v>
      </c>
      <c r="F151" s="52">
        <v>94</v>
      </c>
      <c r="G151" s="104">
        <v>254.03267594186013</v>
      </c>
    </row>
    <row r="152" spans="2:7" x14ac:dyDescent="0.3">
      <c r="B152" s="52">
        <v>95</v>
      </c>
      <c r="C152" s="33">
        <v>258.60955653975549</v>
      </c>
      <c r="D152" s="52">
        <v>95</v>
      </c>
      <c r="E152" s="33">
        <v>69.863164619207652</v>
      </c>
      <c r="F152" s="52">
        <v>95</v>
      </c>
      <c r="G152" s="104">
        <v>189.53240498407575</v>
      </c>
    </row>
    <row r="153" spans="2:7" x14ac:dyDescent="0.3">
      <c r="B153" s="52">
        <v>96</v>
      </c>
      <c r="C153" s="33">
        <v>190.60999577951253</v>
      </c>
      <c r="D153" s="52">
        <v>96</v>
      </c>
      <c r="E153" s="33">
        <v>45.924638976229375</v>
      </c>
      <c r="F153" s="52">
        <v>96</v>
      </c>
      <c r="G153" s="104">
        <v>166.8857019847062</v>
      </c>
    </row>
    <row r="154" spans="2:7" x14ac:dyDescent="0.3">
      <c r="B154" s="52">
        <v>97</v>
      </c>
      <c r="C154" s="33">
        <v>188.07223961287661</v>
      </c>
      <c r="D154" s="52">
        <v>97</v>
      </c>
      <c r="E154" s="33">
        <v>5.5006107432699878</v>
      </c>
      <c r="F154" s="52">
        <v>97</v>
      </c>
      <c r="G154" s="104">
        <v>213.44229133539147</v>
      </c>
    </row>
    <row r="155" spans="2:7" x14ac:dyDescent="0.3">
      <c r="B155" s="52">
        <v>98</v>
      </c>
      <c r="C155" s="33">
        <v>175.5598631979675</v>
      </c>
      <c r="D155" s="52">
        <v>98</v>
      </c>
      <c r="E155" s="33">
        <v>33.669021274640876</v>
      </c>
      <c r="F155" s="52">
        <v>98</v>
      </c>
      <c r="G155" s="104">
        <v>309.12887184110582</v>
      </c>
    </row>
    <row r="156" spans="2:7" x14ac:dyDescent="0.3">
      <c r="B156" s="52">
        <v>99</v>
      </c>
      <c r="C156" s="33">
        <v>230.82805857819335</v>
      </c>
      <c r="D156" s="52">
        <v>99</v>
      </c>
      <c r="E156" s="33">
        <v>58.281028017909371</v>
      </c>
      <c r="F156" s="52">
        <v>99</v>
      </c>
      <c r="G156" s="104">
        <v>200.71597568802551</v>
      </c>
    </row>
    <row r="157" spans="2:7" x14ac:dyDescent="0.3">
      <c r="B157" s="52">
        <v>100</v>
      </c>
      <c r="C157" s="33">
        <v>297.01621373211367</v>
      </c>
      <c r="D157" s="52">
        <v>100</v>
      </c>
      <c r="E157" s="33">
        <v>20.471834624451766</v>
      </c>
      <c r="F157" s="52">
        <v>100</v>
      </c>
      <c r="G157" s="104">
        <v>63.281367532490876</v>
      </c>
    </row>
    <row r="158" spans="2:7" x14ac:dyDescent="0.3">
      <c r="B158" s="52">
        <v>101</v>
      </c>
      <c r="C158" s="33">
        <v>240.42171727954516</v>
      </c>
      <c r="D158" s="52">
        <v>101</v>
      </c>
      <c r="E158" s="33">
        <v>15.484778145260911</v>
      </c>
      <c r="F158" s="52">
        <v>101</v>
      </c>
      <c r="G158" s="104">
        <v>107.09366842642062</v>
      </c>
    </row>
    <row r="159" spans="2:7" x14ac:dyDescent="0.3">
      <c r="B159" s="52">
        <v>102</v>
      </c>
      <c r="C159" s="33">
        <v>160.83564949720105</v>
      </c>
      <c r="D159" s="52">
        <v>102</v>
      </c>
      <c r="E159" s="33">
        <v>46.498656451915252</v>
      </c>
      <c r="F159" s="52">
        <v>102</v>
      </c>
      <c r="G159" s="104">
        <v>198.37824004699698</v>
      </c>
    </row>
    <row r="160" spans="2:7" x14ac:dyDescent="0.3">
      <c r="B160" s="52">
        <v>103</v>
      </c>
      <c r="C160" s="33">
        <v>353.04132095036783</v>
      </c>
      <c r="D160" s="52">
        <v>103</v>
      </c>
      <c r="E160" s="33">
        <v>50.378249979541785</v>
      </c>
      <c r="F160" s="52">
        <v>103</v>
      </c>
      <c r="G160" s="104">
        <v>253.70908667974814</v>
      </c>
    </row>
    <row r="161" spans="2:7" x14ac:dyDescent="0.3">
      <c r="B161" s="52">
        <v>104</v>
      </c>
      <c r="C161" s="33">
        <v>156.40980230014338</v>
      </c>
      <c r="D161" s="52">
        <v>104</v>
      </c>
      <c r="E161" s="33">
        <v>95.53827906160484</v>
      </c>
      <c r="F161" s="52">
        <v>104</v>
      </c>
      <c r="G161" s="104">
        <v>231.19968291759469</v>
      </c>
    </row>
    <row r="162" spans="2:7" x14ac:dyDescent="0.3">
      <c r="B162" s="52">
        <v>105</v>
      </c>
      <c r="C162" s="33">
        <v>297.23173421742194</v>
      </c>
      <c r="D162" s="52">
        <v>105</v>
      </c>
      <c r="E162" s="33">
        <v>74.359853682899498</v>
      </c>
      <c r="F162" s="52">
        <v>105</v>
      </c>
      <c r="G162" s="104">
        <v>233.3855869609402</v>
      </c>
    </row>
    <row r="163" spans="2:7" x14ac:dyDescent="0.3">
      <c r="B163" s="52">
        <v>106</v>
      </c>
      <c r="C163" s="33">
        <v>142.96568907950342</v>
      </c>
      <c r="D163" s="52">
        <v>106</v>
      </c>
      <c r="E163" s="33">
        <v>41.611792930520473</v>
      </c>
      <c r="F163" s="52">
        <v>106</v>
      </c>
      <c r="G163" s="104">
        <v>224.80972262191395</v>
      </c>
    </row>
    <row r="164" spans="2:7" x14ac:dyDescent="0.3">
      <c r="B164" s="52">
        <v>107</v>
      </c>
      <c r="C164" s="33">
        <v>74.803948070364271</v>
      </c>
      <c r="D164" s="52">
        <v>107</v>
      </c>
      <c r="E164" s="33">
        <v>43.343498394296653</v>
      </c>
      <c r="F164" s="52">
        <v>107</v>
      </c>
      <c r="G164" s="104">
        <v>281.74932660576138</v>
      </c>
    </row>
    <row r="165" spans="2:7" x14ac:dyDescent="0.3">
      <c r="B165" s="52">
        <v>108</v>
      </c>
      <c r="C165" s="33">
        <v>261.21857395190489</v>
      </c>
      <c r="D165" s="52">
        <v>108</v>
      </c>
      <c r="E165" s="33">
        <v>31.277126329348441</v>
      </c>
      <c r="F165" s="52">
        <v>108</v>
      </c>
      <c r="G165" s="104">
        <v>211.0242004813453</v>
      </c>
    </row>
    <row r="166" spans="2:7" x14ac:dyDescent="0.3">
      <c r="B166" s="52">
        <v>109</v>
      </c>
      <c r="C166" s="33">
        <v>187.3361459030331</v>
      </c>
      <c r="D166" s="52">
        <v>109</v>
      </c>
      <c r="E166" s="33">
        <v>78.575451792336224</v>
      </c>
      <c r="F166" s="52">
        <v>109</v>
      </c>
      <c r="G166" s="104">
        <v>114.59035190691691</v>
      </c>
    </row>
    <row r="167" spans="2:7" x14ac:dyDescent="0.3">
      <c r="B167" s="52">
        <v>110</v>
      </c>
      <c r="C167" s="33">
        <v>234.42062807456577</v>
      </c>
      <c r="D167" s="52">
        <v>110</v>
      </c>
      <c r="E167" s="33">
        <v>28.087543487536209</v>
      </c>
      <c r="F167" s="52">
        <v>110</v>
      </c>
      <c r="G167" s="104">
        <v>260.50054231474718</v>
      </c>
    </row>
    <row r="168" spans="2:7" x14ac:dyDescent="0.3">
      <c r="B168" s="52">
        <v>111</v>
      </c>
      <c r="C168" s="33">
        <v>197.40650459483317</v>
      </c>
      <c r="D168" s="52">
        <v>111</v>
      </c>
      <c r="E168" s="33">
        <v>70.925720704408718</v>
      </c>
      <c r="F168" s="52">
        <v>111</v>
      </c>
      <c r="G168" s="104">
        <v>212.59726254696176</v>
      </c>
    </row>
    <row r="169" spans="2:7" x14ac:dyDescent="0.3">
      <c r="B169" s="52">
        <v>112</v>
      </c>
      <c r="C169" s="33">
        <v>218.06761122096924</v>
      </c>
      <c r="D169" s="52">
        <v>112</v>
      </c>
      <c r="E169" s="33">
        <v>25.135485040295666</v>
      </c>
      <c r="F169" s="52">
        <v>112</v>
      </c>
      <c r="G169" s="104">
        <v>264.31218471123191</v>
      </c>
    </row>
    <row r="170" spans="2:7" x14ac:dyDescent="0.3">
      <c r="B170" s="52">
        <v>113</v>
      </c>
      <c r="C170" s="33">
        <v>86.417643076407074</v>
      </c>
      <c r="D170" s="52">
        <v>113</v>
      </c>
      <c r="E170" s="33">
        <v>13.927329132118636</v>
      </c>
      <c r="F170" s="52">
        <v>113</v>
      </c>
      <c r="G170" s="104">
        <v>221.40171377944608</v>
      </c>
    </row>
    <row r="171" spans="2:7" x14ac:dyDescent="0.3">
      <c r="B171" s="52">
        <v>114</v>
      </c>
      <c r="C171" s="33">
        <v>369.63779507048974</v>
      </c>
      <c r="D171" s="52">
        <v>114</v>
      </c>
      <c r="E171" s="33">
        <v>78.086141637450623</v>
      </c>
      <c r="F171" s="52">
        <v>114</v>
      </c>
      <c r="G171" s="104">
        <v>230.6728828614618</v>
      </c>
    </row>
    <row r="172" spans="2:7" x14ac:dyDescent="0.3">
      <c r="B172" s="52">
        <v>115</v>
      </c>
      <c r="C172" s="33">
        <v>230.72725692118291</v>
      </c>
      <c r="D172" s="52">
        <v>115</v>
      </c>
      <c r="E172" s="33">
        <v>8.5099816235777261</v>
      </c>
      <c r="F172" s="52">
        <v>115</v>
      </c>
      <c r="G172" s="104">
        <v>199.01345386261548</v>
      </c>
    </row>
    <row r="173" spans="2:7" x14ac:dyDescent="0.3">
      <c r="B173" s="52">
        <v>116</v>
      </c>
      <c r="C173" s="33">
        <v>217.31007861832362</v>
      </c>
      <c r="D173" s="52">
        <v>116</v>
      </c>
      <c r="E173" s="33">
        <v>71.756333923683684</v>
      </c>
      <c r="F173" s="52">
        <v>116</v>
      </c>
      <c r="G173" s="104">
        <v>305.58618636630013</v>
      </c>
    </row>
    <row r="174" spans="2:7" x14ac:dyDescent="0.3">
      <c r="B174" s="52">
        <v>117</v>
      </c>
      <c r="C174" s="33">
        <v>133.30488563506282</v>
      </c>
      <c r="D174" s="52">
        <v>117</v>
      </c>
      <c r="E174" s="33">
        <v>79.591137395565724</v>
      </c>
      <c r="F174" s="52">
        <v>117</v>
      </c>
      <c r="G174" s="104">
        <v>101.79144122807483</v>
      </c>
    </row>
    <row r="175" spans="2:7" x14ac:dyDescent="0.3">
      <c r="B175" s="52">
        <v>118</v>
      </c>
      <c r="C175" s="33">
        <v>321.16886131179922</v>
      </c>
      <c r="D175" s="52">
        <v>118</v>
      </c>
      <c r="E175" s="33">
        <v>40.314052091619985</v>
      </c>
      <c r="F175" s="52">
        <v>118</v>
      </c>
      <c r="G175" s="104">
        <v>231.21986550670456</v>
      </c>
    </row>
    <row r="176" spans="2:7" x14ac:dyDescent="0.3">
      <c r="B176" s="52">
        <v>119</v>
      </c>
      <c r="C176" s="33">
        <v>224.35226832881017</v>
      </c>
      <c r="D176" s="52">
        <v>119</v>
      </c>
      <c r="E176" s="33">
        <v>76.859516956662674</v>
      </c>
      <c r="F176" s="52">
        <v>119</v>
      </c>
      <c r="G176" s="104">
        <v>277.64495773096723</v>
      </c>
    </row>
    <row r="177" spans="2:7" x14ac:dyDescent="0.3">
      <c r="B177" s="52">
        <v>120</v>
      </c>
      <c r="C177" s="33">
        <v>227.10186317121219</v>
      </c>
      <c r="D177" s="52">
        <v>120</v>
      </c>
      <c r="E177" s="33">
        <v>41.674512841673518</v>
      </c>
      <c r="F177" s="52">
        <v>120</v>
      </c>
      <c r="G177" s="104">
        <v>224.00720556151745</v>
      </c>
    </row>
    <row r="178" spans="2:7" x14ac:dyDescent="0.3">
      <c r="B178" s="52">
        <v>121</v>
      </c>
      <c r="C178" s="33">
        <v>362.68422967877592</v>
      </c>
      <c r="D178" s="52">
        <v>121</v>
      </c>
      <c r="E178" s="33">
        <v>3.4466956349708262</v>
      </c>
      <c r="F178" s="52">
        <v>121</v>
      </c>
      <c r="G178" s="104">
        <v>307.06007913333463</v>
      </c>
    </row>
    <row r="179" spans="2:7" x14ac:dyDescent="0.3">
      <c r="B179" s="52">
        <v>122</v>
      </c>
      <c r="C179" s="33">
        <v>109.32676348195646</v>
      </c>
      <c r="D179" s="52">
        <v>122</v>
      </c>
      <c r="E179" s="33">
        <v>32.55243993253881</v>
      </c>
      <c r="F179" s="52">
        <v>122</v>
      </c>
      <c r="G179" s="104">
        <v>266.32596289672045</v>
      </c>
    </row>
    <row r="180" spans="2:7" x14ac:dyDescent="0.3">
      <c r="B180" s="52">
        <v>123</v>
      </c>
      <c r="C180" s="33">
        <v>321.01945079443908</v>
      </c>
      <c r="D180" s="52">
        <v>123</v>
      </c>
      <c r="E180" s="33">
        <v>37.353015916732446</v>
      </c>
      <c r="F180" s="52">
        <v>123</v>
      </c>
      <c r="G180" s="104">
        <v>162.43607935297644</v>
      </c>
    </row>
    <row r="181" spans="2:7" x14ac:dyDescent="0.3">
      <c r="B181" s="52">
        <v>124</v>
      </c>
      <c r="C181" s="33">
        <v>214.92106202203786</v>
      </c>
      <c r="D181" s="52">
        <v>124</v>
      </c>
      <c r="E181" s="33">
        <v>102.21498560755509</v>
      </c>
      <c r="F181" s="52">
        <v>124</v>
      </c>
      <c r="G181" s="104">
        <v>213.89508109247839</v>
      </c>
    </row>
    <row r="182" spans="2:7" x14ac:dyDescent="0.3">
      <c r="B182" s="52">
        <v>125</v>
      </c>
      <c r="C182" s="33">
        <v>169.43851074139906</v>
      </c>
      <c r="D182" s="52">
        <v>125</v>
      </c>
      <c r="E182" s="33">
        <v>43.599075516750602</v>
      </c>
      <c r="F182" s="52">
        <v>125</v>
      </c>
      <c r="G182" s="104">
        <v>166.97945333959112</v>
      </c>
    </row>
    <row r="183" spans="2:7" x14ac:dyDescent="0.3">
      <c r="B183" s="52">
        <v>126</v>
      </c>
      <c r="C183" s="33">
        <v>339.43614081842111</v>
      </c>
      <c r="D183" s="52">
        <v>126</v>
      </c>
      <c r="E183" s="33">
        <v>-12.248922180418283</v>
      </c>
      <c r="F183" s="52">
        <v>126</v>
      </c>
      <c r="G183" s="104">
        <v>270.16692079301788</v>
      </c>
    </row>
    <row r="184" spans="2:7" x14ac:dyDescent="0.3">
      <c r="B184" s="52">
        <v>127</v>
      </c>
      <c r="C184" s="33">
        <v>243.83089227849638</v>
      </c>
      <c r="D184" s="52">
        <v>127</v>
      </c>
      <c r="E184" s="33">
        <v>51.311129894354771</v>
      </c>
      <c r="F184" s="52">
        <v>127</v>
      </c>
      <c r="G184" s="104">
        <v>194.96673833924612</v>
      </c>
    </row>
    <row r="185" spans="2:7" x14ac:dyDescent="0.3">
      <c r="B185" s="52">
        <v>128</v>
      </c>
      <c r="C185" s="33">
        <v>205.10651290959001</v>
      </c>
      <c r="D185" s="52">
        <v>128</v>
      </c>
      <c r="E185" s="33">
        <v>46.015110628023315</v>
      </c>
      <c r="F185" s="52">
        <v>128</v>
      </c>
      <c r="G185" s="104">
        <v>362.33579988754946</v>
      </c>
    </row>
    <row r="186" spans="2:7" x14ac:dyDescent="0.3">
      <c r="B186" s="52">
        <v>129</v>
      </c>
      <c r="C186" s="33">
        <v>216.51422698390675</v>
      </c>
      <c r="D186" s="52">
        <v>129</v>
      </c>
      <c r="E186" s="33">
        <v>26.515427097131735</v>
      </c>
      <c r="F186" s="52">
        <v>129</v>
      </c>
      <c r="G186" s="104">
        <v>299.8457928380061</v>
      </c>
    </row>
    <row r="187" spans="2:7" x14ac:dyDescent="0.3">
      <c r="B187" s="52">
        <v>130</v>
      </c>
      <c r="C187" s="33">
        <v>209.73604207430037</v>
      </c>
      <c r="D187" s="52">
        <v>130</v>
      </c>
      <c r="E187" s="33">
        <v>71.142893257112689</v>
      </c>
      <c r="F187" s="52">
        <v>130</v>
      </c>
      <c r="G187" s="104">
        <v>136.79048802319724</v>
      </c>
    </row>
    <row r="188" spans="2:7" x14ac:dyDescent="0.3">
      <c r="B188" s="52">
        <v>131</v>
      </c>
      <c r="C188" s="33">
        <v>287.40307591269516</v>
      </c>
      <c r="D188" s="52">
        <v>131</v>
      </c>
      <c r="E188" s="33">
        <v>39.016442596406762</v>
      </c>
      <c r="F188" s="52">
        <v>131</v>
      </c>
      <c r="G188" s="104">
        <v>297.26213594919233</v>
      </c>
    </row>
    <row r="189" spans="2:7" x14ac:dyDescent="0.3">
      <c r="B189" s="52">
        <v>132</v>
      </c>
      <c r="C189" s="33">
        <v>281.93349354702701</v>
      </c>
      <c r="D189" s="52">
        <v>132</v>
      </c>
      <c r="E189" s="33">
        <v>17.48284281398098</v>
      </c>
      <c r="F189" s="52">
        <v>132</v>
      </c>
      <c r="G189" s="104">
        <v>303.86575483352709</v>
      </c>
    </row>
    <row r="190" spans="2:7" x14ac:dyDescent="0.3">
      <c r="B190" s="52">
        <v>133</v>
      </c>
      <c r="C190" s="33">
        <v>299.4347174362905</v>
      </c>
      <c r="D190" s="52">
        <v>133</v>
      </c>
      <c r="E190" s="33">
        <v>-5.7101604936737473</v>
      </c>
      <c r="F190" s="52">
        <v>133</v>
      </c>
      <c r="G190" s="104">
        <v>255.90101444597417</v>
      </c>
    </row>
    <row r="191" spans="2:7" x14ac:dyDescent="0.3">
      <c r="B191" s="52">
        <v>134</v>
      </c>
      <c r="C191" s="33">
        <v>164.47976630293206</v>
      </c>
      <c r="D191" s="52">
        <v>134</v>
      </c>
      <c r="E191" s="33">
        <v>30.525619197773562</v>
      </c>
      <c r="F191" s="52">
        <v>134</v>
      </c>
      <c r="G191" s="104">
        <v>176.58242672140483</v>
      </c>
    </row>
    <row r="192" spans="2:7" x14ac:dyDescent="0.3">
      <c r="B192" s="52">
        <v>135</v>
      </c>
      <c r="C192" s="33">
        <v>110.95483011522114</v>
      </c>
      <c r="D192" s="52">
        <v>135</v>
      </c>
      <c r="E192" s="33">
        <v>35.735786972102943</v>
      </c>
      <c r="F192" s="52">
        <v>135</v>
      </c>
      <c r="G192" s="104">
        <v>142.4701373197835</v>
      </c>
    </row>
    <row r="193" spans="2:7" x14ac:dyDescent="0.3">
      <c r="B193" s="52">
        <v>136</v>
      </c>
      <c r="C193" s="33">
        <v>237.06185738219096</v>
      </c>
      <c r="D193" s="52">
        <v>136</v>
      </c>
      <c r="E193" s="33">
        <v>66.328432989135351</v>
      </c>
      <c r="F193" s="52">
        <v>136</v>
      </c>
      <c r="G193" s="104">
        <v>252.41440551485499</v>
      </c>
    </row>
    <row r="194" spans="2:7" x14ac:dyDescent="0.3">
      <c r="B194" s="52">
        <v>137</v>
      </c>
      <c r="C194" s="33">
        <v>151.71331136573281</v>
      </c>
      <c r="D194" s="52">
        <v>137</v>
      </c>
      <c r="E194" s="33">
        <v>10.254480482560027</v>
      </c>
      <c r="F194" s="52">
        <v>137</v>
      </c>
      <c r="G194" s="104">
        <v>156.24661205217046</v>
      </c>
    </row>
    <row r="195" spans="2:7" x14ac:dyDescent="0.3">
      <c r="B195" s="52">
        <v>138</v>
      </c>
      <c r="C195" s="33">
        <v>53.681136956200604</v>
      </c>
      <c r="D195" s="52">
        <v>138</v>
      </c>
      <c r="E195" s="33">
        <v>47.356788930749133</v>
      </c>
      <c r="F195" s="52">
        <v>138</v>
      </c>
      <c r="G195" s="104">
        <v>226.02275887354278</v>
      </c>
    </row>
    <row r="196" spans="2:7" x14ac:dyDescent="0.3">
      <c r="B196" s="52">
        <v>139</v>
      </c>
      <c r="C196" s="33">
        <v>358.03319267371785</v>
      </c>
      <c r="D196" s="52">
        <v>139</v>
      </c>
      <c r="E196" s="33">
        <v>66.504822819015089</v>
      </c>
      <c r="F196" s="52">
        <v>139</v>
      </c>
      <c r="G196" s="104">
        <v>287.68492239809018</v>
      </c>
    </row>
    <row r="197" spans="2:7" x14ac:dyDescent="0.3">
      <c r="B197" s="52">
        <v>140</v>
      </c>
      <c r="C197" s="33">
        <v>276.56722022782617</v>
      </c>
      <c r="D197" s="52">
        <v>140</v>
      </c>
      <c r="E197" s="33">
        <v>61.032502620108822</v>
      </c>
      <c r="F197" s="52">
        <v>140</v>
      </c>
      <c r="G197" s="104">
        <v>181.9148664330738</v>
      </c>
    </row>
    <row r="198" spans="2:7" x14ac:dyDescent="0.3">
      <c r="B198" s="52">
        <v>141</v>
      </c>
      <c r="C198" s="33">
        <v>54.832149968047332</v>
      </c>
      <c r="D198" s="52">
        <v>141</v>
      </c>
      <c r="E198" s="33">
        <v>31.944711574494203</v>
      </c>
      <c r="F198" s="52">
        <v>141</v>
      </c>
      <c r="G198" s="104">
        <v>245.31824144996807</v>
      </c>
    </row>
    <row r="199" spans="2:7" x14ac:dyDescent="0.3">
      <c r="B199" s="52">
        <v>142</v>
      </c>
      <c r="C199" s="33">
        <v>96.705315560699319</v>
      </c>
      <c r="D199" s="52">
        <v>142</v>
      </c>
      <c r="E199" s="33">
        <v>18.482830900868066</v>
      </c>
      <c r="F199" s="52">
        <v>142</v>
      </c>
      <c r="G199" s="104">
        <v>249.99817900902633</v>
      </c>
    </row>
    <row r="200" spans="2:7" x14ac:dyDescent="0.3">
      <c r="B200" s="52">
        <v>143</v>
      </c>
      <c r="C200" s="33">
        <v>327.49121848715652</v>
      </c>
      <c r="D200" s="52">
        <v>143</v>
      </c>
      <c r="E200" s="33">
        <v>24.900749176404823</v>
      </c>
      <c r="F200" s="52">
        <v>143</v>
      </c>
      <c r="G200" s="104">
        <v>145.6333397152253</v>
      </c>
    </row>
    <row r="201" spans="2:7" x14ac:dyDescent="0.3">
      <c r="B201" s="52">
        <v>144</v>
      </c>
      <c r="C201" s="33">
        <v>269.65194028568118</v>
      </c>
      <c r="D201" s="52">
        <v>144</v>
      </c>
      <c r="E201" s="33">
        <v>65.467648051161135</v>
      </c>
      <c r="F201" s="52">
        <v>144</v>
      </c>
      <c r="G201" s="104">
        <v>29.720833441394461</v>
      </c>
    </row>
    <row r="202" spans="2:7" x14ac:dyDescent="0.3">
      <c r="B202" s="52">
        <v>145</v>
      </c>
      <c r="C202" s="33">
        <v>283.63593816760732</v>
      </c>
      <c r="D202" s="52">
        <v>145</v>
      </c>
      <c r="E202" s="33">
        <v>42.417204365107914</v>
      </c>
      <c r="F202" s="52">
        <v>145</v>
      </c>
      <c r="G202" s="104">
        <v>137.89339233382884</v>
      </c>
    </row>
    <row r="203" spans="2:7" x14ac:dyDescent="0.3">
      <c r="B203" s="52">
        <v>146</v>
      </c>
      <c r="C203" s="33">
        <v>190.38186909573096</v>
      </c>
      <c r="D203" s="52">
        <v>146</v>
      </c>
      <c r="E203" s="33">
        <v>20.411482591224811</v>
      </c>
      <c r="F203" s="52">
        <v>146</v>
      </c>
      <c r="G203" s="104">
        <v>274.06759621123985</v>
      </c>
    </row>
    <row r="204" spans="2:7" x14ac:dyDescent="0.3">
      <c r="B204" s="52">
        <v>147</v>
      </c>
      <c r="C204" s="33">
        <v>344.52726342958994</v>
      </c>
      <c r="D204" s="52">
        <v>147</v>
      </c>
      <c r="E204" s="33">
        <v>22.471380172347423</v>
      </c>
      <c r="F204" s="52">
        <v>147</v>
      </c>
      <c r="G204" s="104">
        <v>148.55870041863159</v>
      </c>
    </row>
    <row r="205" spans="2:7" x14ac:dyDescent="0.3">
      <c r="B205" s="52">
        <v>148</v>
      </c>
      <c r="C205" s="33">
        <v>204.14015133752042</v>
      </c>
      <c r="D205" s="52">
        <v>148</v>
      </c>
      <c r="E205" s="33">
        <v>50.192220628789812</v>
      </c>
      <c r="F205" s="52">
        <v>148</v>
      </c>
      <c r="G205" s="104">
        <v>193.08179733500964</v>
      </c>
    </row>
    <row r="206" spans="2:7" x14ac:dyDescent="0.3">
      <c r="B206" s="52">
        <v>149</v>
      </c>
      <c r="C206" s="33">
        <v>241.17766610059837</v>
      </c>
      <c r="D206" s="52">
        <v>149</v>
      </c>
      <c r="E206" s="33">
        <v>30.867166353930095</v>
      </c>
      <c r="F206" s="52">
        <v>149</v>
      </c>
      <c r="G206" s="104">
        <v>270.46787497807253</v>
      </c>
    </row>
    <row r="207" spans="2:7" x14ac:dyDescent="0.3">
      <c r="B207" s="52">
        <v>150</v>
      </c>
      <c r="C207" s="33">
        <v>254.65744752565644</v>
      </c>
      <c r="D207" s="52">
        <v>150</v>
      </c>
      <c r="E207" s="33">
        <v>46.323145038532168</v>
      </c>
      <c r="F207" s="52">
        <v>150</v>
      </c>
      <c r="G207" s="104">
        <v>309.14375871929178</v>
      </c>
    </row>
    <row r="208" spans="2:7" x14ac:dyDescent="0.3">
      <c r="B208" s="52">
        <v>151</v>
      </c>
      <c r="C208" s="33">
        <v>255.55906542404378</v>
      </c>
      <c r="D208" s="52">
        <v>151</v>
      </c>
      <c r="E208" s="33">
        <v>32.45347882907118</v>
      </c>
      <c r="F208" s="52">
        <v>151</v>
      </c>
      <c r="G208" s="104">
        <v>257.51023086577862</v>
      </c>
    </row>
    <row r="209" spans="2:7" x14ac:dyDescent="0.3">
      <c r="B209" s="52">
        <v>152</v>
      </c>
      <c r="C209" s="33">
        <v>184.08075131070089</v>
      </c>
      <c r="D209" s="52">
        <v>152</v>
      </c>
      <c r="E209" s="33">
        <v>24.850260302551888</v>
      </c>
      <c r="F209" s="52">
        <v>152</v>
      </c>
      <c r="G209" s="104">
        <v>242.34593511684167</v>
      </c>
    </row>
    <row r="210" spans="2:7" x14ac:dyDescent="0.3">
      <c r="B210" s="52">
        <v>153</v>
      </c>
      <c r="C210" s="33">
        <v>170.97981575829272</v>
      </c>
      <c r="D210" s="52">
        <v>153</v>
      </c>
      <c r="E210" s="33">
        <v>-0.57367922200381827</v>
      </c>
      <c r="F210" s="52">
        <v>153</v>
      </c>
      <c r="G210" s="104">
        <v>392.04899397974816</v>
      </c>
    </row>
    <row r="211" spans="2:7" x14ac:dyDescent="0.3">
      <c r="B211" s="52">
        <v>154</v>
      </c>
      <c r="C211" s="33">
        <v>345.53130561664642</v>
      </c>
      <c r="D211" s="52">
        <v>154</v>
      </c>
      <c r="E211" s="33">
        <v>50.135479373011016</v>
      </c>
      <c r="F211" s="52">
        <v>154</v>
      </c>
      <c r="G211" s="104">
        <v>104.19760408073554</v>
      </c>
    </row>
    <row r="212" spans="2:7" x14ac:dyDescent="0.3">
      <c r="B212" s="52">
        <v>155</v>
      </c>
      <c r="C212" s="33">
        <v>88.100117944611057</v>
      </c>
      <c r="D212" s="52">
        <v>155</v>
      </c>
      <c r="E212" s="33">
        <v>78.744470522104422</v>
      </c>
      <c r="F212" s="52">
        <v>155</v>
      </c>
      <c r="G212" s="104">
        <v>289.37916836859478</v>
      </c>
    </row>
    <row r="213" spans="2:7" x14ac:dyDescent="0.3">
      <c r="B213" s="52">
        <v>156</v>
      </c>
      <c r="C213" s="33">
        <v>281.15444689614412</v>
      </c>
      <c r="D213" s="52">
        <v>156</v>
      </c>
      <c r="E213" s="33">
        <v>46.389055864244405</v>
      </c>
      <c r="F213" s="52">
        <v>156</v>
      </c>
      <c r="G213" s="104">
        <v>130.77234798444493</v>
      </c>
    </row>
    <row r="214" spans="2:7" x14ac:dyDescent="0.3">
      <c r="B214" s="52">
        <v>157</v>
      </c>
      <c r="C214" s="33">
        <v>288.84611262965217</v>
      </c>
      <c r="D214" s="52">
        <v>157</v>
      </c>
      <c r="E214" s="33">
        <v>49.706120589286996</v>
      </c>
      <c r="F214" s="52">
        <v>157</v>
      </c>
      <c r="G214" s="104">
        <v>147.45058704248589</v>
      </c>
    </row>
    <row r="215" spans="2:7" x14ac:dyDescent="0.3">
      <c r="B215" s="52">
        <v>158</v>
      </c>
      <c r="C215" s="33">
        <v>305.10487122599613</v>
      </c>
      <c r="D215" s="52">
        <v>158</v>
      </c>
      <c r="E215" s="33">
        <v>14.209257702130685</v>
      </c>
      <c r="F215" s="52">
        <v>158</v>
      </c>
      <c r="G215" s="104">
        <v>187.25674796433984</v>
      </c>
    </row>
    <row r="216" spans="2:7" x14ac:dyDescent="0.3">
      <c r="B216" s="52">
        <v>159</v>
      </c>
      <c r="C216" s="33">
        <v>303.05506465210294</v>
      </c>
      <c r="D216" s="52">
        <v>159</v>
      </c>
      <c r="E216" s="33">
        <v>61.552293863022541</v>
      </c>
      <c r="F216" s="52">
        <v>159</v>
      </c>
      <c r="G216" s="104">
        <v>285.1738032234108</v>
      </c>
    </row>
    <row r="217" spans="2:7" x14ac:dyDescent="0.3">
      <c r="B217" s="52">
        <v>160</v>
      </c>
      <c r="C217" s="33">
        <v>97.68594600229855</v>
      </c>
      <c r="D217" s="52">
        <v>160</v>
      </c>
      <c r="E217" s="33">
        <v>63.833268845947664</v>
      </c>
      <c r="F217" s="52">
        <v>160</v>
      </c>
      <c r="G217" s="104">
        <v>194.42704136726186</v>
      </c>
    </row>
    <row r="218" spans="2:7" x14ac:dyDescent="0.3">
      <c r="B218" s="52">
        <v>161</v>
      </c>
      <c r="C218" s="33">
        <v>284.17629577280564</v>
      </c>
      <c r="D218" s="52">
        <v>161</v>
      </c>
      <c r="E218" s="33">
        <v>25.262602307817893</v>
      </c>
      <c r="F218" s="52">
        <v>161</v>
      </c>
      <c r="G218" s="104">
        <v>101.42414971762801</v>
      </c>
    </row>
    <row r="219" spans="2:7" x14ac:dyDescent="0.3">
      <c r="B219" s="52">
        <v>162</v>
      </c>
      <c r="C219" s="33">
        <v>326.28317374017655</v>
      </c>
      <c r="D219" s="52">
        <v>162</v>
      </c>
      <c r="E219" s="33">
        <v>49.503124251666677</v>
      </c>
      <c r="F219" s="52">
        <v>162</v>
      </c>
      <c r="G219" s="104">
        <v>149.05923002507424</v>
      </c>
    </row>
    <row r="220" spans="2:7" x14ac:dyDescent="0.3">
      <c r="B220" s="52">
        <v>163</v>
      </c>
      <c r="C220" s="33">
        <v>260.34068977713633</v>
      </c>
      <c r="D220" s="52">
        <v>163</v>
      </c>
      <c r="E220" s="33">
        <v>49.49264500672443</v>
      </c>
      <c r="F220" s="52">
        <v>163</v>
      </c>
      <c r="G220" s="104">
        <v>151.39149367027215</v>
      </c>
    </row>
    <row r="221" spans="2:7" x14ac:dyDescent="0.3">
      <c r="B221" s="52">
        <v>164</v>
      </c>
      <c r="C221" s="33">
        <v>141.69623814708669</v>
      </c>
      <c r="D221" s="52">
        <v>164</v>
      </c>
      <c r="E221" s="33">
        <v>-5.4126982508465176</v>
      </c>
      <c r="F221" s="52">
        <v>164</v>
      </c>
      <c r="G221" s="104">
        <v>168.23573394088535</v>
      </c>
    </row>
    <row r="222" spans="2:7" x14ac:dyDescent="0.3">
      <c r="B222" s="52">
        <v>165</v>
      </c>
      <c r="C222" s="33">
        <v>206.13915463228196</v>
      </c>
      <c r="D222" s="52">
        <v>165</v>
      </c>
      <c r="E222" s="33">
        <v>28.198559164726831</v>
      </c>
      <c r="F222" s="52">
        <v>165</v>
      </c>
      <c r="G222" s="104">
        <v>329.65684595184854</v>
      </c>
    </row>
    <row r="223" spans="2:7" x14ac:dyDescent="0.3">
      <c r="B223" s="52">
        <v>166</v>
      </c>
      <c r="C223" s="33">
        <v>239.95350099919301</v>
      </c>
      <c r="D223" s="52">
        <v>166</v>
      </c>
      <c r="E223" s="33">
        <v>34.573017745806062</v>
      </c>
      <c r="F223" s="52">
        <v>166</v>
      </c>
      <c r="G223" s="104">
        <v>291.2536850468897</v>
      </c>
    </row>
    <row r="224" spans="2:7" x14ac:dyDescent="0.3">
      <c r="B224" s="52">
        <v>167</v>
      </c>
      <c r="C224" s="33">
        <v>423.2501994013968</v>
      </c>
      <c r="D224" s="52">
        <v>167</v>
      </c>
      <c r="E224" s="33">
        <v>-14.828017339931449</v>
      </c>
      <c r="F224" s="52">
        <v>167</v>
      </c>
      <c r="G224" s="104">
        <v>203.99380675163206</v>
      </c>
    </row>
    <row r="225" spans="2:7" x14ac:dyDescent="0.3">
      <c r="B225" s="52">
        <v>168</v>
      </c>
      <c r="C225" s="33">
        <v>158.72525436041525</v>
      </c>
      <c r="D225" s="52">
        <v>168</v>
      </c>
      <c r="E225" s="33">
        <v>13.934526405418637</v>
      </c>
      <c r="F225" s="52">
        <v>168</v>
      </c>
      <c r="G225" s="104">
        <v>335.33314052133693</v>
      </c>
    </row>
    <row r="226" spans="2:7" x14ac:dyDescent="0.3">
      <c r="B226" s="52">
        <v>169</v>
      </c>
      <c r="C226" s="33">
        <v>225.12693779368306</v>
      </c>
      <c r="D226" s="52">
        <v>169</v>
      </c>
      <c r="E226" s="33">
        <v>6.2707542122500115</v>
      </c>
      <c r="F226" s="52">
        <v>169</v>
      </c>
      <c r="G226" s="104">
        <v>170.07703548249901</v>
      </c>
    </row>
    <row r="227" spans="2:7" x14ac:dyDescent="0.3">
      <c r="B227" s="52">
        <v>170</v>
      </c>
      <c r="C227" s="33">
        <v>84.102580106785837</v>
      </c>
      <c r="D227" s="52">
        <v>170</v>
      </c>
      <c r="E227" s="33">
        <v>37.961886002049525</v>
      </c>
      <c r="F227" s="52">
        <v>170</v>
      </c>
      <c r="G227" s="104">
        <v>202.38068075578317</v>
      </c>
    </row>
    <row r="228" spans="2:7" x14ac:dyDescent="0.3">
      <c r="B228" s="52">
        <v>171</v>
      </c>
      <c r="C228" s="33">
        <v>259.46896629350317</v>
      </c>
      <c r="D228" s="52">
        <v>171</v>
      </c>
      <c r="E228" s="33">
        <v>3.0941812439257674</v>
      </c>
      <c r="F228" s="52">
        <v>171</v>
      </c>
      <c r="G228" s="104">
        <v>274.17783488216992</v>
      </c>
    </row>
    <row r="229" spans="2:7" x14ac:dyDescent="0.3">
      <c r="B229" s="52">
        <v>172</v>
      </c>
      <c r="C229" s="33">
        <v>240.15456001588228</v>
      </c>
      <c r="D229" s="52">
        <v>172</v>
      </c>
      <c r="E229" s="33">
        <v>47.845982309470216</v>
      </c>
      <c r="F229" s="52">
        <v>172</v>
      </c>
      <c r="G229" s="104">
        <v>175.19809723151113</v>
      </c>
    </row>
    <row r="230" spans="2:7" x14ac:dyDescent="0.3">
      <c r="B230" s="52">
        <v>173</v>
      </c>
      <c r="C230" s="33">
        <v>302.08522677989782</v>
      </c>
      <c r="D230" s="52">
        <v>173</v>
      </c>
      <c r="E230" s="33">
        <v>47.552386082908271</v>
      </c>
      <c r="F230" s="52">
        <v>173</v>
      </c>
      <c r="G230" s="104">
        <v>291.4659065103246</v>
      </c>
    </row>
    <row r="231" spans="2:7" x14ac:dyDescent="0.3">
      <c r="B231" s="52">
        <v>174</v>
      </c>
      <c r="C231" s="33">
        <v>216.00870305245212</v>
      </c>
      <c r="D231" s="52">
        <v>174</v>
      </c>
      <c r="E231" s="33">
        <v>44.41333920454322</v>
      </c>
      <c r="F231" s="52">
        <v>174</v>
      </c>
      <c r="G231" s="104">
        <v>176.70732630788774</v>
      </c>
    </row>
    <row r="232" spans="2:7" x14ac:dyDescent="0.3">
      <c r="B232" s="52">
        <v>175</v>
      </c>
      <c r="C232" s="33">
        <v>294.03840887991038</v>
      </c>
      <c r="D232" s="52">
        <v>175</v>
      </c>
      <c r="E232" s="33">
        <v>56.423089346764428</v>
      </c>
      <c r="F232" s="52">
        <v>175</v>
      </c>
      <c r="G232" s="104">
        <v>183.24690923550492</v>
      </c>
    </row>
    <row r="233" spans="2:7" x14ac:dyDescent="0.3">
      <c r="B233" s="52">
        <v>176</v>
      </c>
      <c r="C233" s="33">
        <v>225.13409765252106</v>
      </c>
      <c r="D233" s="52">
        <v>176</v>
      </c>
      <c r="E233" s="33">
        <v>54.013034444140125</v>
      </c>
      <c r="F233" s="52">
        <v>176</v>
      </c>
      <c r="G233" s="104">
        <v>171.86777997725085</v>
      </c>
    </row>
    <row r="234" spans="2:7" x14ac:dyDescent="0.3">
      <c r="B234" s="52">
        <v>177</v>
      </c>
      <c r="C234" s="33">
        <v>226.07720310349279</v>
      </c>
      <c r="D234" s="52">
        <v>177</v>
      </c>
      <c r="E234" s="33">
        <v>99.964213040044626</v>
      </c>
      <c r="F234" s="52">
        <v>177</v>
      </c>
      <c r="G234" s="104">
        <v>390.60003039501606</v>
      </c>
    </row>
    <row r="235" spans="2:7" x14ac:dyDescent="0.3">
      <c r="B235" s="52">
        <v>178</v>
      </c>
      <c r="C235" s="33">
        <v>259.69829319909275</v>
      </c>
      <c r="D235" s="52">
        <v>178</v>
      </c>
      <c r="E235" s="33">
        <v>98.248486441996789</v>
      </c>
      <c r="F235" s="52">
        <v>178</v>
      </c>
      <c r="G235" s="104">
        <v>227.54623744302813</v>
      </c>
    </row>
    <row r="236" spans="2:7" x14ac:dyDescent="0.3">
      <c r="B236" s="52">
        <v>179</v>
      </c>
      <c r="C236" s="33">
        <v>326.26970150479463</v>
      </c>
      <c r="D236" s="52">
        <v>179</v>
      </c>
      <c r="E236" s="33">
        <v>40.324010945324147</v>
      </c>
      <c r="F236" s="52">
        <v>179</v>
      </c>
      <c r="G236" s="104">
        <v>156.8504231565276</v>
      </c>
    </row>
    <row r="237" spans="2:7" x14ac:dyDescent="0.3">
      <c r="B237" s="52">
        <v>180</v>
      </c>
      <c r="C237" s="33">
        <v>298.27824591291693</v>
      </c>
      <c r="D237" s="52">
        <v>180</v>
      </c>
      <c r="E237" s="33">
        <v>31.142683815269102</v>
      </c>
      <c r="F237" s="52">
        <v>180</v>
      </c>
      <c r="G237" s="104">
        <v>361.07283082628055</v>
      </c>
    </row>
    <row r="238" spans="2:7" x14ac:dyDescent="0.3">
      <c r="B238" s="52">
        <v>181</v>
      </c>
      <c r="C238" s="33">
        <v>119.43934670390288</v>
      </c>
      <c r="D238" s="52">
        <v>181</v>
      </c>
      <c r="E238" s="33">
        <v>33.834965362780231</v>
      </c>
      <c r="F238" s="52">
        <v>181</v>
      </c>
      <c r="G238" s="104">
        <v>325.92145044743273</v>
      </c>
    </row>
    <row r="239" spans="2:7" x14ac:dyDescent="0.3">
      <c r="B239" s="52">
        <v>182</v>
      </c>
      <c r="C239" s="33">
        <v>260.44366161409812</v>
      </c>
      <c r="D239" s="52">
        <v>182</v>
      </c>
      <c r="E239" s="33">
        <v>67.812022397389811</v>
      </c>
      <c r="F239" s="52">
        <v>182</v>
      </c>
      <c r="G239" s="104">
        <v>148.84533904263662</v>
      </c>
    </row>
    <row r="240" spans="2:7" x14ac:dyDescent="0.3">
      <c r="B240" s="52">
        <v>183</v>
      </c>
      <c r="C240" s="33">
        <v>121.21746245639177</v>
      </c>
      <c r="D240" s="52">
        <v>183</v>
      </c>
      <c r="E240" s="33">
        <v>87.127495265385662</v>
      </c>
      <c r="F240" s="52">
        <v>183</v>
      </c>
      <c r="G240" s="104">
        <v>172.83270792928403</v>
      </c>
    </row>
    <row r="241" spans="2:7" x14ac:dyDescent="0.3">
      <c r="B241" s="52">
        <v>184</v>
      </c>
      <c r="C241" s="33">
        <v>161.19533363781852</v>
      </c>
      <c r="D241" s="52">
        <v>184</v>
      </c>
      <c r="E241" s="33">
        <v>-7.9948607211195615</v>
      </c>
      <c r="F241" s="52">
        <v>184</v>
      </c>
      <c r="G241" s="104">
        <v>161.23551361577535</v>
      </c>
    </row>
    <row r="242" spans="2:7" x14ac:dyDescent="0.3">
      <c r="B242" s="52">
        <v>185</v>
      </c>
      <c r="C242" s="33">
        <v>206.05492581913214</v>
      </c>
      <c r="D242" s="52">
        <v>185</v>
      </c>
      <c r="E242" s="33">
        <v>12.192239466529692</v>
      </c>
      <c r="F242" s="52">
        <v>185</v>
      </c>
      <c r="G242" s="104">
        <v>215.49263934559409</v>
      </c>
    </row>
    <row r="243" spans="2:7" x14ac:dyDescent="0.3">
      <c r="B243" s="52">
        <v>186</v>
      </c>
      <c r="C243" s="33">
        <v>271.54256956859558</v>
      </c>
      <c r="D243" s="52">
        <v>186</v>
      </c>
      <c r="E243" s="33">
        <v>27.698465669998463</v>
      </c>
      <c r="F243" s="52">
        <v>186</v>
      </c>
      <c r="G243" s="104">
        <v>324.49479250243763</v>
      </c>
    </row>
    <row r="244" spans="2:7" x14ac:dyDescent="0.3">
      <c r="B244" s="52">
        <v>187</v>
      </c>
      <c r="C244" s="33">
        <v>228.59704831869954</v>
      </c>
      <c r="D244" s="52">
        <v>187</v>
      </c>
      <c r="E244" s="33">
        <v>45.716474606523335</v>
      </c>
      <c r="F244" s="52">
        <v>187</v>
      </c>
      <c r="G244" s="104">
        <v>303.07123636254028</v>
      </c>
    </row>
    <row r="245" spans="2:7" x14ac:dyDescent="0.3">
      <c r="B245" s="52">
        <v>188</v>
      </c>
      <c r="C245" s="33">
        <v>237.85381425536229</v>
      </c>
      <c r="D245" s="52">
        <v>188</v>
      </c>
      <c r="E245" s="33">
        <v>-9.3443446399064456</v>
      </c>
      <c r="F245" s="52">
        <v>188</v>
      </c>
      <c r="G245" s="104">
        <v>244.09960289287611</v>
      </c>
    </row>
    <row r="246" spans="2:7" x14ac:dyDescent="0.3">
      <c r="B246" s="52">
        <v>189</v>
      </c>
      <c r="C246" s="33">
        <v>148.70413756847415</v>
      </c>
      <c r="D246" s="52">
        <v>189</v>
      </c>
      <c r="E246" s="33">
        <v>32.405491349822384</v>
      </c>
      <c r="F246" s="52">
        <v>189</v>
      </c>
      <c r="G246" s="104">
        <v>305.25349198759704</v>
      </c>
    </row>
    <row r="247" spans="2:7" x14ac:dyDescent="0.3">
      <c r="B247" s="52">
        <v>190</v>
      </c>
      <c r="C247" s="33">
        <v>262.86965392408183</v>
      </c>
      <c r="D247" s="52">
        <v>190</v>
      </c>
      <c r="E247" s="33">
        <v>37.62117579386836</v>
      </c>
      <c r="F247" s="52">
        <v>190</v>
      </c>
      <c r="G247" s="104">
        <v>208.43031982029612</v>
      </c>
    </row>
    <row r="248" spans="2:7" x14ac:dyDescent="0.3">
      <c r="B248" s="52">
        <v>191</v>
      </c>
      <c r="C248" s="33">
        <v>153.0743285586459</v>
      </c>
      <c r="D248" s="52">
        <v>191</v>
      </c>
      <c r="E248" s="33">
        <v>2.0704732993348429</v>
      </c>
      <c r="F248" s="52">
        <v>191</v>
      </c>
      <c r="G248" s="104">
        <v>272.04625346162459</v>
      </c>
    </row>
    <row r="249" spans="2:7" x14ac:dyDescent="0.3">
      <c r="B249" s="52">
        <v>192</v>
      </c>
      <c r="C249" s="33">
        <v>364.16923028108749</v>
      </c>
      <c r="D249" s="52">
        <v>192</v>
      </c>
      <c r="E249" s="33">
        <v>36.189994430915164</v>
      </c>
      <c r="F249" s="52">
        <v>192</v>
      </c>
      <c r="G249" s="104">
        <v>170.78651835536544</v>
      </c>
    </row>
    <row r="250" spans="2:7" x14ac:dyDescent="0.3">
      <c r="B250" s="52">
        <v>193</v>
      </c>
      <c r="C250" s="33">
        <v>317.42489329604837</v>
      </c>
      <c r="D250" s="52">
        <v>193</v>
      </c>
      <c r="E250" s="33">
        <v>18.553203437586777</v>
      </c>
      <c r="F250" s="52">
        <v>193</v>
      </c>
      <c r="G250" s="104">
        <v>159.60212331919843</v>
      </c>
    </row>
    <row r="251" spans="2:7" x14ac:dyDescent="0.3">
      <c r="B251" s="52">
        <v>194</v>
      </c>
      <c r="C251" s="33">
        <v>148.50028347151266</v>
      </c>
      <c r="D251" s="52">
        <v>194</v>
      </c>
      <c r="E251" s="33">
        <v>20.359974469454475</v>
      </c>
      <c r="F251" s="52">
        <v>194</v>
      </c>
      <c r="G251" s="104">
        <v>191.9342783836243</v>
      </c>
    </row>
    <row r="252" spans="2:7" x14ac:dyDescent="0.3">
      <c r="B252" s="52">
        <v>195</v>
      </c>
      <c r="C252" s="33">
        <v>195.47816895189138</v>
      </c>
      <c r="D252" s="52">
        <v>195</v>
      </c>
      <c r="E252" s="33">
        <v>10.066618886479716</v>
      </c>
      <c r="F252" s="52">
        <v>195</v>
      </c>
      <c r="G252" s="104">
        <v>145.22674808628784</v>
      </c>
    </row>
    <row r="253" spans="2:7" x14ac:dyDescent="0.3">
      <c r="B253" s="52">
        <v>196</v>
      </c>
      <c r="C253" s="33">
        <v>267.87285460855225</v>
      </c>
      <c r="D253" s="52">
        <v>196</v>
      </c>
      <c r="E253" s="33">
        <v>71.232847278582199</v>
      </c>
      <c r="F253" s="52">
        <v>196</v>
      </c>
      <c r="G253" s="104">
        <v>282.89403995994007</v>
      </c>
    </row>
    <row r="254" spans="2:7" x14ac:dyDescent="0.3">
      <c r="B254" s="52">
        <v>197</v>
      </c>
      <c r="C254" s="33">
        <v>283.42963361788912</v>
      </c>
      <c r="D254" s="52">
        <v>197</v>
      </c>
      <c r="E254" s="33">
        <v>13.305802822220311</v>
      </c>
      <c r="F254" s="52">
        <v>197</v>
      </c>
      <c r="G254" s="104">
        <v>97.382237361805423</v>
      </c>
    </row>
    <row r="255" spans="2:7" x14ac:dyDescent="0.3">
      <c r="B255" s="52">
        <v>198</v>
      </c>
      <c r="C255" s="33">
        <v>213.47307382197144</v>
      </c>
      <c r="D255" s="52">
        <v>198</v>
      </c>
      <c r="E255" s="33">
        <v>20.346335775528708</v>
      </c>
      <c r="F255" s="52">
        <v>198</v>
      </c>
      <c r="G255" s="104">
        <v>305.05992926768386</v>
      </c>
    </row>
    <row r="256" spans="2:7" x14ac:dyDescent="0.3">
      <c r="B256" s="52">
        <v>199</v>
      </c>
      <c r="C256" s="33">
        <v>169.80364344806182</v>
      </c>
      <c r="D256" s="52">
        <v>199</v>
      </c>
      <c r="E256" s="33">
        <v>64.127105278196709</v>
      </c>
      <c r="F256" s="52">
        <v>199</v>
      </c>
      <c r="G256" s="104">
        <v>234.4129759354168</v>
      </c>
    </row>
    <row r="257" spans="2:7" x14ac:dyDescent="0.3">
      <c r="B257" s="52">
        <v>200</v>
      </c>
      <c r="C257" s="33">
        <v>273.37086061958502</v>
      </c>
      <c r="D257" s="52">
        <v>200</v>
      </c>
      <c r="E257" s="33">
        <v>18.172071824827732</v>
      </c>
      <c r="F257" s="52">
        <v>200</v>
      </c>
      <c r="G257" s="104">
        <v>148.88854846483503</v>
      </c>
    </row>
    <row r="258" spans="2:7" x14ac:dyDescent="0.3">
      <c r="B258" s="52">
        <v>201</v>
      </c>
      <c r="C258" s="33">
        <v>326.77409467026672</v>
      </c>
      <c r="D258" s="52">
        <v>201</v>
      </c>
      <c r="E258" s="33">
        <v>100.06487869272756</v>
      </c>
      <c r="F258" s="52">
        <v>201</v>
      </c>
      <c r="G258" s="104">
        <v>197.03809639914047</v>
      </c>
    </row>
    <row r="259" spans="2:7" x14ac:dyDescent="0.3">
      <c r="B259" s="52">
        <v>202</v>
      </c>
      <c r="C259" s="33">
        <v>294.01676750129121</v>
      </c>
      <c r="D259" s="52">
        <v>202</v>
      </c>
      <c r="E259" s="33">
        <v>60.869637037413085</v>
      </c>
      <c r="F259" s="52">
        <v>202</v>
      </c>
      <c r="G259" s="104">
        <v>277.92768711754883</v>
      </c>
    </row>
    <row r="260" spans="2:7" x14ac:dyDescent="0.3">
      <c r="B260" s="52">
        <v>203</v>
      </c>
      <c r="C260" s="33">
        <v>260.43610065862526</v>
      </c>
      <c r="D260" s="52">
        <v>203</v>
      </c>
      <c r="E260" s="33">
        <v>24.097814939826463</v>
      </c>
      <c r="F260" s="52">
        <v>203</v>
      </c>
      <c r="G260" s="104">
        <v>370.27399050848567</v>
      </c>
    </row>
    <row r="261" spans="2:7" x14ac:dyDescent="0.3">
      <c r="B261" s="52">
        <v>204</v>
      </c>
      <c r="C261" s="33">
        <v>130.08881552203889</v>
      </c>
      <c r="D261" s="52">
        <v>204</v>
      </c>
      <c r="E261" s="33">
        <v>59.938798830283652</v>
      </c>
      <c r="F261" s="52">
        <v>204</v>
      </c>
      <c r="G261" s="104">
        <v>113.44142006521395</v>
      </c>
    </row>
    <row r="262" spans="2:7" x14ac:dyDescent="0.3">
      <c r="B262" s="52">
        <v>205</v>
      </c>
      <c r="C262" s="33">
        <v>152.14699337279936</v>
      </c>
      <c r="D262" s="52">
        <v>205</v>
      </c>
      <c r="E262" s="33">
        <v>37.244660104163458</v>
      </c>
      <c r="F262" s="52">
        <v>205</v>
      </c>
      <c r="G262" s="104">
        <v>301.37251639432583</v>
      </c>
    </row>
    <row r="263" spans="2:7" x14ac:dyDescent="0.3">
      <c r="B263" s="52">
        <v>206</v>
      </c>
      <c r="C263" s="33">
        <v>107.22150823695746</v>
      </c>
      <c r="D263" s="52">
        <v>206</v>
      </c>
      <c r="E263" s="33">
        <v>40.010604278209101</v>
      </c>
      <c r="F263" s="52">
        <v>206</v>
      </c>
      <c r="G263" s="104">
        <v>189.53593988398816</v>
      </c>
    </row>
    <row r="264" spans="2:7" x14ac:dyDescent="0.3">
      <c r="B264" s="52">
        <v>207</v>
      </c>
      <c r="C264" s="33">
        <v>214.00997251713494</v>
      </c>
      <c r="D264" s="52">
        <v>207</v>
      </c>
      <c r="E264" s="33">
        <v>0.24515679095847531</v>
      </c>
      <c r="F264" s="52">
        <v>207</v>
      </c>
      <c r="G264" s="104">
        <v>192.2089913732018</v>
      </c>
    </row>
    <row r="265" spans="2:7" x14ac:dyDescent="0.3">
      <c r="B265" s="52">
        <v>208</v>
      </c>
      <c r="C265" s="33">
        <v>300.58172129513662</v>
      </c>
      <c r="D265" s="52">
        <v>208</v>
      </c>
      <c r="E265" s="33">
        <v>87.926397242389967</v>
      </c>
      <c r="F265" s="52">
        <v>208</v>
      </c>
      <c r="G265" s="104">
        <v>299.80175300618197</v>
      </c>
    </row>
    <row r="266" spans="2:7" x14ac:dyDescent="0.3">
      <c r="B266" s="52">
        <v>209</v>
      </c>
      <c r="C266" s="33">
        <v>258.46751058203489</v>
      </c>
      <c r="D266" s="52">
        <v>209</v>
      </c>
      <c r="E266" s="33">
        <v>40.275128729486681</v>
      </c>
      <c r="F266" s="52">
        <v>209</v>
      </c>
      <c r="G266" s="104">
        <v>230.45415227478617</v>
      </c>
    </row>
    <row r="267" spans="2:7" x14ac:dyDescent="0.3">
      <c r="B267" s="52">
        <v>210</v>
      </c>
      <c r="C267" s="33">
        <v>194.93271166692239</v>
      </c>
      <c r="D267" s="52">
        <v>210</v>
      </c>
      <c r="E267" s="33">
        <v>65.685266686884617</v>
      </c>
      <c r="F267" s="52">
        <v>210</v>
      </c>
      <c r="G267" s="104">
        <v>272.12108849663576</v>
      </c>
    </row>
    <row r="268" spans="2:7" x14ac:dyDescent="0.3">
      <c r="B268" s="52">
        <v>211</v>
      </c>
      <c r="C268" s="33">
        <v>151.44871963202192</v>
      </c>
      <c r="D268" s="52">
        <v>211</v>
      </c>
      <c r="E268" s="33">
        <v>29.099185313286011</v>
      </c>
      <c r="F268" s="52">
        <v>211</v>
      </c>
      <c r="G268" s="104">
        <v>172.30200566859523</v>
      </c>
    </row>
    <row r="269" spans="2:7" x14ac:dyDescent="0.3">
      <c r="B269" s="52">
        <v>212</v>
      </c>
      <c r="C269" s="33">
        <v>122.32792444133571</v>
      </c>
      <c r="D269" s="52">
        <v>212</v>
      </c>
      <c r="E269" s="33">
        <v>61.698182705187087</v>
      </c>
      <c r="F269" s="52">
        <v>212</v>
      </c>
      <c r="G269" s="104">
        <v>328.188647246274</v>
      </c>
    </row>
    <row r="270" spans="2:7" x14ac:dyDescent="0.3">
      <c r="B270" s="52">
        <v>213</v>
      </c>
      <c r="C270" s="33">
        <v>148.09001241327056</v>
      </c>
      <c r="D270" s="52">
        <v>213</v>
      </c>
      <c r="E270" s="33">
        <v>30.098206276946122</v>
      </c>
      <c r="F270" s="52">
        <v>213</v>
      </c>
      <c r="G270" s="104">
        <v>243.3876432115168</v>
      </c>
    </row>
    <row r="271" spans="2:7" x14ac:dyDescent="0.3">
      <c r="B271" s="52">
        <v>214</v>
      </c>
      <c r="C271" s="33">
        <v>249.81402299097493</v>
      </c>
      <c r="D271" s="52">
        <v>214</v>
      </c>
      <c r="E271" s="33">
        <v>93.653668502299652</v>
      </c>
      <c r="F271" s="52">
        <v>214</v>
      </c>
      <c r="G271" s="104">
        <v>90.264470239380813</v>
      </c>
    </row>
    <row r="272" spans="2:7" x14ac:dyDescent="0.3">
      <c r="B272" s="52">
        <v>215</v>
      </c>
      <c r="C272" s="33">
        <v>289.14859527965353</v>
      </c>
      <c r="D272" s="52">
        <v>215</v>
      </c>
      <c r="E272" s="33">
        <v>-27.318992058753985</v>
      </c>
      <c r="F272" s="52">
        <v>215</v>
      </c>
      <c r="G272" s="104">
        <v>285.66029487039634</v>
      </c>
    </row>
    <row r="273" spans="2:7" x14ac:dyDescent="0.3">
      <c r="B273" s="52">
        <v>216</v>
      </c>
      <c r="C273" s="33">
        <v>178.52790247728416</v>
      </c>
      <c r="D273" s="52">
        <v>216</v>
      </c>
      <c r="E273" s="33">
        <v>39.569463879895544</v>
      </c>
      <c r="F273" s="52">
        <v>216</v>
      </c>
      <c r="G273" s="104">
        <v>374.84540149634967</v>
      </c>
    </row>
    <row r="274" spans="2:7" x14ac:dyDescent="0.3">
      <c r="B274" s="52">
        <v>217</v>
      </c>
      <c r="C274" s="33">
        <v>140.70734895365459</v>
      </c>
      <c r="D274" s="52">
        <v>217</v>
      </c>
      <c r="E274" s="33">
        <v>30.845122392623583</v>
      </c>
      <c r="F274" s="52">
        <v>217</v>
      </c>
      <c r="G274" s="104">
        <v>210.03323848927838</v>
      </c>
    </row>
    <row r="275" spans="2:7" x14ac:dyDescent="0.3">
      <c r="B275" s="52">
        <v>218</v>
      </c>
      <c r="C275" s="33">
        <v>263.41254851900987</v>
      </c>
      <c r="D275" s="52">
        <v>218</v>
      </c>
      <c r="E275" s="33">
        <v>48.182222737719648</v>
      </c>
      <c r="F275" s="52">
        <v>218</v>
      </c>
      <c r="G275" s="104">
        <v>178.02579146043246</v>
      </c>
    </row>
    <row r="276" spans="2:7" x14ac:dyDescent="0.3">
      <c r="B276" s="52">
        <v>219</v>
      </c>
      <c r="C276" s="33">
        <v>243.67173324984714</v>
      </c>
      <c r="D276" s="52">
        <v>219</v>
      </c>
      <c r="E276" s="33">
        <v>29.770279238240526</v>
      </c>
      <c r="F276" s="52">
        <v>219</v>
      </c>
      <c r="G276" s="104">
        <v>212.247826193484</v>
      </c>
    </row>
    <row r="277" spans="2:7" x14ac:dyDescent="0.3">
      <c r="B277" s="52">
        <v>220</v>
      </c>
      <c r="C277" s="33">
        <v>220.65653313465589</v>
      </c>
      <c r="D277" s="52">
        <v>220</v>
      </c>
      <c r="E277" s="33">
        <v>47.775415648210576</v>
      </c>
      <c r="F277" s="52">
        <v>220</v>
      </c>
      <c r="G277" s="104">
        <v>220.6867736815629</v>
      </c>
    </row>
    <row r="278" spans="2:7" x14ac:dyDescent="0.3">
      <c r="B278" s="52">
        <v>221</v>
      </c>
      <c r="C278" s="33">
        <v>299.61570036189971</v>
      </c>
      <c r="D278" s="52">
        <v>221</v>
      </c>
      <c r="E278" s="33">
        <v>52.372707540124601</v>
      </c>
      <c r="F278" s="52">
        <v>221</v>
      </c>
      <c r="G278" s="104">
        <v>286.25497537402958</v>
      </c>
    </row>
    <row r="279" spans="2:7" x14ac:dyDescent="0.3">
      <c r="B279" s="52">
        <v>222</v>
      </c>
      <c r="C279" s="33">
        <v>175.79661230629807</v>
      </c>
      <c r="D279" s="52">
        <v>222</v>
      </c>
      <c r="E279" s="33">
        <v>27.50715913191755</v>
      </c>
      <c r="F279" s="52">
        <v>222</v>
      </c>
      <c r="G279" s="104">
        <v>247.69954003453282</v>
      </c>
    </row>
    <row r="280" spans="2:7" x14ac:dyDescent="0.3">
      <c r="B280" s="52">
        <v>223</v>
      </c>
      <c r="C280" s="33">
        <v>201.90924893268431</v>
      </c>
      <c r="D280" s="52">
        <v>223</v>
      </c>
      <c r="E280" s="33">
        <v>22.565791985501278</v>
      </c>
      <c r="F280" s="52">
        <v>223</v>
      </c>
      <c r="G280" s="104">
        <v>204.2464183916785</v>
      </c>
    </row>
    <row r="281" spans="2:7" x14ac:dyDescent="0.3">
      <c r="B281" s="52">
        <v>224</v>
      </c>
      <c r="C281" s="33">
        <v>84.013223136274533</v>
      </c>
      <c r="D281" s="52">
        <v>224</v>
      </c>
      <c r="E281" s="33">
        <v>11.519723733368721</v>
      </c>
      <c r="F281" s="52">
        <v>224</v>
      </c>
      <c r="G281" s="104">
        <v>206.92431294028142</v>
      </c>
    </row>
    <row r="282" spans="2:7" x14ac:dyDescent="0.3">
      <c r="B282" s="52">
        <v>225</v>
      </c>
      <c r="C282" s="33">
        <v>105.52921493947214</v>
      </c>
      <c r="D282" s="52">
        <v>225</v>
      </c>
      <c r="E282" s="33">
        <v>25.750289025860283</v>
      </c>
      <c r="F282" s="52">
        <v>225</v>
      </c>
      <c r="G282" s="104">
        <v>148.002675899352</v>
      </c>
    </row>
    <row r="283" spans="2:7" x14ac:dyDescent="0.3">
      <c r="B283" s="52">
        <v>226</v>
      </c>
      <c r="C283" s="33">
        <v>192.37796908838982</v>
      </c>
      <c r="D283" s="52">
        <v>226</v>
      </c>
      <c r="E283" s="33">
        <v>0.79751787717444245</v>
      </c>
      <c r="F283" s="52">
        <v>226</v>
      </c>
      <c r="G283" s="104">
        <v>147.3275399792449</v>
      </c>
    </row>
    <row r="284" spans="2:7" x14ac:dyDescent="0.3">
      <c r="B284" s="52">
        <v>227</v>
      </c>
      <c r="C284" s="33">
        <v>402.25181985199617</v>
      </c>
      <c r="D284" s="52">
        <v>227</v>
      </c>
      <c r="E284" s="33">
        <v>7.0463814566266549</v>
      </c>
      <c r="F284" s="52">
        <v>227</v>
      </c>
      <c r="G284" s="104">
        <v>176.1354798077416</v>
      </c>
    </row>
    <row r="285" spans="2:7" x14ac:dyDescent="0.3">
      <c r="B285" s="52">
        <v>228</v>
      </c>
      <c r="C285" s="33">
        <v>198.75584930517775</v>
      </c>
      <c r="D285" s="52">
        <v>228</v>
      </c>
      <c r="E285" s="33">
        <v>48.190463027596991</v>
      </c>
      <c r="F285" s="52">
        <v>228</v>
      </c>
      <c r="G285" s="104">
        <v>83.86143150492461</v>
      </c>
    </row>
    <row r="286" spans="2:7" x14ac:dyDescent="0.3">
      <c r="B286" s="52">
        <v>229</v>
      </c>
      <c r="C286" s="33">
        <v>123.29428646160511</v>
      </c>
      <c r="D286" s="52">
        <v>229</v>
      </c>
      <c r="E286" s="33">
        <v>35.127550457964261</v>
      </c>
      <c r="F286" s="52">
        <v>229</v>
      </c>
      <c r="G286" s="104">
        <v>217.30560853029698</v>
      </c>
    </row>
    <row r="287" spans="2:7" x14ac:dyDescent="0.3">
      <c r="B287" s="52">
        <v>230</v>
      </c>
      <c r="C287" s="33">
        <v>223.70521103387102</v>
      </c>
      <c r="D287" s="52">
        <v>230</v>
      </c>
      <c r="E287" s="33">
        <v>5.7743276544546305</v>
      </c>
      <c r="F287" s="52">
        <v>230</v>
      </c>
      <c r="G287" s="104">
        <v>323.02117793108152</v>
      </c>
    </row>
    <row r="288" spans="2:7" x14ac:dyDescent="0.3">
      <c r="B288" s="52">
        <v>231</v>
      </c>
      <c r="C288" s="33">
        <v>221.71070912880657</v>
      </c>
      <c r="D288" s="52">
        <v>231</v>
      </c>
      <c r="E288" s="33">
        <v>54.59969822532085</v>
      </c>
      <c r="F288" s="52">
        <v>231</v>
      </c>
      <c r="G288" s="104">
        <v>308.65362150827093</v>
      </c>
    </row>
    <row r="289" spans="2:7" x14ac:dyDescent="0.3">
      <c r="B289" s="52">
        <v>232</v>
      </c>
      <c r="C289" s="33">
        <v>301.01973936965572</v>
      </c>
      <c r="D289" s="52">
        <v>232</v>
      </c>
      <c r="E289" s="33">
        <v>13.683228885263766</v>
      </c>
      <c r="F289" s="52">
        <v>232</v>
      </c>
      <c r="G289" s="104">
        <v>121.73812695482914</v>
      </c>
    </row>
    <row r="290" spans="2:7" x14ac:dyDescent="0.3">
      <c r="B290" s="52">
        <v>233</v>
      </c>
      <c r="C290" s="33">
        <v>132.82711161441478</v>
      </c>
      <c r="D290" s="52">
        <v>233</v>
      </c>
      <c r="E290" s="33">
        <v>88.006508495408028</v>
      </c>
      <c r="F290" s="52">
        <v>233</v>
      </c>
      <c r="G290" s="104">
        <v>234.16488071731561</v>
      </c>
    </row>
    <row r="291" spans="2:7" x14ac:dyDescent="0.3">
      <c r="B291" s="52">
        <v>234</v>
      </c>
      <c r="C291" s="33">
        <v>134.19312541575513</v>
      </c>
      <c r="D291" s="52">
        <v>234</v>
      </c>
      <c r="E291" s="33">
        <v>55.649990800766773</v>
      </c>
      <c r="F291" s="52">
        <v>234</v>
      </c>
      <c r="G291" s="104">
        <v>177.28517058980199</v>
      </c>
    </row>
    <row r="292" spans="2:7" x14ac:dyDescent="0.3">
      <c r="B292" s="52">
        <v>235</v>
      </c>
      <c r="C292" s="33">
        <v>176.26254558165149</v>
      </c>
      <c r="D292" s="52">
        <v>235</v>
      </c>
      <c r="E292" s="33">
        <v>5.8513019614878559</v>
      </c>
      <c r="F292" s="52">
        <v>235</v>
      </c>
      <c r="G292" s="104">
        <v>262.41068272498688</v>
      </c>
    </row>
    <row r="293" spans="2:7" x14ac:dyDescent="0.3">
      <c r="B293" s="52">
        <v>236</v>
      </c>
      <c r="C293" s="33">
        <v>193.90317619005327</v>
      </c>
      <c r="D293" s="52">
        <v>236</v>
      </c>
      <c r="E293" s="33">
        <v>31.002421781976</v>
      </c>
      <c r="F293" s="52">
        <v>236</v>
      </c>
      <c r="G293" s="104">
        <v>213.16681757382736</v>
      </c>
    </row>
    <row r="294" spans="2:7" x14ac:dyDescent="0.3">
      <c r="B294" s="52">
        <v>237</v>
      </c>
      <c r="C294" s="33">
        <v>235.0108486317398</v>
      </c>
      <c r="D294" s="52">
        <v>237</v>
      </c>
      <c r="E294" s="33">
        <v>3.8981182580532092</v>
      </c>
      <c r="F294" s="52">
        <v>237</v>
      </c>
      <c r="G294" s="104">
        <v>252.46503130415954</v>
      </c>
    </row>
    <row r="295" spans="2:7" x14ac:dyDescent="0.3">
      <c r="B295" s="52">
        <v>238</v>
      </c>
      <c r="C295" s="33">
        <v>242.06546229725072</v>
      </c>
      <c r="D295" s="52">
        <v>238</v>
      </c>
      <c r="E295" s="33">
        <v>39.494395775002602</v>
      </c>
      <c r="F295" s="52">
        <v>238</v>
      </c>
      <c r="G295" s="104">
        <v>118.38423972320058</v>
      </c>
    </row>
    <row r="296" spans="2:7" x14ac:dyDescent="0.3">
      <c r="B296" s="52">
        <v>239</v>
      </c>
      <c r="C296" s="33">
        <v>198.56237296326333</v>
      </c>
      <c r="D296" s="52">
        <v>239</v>
      </c>
      <c r="E296" s="33">
        <v>-18.520297081169133</v>
      </c>
      <c r="F296" s="52">
        <v>239</v>
      </c>
      <c r="G296" s="104">
        <v>276.6568666992855</v>
      </c>
    </row>
    <row r="297" spans="2:7" x14ac:dyDescent="0.3">
      <c r="B297" s="52">
        <v>240</v>
      </c>
      <c r="C297" s="33">
        <v>244.43471477896975</v>
      </c>
      <c r="D297" s="52">
        <v>240</v>
      </c>
      <c r="E297" s="33">
        <v>35.228329546405313</v>
      </c>
      <c r="F297" s="52">
        <v>240</v>
      </c>
      <c r="G297" s="104">
        <v>158.67150192773801</v>
      </c>
    </row>
    <row r="298" spans="2:7" x14ac:dyDescent="0.3">
      <c r="B298" s="52">
        <v>241</v>
      </c>
      <c r="C298" s="33">
        <v>348.16432167544428</v>
      </c>
      <c r="D298" s="52">
        <v>241</v>
      </c>
      <c r="E298" s="33">
        <v>32.351018655474697</v>
      </c>
      <c r="F298" s="52">
        <v>241</v>
      </c>
      <c r="G298" s="104">
        <v>282.32190487109472</v>
      </c>
    </row>
    <row r="299" spans="2:7" x14ac:dyDescent="0.3">
      <c r="B299" s="52">
        <v>242</v>
      </c>
      <c r="C299" s="33">
        <v>247.27189513928218</v>
      </c>
      <c r="D299" s="52">
        <v>242</v>
      </c>
      <c r="E299" s="33">
        <v>18.362965716278595</v>
      </c>
      <c r="F299" s="52">
        <v>242</v>
      </c>
      <c r="G299" s="104">
        <v>187.58898930823119</v>
      </c>
    </row>
    <row r="300" spans="2:7" x14ac:dyDescent="0.3">
      <c r="B300" s="52">
        <v>243</v>
      </c>
      <c r="C300" s="33">
        <v>113.80596450326655</v>
      </c>
      <c r="D300" s="52">
        <v>243</v>
      </c>
      <c r="E300" s="33">
        <v>2.4579498119340215</v>
      </c>
      <c r="F300" s="52">
        <v>243</v>
      </c>
      <c r="G300" s="104">
        <v>200.94379037498581</v>
      </c>
    </row>
    <row r="301" spans="2:7" x14ac:dyDescent="0.3">
      <c r="B301" s="52">
        <v>244</v>
      </c>
      <c r="C301" s="33">
        <v>204.04099120442149</v>
      </c>
      <c r="D301" s="52">
        <v>244</v>
      </c>
      <c r="E301" s="33">
        <v>63.200393703653177</v>
      </c>
      <c r="F301" s="52">
        <v>244</v>
      </c>
      <c r="G301" s="104">
        <v>179.23022264287584</v>
      </c>
    </row>
    <row r="302" spans="2:7" x14ac:dyDescent="0.3">
      <c r="B302" s="52">
        <v>245</v>
      </c>
      <c r="C302" s="33">
        <v>95.670168483125209</v>
      </c>
      <c r="D302" s="52">
        <v>245</v>
      </c>
      <c r="E302" s="33">
        <v>9.9259388753173781</v>
      </c>
      <c r="F302" s="52">
        <v>245</v>
      </c>
      <c r="G302" s="104">
        <v>170.51988626801796</v>
      </c>
    </row>
    <row r="303" spans="2:7" x14ac:dyDescent="0.3">
      <c r="B303" s="52">
        <v>246</v>
      </c>
      <c r="C303" s="33">
        <v>202.53705877657424</v>
      </c>
      <c r="D303" s="52">
        <v>246</v>
      </c>
      <c r="E303" s="33">
        <v>47.147126837606208</v>
      </c>
      <c r="F303" s="52">
        <v>246</v>
      </c>
      <c r="G303" s="104">
        <v>201.46567883746704</v>
      </c>
    </row>
    <row r="304" spans="2:7" x14ac:dyDescent="0.3">
      <c r="B304" s="52">
        <v>247</v>
      </c>
      <c r="C304" s="33">
        <v>161.52373089975086</v>
      </c>
      <c r="D304" s="52">
        <v>247</v>
      </c>
      <c r="E304" s="33">
        <v>25.107382866930962</v>
      </c>
      <c r="F304" s="52">
        <v>247</v>
      </c>
      <c r="G304" s="104">
        <v>281.92324557095702</v>
      </c>
    </row>
    <row r="305" spans="2:7" x14ac:dyDescent="0.3">
      <c r="B305" s="52">
        <v>248</v>
      </c>
      <c r="C305" s="33">
        <v>187.83266765619851</v>
      </c>
      <c r="D305" s="52">
        <v>248</v>
      </c>
      <c r="E305" s="33">
        <v>66.892892400145513</v>
      </c>
      <c r="F305" s="52">
        <v>248</v>
      </c>
      <c r="G305" s="104">
        <v>298.76252875243199</v>
      </c>
    </row>
    <row r="306" spans="2:7" x14ac:dyDescent="0.3">
      <c r="B306" s="52">
        <v>249</v>
      </c>
      <c r="C306" s="33">
        <v>189.92585328961769</v>
      </c>
      <c r="D306" s="52">
        <v>249</v>
      </c>
      <c r="E306" s="33">
        <v>51.643046915553548</v>
      </c>
      <c r="F306" s="52">
        <v>249</v>
      </c>
      <c r="G306" s="104">
        <v>277.1009612129368</v>
      </c>
    </row>
    <row r="307" spans="2:7" x14ac:dyDescent="0.3">
      <c r="B307" s="52">
        <v>250</v>
      </c>
      <c r="C307" s="33">
        <v>181.32171585528121</v>
      </c>
      <c r="D307" s="52">
        <v>250</v>
      </c>
      <c r="E307" s="33">
        <v>-7.2557529320795169</v>
      </c>
      <c r="F307" s="52">
        <v>250</v>
      </c>
      <c r="G307" s="104">
        <v>235.7395208947346</v>
      </c>
    </row>
    <row r="308" spans="2:7" x14ac:dyDescent="0.3">
      <c r="B308" s="52">
        <v>251</v>
      </c>
      <c r="C308" s="33">
        <v>178.03709462387258</v>
      </c>
      <c r="D308" s="52">
        <v>251</v>
      </c>
      <c r="E308" s="33">
        <v>39.814137226476426</v>
      </c>
      <c r="F308" s="52">
        <v>251</v>
      </c>
      <c r="G308" s="104">
        <v>204.35618564781277</v>
      </c>
    </row>
    <row r="309" spans="2:7" x14ac:dyDescent="0.3">
      <c r="B309" s="52">
        <v>252</v>
      </c>
      <c r="C309" s="33">
        <v>192.78013810263377</v>
      </c>
      <c r="D309" s="52">
        <v>252</v>
      </c>
      <c r="E309" s="33">
        <v>18.523637702753156</v>
      </c>
      <c r="F309" s="52">
        <v>252</v>
      </c>
      <c r="G309" s="104">
        <v>339.97587942137841</v>
      </c>
    </row>
    <row r="310" spans="2:7" x14ac:dyDescent="0.3">
      <c r="B310" s="52">
        <v>253</v>
      </c>
      <c r="C310" s="33">
        <v>297.27327787434649</v>
      </c>
      <c r="D310" s="52">
        <v>253</v>
      </c>
      <c r="E310" s="33">
        <v>34.206942269282585</v>
      </c>
      <c r="F310" s="52">
        <v>253</v>
      </c>
      <c r="G310" s="104">
        <v>150.2941424929497</v>
      </c>
    </row>
    <row r="311" spans="2:7" x14ac:dyDescent="0.3">
      <c r="B311" s="52">
        <v>254</v>
      </c>
      <c r="C311" s="33">
        <v>239.13960868024816</v>
      </c>
      <c r="D311" s="52">
        <v>254</v>
      </c>
      <c r="E311" s="33">
        <v>27.819952228523412</v>
      </c>
      <c r="F311" s="52">
        <v>254</v>
      </c>
      <c r="G311" s="104">
        <v>338.98087423422453</v>
      </c>
    </row>
    <row r="312" spans="2:7" x14ac:dyDescent="0.3">
      <c r="B312" s="52">
        <v>255</v>
      </c>
      <c r="C312" s="33">
        <v>185.51007499169361</v>
      </c>
      <c r="D312" s="52">
        <v>255</v>
      </c>
      <c r="E312" s="33">
        <v>20.675110972895776</v>
      </c>
      <c r="F312" s="52">
        <v>255</v>
      </c>
      <c r="G312" s="104">
        <v>238.64306934356208</v>
      </c>
    </row>
    <row r="313" spans="2:7" x14ac:dyDescent="0.3">
      <c r="B313" s="52">
        <v>256</v>
      </c>
      <c r="C313" s="33">
        <v>172.27923849599622</v>
      </c>
      <c r="D313" s="52">
        <v>256</v>
      </c>
      <c r="E313" s="33">
        <v>-2.3599011189747472</v>
      </c>
      <c r="F313" s="52">
        <v>256</v>
      </c>
      <c r="G313" s="104">
        <v>181.52656707548391</v>
      </c>
    </row>
    <row r="314" spans="2:7" x14ac:dyDescent="0.3">
      <c r="B314" s="52">
        <v>257</v>
      </c>
      <c r="C314" s="33">
        <v>363.95514432369845</v>
      </c>
      <c r="D314" s="52">
        <v>257</v>
      </c>
      <c r="E314" s="33">
        <v>5.377288593664737</v>
      </c>
      <c r="F314" s="52">
        <v>257</v>
      </c>
      <c r="G314" s="104">
        <v>150.87845454599264</v>
      </c>
    </row>
    <row r="315" spans="2:7" x14ac:dyDescent="0.3">
      <c r="B315" s="52">
        <v>258</v>
      </c>
      <c r="C315" s="33">
        <v>252.58065715310221</v>
      </c>
      <c r="D315" s="52">
        <v>258</v>
      </c>
      <c r="E315" s="33">
        <v>48.538935632955429</v>
      </c>
      <c r="F315" s="52">
        <v>258</v>
      </c>
      <c r="G315" s="104">
        <v>263.50515289860073</v>
      </c>
    </row>
    <row r="316" spans="2:7" x14ac:dyDescent="0.3">
      <c r="B316" s="52">
        <v>259</v>
      </c>
      <c r="C316" s="33">
        <v>370.1925741667394</v>
      </c>
      <c r="D316" s="52">
        <v>259</v>
      </c>
      <c r="E316" s="33">
        <v>25.573785495472258</v>
      </c>
      <c r="F316" s="52">
        <v>259</v>
      </c>
      <c r="G316" s="104">
        <v>257.71197374875482</v>
      </c>
    </row>
    <row r="317" spans="2:7" x14ac:dyDescent="0.3">
      <c r="B317" s="52">
        <v>260</v>
      </c>
      <c r="C317" s="33">
        <v>132.48644592568905</v>
      </c>
      <c r="D317" s="52">
        <v>260</v>
      </c>
      <c r="E317" s="33">
        <v>59.104031101786447</v>
      </c>
      <c r="F317" s="52">
        <v>260</v>
      </c>
      <c r="G317" s="104">
        <v>136.71553702920522</v>
      </c>
    </row>
    <row r="318" spans="2:7" x14ac:dyDescent="0.3">
      <c r="B318" s="52">
        <v>261</v>
      </c>
      <c r="C318" s="33">
        <v>349.73180029923799</v>
      </c>
      <c r="D318" s="52">
        <v>261</v>
      </c>
      <c r="E318" s="33">
        <v>45.6194538206719</v>
      </c>
      <c r="F318" s="52">
        <v>261</v>
      </c>
      <c r="G318" s="104">
        <v>304.45256457577807</v>
      </c>
    </row>
    <row r="319" spans="2:7" x14ac:dyDescent="0.3">
      <c r="B319" s="52">
        <v>262</v>
      </c>
      <c r="C319" s="33">
        <v>220.88244431668889</v>
      </c>
      <c r="D319" s="52">
        <v>262</v>
      </c>
      <c r="E319" s="33">
        <v>46.126713277675158</v>
      </c>
      <c r="F319" s="52">
        <v>262</v>
      </c>
      <c r="G319" s="104">
        <v>162.48315939454847</v>
      </c>
    </row>
    <row r="320" spans="2:7" x14ac:dyDescent="0.3">
      <c r="B320" s="52">
        <v>263</v>
      </c>
      <c r="C320" s="33">
        <v>132.77147918906294</v>
      </c>
      <c r="D320" s="52">
        <v>263</v>
      </c>
      <c r="E320" s="33">
        <v>26.219209849164589</v>
      </c>
      <c r="F320" s="52">
        <v>263</v>
      </c>
      <c r="G320" s="104">
        <v>367.95205633566633</v>
      </c>
    </row>
    <row r="321" spans="2:7" x14ac:dyDescent="0.3">
      <c r="B321" s="52">
        <v>264</v>
      </c>
      <c r="C321" s="33">
        <v>201.30511404049295</v>
      </c>
      <c r="D321" s="52">
        <v>264</v>
      </c>
      <c r="E321" s="33">
        <v>-10.636922072353151</v>
      </c>
      <c r="F321" s="52">
        <v>264</v>
      </c>
      <c r="G321" s="104">
        <v>193.09447814723708</v>
      </c>
    </row>
    <row r="322" spans="2:7" x14ac:dyDescent="0.3">
      <c r="B322" s="52">
        <v>265</v>
      </c>
      <c r="C322" s="33">
        <v>290.73337112777813</v>
      </c>
      <c r="D322" s="52">
        <v>265</v>
      </c>
      <c r="E322" s="33">
        <v>43.580773907935686</v>
      </c>
      <c r="F322" s="52">
        <v>265</v>
      </c>
      <c r="G322" s="104">
        <v>180.75375584972687</v>
      </c>
    </row>
    <row r="323" spans="2:7" x14ac:dyDescent="0.3">
      <c r="B323" s="52">
        <v>266</v>
      </c>
      <c r="C323" s="33">
        <v>193.13855953061912</v>
      </c>
      <c r="D323" s="52">
        <v>266</v>
      </c>
      <c r="E323" s="33">
        <v>2.3888118936595006</v>
      </c>
      <c r="F323" s="52">
        <v>266</v>
      </c>
      <c r="G323" s="104">
        <v>161.2367681108538</v>
      </c>
    </row>
    <row r="324" spans="2:7" x14ac:dyDescent="0.3">
      <c r="B324" s="52">
        <v>267</v>
      </c>
      <c r="C324" s="33">
        <v>271.76575047269245</v>
      </c>
      <c r="D324" s="52">
        <v>267</v>
      </c>
      <c r="E324" s="33">
        <v>64.857633762638329</v>
      </c>
      <c r="F324" s="52">
        <v>267</v>
      </c>
      <c r="G324" s="104">
        <v>67.233394972335049</v>
      </c>
    </row>
    <row r="325" spans="2:7" x14ac:dyDescent="0.3">
      <c r="B325" s="52">
        <v>268</v>
      </c>
      <c r="C325" s="33">
        <v>267.15766373182771</v>
      </c>
      <c r="D325" s="52">
        <v>268</v>
      </c>
      <c r="E325" s="33">
        <v>16.801521316911813</v>
      </c>
      <c r="F325" s="52">
        <v>268</v>
      </c>
      <c r="G325" s="104">
        <v>162.38017758103979</v>
      </c>
    </row>
    <row r="326" spans="2:7" x14ac:dyDescent="0.3">
      <c r="B326" s="52">
        <v>269</v>
      </c>
      <c r="C326" s="33">
        <v>232.1182756073207</v>
      </c>
      <c r="D326" s="52">
        <v>269</v>
      </c>
      <c r="E326" s="33">
        <v>22.447382081389964</v>
      </c>
      <c r="F326" s="52">
        <v>269</v>
      </c>
      <c r="G326" s="104">
        <v>225.9619932979227</v>
      </c>
    </row>
    <row r="327" spans="2:7" x14ac:dyDescent="0.3">
      <c r="B327" s="52">
        <v>270</v>
      </c>
      <c r="C327" s="33">
        <v>246.54955649503529</v>
      </c>
      <c r="D327" s="52">
        <v>270</v>
      </c>
      <c r="E327" s="33">
        <v>57.12881948082142</v>
      </c>
      <c r="F327" s="52">
        <v>270</v>
      </c>
      <c r="G327" s="104">
        <v>242.7077432384269</v>
      </c>
    </row>
    <row r="328" spans="2:7" x14ac:dyDescent="0.3">
      <c r="B328" s="52">
        <v>271</v>
      </c>
      <c r="C328" s="33">
        <v>158.29141269111733</v>
      </c>
      <c r="D328" s="52">
        <v>271</v>
      </c>
      <c r="E328" s="33">
        <v>28.267936785107082</v>
      </c>
      <c r="F328" s="52">
        <v>271</v>
      </c>
      <c r="G328" s="104">
        <v>274.62756188526902</v>
      </c>
    </row>
    <row r="329" spans="2:7" x14ac:dyDescent="0.3">
      <c r="B329" s="52">
        <v>272</v>
      </c>
      <c r="C329" s="33">
        <v>347.07156116841372</v>
      </c>
      <c r="D329" s="52">
        <v>272</v>
      </c>
      <c r="E329" s="33">
        <v>18.039668376431592</v>
      </c>
      <c r="F329" s="52">
        <v>272</v>
      </c>
      <c r="G329" s="104">
        <v>181.39742802454029</v>
      </c>
    </row>
    <row r="330" spans="2:7" x14ac:dyDescent="0.3">
      <c r="B330" s="52">
        <v>273</v>
      </c>
      <c r="C330" s="33">
        <v>237.09361531363646</v>
      </c>
      <c r="D330" s="52">
        <v>273</v>
      </c>
      <c r="E330" s="33">
        <v>17.014177995063207</v>
      </c>
      <c r="F330" s="52">
        <v>273</v>
      </c>
      <c r="G330" s="104">
        <v>214.19982064409024</v>
      </c>
    </row>
    <row r="331" spans="2:7" x14ac:dyDescent="0.3">
      <c r="B331" s="52">
        <v>274</v>
      </c>
      <c r="C331" s="33">
        <v>192.58209387846523</v>
      </c>
      <c r="D331" s="52">
        <v>274</v>
      </c>
      <c r="E331" s="33">
        <v>59.461623566017067</v>
      </c>
      <c r="F331" s="52">
        <v>274</v>
      </c>
      <c r="G331" s="104">
        <v>94.456470262193079</v>
      </c>
    </row>
    <row r="332" spans="2:7" x14ac:dyDescent="0.3">
      <c r="B332" s="52">
        <v>275</v>
      </c>
      <c r="C332" s="33">
        <v>269.42909240337224</v>
      </c>
      <c r="D332" s="52">
        <v>275</v>
      </c>
      <c r="E332" s="33">
        <v>58.846032047240513</v>
      </c>
      <c r="F332" s="52">
        <v>275</v>
      </c>
      <c r="G332" s="104">
        <v>224.28482059491495</v>
      </c>
    </row>
    <row r="333" spans="2:7" x14ac:dyDescent="0.3">
      <c r="B333" s="52">
        <v>276</v>
      </c>
      <c r="C333" s="33">
        <v>205.98592979379117</v>
      </c>
      <c r="D333" s="52">
        <v>276</v>
      </c>
      <c r="E333" s="33">
        <v>8.239574469290865</v>
      </c>
      <c r="F333" s="52">
        <v>276</v>
      </c>
      <c r="G333" s="104">
        <v>147.52278905232822</v>
      </c>
    </row>
    <row r="334" spans="2:7" x14ac:dyDescent="0.3">
      <c r="B334" s="52">
        <v>277</v>
      </c>
      <c r="C334" s="33">
        <v>286.97435741429712</v>
      </c>
      <c r="D334" s="52">
        <v>277</v>
      </c>
      <c r="E334" s="33">
        <v>53.918688995864493</v>
      </c>
      <c r="F334" s="52">
        <v>277</v>
      </c>
      <c r="G334" s="104">
        <v>320.79709855090385</v>
      </c>
    </row>
    <row r="335" spans="2:7" x14ac:dyDescent="0.3">
      <c r="B335" s="52">
        <v>278</v>
      </c>
      <c r="C335" s="33">
        <v>122.01349868229563</v>
      </c>
      <c r="D335" s="52">
        <v>278</v>
      </c>
      <c r="E335" s="33">
        <v>37.287230498666759</v>
      </c>
      <c r="F335" s="52">
        <v>278</v>
      </c>
      <c r="G335" s="104">
        <v>192.47286849414479</v>
      </c>
    </row>
    <row r="336" spans="2:7" x14ac:dyDescent="0.3">
      <c r="B336" s="52">
        <v>279</v>
      </c>
      <c r="C336" s="33">
        <v>11.307224071736272</v>
      </c>
      <c r="D336" s="52">
        <v>279</v>
      </c>
      <c r="E336" s="33">
        <v>38.704639008107087</v>
      </c>
      <c r="F336" s="52">
        <v>279</v>
      </c>
      <c r="G336" s="104">
        <v>110.28411235150608</v>
      </c>
    </row>
    <row r="337" spans="2:7" x14ac:dyDescent="0.3">
      <c r="B337" s="52">
        <v>280</v>
      </c>
      <c r="C337" s="33">
        <v>266.06765144077332</v>
      </c>
      <c r="D337" s="52">
        <v>280</v>
      </c>
      <c r="E337" s="33">
        <v>89.121695210317</v>
      </c>
      <c r="F337" s="52">
        <v>280</v>
      </c>
      <c r="G337" s="104">
        <v>332.9752382433831</v>
      </c>
    </row>
    <row r="338" spans="2:7" x14ac:dyDescent="0.3">
      <c r="B338" s="52">
        <v>281</v>
      </c>
      <c r="C338" s="33">
        <v>195.00691622383115</v>
      </c>
      <c r="D338" s="52">
        <v>281</v>
      </c>
      <c r="E338" s="33">
        <v>46.412682230122172</v>
      </c>
      <c r="F338" s="52">
        <v>281</v>
      </c>
      <c r="G338" s="104">
        <v>273.07747621293305</v>
      </c>
    </row>
    <row r="339" spans="2:7" x14ac:dyDescent="0.3">
      <c r="B339" s="52">
        <v>282</v>
      </c>
      <c r="C339" s="33">
        <v>261.26821799581847</v>
      </c>
      <c r="D339" s="52">
        <v>282</v>
      </c>
      <c r="E339" s="33">
        <v>61.346595213441653</v>
      </c>
      <c r="F339" s="52">
        <v>282</v>
      </c>
      <c r="G339" s="104">
        <v>35.148810432896965</v>
      </c>
    </row>
    <row r="340" spans="2:7" x14ac:dyDescent="0.3">
      <c r="B340" s="52">
        <v>283</v>
      </c>
      <c r="C340" s="33">
        <v>331.00154157126076</v>
      </c>
      <c r="D340" s="52">
        <v>283</v>
      </c>
      <c r="E340" s="33">
        <v>-32.348331402713143</v>
      </c>
      <c r="F340" s="52">
        <v>283</v>
      </c>
      <c r="G340" s="104">
        <v>210.65561881165954</v>
      </c>
    </row>
    <row r="341" spans="2:7" x14ac:dyDescent="0.3">
      <c r="B341" s="52">
        <v>284</v>
      </c>
      <c r="C341" s="33">
        <v>216.1982336775516</v>
      </c>
      <c r="D341" s="52">
        <v>284</v>
      </c>
      <c r="E341" s="33">
        <v>65.289129532825271</v>
      </c>
      <c r="F341" s="52">
        <v>284</v>
      </c>
      <c r="G341" s="104">
        <v>230.19184464355595</v>
      </c>
    </row>
    <row r="342" spans="2:7" x14ac:dyDescent="0.3">
      <c r="B342" s="52">
        <v>285</v>
      </c>
      <c r="C342" s="33">
        <v>171.7544172587987</v>
      </c>
      <c r="D342" s="52">
        <v>285</v>
      </c>
      <c r="E342" s="33">
        <v>6.1962711472985177</v>
      </c>
      <c r="F342" s="52">
        <v>285</v>
      </c>
      <c r="G342" s="104">
        <v>226.4508016729024</v>
      </c>
    </row>
    <row r="343" spans="2:7" x14ac:dyDescent="0.3">
      <c r="B343" s="52">
        <v>286</v>
      </c>
      <c r="C343" s="33">
        <v>116.6436347972635</v>
      </c>
      <c r="D343" s="52">
        <v>286</v>
      </c>
      <c r="E343" s="33">
        <v>30.262437476272851</v>
      </c>
      <c r="F343" s="52">
        <v>286</v>
      </c>
      <c r="G343" s="104">
        <v>137.73035679294614</v>
      </c>
    </row>
    <row r="344" spans="2:7" x14ac:dyDescent="0.3">
      <c r="B344" s="52">
        <v>287</v>
      </c>
      <c r="C344" s="33">
        <v>329.40473144186035</v>
      </c>
      <c r="D344" s="52">
        <v>287</v>
      </c>
      <c r="E344" s="33">
        <v>56.552141206858636</v>
      </c>
      <c r="F344" s="52">
        <v>287</v>
      </c>
      <c r="G344" s="104">
        <v>197.18308471646887</v>
      </c>
    </row>
    <row r="345" spans="2:7" x14ac:dyDescent="0.3">
      <c r="B345" s="52">
        <v>288</v>
      </c>
      <c r="C345" s="33">
        <v>263.26664207007855</v>
      </c>
      <c r="D345" s="52">
        <v>288</v>
      </c>
      <c r="E345" s="33">
        <v>62.398185387024746</v>
      </c>
      <c r="F345" s="52">
        <v>288</v>
      </c>
      <c r="G345" s="104">
        <v>232.65739487647107</v>
      </c>
    </row>
    <row r="346" spans="2:7" x14ac:dyDescent="0.3">
      <c r="B346" s="52">
        <v>289</v>
      </c>
      <c r="C346" s="33">
        <v>161.64550395212845</v>
      </c>
      <c r="D346" s="52">
        <v>289</v>
      </c>
      <c r="E346" s="33">
        <v>57.690274267645563</v>
      </c>
      <c r="F346" s="52">
        <v>289</v>
      </c>
      <c r="G346" s="104">
        <v>283.46805264201197</v>
      </c>
    </row>
    <row r="347" spans="2:7" x14ac:dyDescent="0.3">
      <c r="B347" s="52">
        <v>290</v>
      </c>
      <c r="C347" s="33">
        <v>241.59368266026866</v>
      </c>
      <c r="D347" s="52">
        <v>290</v>
      </c>
      <c r="E347" s="33">
        <v>51.134599517123092</v>
      </c>
      <c r="F347" s="52">
        <v>290</v>
      </c>
      <c r="G347" s="104">
        <v>365.79673124795136</v>
      </c>
    </row>
    <row r="348" spans="2:7" x14ac:dyDescent="0.3">
      <c r="B348" s="52">
        <v>291</v>
      </c>
      <c r="C348" s="33">
        <v>370.95780275609968</v>
      </c>
      <c r="D348" s="52">
        <v>291</v>
      </c>
      <c r="E348" s="33">
        <v>63.221643508771756</v>
      </c>
      <c r="F348" s="52">
        <v>291</v>
      </c>
      <c r="G348" s="104">
        <v>316.42902051634377</v>
      </c>
    </row>
    <row r="349" spans="2:7" x14ac:dyDescent="0.3">
      <c r="B349" s="52">
        <v>292</v>
      </c>
      <c r="C349" s="33">
        <v>301.59209244168801</v>
      </c>
      <c r="D349" s="52">
        <v>292</v>
      </c>
      <c r="E349" s="33">
        <v>26.449909750977135</v>
      </c>
      <c r="F349" s="52">
        <v>292</v>
      </c>
      <c r="G349" s="104">
        <v>87.754545692469762</v>
      </c>
    </row>
    <row r="350" spans="2:7" x14ac:dyDescent="0.3">
      <c r="B350" s="52">
        <v>293</v>
      </c>
      <c r="C350" s="33">
        <v>183.91018777316174</v>
      </c>
      <c r="D350" s="52">
        <v>293</v>
      </c>
      <c r="E350" s="33">
        <v>-3.590669195696222</v>
      </c>
      <c r="F350" s="52">
        <v>293</v>
      </c>
      <c r="G350" s="104">
        <v>249.70869895658097</v>
      </c>
    </row>
    <row r="351" spans="2:7" x14ac:dyDescent="0.3">
      <c r="B351" s="52">
        <v>294</v>
      </c>
      <c r="C351" s="33">
        <v>315.2163361230555</v>
      </c>
      <c r="D351" s="52">
        <v>294</v>
      </c>
      <c r="E351" s="33">
        <v>50.403243231325803</v>
      </c>
      <c r="F351" s="52">
        <v>294</v>
      </c>
      <c r="G351" s="104">
        <v>187.14687286181754</v>
      </c>
    </row>
    <row r="352" spans="2:7" x14ac:dyDescent="0.3">
      <c r="B352" s="52">
        <v>295</v>
      </c>
      <c r="C352" s="33">
        <v>114.72485143851316</v>
      </c>
      <c r="D352" s="52">
        <v>295</v>
      </c>
      <c r="E352" s="33">
        <v>61.510854880078782</v>
      </c>
      <c r="F352" s="52">
        <v>295</v>
      </c>
      <c r="G352" s="104">
        <v>189.88142372039914</v>
      </c>
    </row>
    <row r="353" spans="2:7" x14ac:dyDescent="0.3">
      <c r="B353" s="52">
        <v>296</v>
      </c>
      <c r="C353" s="33">
        <v>221.64493462966863</v>
      </c>
      <c r="D353" s="52">
        <v>296</v>
      </c>
      <c r="E353" s="33">
        <v>105.05295668282946</v>
      </c>
      <c r="F353" s="52">
        <v>296</v>
      </c>
      <c r="G353" s="104">
        <v>123.94386218946917</v>
      </c>
    </row>
    <row r="354" spans="2:7" x14ac:dyDescent="0.3">
      <c r="B354" s="52">
        <v>297</v>
      </c>
      <c r="C354" s="33">
        <v>278.49176120932134</v>
      </c>
      <c r="D354" s="52">
        <v>297</v>
      </c>
      <c r="E354" s="33">
        <v>54.437170787778648</v>
      </c>
      <c r="F354" s="52">
        <v>297</v>
      </c>
      <c r="G354" s="104">
        <v>141.00133859129858</v>
      </c>
    </row>
    <row r="355" spans="2:7" x14ac:dyDescent="0.3">
      <c r="B355" s="52">
        <v>298</v>
      </c>
      <c r="C355" s="33">
        <v>177.08296639932843</v>
      </c>
      <c r="D355" s="52">
        <v>298</v>
      </c>
      <c r="E355" s="33">
        <v>60.911484778636371</v>
      </c>
      <c r="F355" s="52">
        <v>298</v>
      </c>
      <c r="G355" s="104">
        <v>297.80989479843026</v>
      </c>
    </row>
    <row r="356" spans="2:7" x14ac:dyDescent="0.3">
      <c r="B356" s="52">
        <v>299</v>
      </c>
      <c r="C356" s="33">
        <v>260.26551818433239</v>
      </c>
      <c r="D356" s="52">
        <v>299</v>
      </c>
      <c r="E356" s="33">
        <v>45.635965788403254</v>
      </c>
      <c r="F356" s="52">
        <v>299</v>
      </c>
      <c r="G356" s="104">
        <v>192.58476522043935</v>
      </c>
    </row>
    <row r="357" spans="2:7" x14ac:dyDescent="0.3">
      <c r="B357" s="52">
        <v>300</v>
      </c>
      <c r="C357" s="33">
        <v>186.25779665483128</v>
      </c>
      <c r="D357" s="52">
        <v>300</v>
      </c>
      <c r="E357" s="33">
        <v>46.025151435468686</v>
      </c>
      <c r="F357" s="52">
        <v>300</v>
      </c>
      <c r="G357" s="104">
        <v>70.601763519232634</v>
      </c>
    </row>
    <row r="358" spans="2:7" x14ac:dyDescent="0.3">
      <c r="B358" s="52">
        <v>301</v>
      </c>
      <c r="C358" s="33">
        <v>152.67818354291842</v>
      </c>
      <c r="D358" s="52">
        <v>301</v>
      </c>
      <c r="E358" s="33">
        <v>11.812050497106718</v>
      </c>
      <c r="F358" s="52">
        <v>301</v>
      </c>
      <c r="G358" s="104">
        <v>319.89339409739904</v>
      </c>
    </row>
    <row r="359" spans="2:7" x14ac:dyDescent="0.3">
      <c r="B359" s="52">
        <v>302</v>
      </c>
      <c r="C359" s="33">
        <v>328.08204962336345</v>
      </c>
      <c r="D359" s="52">
        <v>302</v>
      </c>
      <c r="E359" s="33">
        <v>48.083823044285005</v>
      </c>
      <c r="F359" s="52">
        <v>302</v>
      </c>
      <c r="G359" s="104">
        <v>120.77449537063445</v>
      </c>
    </row>
    <row r="360" spans="2:7" x14ac:dyDescent="0.3">
      <c r="B360" s="52">
        <v>303</v>
      </c>
      <c r="C360" s="33">
        <v>252.30299302784977</v>
      </c>
      <c r="D360" s="52">
        <v>303</v>
      </c>
      <c r="E360" s="33">
        <v>57.91219120197276</v>
      </c>
      <c r="F360" s="52">
        <v>303</v>
      </c>
      <c r="G360" s="104">
        <v>140.92808540971555</v>
      </c>
    </row>
    <row r="361" spans="2:7" x14ac:dyDescent="0.3">
      <c r="B361" s="52">
        <v>304</v>
      </c>
      <c r="C361" s="33">
        <v>195.83899943226919</v>
      </c>
      <c r="D361" s="52">
        <v>304</v>
      </c>
      <c r="E361" s="33">
        <v>66.141473755974118</v>
      </c>
      <c r="F361" s="52">
        <v>304</v>
      </c>
      <c r="G361" s="104">
        <v>269.63280153321881</v>
      </c>
    </row>
    <row r="362" spans="2:7" x14ac:dyDescent="0.3">
      <c r="B362" s="52">
        <v>305</v>
      </c>
      <c r="C362" s="33">
        <v>211.6027865819853</v>
      </c>
      <c r="D362" s="52">
        <v>305</v>
      </c>
      <c r="E362" s="33">
        <v>2.2241982508266567</v>
      </c>
      <c r="F362" s="52">
        <v>305</v>
      </c>
      <c r="G362" s="104">
        <v>257.80654726912542</v>
      </c>
    </row>
    <row r="363" spans="2:7" x14ac:dyDescent="0.3">
      <c r="B363" s="52">
        <v>306</v>
      </c>
      <c r="C363" s="33">
        <v>116.3028194768934</v>
      </c>
      <c r="D363" s="52">
        <v>306</v>
      </c>
      <c r="E363" s="33">
        <v>51.951376100892375</v>
      </c>
      <c r="F363" s="52">
        <v>306</v>
      </c>
      <c r="G363" s="104">
        <v>383.56655768965447</v>
      </c>
    </row>
    <row r="364" spans="2:7" x14ac:dyDescent="0.3">
      <c r="B364" s="52">
        <v>307</v>
      </c>
      <c r="C364" s="33">
        <v>219.35852376801145</v>
      </c>
      <c r="D364" s="52">
        <v>307</v>
      </c>
      <c r="E364" s="33">
        <v>44.841203756878706</v>
      </c>
      <c r="F364" s="52">
        <v>307</v>
      </c>
      <c r="G364" s="104">
        <v>241.11788436097288</v>
      </c>
    </row>
    <row r="365" spans="2:7" x14ac:dyDescent="0.3">
      <c r="B365" s="52">
        <v>308</v>
      </c>
      <c r="C365" s="33">
        <v>185.28341285773598</v>
      </c>
      <c r="D365" s="52">
        <v>308</v>
      </c>
      <c r="E365" s="33">
        <v>62.194820458505816</v>
      </c>
      <c r="F365" s="52">
        <v>308</v>
      </c>
      <c r="G365" s="104">
        <v>171.43786657745514</v>
      </c>
    </row>
    <row r="366" spans="2:7" x14ac:dyDescent="0.3">
      <c r="B366" s="52">
        <v>309</v>
      </c>
      <c r="C366" s="33">
        <v>188.67468350132117</v>
      </c>
      <c r="D366" s="52">
        <v>309</v>
      </c>
      <c r="E366" s="33">
        <v>48.937141023580075</v>
      </c>
      <c r="F366" s="52">
        <v>309</v>
      </c>
      <c r="G366" s="104">
        <v>220.46261000596826</v>
      </c>
    </row>
    <row r="367" spans="2:7" x14ac:dyDescent="0.3">
      <c r="B367" s="52">
        <v>310</v>
      </c>
      <c r="C367" s="33">
        <v>376.10035492329945</v>
      </c>
      <c r="D367" s="52">
        <v>310</v>
      </c>
      <c r="E367" s="33">
        <v>58.329499253745816</v>
      </c>
      <c r="F367" s="52">
        <v>310</v>
      </c>
      <c r="G367" s="104">
        <v>208.05023827413336</v>
      </c>
    </row>
    <row r="368" spans="2:7" x14ac:dyDescent="0.3">
      <c r="B368" s="52">
        <v>311</v>
      </c>
      <c r="C368" s="33">
        <v>161.60410715859041</v>
      </c>
      <c r="D368" s="52">
        <v>311</v>
      </c>
      <c r="E368" s="33">
        <v>13.861748667946948</v>
      </c>
      <c r="F368" s="52">
        <v>311</v>
      </c>
      <c r="G368" s="104">
        <v>167.58914298517286</v>
      </c>
    </row>
    <row r="369" spans="2:7" x14ac:dyDescent="0.3">
      <c r="B369" s="52">
        <v>312</v>
      </c>
      <c r="C369" s="33">
        <v>282.57243146212744</v>
      </c>
      <c r="D369" s="52">
        <v>312</v>
      </c>
      <c r="E369" s="33">
        <v>9.3558127959113193</v>
      </c>
      <c r="F369" s="52">
        <v>312</v>
      </c>
      <c r="G369" s="104">
        <v>170.31430470992265</v>
      </c>
    </row>
    <row r="370" spans="2:7" x14ac:dyDescent="0.3">
      <c r="B370" s="52">
        <v>313</v>
      </c>
      <c r="C370" s="33">
        <v>283.92634351089106</v>
      </c>
      <c r="D370" s="52">
        <v>313</v>
      </c>
      <c r="E370" s="33">
        <v>17.472229444289678</v>
      </c>
      <c r="F370" s="52">
        <v>313</v>
      </c>
      <c r="G370" s="104">
        <v>169.26939941188559</v>
      </c>
    </row>
    <row r="371" spans="2:7" x14ac:dyDescent="0.3">
      <c r="B371" s="52">
        <v>314</v>
      </c>
      <c r="C371" s="33">
        <v>31.037872207071018</v>
      </c>
      <c r="D371" s="52">
        <v>314</v>
      </c>
      <c r="E371" s="33">
        <v>66.715116538480331</v>
      </c>
      <c r="F371" s="52">
        <v>314</v>
      </c>
      <c r="G371" s="104">
        <v>124.9361837829039</v>
      </c>
    </row>
    <row r="372" spans="2:7" x14ac:dyDescent="0.3">
      <c r="B372" s="52">
        <v>315</v>
      </c>
      <c r="C372" s="33">
        <v>195.82738987282858</v>
      </c>
      <c r="D372" s="52">
        <v>315</v>
      </c>
      <c r="E372" s="33">
        <v>77.578534612749721</v>
      </c>
      <c r="F372" s="52">
        <v>315</v>
      </c>
      <c r="G372" s="104">
        <v>187.07980814992615</v>
      </c>
    </row>
    <row r="373" spans="2:7" x14ac:dyDescent="0.3">
      <c r="B373" s="52">
        <v>316</v>
      </c>
      <c r="C373" s="33">
        <v>212.18745544324139</v>
      </c>
      <c r="D373" s="52">
        <v>316</v>
      </c>
      <c r="E373" s="33">
        <v>-39.581321430439353</v>
      </c>
      <c r="F373" s="52">
        <v>316</v>
      </c>
      <c r="G373" s="104">
        <v>212.10605227734243</v>
      </c>
    </row>
    <row r="374" spans="2:7" x14ac:dyDescent="0.3">
      <c r="B374" s="52">
        <v>317</v>
      </c>
      <c r="C374" s="33">
        <v>228.79070936428059</v>
      </c>
      <c r="D374" s="52">
        <v>317</v>
      </c>
      <c r="E374" s="33">
        <v>22.383969982322309</v>
      </c>
      <c r="F374" s="52">
        <v>317</v>
      </c>
      <c r="G374" s="104">
        <v>254.59125568480854</v>
      </c>
    </row>
    <row r="375" spans="2:7" x14ac:dyDescent="0.3">
      <c r="B375" s="52">
        <v>318</v>
      </c>
      <c r="C375" s="33">
        <v>352.91962427408947</v>
      </c>
      <c r="D375" s="52">
        <v>318</v>
      </c>
      <c r="E375" s="33">
        <v>59.595419021445906</v>
      </c>
      <c r="F375" s="52">
        <v>318</v>
      </c>
      <c r="G375" s="104">
        <v>170.14383954689421</v>
      </c>
    </row>
    <row r="376" spans="2:7" x14ac:dyDescent="0.3">
      <c r="B376" s="52">
        <v>319</v>
      </c>
      <c r="C376" s="33">
        <v>222.32250834732636</v>
      </c>
      <c r="D376" s="52">
        <v>319</v>
      </c>
      <c r="E376" s="33">
        <v>78.976762424234124</v>
      </c>
      <c r="F376" s="52">
        <v>319</v>
      </c>
      <c r="G376" s="104">
        <v>238.94150750787048</v>
      </c>
    </row>
    <row r="377" spans="2:7" x14ac:dyDescent="0.3">
      <c r="B377" s="52">
        <v>320</v>
      </c>
      <c r="C377" s="33">
        <v>221.42448925807594</v>
      </c>
      <c r="D377" s="52">
        <v>320</v>
      </c>
      <c r="E377" s="33">
        <v>17.718205719056787</v>
      </c>
      <c r="F377" s="52">
        <v>320</v>
      </c>
      <c r="G377" s="104">
        <v>195.69263894003652</v>
      </c>
    </row>
    <row r="378" spans="2:7" x14ac:dyDescent="0.3">
      <c r="B378" s="52">
        <v>321</v>
      </c>
      <c r="C378" s="33">
        <v>202.44508611539803</v>
      </c>
      <c r="D378" s="52">
        <v>321</v>
      </c>
      <c r="E378" s="33">
        <v>26.983915167830865</v>
      </c>
      <c r="F378" s="52">
        <v>321</v>
      </c>
      <c r="G378" s="104">
        <v>195.51538064180932</v>
      </c>
    </row>
    <row r="379" spans="2:7" x14ac:dyDescent="0.3">
      <c r="B379" s="52">
        <v>322</v>
      </c>
      <c r="C379" s="33">
        <v>92.040746302712904</v>
      </c>
      <c r="D379" s="52">
        <v>322</v>
      </c>
      <c r="E379" s="33">
        <v>44.005731897936343</v>
      </c>
      <c r="F379" s="52">
        <v>322</v>
      </c>
      <c r="G379" s="104">
        <v>142.01216317266892</v>
      </c>
    </row>
    <row r="380" spans="2:7" x14ac:dyDescent="0.3">
      <c r="B380" s="52">
        <v>323</v>
      </c>
      <c r="C380" s="33">
        <v>178.25153481808724</v>
      </c>
      <c r="D380" s="52">
        <v>323</v>
      </c>
      <c r="E380" s="33">
        <v>46.362105855976957</v>
      </c>
      <c r="F380" s="52">
        <v>323</v>
      </c>
      <c r="G380" s="104">
        <v>241.11338141582365</v>
      </c>
    </row>
    <row r="381" spans="2:7" x14ac:dyDescent="0.3">
      <c r="B381" s="52">
        <v>324</v>
      </c>
      <c r="C381" s="33">
        <v>204.66950655627528</v>
      </c>
      <c r="D381" s="52">
        <v>324</v>
      </c>
      <c r="E381" s="33">
        <v>34.367919481914711</v>
      </c>
      <c r="F381" s="52">
        <v>324</v>
      </c>
      <c r="G381" s="104">
        <v>167.40241866997738</v>
      </c>
    </row>
    <row r="382" spans="2:7" x14ac:dyDescent="0.3">
      <c r="B382" s="52">
        <v>325</v>
      </c>
      <c r="C382" s="33">
        <v>384.72149790726451</v>
      </c>
      <c r="D382" s="52">
        <v>325</v>
      </c>
      <c r="E382" s="33">
        <v>20.278749516301829</v>
      </c>
      <c r="F382" s="52">
        <v>325</v>
      </c>
      <c r="G382" s="104">
        <v>253.08363324290491</v>
      </c>
    </row>
    <row r="383" spans="2:7" x14ac:dyDescent="0.3">
      <c r="B383" s="52">
        <v>326</v>
      </c>
      <c r="C383" s="33">
        <v>230.73154806701555</v>
      </c>
      <c r="D383" s="52">
        <v>326</v>
      </c>
      <c r="E383" s="33">
        <v>31.826065536862277</v>
      </c>
      <c r="F383" s="52">
        <v>326</v>
      </c>
      <c r="G383" s="104">
        <v>306.39326581657895</v>
      </c>
    </row>
    <row r="384" spans="2:7" x14ac:dyDescent="0.3">
      <c r="B384" s="52">
        <v>327</v>
      </c>
      <c r="C384" s="33">
        <v>256.54176908766487</v>
      </c>
      <c r="D384" s="52">
        <v>327</v>
      </c>
      <c r="E384" s="33">
        <v>17.15436831360018</v>
      </c>
      <c r="F384" s="52">
        <v>327</v>
      </c>
      <c r="G384" s="104">
        <v>151.52767025826998</v>
      </c>
    </row>
    <row r="385" spans="2:7" x14ac:dyDescent="0.3">
      <c r="B385" s="52">
        <v>328</v>
      </c>
      <c r="C385" s="33">
        <v>338.0021305555681</v>
      </c>
      <c r="D385" s="52">
        <v>328</v>
      </c>
      <c r="E385" s="33">
        <v>14.428385848942064</v>
      </c>
      <c r="F385" s="52">
        <v>328</v>
      </c>
      <c r="G385" s="104">
        <v>250.11198892163944</v>
      </c>
    </row>
    <row r="386" spans="2:7" x14ac:dyDescent="0.3">
      <c r="B386" s="52">
        <v>329</v>
      </c>
      <c r="C386" s="33">
        <v>166.72772784262469</v>
      </c>
      <c r="D386" s="52">
        <v>329</v>
      </c>
      <c r="E386" s="33">
        <v>47.559790042747551</v>
      </c>
      <c r="F386" s="52">
        <v>329</v>
      </c>
      <c r="G386" s="104">
        <v>207.50116168731131</v>
      </c>
    </row>
    <row r="387" spans="2:7" x14ac:dyDescent="0.3">
      <c r="B387" s="52">
        <v>330</v>
      </c>
      <c r="C387" s="33">
        <v>231.67769017555869</v>
      </c>
      <c r="D387" s="52">
        <v>330</v>
      </c>
      <c r="E387" s="33">
        <v>47.382951875806782</v>
      </c>
      <c r="F387" s="52">
        <v>330</v>
      </c>
      <c r="G387" s="104">
        <v>199.77977375245482</v>
      </c>
    </row>
    <row r="388" spans="2:7" x14ac:dyDescent="0.3">
      <c r="B388" s="52">
        <v>331</v>
      </c>
      <c r="C388" s="33">
        <v>127.87542934733973</v>
      </c>
      <c r="D388" s="52">
        <v>331</v>
      </c>
      <c r="E388" s="33">
        <v>32.243182461546446</v>
      </c>
      <c r="F388" s="52">
        <v>331</v>
      </c>
      <c r="G388" s="104">
        <v>268.37866733590596</v>
      </c>
    </row>
    <row r="389" spans="2:7" x14ac:dyDescent="0.3">
      <c r="B389" s="52">
        <v>332</v>
      </c>
      <c r="C389" s="33">
        <v>272.98953251523443</v>
      </c>
      <c r="D389" s="52">
        <v>332</v>
      </c>
      <c r="E389" s="33">
        <v>59.06622678163928</v>
      </c>
      <c r="F389" s="52">
        <v>332</v>
      </c>
      <c r="G389" s="104">
        <v>185.60877988276255</v>
      </c>
    </row>
    <row r="390" spans="2:7" x14ac:dyDescent="0.3">
      <c r="B390" s="52">
        <v>333</v>
      </c>
      <c r="C390" s="33">
        <v>307.139680680803</v>
      </c>
      <c r="D390" s="52">
        <v>333</v>
      </c>
      <c r="E390" s="33">
        <v>29.257296290008956</v>
      </c>
      <c r="F390" s="52">
        <v>333</v>
      </c>
      <c r="G390" s="104">
        <v>324.77121896655422</v>
      </c>
    </row>
    <row r="391" spans="2:7" x14ac:dyDescent="0.3">
      <c r="B391" s="52">
        <v>334</v>
      </c>
      <c r="C391" s="33">
        <v>92.057645667762529</v>
      </c>
      <c r="D391" s="52">
        <v>334</v>
      </c>
      <c r="E391" s="33">
        <v>-8.3946162047418582</v>
      </c>
      <c r="F391" s="52">
        <v>334</v>
      </c>
      <c r="G391" s="104">
        <v>189.76037252153972</v>
      </c>
    </row>
    <row r="392" spans="2:7" x14ac:dyDescent="0.3">
      <c r="B392" s="52">
        <v>335</v>
      </c>
      <c r="C392" s="33">
        <v>283.76606255601814</v>
      </c>
      <c r="D392" s="52">
        <v>335</v>
      </c>
      <c r="E392" s="33">
        <v>94.215924880054644</v>
      </c>
      <c r="F392" s="52">
        <v>335</v>
      </c>
      <c r="G392" s="104">
        <v>278.2053567644308</v>
      </c>
    </row>
    <row r="393" spans="2:7" x14ac:dyDescent="0.3">
      <c r="B393" s="52">
        <v>336</v>
      </c>
      <c r="C393" s="33">
        <v>275.27983535022446</v>
      </c>
      <c r="D393" s="52">
        <v>336</v>
      </c>
      <c r="E393" s="33">
        <v>12.499004938149319</v>
      </c>
      <c r="F393" s="52">
        <v>336</v>
      </c>
      <c r="G393" s="104">
        <v>147.04319016625701</v>
      </c>
    </row>
    <row r="394" spans="2:7" x14ac:dyDescent="0.3">
      <c r="B394" s="52">
        <v>337</v>
      </c>
      <c r="C394" s="33">
        <v>251.53001398445932</v>
      </c>
      <c r="D394" s="52">
        <v>337</v>
      </c>
      <c r="E394" s="33">
        <v>42.646263763906987</v>
      </c>
      <c r="F394" s="52">
        <v>337</v>
      </c>
      <c r="G394" s="104">
        <v>239.96908104540404</v>
      </c>
    </row>
    <row r="395" spans="2:7" x14ac:dyDescent="0.3">
      <c r="B395" s="52">
        <v>338</v>
      </c>
      <c r="C395" s="33">
        <v>339.7321602307631</v>
      </c>
      <c r="D395" s="52">
        <v>338</v>
      </c>
      <c r="E395" s="33">
        <v>-5.3223706967854767</v>
      </c>
      <c r="F395" s="52">
        <v>338</v>
      </c>
      <c r="G395" s="104">
        <v>173.08611205133894</v>
      </c>
    </row>
    <row r="396" spans="2:7" x14ac:dyDescent="0.3">
      <c r="B396" s="52">
        <v>339</v>
      </c>
      <c r="C396" s="33">
        <v>-12.495630806510377</v>
      </c>
      <c r="D396" s="52">
        <v>339</v>
      </c>
      <c r="E396" s="33">
        <v>61.280880273554253</v>
      </c>
      <c r="F396" s="52">
        <v>339</v>
      </c>
      <c r="G396" s="104">
        <v>189.03041478539609</v>
      </c>
    </row>
    <row r="397" spans="2:7" x14ac:dyDescent="0.3">
      <c r="B397" s="52">
        <v>340</v>
      </c>
      <c r="C397" s="33">
        <v>354.80285165143312</v>
      </c>
      <c r="D397" s="52">
        <v>340</v>
      </c>
      <c r="E397" s="33">
        <v>38.458389582729716</v>
      </c>
      <c r="F397" s="52">
        <v>340</v>
      </c>
      <c r="G397" s="104">
        <v>34.756813820716928</v>
      </c>
    </row>
    <row r="398" spans="2:7" x14ac:dyDescent="0.3">
      <c r="B398" s="52">
        <v>341</v>
      </c>
      <c r="C398" s="33">
        <v>372.40208479730165</v>
      </c>
      <c r="D398" s="52">
        <v>341</v>
      </c>
      <c r="E398" s="33">
        <v>52.611717205396388</v>
      </c>
      <c r="F398" s="52">
        <v>341</v>
      </c>
      <c r="G398" s="104">
        <v>168.83776733900464</v>
      </c>
    </row>
    <row r="399" spans="2:7" x14ac:dyDescent="0.3">
      <c r="B399" s="52">
        <v>342</v>
      </c>
      <c r="C399" s="33">
        <v>303.70555127533942</v>
      </c>
      <c r="D399" s="52">
        <v>342</v>
      </c>
      <c r="E399" s="33">
        <v>32.219316129569869</v>
      </c>
      <c r="F399" s="52">
        <v>342</v>
      </c>
      <c r="G399" s="104">
        <v>155.05245465994227</v>
      </c>
    </row>
    <row r="400" spans="2:7" x14ac:dyDescent="0.3">
      <c r="B400" s="52">
        <v>343</v>
      </c>
      <c r="C400" s="33">
        <v>99.283857458942336</v>
      </c>
      <c r="D400" s="52">
        <v>343</v>
      </c>
      <c r="E400" s="33">
        <v>45.975451016634125</v>
      </c>
      <c r="F400" s="52">
        <v>343</v>
      </c>
      <c r="G400" s="104">
        <v>205.7881433693623</v>
      </c>
    </row>
    <row r="401" spans="2:7" x14ac:dyDescent="0.3">
      <c r="B401" s="52">
        <v>344</v>
      </c>
      <c r="C401" s="33">
        <v>192.12915330380332</v>
      </c>
      <c r="D401" s="52">
        <v>344</v>
      </c>
      <c r="E401" s="33">
        <v>50.397495534029886</v>
      </c>
      <c r="F401" s="52">
        <v>344</v>
      </c>
      <c r="G401" s="104">
        <v>268.786518247007</v>
      </c>
    </row>
    <row r="402" spans="2:7" x14ac:dyDescent="0.3">
      <c r="B402" s="52">
        <v>345</v>
      </c>
      <c r="C402" s="33">
        <v>340.8074574371991</v>
      </c>
      <c r="D402" s="52">
        <v>345</v>
      </c>
      <c r="E402" s="33">
        <v>24.28477094687738</v>
      </c>
      <c r="F402" s="52">
        <v>345</v>
      </c>
      <c r="G402" s="104">
        <v>361.40180303187805</v>
      </c>
    </row>
    <row r="403" spans="2:7" x14ac:dyDescent="0.3">
      <c r="B403" s="52">
        <v>346</v>
      </c>
      <c r="C403" s="33">
        <v>269.16097054586345</v>
      </c>
      <c r="D403" s="52">
        <v>346</v>
      </c>
      <c r="E403" s="33">
        <v>28.364256130307986</v>
      </c>
      <c r="F403" s="52">
        <v>346</v>
      </c>
      <c r="G403" s="104">
        <v>252.82521812963401</v>
      </c>
    </row>
    <row r="404" spans="2:7" x14ac:dyDescent="0.3">
      <c r="B404" s="52">
        <v>347</v>
      </c>
      <c r="C404" s="33">
        <v>268.13418140187486</v>
      </c>
      <c r="D404" s="52">
        <v>347</v>
      </c>
      <c r="E404" s="33">
        <v>72.080105726226847</v>
      </c>
      <c r="F404" s="52">
        <v>347</v>
      </c>
      <c r="G404" s="104">
        <v>424.88879577806233</v>
      </c>
    </row>
    <row r="405" spans="2:7" x14ac:dyDescent="0.3">
      <c r="B405" s="52">
        <v>348</v>
      </c>
      <c r="C405" s="33">
        <v>237.61206325901338</v>
      </c>
      <c r="D405" s="52">
        <v>348</v>
      </c>
      <c r="E405" s="33">
        <v>44.977226302262657</v>
      </c>
      <c r="F405" s="52">
        <v>348</v>
      </c>
      <c r="G405" s="104">
        <v>301.15642655031405</v>
      </c>
    </row>
    <row r="406" spans="2:7" x14ac:dyDescent="0.3">
      <c r="B406" s="52">
        <v>349</v>
      </c>
      <c r="C406" s="33">
        <v>276.0152620688043</v>
      </c>
      <c r="D406" s="52">
        <v>349</v>
      </c>
      <c r="E406" s="33">
        <v>37.554089885870539</v>
      </c>
      <c r="F406" s="52">
        <v>349</v>
      </c>
      <c r="G406" s="104">
        <v>240.09148249848056</v>
      </c>
    </row>
    <row r="407" spans="2:7" x14ac:dyDescent="0.3">
      <c r="B407" s="52">
        <v>350</v>
      </c>
      <c r="C407" s="33">
        <v>164.82458215407621</v>
      </c>
      <c r="D407" s="52">
        <v>350</v>
      </c>
      <c r="E407" s="33">
        <v>88.85610473333972</v>
      </c>
      <c r="F407" s="52">
        <v>350</v>
      </c>
      <c r="G407" s="104">
        <v>133.47219224371096</v>
      </c>
    </row>
    <row r="408" spans="2:7" x14ac:dyDescent="0.3">
      <c r="B408" s="52">
        <v>351</v>
      </c>
      <c r="C408" s="33">
        <v>257.43258911237677</v>
      </c>
      <c r="D408" s="52">
        <v>351</v>
      </c>
      <c r="E408" s="33">
        <v>22.348502109294834</v>
      </c>
      <c r="F408" s="52">
        <v>351</v>
      </c>
      <c r="G408" s="104">
        <v>155.86764441212432</v>
      </c>
    </row>
    <row r="409" spans="2:7" x14ac:dyDescent="0.3">
      <c r="B409" s="52">
        <v>352</v>
      </c>
      <c r="C409" s="33">
        <v>183.43497145310519</v>
      </c>
      <c r="D409" s="52">
        <v>352</v>
      </c>
      <c r="E409" s="33">
        <v>44.182112641333589</v>
      </c>
      <c r="F409" s="52">
        <v>352</v>
      </c>
      <c r="G409" s="104">
        <v>305.7086500277295</v>
      </c>
    </row>
    <row r="410" spans="2:7" x14ac:dyDescent="0.3">
      <c r="B410" s="52">
        <v>353</v>
      </c>
      <c r="C410" s="33">
        <v>105.52681641709344</v>
      </c>
      <c r="D410" s="52">
        <v>353</v>
      </c>
      <c r="E410" s="33">
        <v>49.538511793717269</v>
      </c>
      <c r="F410" s="52">
        <v>353</v>
      </c>
      <c r="G410" s="104">
        <v>270.33782045224433</v>
      </c>
    </row>
    <row r="411" spans="2:7" x14ac:dyDescent="0.3">
      <c r="B411" s="52">
        <v>354</v>
      </c>
      <c r="C411" s="33">
        <v>187.98172898485814</v>
      </c>
      <c r="D411" s="52">
        <v>354</v>
      </c>
      <c r="E411" s="33">
        <v>62.233881972168966</v>
      </c>
      <c r="F411" s="52">
        <v>354</v>
      </c>
      <c r="G411" s="104">
        <v>209.61621714814873</v>
      </c>
    </row>
    <row r="412" spans="2:7" x14ac:dyDescent="0.3">
      <c r="B412" s="52">
        <v>355</v>
      </c>
      <c r="C412" s="33">
        <v>81.828206026872039</v>
      </c>
      <c r="D412" s="52">
        <v>355</v>
      </c>
      <c r="E412" s="33">
        <v>77.532980875622542</v>
      </c>
      <c r="F412" s="52">
        <v>355</v>
      </c>
      <c r="G412" s="104">
        <v>247.74258546216234</v>
      </c>
    </row>
    <row r="413" spans="2:7" x14ac:dyDescent="0.3">
      <c r="B413" s="52">
        <v>356</v>
      </c>
      <c r="C413" s="33">
        <v>130.96907294371459</v>
      </c>
      <c r="D413" s="52">
        <v>356</v>
      </c>
      <c r="E413" s="33">
        <v>78.224916050079301</v>
      </c>
      <c r="F413" s="52">
        <v>356</v>
      </c>
      <c r="G413" s="104">
        <v>178.94254517707981</v>
      </c>
    </row>
    <row r="414" spans="2:7" x14ac:dyDescent="0.3">
      <c r="B414" s="52">
        <v>357</v>
      </c>
      <c r="C414" s="33">
        <v>206.23618284945297</v>
      </c>
      <c r="D414" s="52">
        <v>357</v>
      </c>
      <c r="E414" s="33">
        <v>37.61381938035364</v>
      </c>
      <c r="F414" s="52">
        <v>357</v>
      </c>
      <c r="G414" s="104">
        <v>237.09496935764872</v>
      </c>
    </row>
    <row r="415" spans="2:7" x14ac:dyDescent="0.3">
      <c r="B415" s="52">
        <v>358</v>
      </c>
      <c r="C415" s="33">
        <v>360.72919693439792</v>
      </c>
      <c r="D415" s="52">
        <v>358</v>
      </c>
      <c r="E415" s="33">
        <v>41.470917577966944</v>
      </c>
      <c r="F415" s="52">
        <v>358</v>
      </c>
      <c r="G415" s="104">
        <v>315.29314241726649</v>
      </c>
    </row>
    <row r="416" spans="2:7" x14ac:dyDescent="0.3">
      <c r="B416" s="52">
        <v>359</v>
      </c>
      <c r="C416" s="33">
        <v>238.45259467112922</v>
      </c>
      <c r="D416" s="52">
        <v>359</v>
      </c>
      <c r="E416" s="33">
        <v>85.042116989318203</v>
      </c>
      <c r="F416" s="52">
        <v>359</v>
      </c>
      <c r="G416" s="104">
        <v>193.25960640194862</v>
      </c>
    </row>
    <row r="417" spans="2:7" x14ac:dyDescent="0.3">
      <c r="B417" s="52">
        <v>360</v>
      </c>
      <c r="C417" s="33">
        <v>191.79064851563891</v>
      </c>
      <c r="D417" s="52">
        <v>360</v>
      </c>
      <c r="E417" s="33">
        <v>30.910808841942099</v>
      </c>
      <c r="F417" s="52">
        <v>360</v>
      </c>
      <c r="G417" s="104">
        <v>294.87090751726902</v>
      </c>
    </row>
    <row r="418" spans="2:7" x14ac:dyDescent="0.3">
      <c r="B418" s="52">
        <v>361</v>
      </c>
      <c r="C418" s="33">
        <v>130.9598091981228</v>
      </c>
      <c r="D418" s="52">
        <v>361</v>
      </c>
      <c r="E418" s="33">
        <v>74.913985769022517</v>
      </c>
      <c r="F418" s="52">
        <v>361</v>
      </c>
      <c r="G418" s="104">
        <v>124.04311577844049</v>
      </c>
    </row>
    <row r="419" spans="2:7" x14ac:dyDescent="0.3">
      <c r="B419" s="52">
        <v>362</v>
      </c>
      <c r="C419" s="33">
        <v>169.91634894546942</v>
      </c>
      <c r="D419" s="52">
        <v>362</v>
      </c>
      <c r="E419" s="33">
        <v>74.271247531716313</v>
      </c>
      <c r="F419" s="52">
        <v>362</v>
      </c>
      <c r="G419" s="104">
        <v>283.96261528697261</v>
      </c>
    </row>
    <row r="420" spans="2:7" x14ac:dyDescent="0.3">
      <c r="B420" s="52">
        <v>363</v>
      </c>
      <c r="C420" s="33">
        <v>303.53098551235217</v>
      </c>
      <c r="D420" s="52">
        <v>363</v>
      </c>
      <c r="E420" s="33">
        <v>60.936168660014403</v>
      </c>
      <c r="F420" s="52">
        <v>363</v>
      </c>
      <c r="G420" s="104">
        <v>102.36082542371541</v>
      </c>
    </row>
    <row r="421" spans="2:7" x14ac:dyDescent="0.3">
      <c r="B421" s="52">
        <v>364</v>
      </c>
      <c r="C421" s="33">
        <v>216.91587732505315</v>
      </c>
      <c r="D421" s="52">
        <v>364</v>
      </c>
      <c r="E421" s="33">
        <v>76.375417184059316</v>
      </c>
      <c r="F421" s="52">
        <v>364</v>
      </c>
      <c r="G421" s="104">
        <v>247.65377553279259</v>
      </c>
    </row>
    <row r="422" spans="2:7" x14ac:dyDescent="0.3">
      <c r="B422" s="52">
        <v>365</v>
      </c>
      <c r="C422" s="33">
        <v>190.65769371952058</v>
      </c>
      <c r="D422" s="52">
        <v>365</v>
      </c>
      <c r="E422" s="33">
        <v>-2.7497302957917</v>
      </c>
      <c r="F422" s="52">
        <v>365</v>
      </c>
      <c r="G422" s="104">
        <v>317.21825124759664</v>
      </c>
    </row>
    <row r="423" spans="2:7" x14ac:dyDescent="0.3">
      <c r="B423" s="52">
        <v>366</v>
      </c>
      <c r="C423" s="33">
        <v>306.74220910964448</v>
      </c>
      <c r="D423" s="52">
        <v>366</v>
      </c>
      <c r="E423" s="33">
        <v>50.581885476615668</v>
      </c>
      <c r="F423" s="52">
        <v>366</v>
      </c>
      <c r="G423" s="104">
        <v>225.64394174055553</v>
      </c>
    </row>
    <row r="424" spans="2:7" x14ac:dyDescent="0.3">
      <c r="B424" s="52">
        <v>367</v>
      </c>
      <c r="C424" s="33">
        <v>288.00853511292382</v>
      </c>
      <c r="D424" s="52">
        <v>367</v>
      </c>
      <c r="E424" s="33">
        <v>94.659196552605437</v>
      </c>
      <c r="F424" s="52">
        <v>367</v>
      </c>
      <c r="G424" s="104">
        <v>304.96131596661826</v>
      </c>
    </row>
    <row r="425" spans="2:7" x14ac:dyDescent="0.3">
      <c r="B425" s="52">
        <v>368</v>
      </c>
      <c r="C425" s="33">
        <v>239.03957540274715</v>
      </c>
      <c r="D425" s="52">
        <v>368</v>
      </c>
      <c r="E425" s="33">
        <v>81.375395880638351</v>
      </c>
      <c r="F425" s="52">
        <v>368</v>
      </c>
      <c r="G425" s="104">
        <v>179.5934767828785</v>
      </c>
    </row>
    <row r="426" spans="2:7" x14ac:dyDescent="0.3">
      <c r="B426" s="52">
        <v>369</v>
      </c>
      <c r="C426" s="33">
        <v>365.87680820897577</v>
      </c>
      <c r="D426" s="52">
        <v>369</v>
      </c>
      <c r="E426" s="33">
        <v>-0.60573598922252359</v>
      </c>
      <c r="F426" s="52">
        <v>369</v>
      </c>
      <c r="G426" s="104">
        <v>386.3964684951136</v>
      </c>
    </row>
    <row r="427" spans="2:7" x14ac:dyDescent="0.3">
      <c r="B427" s="52">
        <v>370</v>
      </c>
      <c r="C427" s="33">
        <v>325.12108423324111</v>
      </c>
      <c r="D427" s="52">
        <v>370</v>
      </c>
      <c r="E427" s="33">
        <v>43.880706526579274</v>
      </c>
      <c r="F427" s="52">
        <v>370</v>
      </c>
      <c r="G427" s="104">
        <v>278.60647458958272</v>
      </c>
    </row>
    <row r="428" spans="2:7" x14ac:dyDescent="0.3">
      <c r="B428" s="52">
        <v>371</v>
      </c>
      <c r="C428" s="33">
        <v>195.21823090601458</v>
      </c>
      <c r="D428" s="52">
        <v>371</v>
      </c>
      <c r="E428" s="33">
        <v>-19.697961393253209</v>
      </c>
      <c r="F428" s="52">
        <v>371</v>
      </c>
      <c r="G428" s="104">
        <v>266.48804380063496</v>
      </c>
    </row>
    <row r="429" spans="2:7" x14ac:dyDescent="0.3">
      <c r="B429" s="52">
        <v>372</v>
      </c>
      <c r="C429" s="33">
        <v>132.10244878025208</v>
      </c>
      <c r="D429" s="52">
        <v>372</v>
      </c>
      <c r="E429" s="33">
        <v>100.02844241701908</v>
      </c>
      <c r="F429" s="52">
        <v>372</v>
      </c>
      <c r="G429" s="104">
        <v>141.96292365723428</v>
      </c>
    </row>
    <row r="430" spans="2:7" x14ac:dyDescent="0.3">
      <c r="B430" s="52">
        <v>373</v>
      </c>
      <c r="C430" s="33">
        <v>186.10262830385329</v>
      </c>
      <c r="D430" s="52">
        <v>373</v>
      </c>
      <c r="E430" s="33">
        <v>14.181706291644563</v>
      </c>
      <c r="F430" s="52">
        <v>373</v>
      </c>
      <c r="G430" s="104">
        <v>276.38743025197601</v>
      </c>
    </row>
    <row r="431" spans="2:7" x14ac:dyDescent="0.3">
      <c r="B431" s="52">
        <v>374</v>
      </c>
      <c r="C431" s="33">
        <v>273.22495292563644</v>
      </c>
      <c r="D431" s="52">
        <v>374</v>
      </c>
      <c r="E431" s="33">
        <v>11.385913741323584</v>
      </c>
      <c r="F431" s="52">
        <v>374</v>
      </c>
      <c r="G431" s="104">
        <v>118.57890759747899</v>
      </c>
    </row>
    <row r="432" spans="2:7" x14ac:dyDescent="0.3">
      <c r="B432" s="52">
        <v>375</v>
      </c>
      <c r="C432" s="33">
        <v>303.47205093789779</v>
      </c>
      <c r="D432" s="52">
        <v>375</v>
      </c>
      <c r="E432" s="33">
        <v>25.243511185890149</v>
      </c>
      <c r="F432" s="52">
        <v>375</v>
      </c>
      <c r="G432" s="104">
        <v>106.29662729855056</v>
      </c>
    </row>
    <row r="433" spans="2:7" x14ac:dyDescent="0.3">
      <c r="B433" s="52">
        <v>376</v>
      </c>
      <c r="C433" s="33">
        <v>263.5266380517881</v>
      </c>
      <c r="D433" s="52">
        <v>376</v>
      </c>
      <c r="E433" s="33">
        <v>4.5204205855249313E-2</v>
      </c>
      <c r="F433" s="52">
        <v>376</v>
      </c>
      <c r="G433" s="104">
        <v>205.10930642551534</v>
      </c>
    </row>
    <row r="434" spans="2:7" x14ac:dyDescent="0.3">
      <c r="B434" s="52">
        <v>377</v>
      </c>
      <c r="C434" s="33">
        <v>271.56912635981541</v>
      </c>
      <c r="D434" s="52">
        <v>377</v>
      </c>
      <c r="E434" s="33">
        <v>25.808961582816551</v>
      </c>
      <c r="F434" s="52">
        <v>377</v>
      </c>
      <c r="G434" s="104">
        <v>207.49522309564034</v>
      </c>
    </row>
    <row r="435" spans="2:7" x14ac:dyDescent="0.3">
      <c r="B435" s="52">
        <v>378</v>
      </c>
      <c r="C435" s="33">
        <v>84.656819442149555</v>
      </c>
      <c r="D435" s="52">
        <v>378</v>
      </c>
      <c r="E435" s="33">
        <v>24.107444042061637</v>
      </c>
      <c r="F435" s="52">
        <v>378</v>
      </c>
      <c r="G435" s="104">
        <v>290.83120075674054</v>
      </c>
    </row>
    <row r="436" spans="2:7" x14ac:dyDescent="0.3">
      <c r="B436" s="52">
        <v>379</v>
      </c>
      <c r="C436" s="33">
        <v>336.79908849567101</v>
      </c>
      <c r="D436" s="52">
        <v>379</v>
      </c>
      <c r="E436" s="33">
        <v>53.813883272615676</v>
      </c>
      <c r="F436" s="52">
        <v>379</v>
      </c>
      <c r="G436" s="104">
        <v>235.01945191478376</v>
      </c>
    </row>
    <row r="437" spans="2:7" x14ac:dyDescent="0.3">
      <c r="B437" s="52">
        <v>380</v>
      </c>
      <c r="C437" s="33">
        <v>227.95696628789759</v>
      </c>
      <c r="D437" s="52">
        <v>380</v>
      </c>
      <c r="E437" s="33">
        <v>55.378945960953075</v>
      </c>
      <c r="F437" s="52">
        <v>380</v>
      </c>
      <c r="G437" s="104">
        <v>277.94232608125242</v>
      </c>
    </row>
    <row r="438" spans="2:7" x14ac:dyDescent="0.3">
      <c r="B438" s="52">
        <v>381</v>
      </c>
      <c r="C438" s="33">
        <v>270.80248257176095</v>
      </c>
      <c r="D438" s="52">
        <v>381</v>
      </c>
      <c r="E438" s="33">
        <v>6.4996556329277837</v>
      </c>
      <c r="F438" s="52">
        <v>381</v>
      </c>
      <c r="G438" s="104">
        <v>76.849831382288514</v>
      </c>
    </row>
    <row r="439" spans="2:7" x14ac:dyDescent="0.3">
      <c r="B439" s="52">
        <v>382</v>
      </c>
      <c r="C439" s="33">
        <v>168.15340834879288</v>
      </c>
      <c r="D439" s="52">
        <v>382</v>
      </c>
      <c r="E439" s="33">
        <v>8.5166608729594486</v>
      </c>
      <c r="F439" s="52">
        <v>382</v>
      </c>
      <c r="G439" s="104">
        <v>266.97495446783597</v>
      </c>
    </row>
    <row r="440" spans="2:7" x14ac:dyDescent="0.3">
      <c r="B440" s="52">
        <v>383</v>
      </c>
      <c r="C440" s="33">
        <v>265.28525953330018</v>
      </c>
      <c r="D440" s="52">
        <v>383</v>
      </c>
      <c r="E440" s="33">
        <v>55.891354087480316</v>
      </c>
      <c r="F440" s="52">
        <v>383</v>
      </c>
      <c r="G440" s="104">
        <v>270.19163879853681</v>
      </c>
    </row>
    <row r="441" spans="2:7" x14ac:dyDescent="0.3">
      <c r="B441" s="52">
        <v>384</v>
      </c>
      <c r="C441" s="33">
        <v>108.87510770992506</v>
      </c>
      <c r="D441" s="52">
        <v>384</v>
      </c>
      <c r="E441" s="33">
        <v>83.432431975551225</v>
      </c>
      <c r="F441" s="52">
        <v>384</v>
      </c>
      <c r="G441" s="104">
        <v>289.0015870833534</v>
      </c>
    </row>
    <row r="442" spans="2:7" x14ac:dyDescent="0.3">
      <c r="B442" s="52">
        <v>385</v>
      </c>
      <c r="C442" s="33">
        <v>170.70220157116484</v>
      </c>
      <c r="D442" s="52">
        <v>385</v>
      </c>
      <c r="E442" s="33">
        <v>58.974741892155528</v>
      </c>
      <c r="F442" s="52">
        <v>385</v>
      </c>
      <c r="G442" s="104">
        <v>217.8248657884993</v>
      </c>
    </row>
    <row r="443" spans="2:7" x14ac:dyDescent="0.3">
      <c r="B443" s="52">
        <v>386</v>
      </c>
      <c r="C443" s="33">
        <v>25.114678595947595</v>
      </c>
      <c r="D443" s="52">
        <v>386</v>
      </c>
      <c r="E443" s="33">
        <v>23.619191496418694</v>
      </c>
      <c r="F443" s="52">
        <v>386</v>
      </c>
      <c r="G443" s="104">
        <v>305.88812999429024</v>
      </c>
    </row>
    <row r="444" spans="2:7" x14ac:dyDescent="0.3">
      <c r="B444" s="52">
        <v>387</v>
      </c>
      <c r="C444" s="33">
        <v>129.76019259098612</v>
      </c>
      <c r="D444" s="52">
        <v>387</v>
      </c>
      <c r="E444" s="33">
        <v>32.120203735757862</v>
      </c>
      <c r="F444" s="52">
        <v>387</v>
      </c>
      <c r="G444" s="104">
        <v>142.88944352933231</v>
      </c>
    </row>
    <row r="445" spans="2:7" x14ac:dyDescent="0.3">
      <c r="B445" s="52">
        <v>388</v>
      </c>
      <c r="C445" s="33">
        <v>198.59326570432012</v>
      </c>
      <c r="D445" s="52">
        <v>388</v>
      </c>
      <c r="E445" s="33">
        <v>59.267391210611123</v>
      </c>
      <c r="F445" s="52">
        <v>388</v>
      </c>
      <c r="G445" s="104">
        <v>80.810789646900503</v>
      </c>
    </row>
    <row r="446" spans="2:7" x14ac:dyDescent="0.3">
      <c r="B446" s="52">
        <v>389</v>
      </c>
      <c r="C446" s="33">
        <v>224.62878094884528</v>
      </c>
      <c r="D446" s="52">
        <v>389</v>
      </c>
      <c r="E446" s="33">
        <v>31.608889197207809</v>
      </c>
      <c r="F446" s="52">
        <v>389</v>
      </c>
      <c r="G446" s="104">
        <v>191.71755374957388</v>
      </c>
    </row>
    <row r="447" spans="2:7" x14ac:dyDescent="0.3">
      <c r="B447" s="52">
        <v>390</v>
      </c>
      <c r="C447" s="33">
        <v>194.97600816764026</v>
      </c>
      <c r="D447" s="52">
        <v>390</v>
      </c>
      <c r="E447" s="33">
        <v>39.055757965194054</v>
      </c>
      <c r="F447" s="52">
        <v>390</v>
      </c>
      <c r="G447" s="104">
        <v>165.3044994813342</v>
      </c>
    </row>
    <row r="448" spans="2:7" x14ac:dyDescent="0.3">
      <c r="B448" s="52">
        <v>391</v>
      </c>
      <c r="C448" s="33">
        <v>277.53336587354516</v>
      </c>
      <c r="D448" s="52">
        <v>391</v>
      </c>
      <c r="E448" s="33">
        <v>90.25439288045763</v>
      </c>
      <c r="F448" s="52">
        <v>391</v>
      </c>
      <c r="G448" s="104">
        <v>65.617905645807909</v>
      </c>
    </row>
    <row r="449" spans="2:7" x14ac:dyDescent="0.3">
      <c r="B449" s="52">
        <v>392</v>
      </c>
      <c r="C449" s="33">
        <v>160.59574439857082</v>
      </c>
      <c r="D449" s="52">
        <v>392</v>
      </c>
      <c r="E449" s="33">
        <v>32.960147948085144</v>
      </c>
      <c r="F449" s="52">
        <v>392</v>
      </c>
      <c r="G449" s="104">
        <v>253.07463484313149</v>
      </c>
    </row>
    <row r="450" spans="2:7" x14ac:dyDescent="0.3">
      <c r="B450" s="52">
        <v>393</v>
      </c>
      <c r="C450" s="33">
        <v>185.23869171497392</v>
      </c>
      <c r="D450" s="52">
        <v>393</v>
      </c>
      <c r="E450" s="33">
        <v>55.832569964212034</v>
      </c>
      <c r="F450" s="52">
        <v>393</v>
      </c>
      <c r="G450" s="104">
        <v>299.89985040949205</v>
      </c>
    </row>
    <row r="451" spans="2:7" x14ac:dyDescent="0.3">
      <c r="B451" s="52">
        <v>394</v>
      </c>
      <c r="C451" s="33">
        <v>224.37189338867717</v>
      </c>
      <c r="D451" s="52">
        <v>394</v>
      </c>
      <c r="E451" s="33">
        <v>59.36249976440471</v>
      </c>
      <c r="F451" s="52">
        <v>394</v>
      </c>
      <c r="G451" s="104">
        <v>211.49156258890301</v>
      </c>
    </row>
    <row r="452" spans="2:7" x14ac:dyDescent="0.3">
      <c r="B452" s="52">
        <v>395</v>
      </c>
      <c r="C452" s="33">
        <v>378.65946987815482</v>
      </c>
      <c r="D452" s="52">
        <v>395</v>
      </c>
      <c r="E452" s="33">
        <v>26.250072830881294</v>
      </c>
      <c r="F452" s="52">
        <v>395</v>
      </c>
      <c r="G452" s="104">
        <v>162.00689238929016</v>
      </c>
    </row>
    <row r="453" spans="2:7" x14ac:dyDescent="0.3">
      <c r="B453" s="52">
        <v>396</v>
      </c>
      <c r="C453" s="33">
        <v>151.34239400179743</v>
      </c>
      <c r="D453" s="52">
        <v>396</v>
      </c>
      <c r="E453" s="33">
        <v>10.63847591857386</v>
      </c>
      <c r="F453" s="52">
        <v>396</v>
      </c>
      <c r="G453" s="104">
        <v>247.82796322894379</v>
      </c>
    </row>
    <row r="454" spans="2:7" x14ac:dyDescent="0.3">
      <c r="B454" s="52">
        <v>397</v>
      </c>
      <c r="C454" s="33">
        <v>184.73642424436838</v>
      </c>
      <c r="D454" s="52">
        <v>397</v>
      </c>
      <c r="E454" s="33">
        <v>85.042360698707768</v>
      </c>
      <c r="F454" s="52">
        <v>397</v>
      </c>
      <c r="G454" s="104">
        <v>177.77482381987213</v>
      </c>
    </row>
    <row r="455" spans="2:7" x14ac:dyDescent="0.3">
      <c r="B455" s="52">
        <v>398</v>
      </c>
      <c r="C455" s="33">
        <v>115.78446658020786</v>
      </c>
      <c r="D455" s="52">
        <v>398</v>
      </c>
      <c r="E455" s="33">
        <v>71.0144825980463</v>
      </c>
      <c r="F455" s="52">
        <v>398</v>
      </c>
      <c r="G455" s="104">
        <v>332.91727148548307</v>
      </c>
    </row>
    <row r="456" spans="2:7" x14ac:dyDescent="0.3">
      <c r="B456" s="52">
        <v>399</v>
      </c>
      <c r="C456" s="33">
        <v>125.9794637410487</v>
      </c>
      <c r="D456" s="52">
        <v>399</v>
      </c>
      <c r="E456" s="33">
        <v>102.10344907599033</v>
      </c>
      <c r="F456" s="52">
        <v>399</v>
      </c>
      <c r="G456" s="104">
        <v>230.5163898940074</v>
      </c>
    </row>
    <row r="457" spans="2:7" x14ac:dyDescent="0.3">
      <c r="B457" s="52">
        <v>400</v>
      </c>
      <c r="C457" s="33">
        <v>172.45352218849612</v>
      </c>
      <c r="D457" s="52">
        <v>400</v>
      </c>
      <c r="E457" s="33">
        <v>32.929951164742285</v>
      </c>
      <c r="F457" s="52">
        <v>400</v>
      </c>
      <c r="G457" s="104">
        <v>258.78157804799139</v>
      </c>
    </row>
    <row r="458" spans="2:7" x14ac:dyDescent="0.3">
      <c r="B458" s="52">
        <v>401</v>
      </c>
      <c r="C458" s="33">
        <v>215.18635238017947</v>
      </c>
      <c r="D458" s="52">
        <v>401</v>
      </c>
      <c r="E458" s="33">
        <v>27.433508802819574</v>
      </c>
      <c r="F458" s="52">
        <v>401</v>
      </c>
      <c r="G458" s="104">
        <v>228.97840833446813</v>
      </c>
    </row>
    <row r="459" spans="2:7" x14ac:dyDescent="0.3">
      <c r="B459" s="52">
        <v>402</v>
      </c>
      <c r="C459" s="33">
        <v>239.76092866100214</v>
      </c>
      <c r="D459" s="52">
        <v>402</v>
      </c>
      <c r="E459" s="33">
        <v>7.2530966914339032</v>
      </c>
      <c r="F459" s="52">
        <v>402</v>
      </c>
      <c r="G459" s="104">
        <v>166.51267458454106</v>
      </c>
    </row>
    <row r="460" spans="2:7" x14ac:dyDescent="0.3">
      <c r="B460" s="52">
        <v>403</v>
      </c>
      <c r="C460" s="33">
        <v>278.65397080805218</v>
      </c>
      <c r="D460" s="52">
        <v>403</v>
      </c>
      <c r="E460" s="33">
        <v>48.115022722078969</v>
      </c>
      <c r="F460" s="52">
        <v>403</v>
      </c>
      <c r="G460" s="104">
        <v>227.76425241273847</v>
      </c>
    </row>
    <row r="461" spans="2:7" x14ac:dyDescent="0.3">
      <c r="B461" s="52">
        <v>404</v>
      </c>
      <c r="C461" s="33">
        <v>304.58714032656781</v>
      </c>
      <c r="D461" s="52">
        <v>404</v>
      </c>
      <c r="E461" s="33">
        <v>24.077017886496922</v>
      </c>
      <c r="F461" s="52">
        <v>404</v>
      </c>
      <c r="G461" s="104">
        <v>176.96799938846655</v>
      </c>
    </row>
    <row r="462" spans="2:7" x14ac:dyDescent="0.3">
      <c r="B462" s="52">
        <v>405</v>
      </c>
      <c r="C462" s="33">
        <v>166.78663171685488</v>
      </c>
      <c r="D462" s="52">
        <v>405</v>
      </c>
      <c r="E462" s="33">
        <v>12.423323941961904</v>
      </c>
      <c r="F462" s="52">
        <v>405</v>
      </c>
      <c r="G462" s="104">
        <v>122.32728291556698</v>
      </c>
    </row>
    <row r="463" spans="2:7" x14ac:dyDescent="0.3">
      <c r="B463" s="52">
        <v>406</v>
      </c>
      <c r="C463" s="33">
        <v>104.52623392599035</v>
      </c>
      <c r="D463" s="52">
        <v>406</v>
      </c>
      <c r="E463" s="33">
        <v>12.749967968026098</v>
      </c>
      <c r="F463" s="52">
        <v>406</v>
      </c>
      <c r="G463" s="104">
        <v>179.07906200792755</v>
      </c>
    </row>
    <row r="464" spans="2:7" x14ac:dyDescent="0.3">
      <c r="B464" s="52">
        <v>407</v>
      </c>
      <c r="C464" s="33">
        <v>195.45401654927701</v>
      </c>
      <c r="D464" s="52">
        <v>407</v>
      </c>
      <c r="E464" s="33">
        <v>28.803570238792926</v>
      </c>
      <c r="F464" s="52">
        <v>407</v>
      </c>
      <c r="G464" s="104">
        <v>338.28910339475726</v>
      </c>
    </row>
    <row r="465" spans="2:7" x14ac:dyDescent="0.3">
      <c r="B465" s="52">
        <v>408</v>
      </c>
      <c r="C465" s="33">
        <v>215.33154371502022</v>
      </c>
      <c r="D465" s="52">
        <v>408</v>
      </c>
      <c r="E465" s="33">
        <v>36.121999952132477</v>
      </c>
      <c r="F465" s="52">
        <v>408</v>
      </c>
      <c r="G465" s="104">
        <v>157.27610478235346</v>
      </c>
    </row>
    <row r="466" spans="2:7" x14ac:dyDescent="0.3">
      <c r="B466" s="52">
        <v>409</v>
      </c>
      <c r="C466" s="33">
        <v>316.81539549392295</v>
      </c>
      <c r="D466" s="52">
        <v>409</v>
      </c>
      <c r="E466" s="33">
        <v>48.880753214607275</v>
      </c>
      <c r="F466" s="52">
        <v>409</v>
      </c>
      <c r="G466" s="104">
        <v>154.97338315175753</v>
      </c>
    </row>
    <row r="467" spans="2:7" x14ac:dyDescent="0.3">
      <c r="B467" s="52">
        <v>410</v>
      </c>
      <c r="C467" s="33">
        <v>327.73227685857569</v>
      </c>
      <c r="D467" s="52">
        <v>410</v>
      </c>
      <c r="E467" s="33">
        <v>24.941631246448708</v>
      </c>
      <c r="F467" s="52">
        <v>410</v>
      </c>
      <c r="G467" s="104">
        <v>265.40823377529597</v>
      </c>
    </row>
    <row r="468" spans="2:7" x14ac:dyDescent="0.3">
      <c r="B468" s="52">
        <v>411</v>
      </c>
      <c r="C468" s="33">
        <v>338.24626274624751</v>
      </c>
      <c r="D468" s="52">
        <v>411</v>
      </c>
      <c r="E468" s="33">
        <v>30.578150944017608</v>
      </c>
      <c r="F468" s="52">
        <v>411</v>
      </c>
      <c r="G468" s="104">
        <v>78.304524753350293</v>
      </c>
    </row>
    <row r="469" spans="2:7" x14ac:dyDescent="0.3">
      <c r="B469" s="52">
        <v>412</v>
      </c>
      <c r="C469" s="33">
        <v>212.74214440329666</v>
      </c>
      <c r="D469" s="52">
        <v>412</v>
      </c>
      <c r="E469" s="33">
        <v>42.252663181777024</v>
      </c>
      <c r="F469" s="52">
        <v>412</v>
      </c>
      <c r="G469" s="104">
        <v>124.25218607537823</v>
      </c>
    </row>
    <row r="470" spans="2:7" x14ac:dyDescent="0.3">
      <c r="B470" s="52">
        <v>413</v>
      </c>
      <c r="C470" s="33">
        <v>386.18610001684362</v>
      </c>
      <c r="D470" s="52">
        <v>413</v>
      </c>
      <c r="E470" s="33">
        <v>41.765150284288843</v>
      </c>
      <c r="F470" s="52">
        <v>413</v>
      </c>
      <c r="G470" s="104">
        <v>122.3525462964205</v>
      </c>
    </row>
    <row r="471" spans="2:7" x14ac:dyDescent="0.3">
      <c r="B471" s="52">
        <v>414</v>
      </c>
      <c r="C471" s="33">
        <v>138.65622606827282</v>
      </c>
      <c r="D471" s="52">
        <v>414</v>
      </c>
      <c r="E471" s="33">
        <v>41.675578865780842</v>
      </c>
      <c r="F471" s="52">
        <v>414</v>
      </c>
      <c r="G471" s="104">
        <v>327.92077239816791</v>
      </c>
    </row>
    <row r="472" spans="2:7" x14ac:dyDescent="0.3">
      <c r="B472" s="52">
        <v>415</v>
      </c>
      <c r="C472" s="33">
        <v>133.06440863058597</v>
      </c>
      <c r="D472" s="52">
        <v>415</v>
      </c>
      <c r="E472" s="33">
        <v>-14.596785230874136</v>
      </c>
      <c r="F472" s="52">
        <v>415</v>
      </c>
      <c r="G472" s="104">
        <v>266.24756037622979</v>
      </c>
    </row>
    <row r="473" spans="2:7" x14ac:dyDescent="0.3">
      <c r="B473" s="52">
        <v>416</v>
      </c>
      <c r="C473" s="33">
        <v>325.94415111072618</v>
      </c>
      <c r="D473" s="52">
        <v>416</v>
      </c>
      <c r="E473" s="33">
        <v>31.320815344287148</v>
      </c>
      <c r="F473" s="52">
        <v>416</v>
      </c>
      <c r="G473" s="104">
        <v>204.81109916841018</v>
      </c>
    </row>
    <row r="474" spans="2:7" x14ac:dyDescent="0.3">
      <c r="B474" s="52">
        <v>417</v>
      </c>
      <c r="C474" s="33">
        <v>133.80080263319746</v>
      </c>
      <c r="D474" s="52">
        <v>417</v>
      </c>
      <c r="E474" s="33">
        <v>1.6530026465915029</v>
      </c>
      <c r="F474" s="52">
        <v>417</v>
      </c>
      <c r="G474" s="104">
        <v>170.42109264614621</v>
      </c>
    </row>
    <row r="475" spans="2:7" x14ac:dyDescent="0.3">
      <c r="B475" s="52">
        <v>418</v>
      </c>
      <c r="C475" s="33">
        <v>69.004074989232919</v>
      </c>
      <c r="D475" s="52">
        <v>418</v>
      </c>
      <c r="E475" s="33">
        <v>-9.65188948588969</v>
      </c>
      <c r="F475" s="52">
        <v>418</v>
      </c>
      <c r="G475" s="104">
        <v>181.11950322842253</v>
      </c>
    </row>
    <row r="476" spans="2:7" x14ac:dyDescent="0.3">
      <c r="B476" s="52">
        <v>419</v>
      </c>
      <c r="C476" s="33">
        <v>238.22089486334903</v>
      </c>
      <c r="D476" s="52">
        <v>419</v>
      </c>
      <c r="E476" s="33">
        <v>47.611066028821377</v>
      </c>
      <c r="F476" s="52">
        <v>419</v>
      </c>
      <c r="G476" s="104">
        <v>285.6847116928821</v>
      </c>
    </row>
    <row r="477" spans="2:7" x14ac:dyDescent="0.3">
      <c r="B477" s="52">
        <v>420</v>
      </c>
      <c r="C477" s="33">
        <v>198.93954293164077</v>
      </c>
      <c r="D477" s="52">
        <v>420</v>
      </c>
      <c r="E477" s="33">
        <v>40.24990374580144</v>
      </c>
      <c r="F477" s="52">
        <v>420</v>
      </c>
      <c r="G477" s="104">
        <v>204.51415267115502</v>
      </c>
    </row>
    <row r="478" spans="2:7" x14ac:dyDescent="0.3">
      <c r="B478" s="52">
        <v>421</v>
      </c>
      <c r="C478" s="33">
        <v>170.58808198898791</v>
      </c>
      <c r="D478" s="52">
        <v>421</v>
      </c>
      <c r="E478" s="33">
        <v>6.5625109966359076</v>
      </c>
      <c r="F478" s="52">
        <v>421</v>
      </c>
      <c r="G478" s="104">
        <v>194.76629483736747</v>
      </c>
    </row>
    <row r="479" spans="2:7" x14ac:dyDescent="0.3">
      <c r="B479" s="52">
        <v>422</v>
      </c>
      <c r="C479" s="33">
        <v>183.65882553592752</v>
      </c>
      <c r="D479" s="52">
        <v>422</v>
      </c>
      <c r="E479" s="33">
        <v>6.1950931688045756</v>
      </c>
      <c r="F479" s="52">
        <v>422</v>
      </c>
      <c r="G479" s="104">
        <v>89.176109098688286</v>
      </c>
    </row>
    <row r="480" spans="2:7" x14ac:dyDescent="0.3">
      <c r="B480" s="52">
        <v>423</v>
      </c>
      <c r="C480" s="33">
        <v>147.41633741701034</v>
      </c>
      <c r="D480" s="52">
        <v>423</v>
      </c>
      <c r="E480" s="33">
        <v>61.011825995670328</v>
      </c>
      <c r="F480" s="52">
        <v>423</v>
      </c>
      <c r="G480" s="104">
        <v>206.73145034228241</v>
      </c>
    </row>
    <row r="481" spans="2:7" x14ac:dyDescent="0.3">
      <c r="B481" s="52">
        <v>424</v>
      </c>
      <c r="C481" s="33">
        <v>109.30458812249381</v>
      </c>
      <c r="D481" s="52">
        <v>424</v>
      </c>
      <c r="E481" s="33">
        <v>13.152307272362684</v>
      </c>
      <c r="F481" s="52">
        <v>424</v>
      </c>
      <c r="G481" s="104">
        <v>98.625829167479509</v>
      </c>
    </row>
    <row r="482" spans="2:7" x14ac:dyDescent="0.3">
      <c r="B482" s="52">
        <v>425</v>
      </c>
      <c r="C482" s="33">
        <v>255.05482479322941</v>
      </c>
      <c r="D482" s="52">
        <v>425</v>
      </c>
      <c r="E482" s="33">
        <v>19.070611920539356</v>
      </c>
      <c r="F482" s="52">
        <v>425</v>
      </c>
      <c r="G482" s="104">
        <v>284.83575964709524</v>
      </c>
    </row>
    <row r="483" spans="2:7" x14ac:dyDescent="0.3">
      <c r="B483" s="52">
        <v>426</v>
      </c>
      <c r="C483" s="33">
        <v>325.2294361290659</v>
      </c>
      <c r="D483" s="52">
        <v>426</v>
      </c>
      <c r="E483" s="33">
        <v>56.430295948018369</v>
      </c>
      <c r="F483" s="52">
        <v>426</v>
      </c>
      <c r="G483" s="104">
        <v>106.04154988651668</v>
      </c>
    </row>
    <row r="484" spans="2:7" x14ac:dyDescent="0.3">
      <c r="B484" s="52">
        <v>427</v>
      </c>
      <c r="C484" s="33">
        <v>292.26261188898332</v>
      </c>
      <c r="D484" s="52">
        <v>427</v>
      </c>
      <c r="E484" s="33">
        <v>54.208397659549028</v>
      </c>
      <c r="F484" s="52">
        <v>427</v>
      </c>
      <c r="G484" s="104">
        <v>205.49626404581943</v>
      </c>
    </row>
    <row r="485" spans="2:7" x14ac:dyDescent="0.3">
      <c r="B485" s="52">
        <v>428</v>
      </c>
      <c r="C485" s="33">
        <v>290.10426914484628</v>
      </c>
      <c r="D485" s="52">
        <v>428</v>
      </c>
      <c r="E485" s="33">
        <v>36.629384125549279</v>
      </c>
      <c r="F485" s="52">
        <v>428</v>
      </c>
      <c r="G485" s="104">
        <v>127.34913604661429</v>
      </c>
    </row>
    <row r="486" spans="2:7" x14ac:dyDescent="0.3">
      <c r="B486" s="52">
        <v>429</v>
      </c>
      <c r="C486" s="33">
        <v>118.68680216347929</v>
      </c>
      <c r="D486" s="52">
        <v>429</v>
      </c>
      <c r="E486" s="33">
        <v>54.400639314277548</v>
      </c>
      <c r="F486" s="52">
        <v>429</v>
      </c>
      <c r="G486" s="104">
        <v>259.01916617225095</v>
      </c>
    </row>
    <row r="487" spans="2:7" x14ac:dyDescent="0.3">
      <c r="B487" s="52">
        <v>430</v>
      </c>
      <c r="C487" s="33">
        <v>120.1458674176798</v>
      </c>
      <c r="D487" s="52">
        <v>430</v>
      </c>
      <c r="E487" s="33">
        <v>36.990941124970533</v>
      </c>
      <c r="F487" s="52">
        <v>430</v>
      </c>
      <c r="G487" s="104">
        <v>124.61600712712467</v>
      </c>
    </row>
    <row r="488" spans="2:7" x14ac:dyDescent="0.3">
      <c r="B488" s="52">
        <v>431</v>
      </c>
      <c r="C488" s="33">
        <v>117.46586757393743</v>
      </c>
      <c r="D488" s="52">
        <v>431</v>
      </c>
      <c r="E488" s="33">
        <v>21.359022411728326</v>
      </c>
      <c r="F488" s="52">
        <v>431</v>
      </c>
      <c r="G488" s="104">
        <v>161.19730015315099</v>
      </c>
    </row>
    <row r="489" spans="2:7" x14ac:dyDescent="0.3">
      <c r="B489" s="52">
        <v>432</v>
      </c>
      <c r="C489" s="33">
        <v>244.47186367178145</v>
      </c>
      <c r="D489" s="52">
        <v>432</v>
      </c>
      <c r="E489" s="33">
        <v>27.164152512109226</v>
      </c>
      <c r="F489" s="52">
        <v>432</v>
      </c>
      <c r="G489" s="104">
        <v>154.74501358213641</v>
      </c>
    </row>
    <row r="490" spans="2:7" x14ac:dyDescent="0.3">
      <c r="B490" s="52">
        <v>433</v>
      </c>
      <c r="C490" s="33">
        <v>143.04523308726951</v>
      </c>
      <c r="D490" s="52">
        <v>433</v>
      </c>
      <c r="E490" s="33">
        <v>33.523340031397332</v>
      </c>
      <c r="F490" s="52">
        <v>433</v>
      </c>
      <c r="G490" s="104">
        <v>175.61969916712303</v>
      </c>
    </row>
    <row r="491" spans="2:7" x14ac:dyDescent="0.3">
      <c r="B491" s="52">
        <v>434</v>
      </c>
      <c r="C491" s="33">
        <v>242.48960000997175</v>
      </c>
      <c r="D491" s="52">
        <v>434</v>
      </c>
      <c r="E491" s="33">
        <v>50.512899342933807</v>
      </c>
      <c r="F491" s="52">
        <v>434</v>
      </c>
      <c r="G491" s="104">
        <v>242.53337674294576</v>
      </c>
    </row>
    <row r="492" spans="2:7" x14ac:dyDescent="0.3">
      <c r="B492" s="52">
        <v>435</v>
      </c>
      <c r="C492" s="33">
        <v>214.98933846031014</v>
      </c>
      <c r="D492" s="52">
        <v>435</v>
      </c>
      <c r="E492" s="33">
        <v>-7.41293684399227</v>
      </c>
      <c r="F492" s="52">
        <v>435</v>
      </c>
      <c r="G492" s="104">
        <v>365.33982954749109</v>
      </c>
    </row>
    <row r="493" spans="2:7" x14ac:dyDescent="0.3">
      <c r="B493" s="52">
        <v>436</v>
      </c>
      <c r="C493" s="33">
        <v>206.47901334149697</v>
      </c>
      <c r="D493" s="52">
        <v>436</v>
      </c>
      <c r="E493" s="33">
        <v>89.826970882158164</v>
      </c>
      <c r="F493" s="52">
        <v>436</v>
      </c>
      <c r="G493" s="104">
        <v>225.73094885641962</v>
      </c>
    </row>
    <row r="494" spans="2:7" x14ac:dyDescent="0.3">
      <c r="B494" s="52">
        <v>437</v>
      </c>
      <c r="C494" s="33">
        <v>216.50060106591275</v>
      </c>
      <c r="D494" s="52">
        <v>437</v>
      </c>
      <c r="E494" s="33">
        <v>61.273089964342198</v>
      </c>
      <c r="F494" s="52">
        <v>437</v>
      </c>
      <c r="G494" s="104">
        <v>138.03276069932542</v>
      </c>
    </row>
    <row r="495" spans="2:7" x14ac:dyDescent="0.3">
      <c r="B495" s="52">
        <v>438</v>
      </c>
      <c r="C495" s="33">
        <v>242.06283649605922</v>
      </c>
      <c r="D495" s="52">
        <v>438</v>
      </c>
      <c r="E495" s="33">
        <v>18.717585365882051</v>
      </c>
      <c r="F495" s="52">
        <v>438</v>
      </c>
      <c r="G495" s="104">
        <v>177.65513952035573</v>
      </c>
    </row>
    <row r="496" spans="2:7" x14ac:dyDescent="0.3">
      <c r="B496" s="52">
        <v>439</v>
      </c>
      <c r="C496" s="33">
        <v>269.35571706316375</v>
      </c>
      <c r="D496" s="52">
        <v>439</v>
      </c>
      <c r="E496" s="33">
        <v>18.416108945566066</v>
      </c>
      <c r="F496" s="52">
        <v>439</v>
      </c>
      <c r="G496" s="104">
        <v>347.07514944645538</v>
      </c>
    </row>
    <row r="497" spans="2:7" x14ac:dyDescent="0.3">
      <c r="B497" s="52">
        <v>440</v>
      </c>
      <c r="C497" s="33">
        <v>96.268273453178722</v>
      </c>
      <c r="D497" s="52">
        <v>440</v>
      </c>
      <c r="E497" s="33">
        <v>47.673764638404741</v>
      </c>
      <c r="F497" s="52">
        <v>440</v>
      </c>
      <c r="G497" s="104">
        <v>79.116234026772901</v>
      </c>
    </row>
    <row r="498" spans="2:7" x14ac:dyDescent="0.3">
      <c r="B498" s="52">
        <v>441</v>
      </c>
      <c r="C498" s="33">
        <v>19.312229879657622</v>
      </c>
      <c r="D498" s="52">
        <v>441</v>
      </c>
      <c r="E498" s="33">
        <v>61.785443710396436</v>
      </c>
      <c r="F498" s="52">
        <v>441</v>
      </c>
      <c r="G498" s="104">
        <v>103.24998486467851</v>
      </c>
    </row>
    <row r="499" spans="2:7" x14ac:dyDescent="0.3">
      <c r="B499" s="52">
        <v>442</v>
      </c>
      <c r="C499" s="33">
        <v>189.80203028570176</v>
      </c>
      <c r="D499" s="52">
        <v>442</v>
      </c>
      <c r="E499" s="33">
        <v>10.273678076840074</v>
      </c>
      <c r="F499" s="52">
        <v>442</v>
      </c>
      <c r="G499" s="104">
        <v>287.99097706748194</v>
      </c>
    </row>
    <row r="500" spans="2:7" x14ac:dyDescent="0.3">
      <c r="B500" s="52">
        <v>443</v>
      </c>
      <c r="C500" s="33">
        <v>341.26086170592833</v>
      </c>
      <c r="D500" s="52">
        <v>443</v>
      </c>
      <c r="E500" s="33">
        <v>60.911991495973425</v>
      </c>
      <c r="F500" s="52">
        <v>443</v>
      </c>
      <c r="G500" s="104">
        <v>264.80297986068479</v>
      </c>
    </row>
    <row r="501" spans="2:7" x14ac:dyDescent="0.3">
      <c r="B501" s="52">
        <v>444</v>
      </c>
      <c r="C501" s="33">
        <v>184.19776562098377</v>
      </c>
      <c r="D501" s="52">
        <v>444</v>
      </c>
      <c r="E501" s="33">
        <v>72.657345834632423</v>
      </c>
      <c r="F501" s="52">
        <v>444</v>
      </c>
      <c r="G501" s="104">
        <v>218.54824807472485</v>
      </c>
    </row>
    <row r="502" spans="2:7" x14ac:dyDescent="0.3">
      <c r="B502" s="52">
        <v>445</v>
      </c>
      <c r="C502" s="33">
        <v>286.86541188241489</v>
      </c>
      <c r="D502" s="52">
        <v>445</v>
      </c>
      <c r="E502" s="33">
        <v>98.657982474093629</v>
      </c>
      <c r="F502" s="52">
        <v>445</v>
      </c>
      <c r="G502" s="104">
        <v>208.86084148208116</v>
      </c>
    </row>
    <row r="503" spans="2:7" x14ac:dyDescent="0.3">
      <c r="B503" s="52">
        <v>446</v>
      </c>
      <c r="C503" s="33">
        <v>171.12128059451567</v>
      </c>
      <c r="D503" s="52">
        <v>446</v>
      </c>
      <c r="E503" s="33">
        <v>6.4636448173054646</v>
      </c>
      <c r="F503" s="52">
        <v>446</v>
      </c>
      <c r="G503" s="104">
        <v>160.75466214791027</v>
      </c>
    </row>
    <row r="504" spans="2:7" x14ac:dyDescent="0.3">
      <c r="B504" s="52">
        <v>447</v>
      </c>
      <c r="C504" s="33">
        <v>97.331686225129673</v>
      </c>
      <c r="D504" s="52">
        <v>447</v>
      </c>
      <c r="E504" s="33">
        <v>29.124484958112731</v>
      </c>
      <c r="F504" s="52">
        <v>447</v>
      </c>
      <c r="G504" s="104">
        <v>315.04246567852471</v>
      </c>
    </row>
    <row r="505" spans="2:7" x14ac:dyDescent="0.3">
      <c r="B505" s="52">
        <v>448</v>
      </c>
      <c r="C505" s="33">
        <v>176.71036659491412</v>
      </c>
      <c r="D505" s="52">
        <v>448</v>
      </c>
      <c r="E505" s="33">
        <v>2.9319106346712687</v>
      </c>
      <c r="F505" s="52">
        <v>448</v>
      </c>
      <c r="G505" s="104">
        <v>209.21846956525766</v>
      </c>
    </row>
    <row r="506" spans="2:7" x14ac:dyDescent="0.3">
      <c r="B506" s="52">
        <v>449</v>
      </c>
      <c r="C506" s="33">
        <v>149.69803706214535</v>
      </c>
      <c r="D506" s="52">
        <v>449</v>
      </c>
      <c r="E506" s="33">
        <v>29.333453752327099</v>
      </c>
      <c r="F506" s="52">
        <v>449</v>
      </c>
      <c r="G506" s="104">
        <v>211.6144878406364</v>
      </c>
    </row>
    <row r="507" spans="2:7" x14ac:dyDescent="0.3">
      <c r="B507" s="52">
        <v>450</v>
      </c>
      <c r="C507" s="33">
        <v>173.33535937791021</v>
      </c>
      <c r="D507" s="52">
        <v>450</v>
      </c>
      <c r="E507" s="33">
        <v>52.032885930420306</v>
      </c>
      <c r="F507" s="52">
        <v>450</v>
      </c>
      <c r="G507" s="104">
        <v>285.09866291985844</v>
      </c>
    </row>
    <row r="508" spans="2:7" x14ac:dyDescent="0.3">
      <c r="B508" s="52">
        <v>451</v>
      </c>
      <c r="C508" s="33">
        <v>134.61151900166141</v>
      </c>
      <c r="D508" s="52">
        <v>451</v>
      </c>
      <c r="E508" s="33">
        <v>67.84931502581145</v>
      </c>
      <c r="F508" s="52">
        <v>451</v>
      </c>
      <c r="G508" s="104">
        <v>224.53149988684615</v>
      </c>
    </row>
    <row r="509" spans="2:7" x14ac:dyDescent="0.3">
      <c r="B509" s="52">
        <v>452</v>
      </c>
      <c r="C509" s="33">
        <v>105.74689919690553</v>
      </c>
      <c r="D509" s="52">
        <v>452</v>
      </c>
      <c r="E509" s="33">
        <v>54.089446188614609</v>
      </c>
      <c r="F509" s="52">
        <v>452</v>
      </c>
      <c r="G509" s="104">
        <v>255.87343806607154</v>
      </c>
    </row>
    <row r="510" spans="2:7" x14ac:dyDescent="0.3">
      <c r="B510" s="52">
        <v>453</v>
      </c>
      <c r="C510" s="33">
        <v>45.536311901578443</v>
      </c>
      <c r="D510" s="52">
        <v>453</v>
      </c>
      <c r="E510" s="33">
        <v>25.808368464232206</v>
      </c>
      <c r="F510" s="52">
        <v>453</v>
      </c>
      <c r="G510" s="104">
        <v>100.04352987373846</v>
      </c>
    </row>
    <row r="511" spans="2:7" x14ac:dyDescent="0.3">
      <c r="B511" s="52">
        <v>454</v>
      </c>
      <c r="C511" s="33">
        <v>210.3611659019148</v>
      </c>
      <c r="D511" s="52">
        <v>454</v>
      </c>
      <c r="E511" s="33">
        <v>37.972485125894458</v>
      </c>
      <c r="F511" s="52">
        <v>454</v>
      </c>
      <c r="G511" s="104">
        <v>223.21869078123473</v>
      </c>
    </row>
    <row r="512" spans="2:7" x14ac:dyDescent="0.3">
      <c r="B512" s="52">
        <v>455</v>
      </c>
      <c r="C512" s="33">
        <v>178.38919568807549</v>
      </c>
      <c r="D512" s="52">
        <v>455</v>
      </c>
      <c r="E512" s="33">
        <v>64.439072847857361</v>
      </c>
      <c r="F512" s="52">
        <v>455</v>
      </c>
      <c r="G512" s="104">
        <v>179.69982759281515</v>
      </c>
    </row>
    <row r="513" spans="2:7" x14ac:dyDescent="0.3">
      <c r="B513" s="52">
        <v>456</v>
      </c>
      <c r="C513" s="33">
        <v>197.93092731900779</v>
      </c>
      <c r="D513" s="52">
        <v>456</v>
      </c>
      <c r="E513" s="33">
        <v>35.254368119486543</v>
      </c>
      <c r="F513" s="52">
        <v>456</v>
      </c>
      <c r="G513" s="104">
        <v>199.61734622849116</v>
      </c>
    </row>
    <row r="514" spans="2:7" x14ac:dyDescent="0.3">
      <c r="B514" s="52">
        <v>457</v>
      </c>
      <c r="C514" s="33">
        <v>228.66865505514659</v>
      </c>
      <c r="D514" s="52">
        <v>457</v>
      </c>
      <c r="E514" s="33">
        <v>69.974314375166159</v>
      </c>
      <c r="F514" s="52">
        <v>457</v>
      </c>
      <c r="G514" s="104">
        <v>356.15002131333102</v>
      </c>
    </row>
    <row r="515" spans="2:7" x14ac:dyDescent="0.3">
      <c r="B515" s="52">
        <v>458</v>
      </c>
      <c r="C515" s="33">
        <v>190.44541218110314</v>
      </c>
      <c r="D515" s="52">
        <v>458</v>
      </c>
      <c r="E515" s="33">
        <v>83.28568350545703</v>
      </c>
      <c r="F515" s="52">
        <v>458</v>
      </c>
      <c r="G515" s="104">
        <v>145.68364511109189</v>
      </c>
    </row>
    <row r="516" spans="2:7" x14ac:dyDescent="0.3">
      <c r="B516" s="52">
        <v>459</v>
      </c>
      <c r="C516" s="33">
        <v>304.41029437814456</v>
      </c>
      <c r="D516" s="52">
        <v>459</v>
      </c>
      <c r="E516" s="33">
        <v>26.03940886908584</v>
      </c>
      <c r="F516" s="52">
        <v>459</v>
      </c>
      <c r="G516" s="104">
        <v>293.68901108839287</v>
      </c>
    </row>
    <row r="517" spans="2:7" x14ac:dyDescent="0.3">
      <c r="B517" s="52">
        <v>460</v>
      </c>
      <c r="C517" s="33">
        <v>135.25463006576237</v>
      </c>
      <c r="D517" s="52">
        <v>460</v>
      </c>
      <c r="E517" s="33">
        <v>69.544056016078272</v>
      </c>
      <c r="F517" s="52">
        <v>460</v>
      </c>
      <c r="G517" s="104">
        <v>364.29494342953797</v>
      </c>
    </row>
    <row r="518" spans="2:7" x14ac:dyDescent="0.3">
      <c r="B518" s="52">
        <v>461</v>
      </c>
      <c r="C518" s="33">
        <v>183.48079638137506</v>
      </c>
      <c r="D518" s="52">
        <v>461</v>
      </c>
      <c r="E518" s="33">
        <v>53.228826656659798</v>
      </c>
      <c r="F518" s="52">
        <v>461</v>
      </c>
      <c r="G518" s="104">
        <v>229.44631785827912</v>
      </c>
    </row>
    <row r="519" spans="2:7" x14ac:dyDescent="0.3">
      <c r="B519" s="52">
        <v>462</v>
      </c>
      <c r="C519" s="33">
        <v>235.43900491176669</v>
      </c>
      <c r="D519" s="52">
        <v>462</v>
      </c>
      <c r="E519" s="33">
        <v>93.458154945120526</v>
      </c>
      <c r="F519" s="52">
        <v>462</v>
      </c>
      <c r="G519" s="104">
        <v>248.21338963991661</v>
      </c>
    </row>
    <row r="520" spans="2:7" x14ac:dyDescent="0.3">
      <c r="B520" s="52">
        <v>463</v>
      </c>
      <c r="C520" s="33">
        <v>195.38766627197131</v>
      </c>
      <c r="D520" s="52">
        <v>463</v>
      </c>
      <c r="E520" s="33">
        <v>43.683578850267295</v>
      </c>
      <c r="F520" s="52">
        <v>463</v>
      </c>
      <c r="G520" s="104">
        <v>272.40989589514044</v>
      </c>
    </row>
    <row r="521" spans="2:7" x14ac:dyDescent="0.3">
      <c r="B521" s="52">
        <v>464</v>
      </c>
      <c r="C521" s="33">
        <v>227.43916034208212</v>
      </c>
      <c r="D521" s="52">
        <v>464</v>
      </c>
      <c r="E521" s="33">
        <v>26.494175807541623</v>
      </c>
      <c r="F521" s="52">
        <v>464</v>
      </c>
      <c r="G521" s="104">
        <v>167.3788541116545</v>
      </c>
    </row>
    <row r="522" spans="2:7" x14ac:dyDescent="0.3">
      <c r="B522" s="52">
        <v>465</v>
      </c>
      <c r="C522" s="33">
        <v>222.85747695558373</v>
      </c>
      <c r="D522" s="52">
        <v>465</v>
      </c>
      <c r="E522" s="33">
        <v>26.944400567779926</v>
      </c>
      <c r="F522" s="52">
        <v>465</v>
      </c>
      <c r="G522" s="104">
        <v>267.38932788511829</v>
      </c>
    </row>
    <row r="523" spans="2:7" x14ac:dyDescent="0.3">
      <c r="B523" s="52">
        <v>466</v>
      </c>
      <c r="C523" s="33">
        <v>122.90594585020632</v>
      </c>
      <c r="D523" s="52">
        <v>466</v>
      </c>
      <c r="E523" s="33">
        <v>13.498569525963408</v>
      </c>
      <c r="F523" s="52">
        <v>466</v>
      </c>
      <c r="G523" s="104">
        <v>206.31709861533886</v>
      </c>
    </row>
    <row r="524" spans="2:7" x14ac:dyDescent="0.3">
      <c r="B524" s="52">
        <v>467</v>
      </c>
      <c r="C524" s="33">
        <v>210.84433330585426</v>
      </c>
      <c r="D524" s="52">
        <v>467</v>
      </c>
      <c r="E524" s="33">
        <v>23.356009360633188</v>
      </c>
      <c r="F524" s="52">
        <v>467</v>
      </c>
      <c r="G524" s="104">
        <v>232.9865244903545</v>
      </c>
    </row>
    <row r="525" spans="2:7" x14ac:dyDescent="0.3">
      <c r="B525" s="52">
        <v>468</v>
      </c>
      <c r="C525" s="33">
        <v>292.40255902136551</v>
      </c>
      <c r="D525" s="52">
        <v>468</v>
      </c>
      <c r="E525" s="33">
        <v>12.638725936089976</v>
      </c>
      <c r="F525" s="52">
        <v>468</v>
      </c>
      <c r="G525" s="104">
        <v>293.85032542370561</v>
      </c>
    </row>
    <row r="526" spans="2:7" x14ac:dyDescent="0.3">
      <c r="B526" s="52">
        <v>469</v>
      </c>
      <c r="C526" s="33">
        <v>288.05467708695841</v>
      </c>
      <c r="D526" s="52">
        <v>469</v>
      </c>
      <c r="E526" s="33">
        <v>21.909147997188747</v>
      </c>
      <c r="F526" s="52">
        <v>469</v>
      </c>
      <c r="G526" s="104">
        <v>254.33006725395455</v>
      </c>
    </row>
    <row r="527" spans="2:7" x14ac:dyDescent="0.3">
      <c r="B527" s="52">
        <v>470</v>
      </c>
      <c r="C527" s="33">
        <v>173.42339963457653</v>
      </c>
      <c r="D527" s="52">
        <v>470</v>
      </c>
      <c r="E527" s="33">
        <v>83.184725088029069</v>
      </c>
      <c r="F527" s="52">
        <v>470</v>
      </c>
      <c r="G527" s="104">
        <v>224.12753997643512</v>
      </c>
    </row>
    <row r="528" spans="2:7" x14ac:dyDescent="0.3">
      <c r="B528" s="52">
        <v>471</v>
      </c>
      <c r="C528" s="33">
        <v>152.02511864288817</v>
      </c>
      <c r="D528" s="52">
        <v>471</v>
      </c>
      <c r="E528" s="33">
        <v>43.215898810327118</v>
      </c>
      <c r="F528" s="52">
        <v>471</v>
      </c>
      <c r="G528" s="104">
        <v>319.57511971584529</v>
      </c>
    </row>
    <row r="529" spans="2:7" x14ac:dyDescent="0.3">
      <c r="B529" s="52">
        <v>472</v>
      </c>
      <c r="C529" s="33">
        <v>282.10579500538245</v>
      </c>
      <c r="D529" s="52">
        <v>472</v>
      </c>
      <c r="E529" s="33">
        <v>52.044346561415601</v>
      </c>
      <c r="F529" s="52">
        <v>472</v>
      </c>
      <c r="G529" s="104">
        <v>158.35279858801769</v>
      </c>
    </row>
    <row r="530" spans="2:7" x14ac:dyDescent="0.3">
      <c r="B530" s="52">
        <v>473</v>
      </c>
      <c r="C530" s="33">
        <v>136.56788043996281</v>
      </c>
      <c r="D530" s="52">
        <v>473</v>
      </c>
      <c r="E530" s="33">
        <v>15.600343438331961</v>
      </c>
      <c r="F530" s="52">
        <v>473</v>
      </c>
      <c r="G530" s="104">
        <v>233.45279913285404</v>
      </c>
    </row>
    <row r="531" spans="2:7" x14ac:dyDescent="0.3">
      <c r="B531" s="52">
        <v>474</v>
      </c>
      <c r="C531" s="33">
        <v>205.60289870471814</v>
      </c>
      <c r="D531" s="52">
        <v>474</v>
      </c>
      <c r="E531" s="33">
        <v>49.488562770413949</v>
      </c>
      <c r="F531" s="52">
        <v>474</v>
      </c>
      <c r="G531" s="104">
        <v>207.89288412642753</v>
      </c>
    </row>
    <row r="532" spans="2:7" x14ac:dyDescent="0.3">
      <c r="B532" s="52">
        <v>475</v>
      </c>
      <c r="C532" s="33">
        <v>253.01429266813435</v>
      </c>
      <c r="D532" s="52">
        <v>475</v>
      </c>
      <c r="E532" s="33">
        <v>52.545374388235707</v>
      </c>
      <c r="F532" s="52">
        <v>475</v>
      </c>
      <c r="G532" s="104">
        <v>181.37378924798281</v>
      </c>
    </row>
    <row r="533" spans="2:7" x14ac:dyDescent="0.3">
      <c r="B533" s="52">
        <v>476</v>
      </c>
      <c r="C533" s="33">
        <v>282.46362315410863</v>
      </c>
      <c r="D533" s="52">
        <v>476</v>
      </c>
      <c r="E533" s="33">
        <v>77.667571892435532</v>
      </c>
      <c r="F533" s="52">
        <v>476</v>
      </c>
      <c r="G533" s="104">
        <v>273.40714259863967</v>
      </c>
    </row>
    <row r="534" spans="2:7" x14ac:dyDescent="0.3">
      <c r="B534" s="52">
        <v>477</v>
      </c>
      <c r="C534" s="33">
        <v>280.10478678345123</v>
      </c>
      <c r="D534" s="52">
        <v>477</v>
      </c>
      <c r="E534" s="33">
        <v>31.10124113412105</v>
      </c>
      <c r="F534" s="52">
        <v>477</v>
      </c>
      <c r="G534" s="104">
        <v>248.10385009046968</v>
      </c>
    </row>
    <row r="535" spans="2:7" x14ac:dyDescent="0.3">
      <c r="B535" s="52">
        <v>478</v>
      </c>
      <c r="C535" s="33">
        <v>255.02859569009257</v>
      </c>
      <c r="D535" s="52">
        <v>478</v>
      </c>
      <c r="E535" s="33">
        <v>67.841254073218096</v>
      </c>
      <c r="F535" s="52">
        <v>478</v>
      </c>
      <c r="G535" s="104">
        <v>147.37212264817367</v>
      </c>
    </row>
    <row r="536" spans="2:7" x14ac:dyDescent="0.3">
      <c r="B536" s="52">
        <v>479</v>
      </c>
      <c r="C536" s="33">
        <v>246.55787471501421</v>
      </c>
      <c r="D536" s="52">
        <v>479</v>
      </c>
      <c r="E536" s="33">
        <v>59.065096532682645</v>
      </c>
      <c r="F536" s="52">
        <v>479</v>
      </c>
      <c r="G536" s="104">
        <v>315.21370539054573</v>
      </c>
    </row>
    <row r="537" spans="2:7" x14ac:dyDescent="0.3">
      <c r="B537" s="52">
        <v>480</v>
      </c>
      <c r="C537" s="33">
        <v>218.87721885567908</v>
      </c>
      <c r="D537" s="52">
        <v>480</v>
      </c>
      <c r="E537" s="33">
        <v>32.705571927043778</v>
      </c>
      <c r="F537" s="52">
        <v>480</v>
      </c>
      <c r="G537" s="104">
        <v>222.00594187992019</v>
      </c>
    </row>
    <row r="538" spans="2:7" x14ac:dyDescent="0.3">
      <c r="B538" s="52">
        <v>481</v>
      </c>
      <c r="C538" s="33">
        <v>216.8586300669283</v>
      </c>
      <c r="D538" s="52">
        <v>481</v>
      </c>
      <c r="E538" s="33">
        <v>-12.107888716067677</v>
      </c>
      <c r="F538" s="52">
        <v>481</v>
      </c>
      <c r="G538" s="104">
        <v>235.06434421986762</v>
      </c>
    </row>
    <row r="539" spans="2:7" x14ac:dyDescent="0.3">
      <c r="B539" s="52">
        <v>482</v>
      </c>
      <c r="C539" s="33">
        <v>339.53597476703936</v>
      </c>
      <c r="D539" s="52">
        <v>482</v>
      </c>
      <c r="E539" s="33">
        <v>-10.926824562262777</v>
      </c>
      <c r="F539" s="52">
        <v>482</v>
      </c>
      <c r="G539" s="104">
        <v>190.33360118657473</v>
      </c>
    </row>
    <row r="540" spans="2:7" x14ac:dyDescent="0.3">
      <c r="B540" s="52">
        <v>483</v>
      </c>
      <c r="C540" s="33">
        <v>318.61063410074581</v>
      </c>
      <c r="D540" s="52">
        <v>483</v>
      </c>
      <c r="E540" s="33">
        <v>40.685586658653968</v>
      </c>
      <c r="F540" s="52">
        <v>483</v>
      </c>
      <c r="G540" s="104">
        <v>305.57071519353974</v>
      </c>
    </row>
    <row r="541" spans="2:7" x14ac:dyDescent="0.3">
      <c r="B541" s="52">
        <v>484</v>
      </c>
      <c r="C541" s="33">
        <v>218.96706858993713</v>
      </c>
      <c r="D541" s="52">
        <v>484</v>
      </c>
      <c r="E541" s="33">
        <v>47.322376589659939</v>
      </c>
      <c r="F541" s="52">
        <v>484</v>
      </c>
      <c r="G541" s="104">
        <v>263.89518880194839</v>
      </c>
    </row>
    <row r="542" spans="2:7" x14ac:dyDescent="0.3">
      <c r="B542" s="52">
        <v>485</v>
      </c>
      <c r="C542" s="33">
        <v>318.35338257861952</v>
      </c>
      <c r="D542" s="52">
        <v>485</v>
      </c>
      <c r="E542" s="33">
        <v>51.365430858864151</v>
      </c>
      <c r="F542" s="52">
        <v>485</v>
      </c>
      <c r="G542" s="104">
        <v>327.41457871002143</v>
      </c>
    </row>
    <row r="543" spans="2:7" x14ac:dyDescent="0.3">
      <c r="B543" s="52">
        <v>486</v>
      </c>
      <c r="C543" s="33">
        <v>66.9051835750262</v>
      </c>
      <c r="D543" s="52">
        <v>486</v>
      </c>
      <c r="E543" s="33">
        <v>45.327741380713057</v>
      </c>
      <c r="F543" s="52">
        <v>486</v>
      </c>
      <c r="G543" s="104">
        <v>239.30156094200078</v>
      </c>
    </row>
    <row r="544" spans="2:7" x14ac:dyDescent="0.3">
      <c r="B544" s="52">
        <v>487</v>
      </c>
      <c r="C544" s="33">
        <v>209.10915095109848</v>
      </c>
      <c r="D544" s="52">
        <v>487</v>
      </c>
      <c r="E544" s="33">
        <v>11.821144723088587</v>
      </c>
      <c r="F544" s="52">
        <v>487</v>
      </c>
      <c r="G544" s="104">
        <v>415.80466107810116</v>
      </c>
    </row>
    <row r="545" spans="2:7" x14ac:dyDescent="0.3">
      <c r="B545" s="52">
        <v>488</v>
      </c>
      <c r="C545" s="33">
        <v>278.07620085961122</v>
      </c>
      <c r="D545" s="52">
        <v>488</v>
      </c>
      <c r="E545" s="33">
        <v>47.377578501552364</v>
      </c>
      <c r="F545" s="52">
        <v>488</v>
      </c>
      <c r="G545" s="104">
        <v>222.99572734079965</v>
      </c>
    </row>
    <row r="546" spans="2:7" x14ac:dyDescent="0.3">
      <c r="B546" s="52">
        <v>489</v>
      </c>
      <c r="C546" s="33">
        <v>97.397084138816624</v>
      </c>
      <c r="D546" s="52">
        <v>489</v>
      </c>
      <c r="E546" s="33">
        <v>32.995037010477859</v>
      </c>
      <c r="F546" s="52">
        <v>489</v>
      </c>
      <c r="G546" s="104">
        <v>232.9636868321877</v>
      </c>
    </row>
    <row r="547" spans="2:7" x14ac:dyDescent="0.3">
      <c r="B547" s="52">
        <v>490</v>
      </c>
      <c r="C547" s="33">
        <v>279.38719246940803</v>
      </c>
      <c r="D547" s="52">
        <v>490</v>
      </c>
      <c r="E547" s="33">
        <v>6.543443435886509</v>
      </c>
      <c r="F547" s="52">
        <v>490</v>
      </c>
      <c r="G547" s="104">
        <v>241.31220580257289</v>
      </c>
    </row>
    <row r="548" spans="2:7" x14ac:dyDescent="0.3">
      <c r="B548" s="52">
        <v>491</v>
      </c>
      <c r="C548" s="33">
        <v>156.38676306264378</v>
      </c>
      <c r="D548" s="52">
        <v>491</v>
      </c>
      <c r="E548" s="33">
        <v>25.963029327077425</v>
      </c>
      <c r="F548" s="52">
        <v>491</v>
      </c>
      <c r="G548" s="104">
        <v>334.28193762902339</v>
      </c>
    </row>
    <row r="549" spans="2:7" x14ac:dyDescent="0.3">
      <c r="B549" s="52">
        <v>492</v>
      </c>
      <c r="C549" s="33">
        <v>144.63103540712171</v>
      </c>
      <c r="D549" s="52">
        <v>492</v>
      </c>
      <c r="E549" s="33">
        <v>55.054046175782638</v>
      </c>
      <c r="F549" s="52">
        <v>492</v>
      </c>
      <c r="G549" s="104">
        <v>212.54520814919786</v>
      </c>
    </row>
    <row r="550" spans="2:7" x14ac:dyDescent="0.3">
      <c r="B550" s="52">
        <v>493</v>
      </c>
      <c r="C550" s="33">
        <v>214.40369926516456</v>
      </c>
      <c r="D550" s="52">
        <v>493</v>
      </c>
      <c r="E550" s="33">
        <v>69.85866917903715</v>
      </c>
      <c r="F550" s="52">
        <v>493</v>
      </c>
      <c r="G550" s="104">
        <v>235.0803119926135</v>
      </c>
    </row>
    <row r="551" spans="2:7" x14ac:dyDescent="0.3">
      <c r="B551" s="52">
        <v>494</v>
      </c>
      <c r="C551" s="33">
        <v>198.3319547677975</v>
      </c>
      <c r="D551" s="52">
        <v>494</v>
      </c>
      <c r="E551" s="33">
        <v>36.728717896717384</v>
      </c>
      <c r="F551" s="52">
        <v>494</v>
      </c>
      <c r="G551" s="104">
        <v>212.26797893487</v>
      </c>
    </row>
    <row r="552" spans="2:7" x14ac:dyDescent="0.3">
      <c r="B552" s="52">
        <v>495</v>
      </c>
      <c r="C552" s="33">
        <v>74.310611539270752</v>
      </c>
      <c r="D552" s="52">
        <v>495</v>
      </c>
      <c r="E552" s="33">
        <v>65.953116282859597</v>
      </c>
      <c r="F552" s="52">
        <v>495</v>
      </c>
      <c r="G552" s="104">
        <v>17.582044708820689</v>
      </c>
    </row>
    <row r="553" spans="2:7" x14ac:dyDescent="0.3">
      <c r="B553" s="52">
        <v>496</v>
      </c>
      <c r="C553" s="33">
        <v>212.11248378803944</v>
      </c>
      <c r="D553" s="52">
        <v>496</v>
      </c>
      <c r="E553" s="33">
        <v>88.097537023430647</v>
      </c>
      <c r="F553" s="52">
        <v>496</v>
      </c>
      <c r="G553" s="104">
        <v>284.74750660150016</v>
      </c>
    </row>
    <row r="554" spans="2:7" x14ac:dyDescent="0.3">
      <c r="B554" s="52">
        <v>497</v>
      </c>
      <c r="C554" s="33">
        <v>372.08765369791519</v>
      </c>
      <c r="D554" s="52">
        <v>497</v>
      </c>
      <c r="E554" s="33">
        <v>3.7942084464420134</v>
      </c>
      <c r="F554" s="52">
        <v>497</v>
      </c>
      <c r="G554" s="104">
        <v>235.87311819322241</v>
      </c>
    </row>
    <row r="555" spans="2:7" x14ac:dyDescent="0.3">
      <c r="B555" s="52">
        <v>498</v>
      </c>
      <c r="C555" s="33">
        <v>246.95824480655017</v>
      </c>
      <c r="D555" s="52">
        <v>498</v>
      </c>
      <c r="E555" s="33">
        <v>31.228016145866032</v>
      </c>
      <c r="F555" s="52">
        <v>498</v>
      </c>
      <c r="G555" s="104">
        <v>294.92734567463037</v>
      </c>
    </row>
    <row r="556" spans="2:7" x14ac:dyDescent="0.3">
      <c r="B556" s="52">
        <v>499</v>
      </c>
      <c r="C556" s="33">
        <v>266.49381940990384</v>
      </c>
      <c r="D556" s="52">
        <v>499</v>
      </c>
      <c r="E556" s="33">
        <v>49.43321462526238</v>
      </c>
      <c r="F556" s="52">
        <v>499</v>
      </c>
      <c r="G556" s="104">
        <v>207.25665612913309</v>
      </c>
    </row>
    <row r="557" spans="2:7" x14ac:dyDescent="0.3">
      <c r="B557" s="52">
        <v>500</v>
      </c>
      <c r="C557" s="33">
        <v>292.13243837056973</v>
      </c>
      <c r="D557" s="52">
        <v>500</v>
      </c>
      <c r="E557" s="33">
        <v>22.114808216656005</v>
      </c>
      <c r="F557" s="52">
        <v>500</v>
      </c>
      <c r="G557" s="104">
        <v>238.52251508962323</v>
      </c>
    </row>
    <row r="558" spans="2:7" x14ac:dyDescent="0.3">
      <c r="C558" s="33"/>
      <c r="E558" s="33"/>
      <c r="G558" s="104"/>
    </row>
    <row r="559" spans="2:7" x14ac:dyDescent="0.3">
      <c r="C559" s="33"/>
      <c r="E559" s="33"/>
      <c r="G559" s="104"/>
    </row>
    <row r="560" spans="2:7" x14ac:dyDescent="0.3">
      <c r="C560" s="33"/>
      <c r="E560" s="33"/>
      <c r="G560" s="104"/>
    </row>
    <row r="561" spans="3:7" x14ac:dyDescent="0.3">
      <c r="C561" s="33"/>
      <c r="E561" s="33"/>
      <c r="G561" s="104"/>
    </row>
    <row r="562" spans="3:7" x14ac:dyDescent="0.3">
      <c r="C562" s="33"/>
      <c r="E562" s="33"/>
      <c r="G562" s="104"/>
    </row>
    <row r="563" spans="3:7" x14ac:dyDescent="0.3">
      <c r="C563" s="33"/>
      <c r="E563" s="33"/>
      <c r="G563" s="104"/>
    </row>
    <row r="564" spans="3:7" x14ac:dyDescent="0.3">
      <c r="C564" s="33"/>
      <c r="E564" s="33"/>
      <c r="G564" s="104"/>
    </row>
    <row r="565" spans="3:7" x14ac:dyDescent="0.3">
      <c r="C565" s="33"/>
      <c r="E565" s="33"/>
      <c r="G565" s="104"/>
    </row>
    <row r="566" spans="3:7" x14ac:dyDescent="0.3">
      <c r="C566" s="33"/>
      <c r="E566" s="33"/>
      <c r="G566" s="104"/>
    </row>
    <row r="567" spans="3:7" x14ac:dyDescent="0.3">
      <c r="C567" s="33"/>
      <c r="E567" s="33"/>
      <c r="G567" s="104"/>
    </row>
    <row r="568" spans="3:7" x14ac:dyDescent="0.3">
      <c r="C568" s="33"/>
      <c r="E568" s="33"/>
      <c r="G568" s="104"/>
    </row>
    <row r="569" spans="3:7" x14ac:dyDescent="0.3">
      <c r="C569" s="33"/>
      <c r="E569" s="33"/>
      <c r="G569" s="104"/>
    </row>
    <row r="570" spans="3:7" x14ac:dyDescent="0.3">
      <c r="C570" s="33"/>
      <c r="E570" s="33"/>
      <c r="G570" s="104"/>
    </row>
    <row r="571" spans="3:7" x14ac:dyDescent="0.3">
      <c r="C571" s="33"/>
      <c r="E571" s="33"/>
      <c r="G571" s="104"/>
    </row>
    <row r="572" spans="3:7" x14ac:dyDescent="0.3">
      <c r="C572" s="33"/>
      <c r="E572" s="33"/>
      <c r="G572" s="104"/>
    </row>
    <row r="573" spans="3:7" x14ac:dyDescent="0.3">
      <c r="C573" s="33"/>
      <c r="E573" s="33"/>
      <c r="G573" s="104"/>
    </row>
    <row r="574" spans="3:7" x14ac:dyDescent="0.3">
      <c r="C574" s="33"/>
      <c r="E574" s="33"/>
      <c r="G574" s="104"/>
    </row>
    <row r="575" spans="3:7" x14ac:dyDescent="0.3">
      <c r="C575" s="33"/>
      <c r="E575" s="33"/>
      <c r="G575" s="104"/>
    </row>
    <row r="576" spans="3:7" x14ac:dyDescent="0.3">
      <c r="C576" s="33"/>
      <c r="E576" s="33"/>
      <c r="G576" s="104"/>
    </row>
    <row r="577" spans="3:7" x14ac:dyDescent="0.3">
      <c r="C577" s="33"/>
      <c r="E577" s="33"/>
      <c r="G577" s="104"/>
    </row>
    <row r="578" spans="3:7" x14ac:dyDescent="0.3">
      <c r="C578" s="33"/>
      <c r="E578" s="33"/>
      <c r="G578" s="104"/>
    </row>
    <row r="579" spans="3:7" x14ac:dyDescent="0.3">
      <c r="C579" s="33"/>
      <c r="E579" s="33"/>
      <c r="G579" s="104"/>
    </row>
    <row r="580" spans="3:7" x14ac:dyDescent="0.3">
      <c r="C580" s="33"/>
      <c r="E580" s="33"/>
      <c r="G580" s="104"/>
    </row>
    <row r="581" spans="3:7" x14ac:dyDescent="0.3">
      <c r="C581" s="33"/>
      <c r="E581" s="33"/>
      <c r="G581" s="104"/>
    </row>
    <row r="582" spans="3:7" x14ac:dyDescent="0.3">
      <c r="C582" s="33"/>
      <c r="E582" s="33"/>
      <c r="G582" s="104"/>
    </row>
    <row r="583" spans="3:7" x14ac:dyDescent="0.3">
      <c r="C583" s="33"/>
      <c r="E583" s="33"/>
      <c r="G583" s="104"/>
    </row>
    <row r="584" spans="3:7" x14ac:dyDescent="0.3">
      <c r="C584" s="33"/>
      <c r="E584" s="33"/>
      <c r="G584" s="104"/>
    </row>
    <row r="585" spans="3:7" x14ac:dyDescent="0.3">
      <c r="C585" s="33"/>
      <c r="E585" s="33"/>
      <c r="G585" s="104"/>
    </row>
    <row r="586" spans="3:7" x14ac:dyDescent="0.3">
      <c r="C586" s="33"/>
      <c r="E586" s="33"/>
      <c r="G586" s="104"/>
    </row>
    <row r="587" spans="3:7" x14ac:dyDescent="0.3">
      <c r="C587" s="33"/>
      <c r="E587" s="33"/>
      <c r="G587" s="104"/>
    </row>
    <row r="588" spans="3:7" x14ac:dyDescent="0.3">
      <c r="C588" s="33"/>
      <c r="E588" s="33"/>
      <c r="G588" s="104"/>
    </row>
    <row r="589" spans="3:7" x14ac:dyDescent="0.3">
      <c r="C589" s="33"/>
      <c r="E589" s="33"/>
      <c r="G589" s="104"/>
    </row>
    <row r="590" spans="3:7" x14ac:dyDescent="0.3">
      <c r="C590" s="33"/>
      <c r="E590" s="33"/>
      <c r="G590" s="104"/>
    </row>
    <row r="591" spans="3:7" x14ac:dyDescent="0.3">
      <c r="C591" s="33"/>
      <c r="E591" s="33"/>
      <c r="G591" s="104"/>
    </row>
    <row r="592" spans="3:7" x14ac:dyDescent="0.3">
      <c r="C592" s="33"/>
      <c r="E592" s="33"/>
      <c r="G592" s="104"/>
    </row>
    <row r="593" spans="3:7" x14ac:dyDescent="0.3">
      <c r="C593" s="33"/>
      <c r="E593" s="33"/>
      <c r="G593" s="104"/>
    </row>
    <row r="594" spans="3:7" x14ac:dyDescent="0.3">
      <c r="C594" s="33"/>
      <c r="E594" s="33"/>
      <c r="G594" s="104"/>
    </row>
    <row r="595" spans="3:7" x14ac:dyDescent="0.3">
      <c r="C595" s="33"/>
      <c r="E595" s="33"/>
      <c r="G595" s="104"/>
    </row>
    <row r="596" spans="3:7" x14ac:dyDescent="0.3">
      <c r="C596" s="33"/>
      <c r="E596" s="33"/>
      <c r="G596" s="104"/>
    </row>
    <row r="597" spans="3:7" x14ac:dyDescent="0.3">
      <c r="C597" s="33"/>
      <c r="E597" s="33"/>
      <c r="G597" s="104"/>
    </row>
    <row r="598" spans="3:7" x14ac:dyDescent="0.3">
      <c r="C598" s="33"/>
      <c r="E598" s="33"/>
      <c r="G598" s="104"/>
    </row>
    <row r="599" spans="3:7" x14ac:dyDescent="0.3">
      <c r="C599" s="33"/>
      <c r="E599" s="33"/>
      <c r="G599" s="104"/>
    </row>
    <row r="600" spans="3:7" x14ac:dyDescent="0.3">
      <c r="C600" s="33"/>
      <c r="E600" s="33"/>
      <c r="G600" s="104"/>
    </row>
    <row r="601" spans="3:7" x14ac:dyDescent="0.3">
      <c r="C601" s="33"/>
      <c r="E601" s="33"/>
      <c r="G601" s="104"/>
    </row>
    <row r="602" spans="3:7" x14ac:dyDescent="0.3">
      <c r="C602" s="33"/>
      <c r="E602" s="33"/>
      <c r="G602" s="104"/>
    </row>
    <row r="603" spans="3:7" x14ac:dyDescent="0.3">
      <c r="C603" s="33"/>
      <c r="E603" s="33"/>
      <c r="G603" s="33"/>
    </row>
    <row r="604" spans="3:7" x14ac:dyDescent="0.3">
      <c r="C604" s="33"/>
      <c r="E604" s="33"/>
      <c r="G604" s="33"/>
    </row>
    <row r="605" spans="3:7" x14ac:dyDescent="0.3">
      <c r="C605" s="33"/>
      <c r="E605" s="33"/>
      <c r="G605" s="33"/>
    </row>
    <row r="606" spans="3:7" x14ac:dyDescent="0.3">
      <c r="C606" s="33"/>
      <c r="E606" s="33"/>
      <c r="G606" s="33"/>
    </row>
    <row r="607" spans="3:7" x14ac:dyDescent="0.3">
      <c r="C607" s="33"/>
      <c r="E607" s="33"/>
      <c r="G607" s="33"/>
    </row>
    <row r="608" spans="3:7" x14ac:dyDescent="0.3">
      <c r="C608" s="33"/>
      <c r="E608" s="33"/>
      <c r="G608" s="33"/>
    </row>
    <row r="609" spans="3:7" x14ac:dyDescent="0.3">
      <c r="C609" s="33"/>
      <c r="E609" s="33"/>
      <c r="G609" s="33"/>
    </row>
    <row r="610" spans="3:7" x14ac:dyDescent="0.3">
      <c r="C610" s="33"/>
      <c r="E610" s="33"/>
      <c r="G610" s="33"/>
    </row>
    <row r="611" spans="3:7" x14ac:dyDescent="0.3">
      <c r="C611" s="33"/>
      <c r="E611" s="33"/>
      <c r="G611" s="33"/>
    </row>
    <row r="612" spans="3:7" x14ac:dyDescent="0.3">
      <c r="C612" s="33"/>
      <c r="E612" s="33"/>
      <c r="G612" s="33"/>
    </row>
    <row r="613" spans="3:7" x14ac:dyDescent="0.3">
      <c r="C613" s="33"/>
      <c r="E613" s="33"/>
      <c r="G613" s="33"/>
    </row>
    <row r="614" spans="3:7" x14ac:dyDescent="0.3">
      <c r="C614" s="33"/>
      <c r="E614" s="33"/>
      <c r="G614" s="33"/>
    </row>
    <row r="615" spans="3:7" x14ac:dyDescent="0.3">
      <c r="C615" s="33"/>
      <c r="E615" s="33"/>
      <c r="G615" s="33"/>
    </row>
    <row r="616" spans="3:7" x14ac:dyDescent="0.3">
      <c r="C616" s="33"/>
      <c r="E616" s="33"/>
      <c r="G616" s="33"/>
    </row>
    <row r="617" spans="3:7" x14ac:dyDescent="0.3">
      <c r="C617" s="33"/>
      <c r="E617" s="33"/>
      <c r="G617" s="33"/>
    </row>
    <row r="618" spans="3:7" x14ac:dyDescent="0.3">
      <c r="C618" s="33"/>
      <c r="E618" s="33"/>
      <c r="G618" s="33"/>
    </row>
    <row r="619" spans="3:7" x14ac:dyDescent="0.3">
      <c r="C619" s="33"/>
      <c r="E619" s="33"/>
      <c r="G619" s="33"/>
    </row>
    <row r="620" spans="3:7" x14ac:dyDescent="0.3">
      <c r="C620" s="33"/>
      <c r="E620" s="33"/>
      <c r="G620" s="33"/>
    </row>
    <row r="621" spans="3:7" x14ac:dyDescent="0.3">
      <c r="C621" s="33"/>
      <c r="E621" s="33"/>
      <c r="G621" s="33"/>
    </row>
    <row r="622" spans="3:7" x14ac:dyDescent="0.3">
      <c r="C622" s="33"/>
      <c r="E622" s="33"/>
      <c r="G622" s="33"/>
    </row>
    <row r="623" spans="3:7" x14ac:dyDescent="0.3">
      <c r="C623" s="33"/>
      <c r="E623" s="33"/>
      <c r="G623" s="33"/>
    </row>
    <row r="624" spans="3:7" x14ac:dyDescent="0.3">
      <c r="C624" s="33"/>
      <c r="E624" s="33"/>
      <c r="G624" s="33"/>
    </row>
    <row r="625" spans="3:7" x14ac:dyDescent="0.3">
      <c r="C625" s="33"/>
      <c r="E625" s="33"/>
      <c r="G625" s="33"/>
    </row>
    <row r="626" spans="3:7" x14ac:dyDescent="0.3">
      <c r="C626" s="33"/>
      <c r="E626" s="33"/>
      <c r="G626" s="33"/>
    </row>
    <row r="627" spans="3:7" x14ac:dyDescent="0.3">
      <c r="C627" s="33"/>
      <c r="E627" s="33"/>
      <c r="G627" s="33"/>
    </row>
    <row r="628" spans="3:7" x14ac:dyDescent="0.3">
      <c r="C628" s="33"/>
      <c r="E628" s="33"/>
      <c r="G628" s="33"/>
    </row>
    <row r="629" spans="3:7" x14ac:dyDescent="0.3">
      <c r="C629" s="33"/>
      <c r="E629" s="33"/>
      <c r="G629" s="33"/>
    </row>
    <row r="630" spans="3:7" x14ac:dyDescent="0.3">
      <c r="C630" s="33"/>
      <c r="E630" s="33"/>
      <c r="G630" s="33"/>
    </row>
    <row r="631" spans="3:7" x14ac:dyDescent="0.3">
      <c r="C631" s="33"/>
      <c r="E631" s="33"/>
      <c r="G631" s="33"/>
    </row>
    <row r="632" spans="3:7" x14ac:dyDescent="0.3">
      <c r="C632" s="33"/>
      <c r="E632" s="33"/>
      <c r="G632" s="33"/>
    </row>
    <row r="633" spans="3:7" x14ac:dyDescent="0.3">
      <c r="C633" s="33"/>
      <c r="E633" s="33"/>
      <c r="G633" s="33"/>
    </row>
    <row r="634" spans="3:7" x14ac:dyDescent="0.3">
      <c r="C634" s="33"/>
      <c r="E634" s="33"/>
      <c r="G634" s="33"/>
    </row>
    <row r="635" spans="3:7" x14ac:dyDescent="0.3">
      <c r="C635" s="33"/>
      <c r="E635" s="33"/>
      <c r="G635" s="33"/>
    </row>
    <row r="636" spans="3:7" x14ac:dyDescent="0.3">
      <c r="C636" s="33"/>
      <c r="E636" s="33"/>
      <c r="G636" s="33"/>
    </row>
    <row r="637" spans="3:7" x14ac:dyDescent="0.3">
      <c r="C637" s="33"/>
      <c r="E637" s="33"/>
      <c r="G637" s="33"/>
    </row>
    <row r="638" spans="3:7" x14ac:dyDescent="0.3">
      <c r="C638" s="33"/>
      <c r="E638" s="33"/>
      <c r="G638" s="33"/>
    </row>
    <row r="639" spans="3:7" x14ac:dyDescent="0.3">
      <c r="C639" s="33"/>
      <c r="E639" s="33"/>
      <c r="G639" s="33"/>
    </row>
    <row r="640" spans="3:7" x14ac:dyDescent="0.3">
      <c r="C640" s="33"/>
      <c r="E640" s="33"/>
      <c r="G640" s="33"/>
    </row>
    <row r="641" spans="3:7" x14ac:dyDescent="0.3">
      <c r="C641" s="33"/>
      <c r="E641" s="33"/>
      <c r="G641" s="33"/>
    </row>
    <row r="642" spans="3:7" x14ac:dyDescent="0.3">
      <c r="C642" s="33"/>
      <c r="E642" s="33"/>
      <c r="G642" s="33"/>
    </row>
    <row r="643" spans="3:7" x14ac:dyDescent="0.3">
      <c r="C643" s="33"/>
      <c r="E643" s="33"/>
      <c r="G643" s="33"/>
    </row>
    <row r="644" spans="3:7" x14ac:dyDescent="0.3">
      <c r="C644" s="33"/>
      <c r="E644" s="33"/>
      <c r="G644" s="33"/>
    </row>
    <row r="645" spans="3:7" x14ac:dyDescent="0.3">
      <c r="C645" s="33"/>
      <c r="E645" s="33"/>
      <c r="G645" s="33"/>
    </row>
    <row r="646" spans="3:7" x14ac:dyDescent="0.3">
      <c r="C646" s="33"/>
      <c r="E646" s="33"/>
      <c r="G646" s="33"/>
    </row>
    <row r="647" spans="3:7" x14ac:dyDescent="0.3">
      <c r="C647" s="33"/>
      <c r="E647" s="33"/>
      <c r="G647" s="33"/>
    </row>
    <row r="648" spans="3:7" x14ac:dyDescent="0.3">
      <c r="C648" s="33"/>
      <c r="E648" s="33"/>
      <c r="G648" s="33"/>
    </row>
    <row r="649" spans="3:7" x14ac:dyDescent="0.3">
      <c r="C649" s="33"/>
      <c r="E649" s="33"/>
      <c r="G649" s="33"/>
    </row>
    <row r="650" spans="3:7" x14ac:dyDescent="0.3">
      <c r="C650" s="33"/>
      <c r="E650" s="33"/>
      <c r="G650" s="33"/>
    </row>
    <row r="651" spans="3:7" x14ac:dyDescent="0.3">
      <c r="C651" s="33"/>
      <c r="E651" s="33"/>
      <c r="G651" s="33"/>
    </row>
    <row r="652" spans="3:7" x14ac:dyDescent="0.3">
      <c r="C652" s="33"/>
      <c r="E652" s="33"/>
      <c r="G652" s="33"/>
    </row>
    <row r="653" spans="3:7" x14ac:dyDescent="0.3">
      <c r="C653" s="33"/>
      <c r="E653" s="33"/>
      <c r="G653" s="33"/>
    </row>
    <row r="654" spans="3:7" x14ac:dyDescent="0.3">
      <c r="C654" s="33"/>
      <c r="E654" s="33"/>
      <c r="G654" s="33"/>
    </row>
    <row r="655" spans="3:7" x14ac:dyDescent="0.3">
      <c r="C655" s="33"/>
      <c r="E655" s="33"/>
      <c r="G655" s="33"/>
    </row>
    <row r="656" spans="3:7" x14ac:dyDescent="0.3">
      <c r="C656" s="33"/>
      <c r="E656" s="33"/>
      <c r="G656" s="33"/>
    </row>
    <row r="657" spans="3:7" x14ac:dyDescent="0.3">
      <c r="C657" s="33"/>
      <c r="E657" s="33"/>
      <c r="G657" s="33"/>
    </row>
    <row r="658" spans="3:7" x14ac:dyDescent="0.3">
      <c r="C658" s="33"/>
      <c r="E658" s="33"/>
      <c r="G658" s="33"/>
    </row>
    <row r="659" spans="3:7" x14ac:dyDescent="0.3">
      <c r="C659" s="33"/>
      <c r="E659" s="33"/>
      <c r="G659" s="33"/>
    </row>
    <row r="660" spans="3:7" x14ac:dyDescent="0.3">
      <c r="C660" s="33"/>
      <c r="E660" s="33"/>
      <c r="G660" s="33"/>
    </row>
    <row r="661" spans="3:7" x14ac:dyDescent="0.3">
      <c r="C661" s="33"/>
      <c r="E661" s="33"/>
      <c r="G661" s="33"/>
    </row>
    <row r="662" spans="3:7" x14ac:dyDescent="0.3">
      <c r="C662" s="33"/>
      <c r="E662" s="33"/>
      <c r="G662" s="33"/>
    </row>
    <row r="663" spans="3:7" x14ac:dyDescent="0.3">
      <c r="C663" s="33"/>
      <c r="E663" s="33"/>
      <c r="G663" s="33"/>
    </row>
    <row r="664" spans="3:7" x14ac:dyDescent="0.3">
      <c r="C664" s="33"/>
      <c r="E664" s="33"/>
      <c r="G664" s="33"/>
    </row>
    <row r="665" spans="3:7" x14ac:dyDescent="0.3">
      <c r="C665" s="33"/>
      <c r="E665" s="33"/>
      <c r="G665" s="33"/>
    </row>
    <row r="666" spans="3:7" x14ac:dyDescent="0.3">
      <c r="C666" s="33"/>
      <c r="E666" s="33"/>
      <c r="G666" s="33"/>
    </row>
    <row r="667" spans="3:7" x14ac:dyDescent="0.3">
      <c r="C667" s="33"/>
      <c r="E667" s="33"/>
      <c r="G667" s="33"/>
    </row>
    <row r="668" spans="3:7" x14ac:dyDescent="0.3">
      <c r="C668" s="33"/>
      <c r="E668" s="33"/>
      <c r="G668" s="33"/>
    </row>
    <row r="669" spans="3:7" x14ac:dyDescent="0.3">
      <c r="C669" s="33"/>
      <c r="E669" s="33"/>
      <c r="G669" s="33"/>
    </row>
    <row r="670" spans="3:7" x14ac:dyDescent="0.3">
      <c r="C670" s="33"/>
      <c r="E670" s="33"/>
      <c r="G670" s="33"/>
    </row>
    <row r="671" spans="3:7" x14ac:dyDescent="0.3">
      <c r="C671" s="33"/>
      <c r="E671" s="33"/>
      <c r="G671" s="33"/>
    </row>
    <row r="672" spans="3:7" x14ac:dyDescent="0.3">
      <c r="C672" s="33"/>
      <c r="E672" s="33"/>
      <c r="G672" s="33"/>
    </row>
    <row r="673" spans="3:7" x14ac:dyDescent="0.3">
      <c r="C673" s="33"/>
      <c r="E673" s="33"/>
      <c r="G673" s="33"/>
    </row>
    <row r="674" spans="3:7" x14ac:dyDescent="0.3">
      <c r="C674" s="33"/>
      <c r="E674" s="33"/>
      <c r="G674" s="33"/>
    </row>
    <row r="675" spans="3:7" x14ac:dyDescent="0.3">
      <c r="C675" s="33"/>
      <c r="E675" s="33"/>
      <c r="G675" s="33"/>
    </row>
    <row r="676" spans="3:7" x14ac:dyDescent="0.3">
      <c r="C676" s="33"/>
      <c r="E676" s="33"/>
      <c r="G676" s="33"/>
    </row>
    <row r="677" spans="3:7" x14ac:dyDescent="0.3">
      <c r="C677" s="33"/>
      <c r="E677" s="33"/>
      <c r="G677" s="33"/>
    </row>
    <row r="678" spans="3:7" x14ac:dyDescent="0.3">
      <c r="C678" s="33"/>
      <c r="E678" s="33"/>
      <c r="G678" s="33"/>
    </row>
    <row r="679" spans="3:7" x14ac:dyDescent="0.3">
      <c r="C679" s="33"/>
      <c r="E679" s="33"/>
      <c r="G679" s="33"/>
    </row>
    <row r="680" spans="3:7" x14ac:dyDescent="0.3">
      <c r="C680" s="33"/>
      <c r="E680" s="33"/>
      <c r="G680" s="33"/>
    </row>
    <row r="681" spans="3:7" x14ac:dyDescent="0.3">
      <c r="C681" s="33"/>
      <c r="E681" s="33"/>
      <c r="G681" s="33"/>
    </row>
    <row r="682" spans="3:7" x14ac:dyDescent="0.3">
      <c r="C682" s="33"/>
      <c r="E682" s="33"/>
      <c r="G682" s="33"/>
    </row>
    <row r="683" spans="3:7" x14ac:dyDescent="0.3">
      <c r="C683" s="33"/>
      <c r="E683" s="33"/>
      <c r="G683" s="33"/>
    </row>
    <row r="684" spans="3:7" x14ac:dyDescent="0.3">
      <c r="C684" s="33"/>
      <c r="E684" s="33"/>
      <c r="G684" s="33"/>
    </row>
    <row r="685" spans="3:7" x14ac:dyDescent="0.3">
      <c r="C685" s="33"/>
      <c r="E685" s="33"/>
      <c r="G685" s="33"/>
    </row>
    <row r="686" spans="3:7" x14ac:dyDescent="0.3">
      <c r="C686" s="33"/>
      <c r="E686" s="33"/>
      <c r="G686" s="33"/>
    </row>
    <row r="687" spans="3:7" x14ac:dyDescent="0.3">
      <c r="C687" s="33"/>
      <c r="E687" s="33"/>
      <c r="G687" s="33"/>
    </row>
    <row r="688" spans="3:7" x14ac:dyDescent="0.3">
      <c r="C688" s="33"/>
      <c r="E688" s="33"/>
      <c r="G688" s="33"/>
    </row>
    <row r="689" spans="3:7" x14ac:dyDescent="0.3">
      <c r="C689" s="33"/>
      <c r="E689" s="33"/>
      <c r="G689" s="33"/>
    </row>
    <row r="690" spans="3:7" x14ac:dyDescent="0.3">
      <c r="C690" s="33"/>
      <c r="E690" s="33"/>
      <c r="G690" s="33"/>
    </row>
    <row r="691" spans="3:7" x14ac:dyDescent="0.3">
      <c r="C691" s="33"/>
      <c r="E691" s="33"/>
      <c r="G691" s="33"/>
    </row>
    <row r="692" spans="3:7" x14ac:dyDescent="0.3">
      <c r="C692" s="33"/>
      <c r="E692" s="33"/>
      <c r="G692" s="33"/>
    </row>
    <row r="693" spans="3:7" x14ac:dyDescent="0.3">
      <c r="C693" s="33"/>
      <c r="E693" s="33"/>
      <c r="G693" s="33"/>
    </row>
    <row r="694" spans="3:7" x14ac:dyDescent="0.3">
      <c r="C694" s="33"/>
      <c r="E694" s="33"/>
      <c r="G694" s="33"/>
    </row>
    <row r="695" spans="3:7" x14ac:dyDescent="0.3">
      <c r="C695" s="33"/>
      <c r="E695" s="33"/>
      <c r="G695" s="33"/>
    </row>
    <row r="696" spans="3:7" x14ac:dyDescent="0.3">
      <c r="C696" s="33"/>
      <c r="E696" s="33"/>
      <c r="G696" s="33"/>
    </row>
    <row r="697" spans="3:7" x14ac:dyDescent="0.3">
      <c r="C697" s="33"/>
      <c r="E697" s="33"/>
      <c r="G697" s="33"/>
    </row>
    <row r="698" spans="3:7" x14ac:dyDescent="0.3">
      <c r="C698" s="33"/>
      <c r="E698" s="33"/>
      <c r="G698" s="33"/>
    </row>
    <row r="699" spans="3:7" x14ac:dyDescent="0.3">
      <c r="C699" s="33"/>
      <c r="E699" s="33"/>
      <c r="G699" s="33"/>
    </row>
    <row r="700" spans="3:7" x14ac:dyDescent="0.3">
      <c r="C700" s="33"/>
      <c r="E700" s="33"/>
      <c r="G700" s="33"/>
    </row>
    <row r="701" spans="3:7" x14ac:dyDescent="0.3">
      <c r="C701" s="33"/>
      <c r="E701" s="33"/>
      <c r="G701" s="33"/>
    </row>
    <row r="702" spans="3:7" x14ac:dyDescent="0.3">
      <c r="C702" s="33"/>
      <c r="E702" s="33"/>
      <c r="G702" s="33"/>
    </row>
    <row r="703" spans="3:7" x14ac:dyDescent="0.3">
      <c r="C703" s="33"/>
      <c r="E703" s="33"/>
      <c r="G703" s="33"/>
    </row>
    <row r="704" spans="3:7" x14ac:dyDescent="0.3">
      <c r="C704" s="33"/>
      <c r="E704" s="33"/>
      <c r="G704" s="33"/>
    </row>
    <row r="705" spans="3:7" x14ac:dyDescent="0.3">
      <c r="C705" s="33"/>
      <c r="E705" s="33"/>
      <c r="G705" s="33"/>
    </row>
    <row r="706" spans="3:7" x14ac:dyDescent="0.3">
      <c r="C706" s="33"/>
      <c r="E706" s="33"/>
      <c r="G706" s="33"/>
    </row>
    <row r="707" spans="3:7" x14ac:dyDescent="0.3">
      <c r="C707" s="33"/>
      <c r="E707" s="33"/>
      <c r="G707" s="33"/>
    </row>
    <row r="708" spans="3:7" x14ac:dyDescent="0.3">
      <c r="C708" s="33"/>
      <c r="E708" s="33"/>
      <c r="G708" s="33"/>
    </row>
    <row r="709" spans="3:7" x14ac:dyDescent="0.3">
      <c r="C709" s="33"/>
      <c r="E709" s="33"/>
      <c r="G709" s="33"/>
    </row>
    <row r="710" spans="3:7" x14ac:dyDescent="0.3">
      <c r="C710" s="33"/>
      <c r="E710" s="33"/>
      <c r="G710" s="33"/>
    </row>
    <row r="711" spans="3:7" x14ac:dyDescent="0.3">
      <c r="C711" s="33"/>
      <c r="E711" s="33"/>
      <c r="G711" s="33"/>
    </row>
    <row r="712" spans="3:7" x14ac:dyDescent="0.3">
      <c r="C712" s="33"/>
      <c r="E712" s="33"/>
      <c r="G712" s="33"/>
    </row>
    <row r="713" spans="3:7" x14ac:dyDescent="0.3">
      <c r="C713" s="33"/>
      <c r="E713" s="33"/>
      <c r="G713" s="33"/>
    </row>
    <row r="714" spans="3:7" x14ac:dyDescent="0.3">
      <c r="C714" s="33"/>
      <c r="E714" s="33"/>
      <c r="G714" s="33"/>
    </row>
    <row r="715" spans="3:7" x14ac:dyDescent="0.3">
      <c r="C715" s="33"/>
      <c r="E715" s="33"/>
      <c r="G715" s="33"/>
    </row>
    <row r="716" spans="3:7" x14ac:dyDescent="0.3">
      <c r="C716" s="33"/>
      <c r="E716" s="33"/>
      <c r="G716" s="33"/>
    </row>
    <row r="717" spans="3:7" x14ac:dyDescent="0.3">
      <c r="C717" s="33"/>
      <c r="E717" s="33"/>
      <c r="G717" s="33"/>
    </row>
    <row r="718" spans="3:7" x14ac:dyDescent="0.3">
      <c r="C718" s="33"/>
      <c r="E718" s="33"/>
      <c r="G718" s="33"/>
    </row>
    <row r="719" spans="3:7" x14ac:dyDescent="0.3">
      <c r="C719" s="33"/>
      <c r="E719" s="33"/>
      <c r="G719" s="33"/>
    </row>
    <row r="720" spans="3:7" x14ac:dyDescent="0.3">
      <c r="C720" s="33"/>
      <c r="E720" s="33"/>
      <c r="G720" s="33"/>
    </row>
    <row r="721" spans="3:7" x14ac:dyDescent="0.3">
      <c r="C721" s="33"/>
      <c r="E721" s="33"/>
      <c r="G721" s="33"/>
    </row>
    <row r="722" spans="3:7" x14ac:dyDescent="0.3">
      <c r="C722" s="33"/>
      <c r="E722" s="33"/>
      <c r="G722" s="33"/>
    </row>
    <row r="723" spans="3:7" x14ac:dyDescent="0.3">
      <c r="C723" s="33"/>
      <c r="E723" s="33"/>
      <c r="G723" s="33"/>
    </row>
    <row r="724" spans="3:7" x14ac:dyDescent="0.3">
      <c r="C724" s="33"/>
      <c r="E724" s="33"/>
      <c r="G724" s="33"/>
    </row>
    <row r="725" spans="3:7" x14ac:dyDescent="0.3">
      <c r="C725" s="33"/>
      <c r="E725" s="33"/>
      <c r="G725" s="33"/>
    </row>
    <row r="726" spans="3:7" x14ac:dyDescent="0.3">
      <c r="C726" s="33"/>
      <c r="E726" s="33"/>
      <c r="G726" s="33"/>
    </row>
    <row r="727" spans="3:7" x14ac:dyDescent="0.3">
      <c r="C727" s="33"/>
      <c r="E727" s="33"/>
      <c r="G727" s="33"/>
    </row>
    <row r="728" spans="3:7" x14ac:dyDescent="0.3">
      <c r="C728" s="33"/>
      <c r="E728" s="33"/>
      <c r="G728" s="33"/>
    </row>
    <row r="729" spans="3:7" x14ac:dyDescent="0.3">
      <c r="C729" s="33"/>
      <c r="E729" s="33"/>
      <c r="G729" s="33"/>
    </row>
    <row r="730" spans="3:7" x14ac:dyDescent="0.3">
      <c r="C730" s="33"/>
      <c r="E730" s="33"/>
      <c r="G730" s="33"/>
    </row>
    <row r="731" spans="3:7" x14ac:dyDescent="0.3">
      <c r="C731" s="33"/>
      <c r="E731" s="33"/>
      <c r="G731" s="33"/>
    </row>
    <row r="732" spans="3:7" x14ac:dyDescent="0.3">
      <c r="C732" s="33"/>
      <c r="E732" s="33"/>
      <c r="G732" s="33"/>
    </row>
    <row r="733" spans="3:7" x14ac:dyDescent="0.3">
      <c r="C733" s="33"/>
      <c r="E733" s="33"/>
      <c r="G733" s="33"/>
    </row>
    <row r="734" spans="3:7" x14ac:dyDescent="0.3">
      <c r="C734" s="33"/>
      <c r="E734" s="33"/>
      <c r="G734" s="33"/>
    </row>
    <row r="735" spans="3:7" x14ac:dyDescent="0.3">
      <c r="C735" s="33"/>
      <c r="E735" s="33"/>
      <c r="G735" s="33"/>
    </row>
    <row r="736" spans="3:7" x14ac:dyDescent="0.3">
      <c r="C736" s="33"/>
      <c r="E736" s="33"/>
      <c r="G736" s="33"/>
    </row>
    <row r="737" spans="3:7" x14ac:dyDescent="0.3">
      <c r="C737" s="33"/>
      <c r="E737" s="33"/>
      <c r="G737" s="33"/>
    </row>
    <row r="738" spans="3:7" x14ac:dyDescent="0.3">
      <c r="C738" s="33"/>
      <c r="E738" s="33"/>
      <c r="G738" s="33"/>
    </row>
    <row r="739" spans="3:7" x14ac:dyDescent="0.3">
      <c r="C739" s="33"/>
      <c r="E739" s="33"/>
      <c r="G739" s="33"/>
    </row>
    <row r="740" spans="3:7" x14ac:dyDescent="0.3">
      <c r="C740" s="33"/>
      <c r="E740" s="33"/>
      <c r="G740" s="33"/>
    </row>
    <row r="741" spans="3:7" x14ac:dyDescent="0.3">
      <c r="C741" s="33"/>
      <c r="E741" s="33"/>
      <c r="G741" s="33"/>
    </row>
    <row r="742" spans="3:7" x14ac:dyDescent="0.3">
      <c r="C742" s="33"/>
      <c r="E742" s="33"/>
      <c r="G742" s="33"/>
    </row>
    <row r="743" spans="3:7" x14ac:dyDescent="0.3">
      <c r="C743" s="33"/>
      <c r="E743" s="33"/>
      <c r="G743" s="33"/>
    </row>
    <row r="744" spans="3:7" x14ac:dyDescent="0.3">
      <c r="C744" s="33"/>
      <c r="E744" s="33"/>
      <c r="G744" s="33"/>
    </row>
    <row r="745" spans="3:7" x14ac:dyDescent="0.3">
      <c r="C745" s="33"/>
      <c r="E745" s="33"/>
      <c r="G745" s="33"/>
    </row>
    <row r="746" spans="3:7" x14ac:dyDescent="0.3">
      <c r="C746" s="33"/>
      <c r="E746" s="33"/>
      <c r="G746" s="33"/>
    </row>
    <row r="747" spans="3:7" x14ac:dyDescent="0.3">
      <c r="C747" s="33"/>
      <c r="E747" s="33"/>
      <c r="G747" s="33"/>
    </row>
    <row r="748" spans="3:7" x14ac:dyDescent="0.3">
      <c r="C748" s="33"/>
      <c r="E748" s="33"/>
      <c r="G748" s="33"/>
    </row>
    <row r="749" spans="3:7" x14ac:dyDescent="0.3">
      <c r="C749" s="33"/>
      <c r="E749" s="33"/>
      <c r="G749" s="33"/>
    </row>
    <row r="750" spans="3:7" x14ac:dyDescent="0.3">
      <c r="C750" s="33"/>
      <c r="E750" s="33"/>
      <c r="G750" s="33"/>
    </row>
    <row r="751" spans="3:7" x14ac:dyDescent="0.3">
      <c r="C751" s="33"/>
      <c r="E751" s="33"/>
      <c r="G751" s="33"/>
    </row>
    <row r="752" spans="3:7" x14ac:dyDescent="0.3">
      <c r="C752" s="33"/>
      <c r="E752" s="33"/>
      <c r="G752" s="33"/>
    </row>
    <row r="753" spans="3:7" x14ac:dyDescent="0.3">
      <c r="C753" s="33"/>
      <c r="E753" s="33"/>
      <c r="G753" s="33"/>
    </row>
    <row r="754" spans="3:7" x14ac:dyDescent="0.3">
      <c r="C754" s="33"/>
      <c r="E754" s="33"/>
      <c r="G754" s="33"/>
    </row>
    <row r="755" spans="3:7" x14ac:dyDescent="0.3">
      <c r="C755" s="33"/>
      <c r="E755" s="33"/>
      <c r="G755" s="33"/>
    </row>
    <row r="756" spans="3:7" x14ac:dyDescent="0.3">
      <c r="C756" s="33"/>
      <c r="E756" s="33"/>
      <c r="G756" s="33"/>
    </row>
    <row r="757" spans="3:7" x14ac:dyDescent="0.3">
      <c r="C757" s="33"/>
      <c r="E757" s="33"/>
      <c r="G757" s="33"/>
    </row>
    <row r="758" spans="3:7" x14ac:dyDescent="0.3">
      <c r="C758" s="33"/>
      <c r="E758" s="33"/>
      <c r="G758" s="33"/>
    </row>
    <row r="759" spans="3:7" x14ac:dyDescent="0.3">
      <c r="C759" s="33"/>
      <c r="E759" s="33"/>
      <c r="G759" s="33"/>
    </row>
    <row r="760" spans="3:7" x14ac:dyDescent="0.3">
      <c r="C760" s="33"/>
      <c r="E760" s="33"/>
      <c r="G760" s="33"/>
    </row>
    <row r="761" spans="3:7" x14ac:dyDescent="0.3">
      <c r="C761" s="33"/>
      <c r="E761" s="33"/>
      <c r="G761" s="33"/>
    </row>
    <row r="762" spans="3:7" x14ac:dyDescent="0.3">
      <c r="C762" s="33"/>
      <c r="E762" s="33"/>
      <c r="G762" s="33"/>
    </row>
    <row r="763" spans="3:7" x14ac:dyDescent="0.3">
      <c r="C763" s="33"/>
      <c r="E763" s="33"/>
      <c r="G763" s="33"/>
    </row>
    <row r="764" spans="3:7" x14ac:dyDescent="0.3">
      <c r="C764" s="33"/>
      <c r="E764" s="33"/>
      <c r="G764" s="33"/>
    </row>
    <row r="765" spans="3:7" x14ac:dyDescent="0.3">
      <c r="C765" s="33"/>
      <c r="E765" s="33"/>
      <c r="G765" s="33"/>
    </row>
    <row r="766" spans="3:7" x14ac:dyDescent="0.3">
      <c r="C766" s="33"/>
      <c r="E766" s="33"/>
      <c r="G766" s="33"/>
    </row>
    <row r="767" spans="3:7" x14ac:dyDescent="0.3">
      <c r="C767" s="33"/>
      <c r="E767" s="33"/>
      <c r="G767" s="33"/>
    </row>
    <row r="768" spans="3:7" x14ac:dyDescent="0.3">
      <c r="C768" s="33"/>
      <c r="E768" s="33"/>
      <c r="G768" s="33"/>
    </row>
    <row r="769" spans="3:7" x14ac:dyDescent="0.3">
      <c r="C769" s="33"/>
      <c r="E769" s="33"/>
      <c r="G769" s="33"/>
    </row>
    <row r="770" spans="3:7" x14ac:dyDescent="0.3">
      <c r="C770" s="33"/>
      <c r="E770" s="33"/>
      <c r="G770" s="33"/>
    </row>
    <row r="771" spans="3:7" x14ac:dyDescent="0.3">
      <c r="C771" s="33"/>
      <c r="E771" s="33"/>
      <c r="G771" s="33"/>
    </row>
    <row r="772" spans="3:7" x14ac:dyDescent="0.3">
      <c r="C772" s="33"/>
      <c r="E772" s="33"/>
      <c r="G772" s="33"/>
    </row>
    <row r="773" spans="3:7" x14ac:dyDescent="0.3">
      <c r="C773" s="33"/>
      <c r="E773" s="33"/>
      <c r="G773" s="33"/>
    </row>
    <row r="774" spans="3:7" x14ac:dyDescent="0.3">
      <c r="C774" s="33"/>
      <c r="E774" s="33"/>
      <c r="G774" s="33"/>
    </row>
    <row r="775" spans="3:7" x14ac:dyDescent="0.3">
      <c r="C775" s="33"/>
      <c r="E775" s="33"/>
      <c r="G775" s="33"/>
    </row>
    <row r="776" spans="3:7" x14ac:dyDescent="0.3">
      <c r="C776" s="33"/>
      <c r="E776" s="33"/>
      <c r="G776" s="33"/>
    </row>
    <row r="777" spans="3:7" x14ac:dyDescent="0.3">
      <c r="C777" s="33"/>
      <c r="E777" s="33"/>
      <c r="G777" s="33"/>
    </row>
    <row r="778" spans="3:7" x14ac:dyDescent="0.3">
      <c r="C778" s="33"/>
      <c r="E778" s="33"/>
      <c r="G778" s="33"/>
    </row>
    <row r="779" spans="3:7" x14ac:dyDescent="0.3">
      <c r="C779" s="33"/>
      <c r="E779" s="33"/>
      <c r="G779" s="33"/>
    </row>
    <row r="780" spans="3:7" x14ac:dyDescent="0.3">
      <c r="C780" s="33"/>
      <c r="E780" s="33"/>
      <c r="G780" s="33"/>
    </row>
    <row r="781" spans="3:7" x14ac:dyDescent="0.3">
      <c r="C781" s="33"/>
      <c r="E781" s="33"/>
      <c r="G781" s="33"/>
    </row>
    <row r="782" spans="3:7" x14ac:dyDescent="0.3">
      <c r="C782" s="33"/>
      <c r="E782" s="33"/>
      <c r="G782" s="33"/>
    </row>
    <row r="783" spans="3:7" x14ac:dyDescent="0.3">
      <c r="C783" s="33"/>
      <c r="E783" s="33"/>
      <c r="G783" s="33"/>
    </row>
    <row r="784" spans="3:7" x14ac:dyDescent="0.3">
      <c r="C784" s="33"/>
      <c r="E784" s="33"/>
      <c r="G784" s="33"/>
    </row>
    <row r="785" spans="3:7" x14ac:dyDescent="0.3">
      <c r="C785" s="33"/>
      <c r="E785" s="33"/>
      <c r="G785" s="33"/>
    </row>
    <row r="786" spans="3:7" x14ac:dyDescent="0.3">
      <c r="C786" s="33"/>
      <c r="E786" s="33"/>
      <c r="G786" s="33"/>
    </row>
    <row r="787" spans="3:7" x14ac:dyDescent="0.3">
      <c r="C787" s="33"/>
      <c r="E787" s="33"/>
      <c r="G787" s="33"/>
    </row>
    <row r="788" spans="3:7" x14ac:dyDescent="0.3">
      <c r="C788" s="33"/>
      <c r="E788" s="33"/>
      <c r="G788" s="33"/>
    </row>
    <row r="789" spans="3:7" x14ac:dyDescent="0.3">
      <c r="C789" s="33"/>
      <c r="E789" s="33"/>
      <c r="G789" s="33"/>
    </row>
    <row r="790" spans="3:7" x14ac:dyDescent="0.3">
      <c r="C790" s="33"/>
      <c r="E790" s="33"/>
      <c r="G790" s="33"/>
    </row>
    <row r="791" spans="3:7" x14ac:dyDescent="0.3">
      <c r="C791" s="33"/>
      <c r="E791" s="33"/>
      <c r="G791" s="33"/>
    </row>
    <row r="792" spans="3:7" x14ac:dyDescent="0.3">
      <c r="C792" s="33"/>
      <c r="E792" s="33"/>
      <c r="G792" s="33"/>
    </row>
    <row r="793" spans="3:7" x14ac:dyDescent="0.3">
      <c r="C793" s="33"/>
      <c r="E793" s="33"/>
      <c r="G793" s="33"/>
    </row>
    <row r="794" spans="3:7" x14ac:dyDescent="0.3">
      <c r="C794" s="33"/>
      <c r="E794" s="33"/>
      <c r="G794" s="33"/>
    </row>
    <row r="795" spans="3:7" x14ac:dyDescent="0.3">
      <c r="C795" s="33"/>
      <c r="E795" s="33"/>
      <c r="G795" s="33"/>
    </row>
    <row r="796" spans="3:7" x14ac:dyDescent="0.3">
      <c r="C796" s="33"/>
      <c r="E796" s="33"/>
      <c r="G796" s="33"/>
    </row>
    <row r="797" spans="3:7" x14ac:dyDescent="0.3">
      <c r="C797" s="33"/>
      <c r="E797" s="33"/>
      <c r="G797" s="33"/>
    </row>
    <row r="798" spans="3:7" x14ac:dyDescent="0.3">
      <c r="C798" s="33"/>
      <c r="E798" s="33"/>
      <c r="G798" s="33"/>
    </row>
    <row r="799" spans="3:7" x14ac:dyDescent="0.3">
      <c r="C799" s="33"/>
      <c r="E799" s="33"/>
      <c r="G799" s="33"/>
    </row>
    <row r="800" spans="3:7" x14ac:dyDescent="0.3">
      <c r="C800" s="33"/>
      <c r="E800" s="33"/>
      <c r="G800" s="33"/>
    </row>
    <row r="801" spans="3:7" x14ac:dyDescent="0.3">
      <c r="C801" s="33"/>
      <c r="E801" s="33"/>
      <c r="G801" s="33"/>
    </row>
    <row r="802" spans="3:7" x14ac:dyDescent="0.3">
      <c r="C802" s="33"/>
      <c r="E802" s="33"/>
      <c r="G802" s="33"/>
    </row>
    <row r="803" spans="3:7" x14ac:dyDescent="0.3">
      <c r="C803" s="33"/>
      <c r="E803" s="33"/>
      <c r="G803" s="33"/>
    </row>
    <row r="804" spans="3:7" x14ac:dyDescent="0.3">
      <c r="C804" s="33"/>
      <c r="E804" s="33"/>
      <c r="G804" s="33"/>
    </row>
    <row r="805" spans="3:7" x14ac:dyDescent="0.3">
      <c r="C805" s="33"/>
      <c r="E805" s="33"/>
      <c r="G805" s="33"/>
    </row>
    <row r="806" spans="3:7" x14ac:dyDescent="0.3">
      <c r="C806" s="33"/>
      <c r="E806" s="33"/>
      <c r="G806" s="33"/>
    </row>
    <row r="807" spans="3:7" x14ac:dyDescent="0.3">
      <c r="C807" s="33"/>
      <c r="E807" s="33"/>
      <c r="G807" s="33"/>
    </row>
    <row r="808" spans="3:7" x14ac:dyDescent="0.3">
      <c r="C808" s="33"/>
      <c r="E808" s="33"/>
      <c r="G808" s="33"/>
    </row>
    <row r="809" spans="3:7" x14ac:dyDescent="0.3">
      <c r="C809" s="33"/>
      <c r="E809" s="33"/>
      <c r="G809" s="33"/>
    </row>
    <row r="810" spans="3:7" x14ac:dyDescent="0.3">
      <c r="C810" s="33"/>
      <c r="E810" s="33"/>
      <c r="G810" s="33"/>
    </row>
    <row r="811" spans="3:7" x14ac:dyDescent="0.3">
      <c r="C811" s="33"/>
      <c r="E811" s="33"/>
      <c r="G811" s="33"/>
    </row>
    <row r="812" spans="3:7" x14ac:dyDescent="0.3">
      <c r="C812" s="33"/>
      <c r="E812" s="33"/>
      <c r="G812" s="33"/>
    </row>
    <row r="813" spans="3:7" x14ac:dyDescent="0.3">
      <c r="C813" s="33"/>
      <c r="E813" s="33"/>
      <c r="G813" s="33"/>
    </row>
    <row r="814" spans="3:7" x14ac:dyDescent="0.3">
      <c r="C814" s="33"/>
      <c r="E814" s="33"/>
      <c r="G814" s="33"/>
    </row>
    <row r="815" spans="3:7" x14ac:dyDescent="0.3">
      <c r="C815" s="33"/>
      <c r="E815" s="33"/>
      <c r="G815" s="33"/>
    </row>
    <row r="816" spans="3:7" x14ac:dyDescent="0.3">
      <c r="C816" s="33"/>
      <c r="E816" s="33"/>
      <c r="G816" s="33"/>
    </row>
    <row r="817" spans="3:7" x14ac:dyDescent="0.3">
      <c r="C817" s="33"/>
      <c r="E817" s="33"/>
      <c r="G817" s="33"/>
    </row>
    <row r="818" spans="3:7" x14ac:dyDescent="0.3">
      <c r="C818" s="33"/>
      <c r="E818" s="33"/>
      <c r="G818" s="33"/>
    </row>
    <row r="819" spans="3:7" x14ac:dyDescent="0.3">
      <c r="C819" s="33"/>
      <c r="E819" s="33"/>
      <c r="G819" s="33"/>
    </row>
    <row r="820" spans="3:7" x14ac:dyDescent="0.3">
      <c r="C820" s="33"/>
      <c r="E820" s="33"/>
      <c r="G820" s="33"/>
    </row>
    <row r="821" spans="3:7" x14ac:dyDescent="0.3">
      <c r="C821" s="33"/>
      <c r="E821" s="33"/>
      <c r="G821" s="33"/>
    </row>
    <row r="822" spans="3:7" x14ac:dyDescent="0.3">
      <c r="C822" s="33"/>
      <c r="E822" s="33"/>
      <c r="G822" s="33"/>
    </row>
    <row r="823" spans="3:7" x14ac:dyDescent="0.3">
      <c r="C823" s="33"/>
      <c r="E823" s="33"/>
      <c r="G823" s="33"/>
    </row>
    <row r="824" spans="3:7" x14ac:dyDescent="0.3">
      <c r="C824" s="33"/>
      <c r="E824" s="33"/>
      <c r="G824" s="33"/>
    </row>
    <row r="825" spans="3:7" x14ac:dyDescent="0.3">
      <c r="C825" s="33"/>
      <c r="E825" s="33"/>
      <c r="G825" s="33"/>
    </row>
    <row r="826" spans="3:7" x14ac:dyDescent="0.3">
      <c r="C826" s="33"/>
      <c r="E826" s="33"/>
      <c r="G826" s="33"/>
    </row>
    <row r="827" spans="3:7" x14ac:dyDescent="0.3">
      <c r="C827" s="33"/>
      <c r="E827" s="33"/>
      <c r="G827" s="33"/>
    </row>
    <row r="828" spans="3:7" x14ac:dyDescent="0.3">
      <c r="C828" s="33"/>
      <c r="E828" s="33"/>
      <c r="G828" s="33"/>
    </row>
    <row r="829" spans="3:7" x14ac:dyDescent="0.3">
      <c r="C829" s="33"/>
      <c r="E829" s="33"/>
      <c r="G829" s="33"/>
    </row>
    <row r="830" spans="3:7" x14ac:dyDescent="0.3">
      <c r="C830" s="33"/>
      <c r="E830" s="33"/>
      <c r="G830" s="33"/>
    </row>
    <row r="831" spans="3:7" x14ac:dyDescent="0.3">
      <c r="C831" s="33"/>
      <c r="E831" s="33"/>
      <c r="G831" s="33"/>
    </row>
    <row r="832" spans="3:7" x14ac:dyDescent="0.3">
      <c r="C832" s="33"/>
      <c r="E832" s="33"/>
      <c r="G832" s="33"/>
    </row>
    <row r="833" spans="3:7" x14ac:dyDescent="0.3">
      <c r="C833" s="33"/>
      <c r="E833" s="33"/>
      <c r="G833" s="33"/>
    </row>
    <row r="834" spans="3:7" x14ac:dyDescent="0.3">
      <c r="C834" s="33"/>
      <c r="E834" s="33"/>
      <c r="G834" s="33"/>
    </row>
    <row r="835" spans="3:7" x14ac:dyDescent="0.3">
      <c r="C835" s="33"/>
      <c r="E835" s="33"/>
      <c r="G835" s="33"/>
    </row>
    <row r="836" spans="3:7" x14ac:dyDescent="0.3">
      <c r="C836" s="33"/>
      <c r="E836" s="33"/>
      <c r="G836" s="33"/>
    </row>
    <row r="837" spans="3:7" x14ac:dyDescent="0.3">
      <c r="C837" s="33"/>
      <c r="E837" s="33"/>
      <c r="G837" s="33"/>
    </row>
    <row r="838" spans="3:7" x14ac:dyDescent="0.3">
      <c r="C838" s="33"/>
      <c r="E838" s="33"/>
      <c r="G838" s="33"/>
    </row>
    <row r="839" spans="3:7" x14ac:dyDescent="0.3">
      <c r="C839" s="33"/>
      <c r="E839" s="33"/>
      <c r="G839" s="33"/>
    </row>
    <row r="840" spans="3:7" x14ac:dyDescent="0.3">
      <c r="C840" s="33"/>
      <c r="E840" s="33"/>
      <c r="G840" s="33"/>
    </row>
    <row r="841" spans="3:7" x14ac:dyDescent="0.3">
      <c r="C841" s="33"/>
      <c r="E841" s="33"/>
      <c r="G841" s="33"/>
    </row>
    <row r="842" spans="3:7" x14ac:dyDescent="0.3">
      <c r="C842" s="33"/>
      <c r="E842" s="33"/>
      <c r="G842" s="33"/>
    </row>
    <row r="843" spans="3:7" x14ac:dyDescent="0.3">
      <c r="C843" s="33"/>
      <c r="E843" s="33"/>
      <c r="G843" s="33"/>
    </row>
    <row r="844" spans="3:7" x14ac:dyDescent="0.3">
      <c r="C844" s="33"/>
      <c r="E844" s="33"/>
      <c r="G844" s="33"/>
    </row>
    <row r="845" spans="3:7" x14ac:dyDescent="0.3">
      <c r="C845" s="33"/>
      <c r="E845" s="33"/>
      <c r="G845" s="33"/>
    </row>
    <row r="846" spans="3:7" x14ac:dyDescent="0.3">
      <c r="C846" s="33"/>
      <c r="E846" s="33"/>
      <c r="G846" s="33"/>
    </row>
    <row r="847" spans="3:7" x14ac:dyDescent="0.3">
      <c r="C847" s="33"/>
      <c r="E847" s="33"/>
      <c r="G847" s="33"/>
    </row>
    <row r="848" spans="3:7" x14ac:dyDescent="0.3">
      <c r="C848" s="33"/>
      <c r="E848" s="33"/>
      <c r="G848" s="33"/>
    </row>
    <row r="849" spans="3:7" x14ac:dyDescent="0.3">
      <c r="C849" s="33"/>
      <c r="E849" s="33"/>
      <c r="G849" s="33"/>
    </row>
    <row r="850" spans="3:7" x14ac:dyDescent="0.3">
      <c r="C850" s="33"/>
      <c r="E850" s="33"/>
      <c r="G850" s="33"/>
    </row>
    <row r="851" spans="3:7" x14ac:dyDescent="0.3">
      <c r="C851" s="33"/>
      <c r="E851" s="33"/>
      <c r="G851" s="33"/>
    </row>
    <row r="852" spans="3:7" x14ac:dyDescent="0.3">
      <c r="C852" s="33"/>
      <c r="E852" s="33"/>
      <c r="G852" s="33"/>
    </row>
    <row r="853" spans="3:7" x14ac:dyDescent="0.3">
      <c r="C853" s="33"/>
      <c r="E853" s="33"/>
      <c r="G853" s="33"/>
    </row>
    <row r="854" spans="3:7" x14ac:dyDescent="0.3">
      <c r="C854" s="33"/>
      <c r="E854" s="33"/>
      <c r="G854" s="33"/>
    </row>
    <row r="855" spans="3:7" x14ac:dyDescent="0.3">
      <c r="C855" s="33"/>
      <c r="E855" s="33"/>
      <c r="G855" s="33"/>
    </row>
    <row r="856" spans="3:7" x14ac:dyDescent="0.3">
      <c r="C856" s="33"/>
      <c r="E856" s="33"/>
      <c r="G856" s="33"/>
    </row>
    <row r="857" spans="3:7" x14ac:dyDescent="0.3">
      <c r="C857" s="33"/>
      <c r="E857" s="33"/>
      <c r="G857" s="33"/>
    </row>
    <row r="858" spans="3:7" x14ac:dyDescent="0.3">
      <c r="C858" s="33"/>
      <c r="E858" s="33"/>
      <c r="G858" s="33"/>
    </row>
    <row r="859" spans="3:7" x14ac:dyDescent="0.3">
      <c r="C859" s="33"/>
      <c r="E859" s="33"/>
      <c r="G859" s="33"/>
    </row>
    <row r="860" spans="3:7" x14ac:dyDescent="0.3">
      <c r="C860" s="33"/>
      <c r="E860" s="33"/>
      <c r="G860" s="33"/>
    </row>
    <row r="861" spans="3:7" x14ac:dyDescent="0.3">
      <c r="C861" s="33"/>
      <c r="E861" s="33"/>
      <c r="G861" s="33"/>
    </row>
    <row r="862" spans="3:7" x14ac:dyDescent="0.3">
      <c r="C862" s="33"/>
      <c r="E862" s="33"/>
      <c r="G862" s="33"/>
    </row>
    <row r="863" spans="3:7" x14ac:dyDescent="0.3">
      <c r="C863" s="33"/>
      <c r="E863" s="33"/>
      <c r="G863" s="33"/>
    </row>
    <row r="864" spans="3:7" x14ac:dyDescent="0.3">
      <c r="C864" s="33"/>
      <c r="E864" s="33"/>
      <c r="G864" s="33"/>
    </row>
    <row r="865" spans="3:7" x14ac:dyDescent="0.3">
      <c r="C865" s="33"/>
      <c r="E865" s="33"/>
      <c r="G865" s="33"/>
    </row>
    <row r="866" spans="3:7" x14ac:dyDescent="0.3">
      <c r="C866" s="33"/>
      <c r="E866" s="33"/>
      <c r="G866" s="33"/>
    </row>
    <row r="867" spans="3:7" x14ac:dyDescent="0.3">
      <c r="C867" s="33"/>
      <c r="E867" s="33"/>
      <c r="G867" s="33"/>
    </row>
    <row r="868" spans="3:7" x14ac:dyDescent="0.3">
      <c r="C868" s="33"/>
      <c r="E868" s="33"/>
      <c r="G868" s="33"/>
    </row>
    <row r="869" spans="3:7" x14ac:dyDescent="0.3">
      <c r="C869" s="33"/>
      <c r="E869" s="33"/>
      <c r="G869" s="33"/>
    </row>
    <row r="870" spans="3:7" x14ac:dyDescent="0.3">
      <c r="C870" s="33"/>
      <c r="E870" s="33"/>
      <c r="G870" s="33"/>
    </row>
    <row r="871" spans="3:7" x14ac:dyDescent="0.3">
      <c r="C871" s="33"/>
      <c r="E871" s="33"/>
      <c r="G871" s="33"/>
    </row>
    <row r="872" spans="3:7" x14ac:dyDescent="0.3">
      <c r="C872" s="33"/>
      <c r="E872" s="33"/>
      <c r="G872" s="33"/>
    </row>
    <row r="873" spans="3:7" x14ac:dyDescent="0.3">
      <c r="C873" s="33"/>
      <c r="E873" s="33"/>
      <c r="G873" s="33"/>
    </row>
    <row r="874" spans="3:7" x14ac:dyDescent="0.3">
      <c r="C874" s="33"/>
      <c r="E874" s="33"/>
      <c r="G874" s="33"/>
    </row>
    <row r="875" spans="3:7" x14ac:dyDescent="0.3">
      <c r="C875" s="33"/>
      <c r="E875" s="33"/>
      <c r="G875" s="33"/>
    </row>
    <row r="876" spans="3:7" x14ac:dyDescent="0.3">
      <c r="C876" s="33"/>
      <c r="E876" s="33"/>
      <c r="G876" s="33"/>
    </row>
    <row r="877" spans="3:7" x14ac:dyDescent="0.3">
      <c r="C877" s="33"/>
      <c r="E877" s="33"/>
      <c r="G877" s="33"/>
    </row>
    <row r="878" spans="3:7" x14ac:dyDescent="0.3">
      <c r="C878" s="33"/>
      <c r="E878" s="33"/>
      <c r="G878" s="33"/>
    </row>
    <row r="879" spans="3:7" x14ac:dyDescent="0.3">
      <c r="C879" s="33"/>
      <c r="E879" s="33"/>
      <c r="G879" s="33"/>
    </row>
    <row r="880" spans="3:7" x14ac:dyDescent="0.3">
      <c r="C880" s="33"/>
      <c r="E880" s="33"/>
      <c r="G880" s="33"/>
    </row>
    <row r="881" spans="3:7" x14ac:dyDescent="0.3">
      <c r="C881" s="33"/>
      <c r="E881" s="33"/>
      <c r="G881" s="33"/>
    </row>
    <row r="882" spans="3:7" x14ac:dyDescent="0.3">
      <c r="C882" s="33"/>
      <c r="E882" s="33"/>
      <c r="G882" s="33"/>
    </row>
    <row r="883" spans="3:7" x14ac:dyDescent="0.3">
      <c r="C883" s="33"/>
      <c r="E883" s="33"/>
      <c r="G883" s="33"/>
    </row>
    <row r="884" spans="3:7" x14ac:dyDescent="0.3">
      <c r="C884" s="33"/>
      <c r="E884" s="33"/>
      <c r="G884" s="33"/>
    </row>
    <row r="885" spans="3:7" x14ac:dyDescent="0.3">
      <c r="C885" s="33"/>
      <c r="E885" s="33"/>
      <c r="G885" s="33"/>
    </row>
    <row r="886" spans="3:7" x14ac:dyDescent="0.3">
      <c r="C886" s="33"/>
      <c r="E886" s="33"/>
      <c r="G886" s="33"/>
    </row>
    <row r="887" spans="3:7" x14ac:dyDescent="0.3">
      <c r="C887" s="33"/>
      <c r="E887" s="33"/>
      <c r="G887" s="33"/>
    </row>
    <row r="888" spans="3:7" x14ac:dyDescent="0.3">
      <c r="C888" s="33"/>
      <c r="E888" s="33"/>
      <c r="G888" s="33"/>
    </row>
    <row r="889" spans="3:7" x14ac:dyDescent="0.3">
      <c r="C889" s="33"/>
      <c r="E889" s="33"/>
      <c r="G889" s="33"/>
    </row>
    <row r="890" spans="3:7" x14ac:dyDescent="0.3">
      <c r="C890" s="33"/>
      <c r="E890" s="33"/>
      <c r="G890" s="33"/>
    </row>
    <row r="891" spans="3:7" x14ac:dyDescent="0.3">
      <c r="C891" s="33"/>
      <c r="E891" s="33"/>
      <c r="G891" s="33"/>
    </row>
    <row r="892" spans="3:7" x14ac:dyDescent="0.3">
      <c r="C892" s="33"/>
      <c r="E892" s="33"/>
      <c r="G892" s="33"/>
    </row>
    <row r="893" spans="3:7" x14ac:dyDescent="0.3">
      <c r="C893" s="33"/>
      <c r="E893" s="33"/>
      <c r="G893" s="33"/>
    </row>
    <row r="894" spans="3:7" x14ac:dyDescent="0.3">
      <c r="C894" s="33"/>
      <c r="E894" s="33"/>
      <c r="G894" s="33"/>
    </row>
    <row r="895" spans="3:7" x14ac:dyDescent="0.3">
      <c r="C895" s="33"/>
      <c r="E895" s="33"/>
      <c r="G895" s="33"/>
    </row>
    <row r="896" spans="3:7" x14ac:dyDescent="0.3">
      <c r="C896" s="33"/>
      <c r="E896" s="33"/>
      <c r="G896" s="33"/>
    </row>
    <row r="897" spans="3:7" x14ac:dyDescent="0.3">
      <c r="C897" s="33"/>
      <c r="E897" s="33"/>
      <c r="G897" s="33"/>
    </row>
    <row r="898" spans="3:7" x14ac:dyDescent="0.3">
      <c r="C898" s="33"/>
      <c r="E898" s="33"/>
      <c r="G898" s="33"/>
    </row>
    <row r="899" spans="3:7" x14ac:dyDescent="0.3">
      <c r="C899" s="33"/>
      <c r="E899" s="33"/>
      <c r="G899" s="33"/>
    </row>
    <row r="900" spans="3:7" x14ac:dyDescent="0.3">
      <c r="C900" s="33"/>
      <c r="E900" s="33"/>
      <c r="G900" s="33"/>
    </row>
    <row r="901" spans="3:7" x14ac:dyDescent="0.3">
      <c r="C901" s="33"/>
      <c r="E901" s="33"/>
      <c r="G901" s="33"/>
    </row>
    <row r="902" spans="3:7" x14ac:dyDescent="0.3">
      <c r="C902" s="33"/>
      <c r="E902" s="33"/>
      <c r="G902" s="33"/>
    </row>
    <row r="903" spans="3:7" x14ac:dyDescent="0.3">
      <c r="C903" s="33"/>
      <c r="E903" s="33"/>
      <c r="G903" s="33"/>
    </row>
    <row r="904" spans="3:7" x14ac:dyDescent="0.3">
      <c r="C904" s="33"/>
      <c r="E904" s="33"/>
      <c r="G904" s="33"/>
    </row>
    <row r="905" spans="3:7" x14ac:dyDescent="0.3">
      <c r="C905" s="33"/>
      <c r="E905" s="33"/>
      <c r="G905" s="33"/>
    </row>
    <row r="906" spans="3:7" x14ac:dyDescent="0.3">
      <c r="C906" s="33"/>
      <c r="E906" s="33"/>
      <c r="G906" s="33"/>
    </row>
    <row r="907" spans="3:7" x14ac:dyDescent="0.3">
      <c r="C907" s="33"/>
      <c r="E907" s="33"/>
      <c r="G907" s="33"/>
    </row>
    <row r="908" spans="3:7" x14ac:dyDescent="0.3">
      <c r="C908" s="33"/>
      <c r="E908" s="33"/>
      <c r="G908" s="33"/>
    </row>
    <row r="909" spans="3:7" x14ac:dyDescent="0.3">
      <c r="C909" s="33"/>
      <c r="E909" s="33"/>
      <c r="G909" s="33"/>
    </row>
    <row r="910" spans="3:7" x14ac:dyDescent="0.3">
      <c r="C910" s="33"/>
      <c r="E910" s="33"/>
      <c r="G910" s="33"/>
    </row>
    <row r="911" spans="3:7" x14ac:dyDescent="0.3">
      <c r="C911" s="33"/>
      <c r="E911" s="33"/>
      <c r="G911" s="33"/>
    </row>
    <row r="912" spans="3:7" x14ac:dyDescent="0.3">
      <c r="C912" s="33"/>
      <c r="E912" s="33"/>
      <c r="G912" s="33"/>
    </row>
    <row r="913" spans="3:7" x14ac:dyDescent="0.3">
      <c r="C913" s="33"/>
      <c r="E913" s="33"/>
      <c r="G913" s="33"/>
    </row>
    <row r="914" spans="3:7" x14ac:dyDescent="0.3">
      <c r="C914" s="33"/>
      <c r="E914" s="33"/>
      <c r="G914" s="33"/>
    </row>
    <row r="915" spans="3:7" x14ac:dyDescent="0.3">
      <c r="C915" s="33"/>
      <c r="E915" s="33"/>
      <c r="G915" s="33"/>
    </row>
    <row r="916" spans="3:7" x14ac:dyDescent="0.3">
      <c r="C916" s="33"/>
      <c r="E916" s="33"/>
      <c r="G916" s="33"/>
    </row>
    <row r="917" spans="3:7" x14ac:dyDescent="0.3">
      <c r="C917" s="33"/>
      <c r="E917" s="33"/>
      <c r="G917" s="33"/>
    </row>
    <row r="918" spans="3:7" x14ac:dyDescent="0.3">
      <c r="C918" s="33"/>
      <c r="E918" s="33"/>
      <c r="G918" s="33"/>
    </row>
    <row r="919" spans="3:7" x14ac:dyDescent="0.3">
      <c r="C919" s="33"/>
      <c r="E919" s="33"/>
      <c r="G919" s="33"/>
    </row>
    <row r="920" spans="3:7" x14ac:dyDescent="0.3">
      <c r="C920" s="33"/>
      <c r="E920" s="33"/>
      <c r="G920" s="33"/>
    </row>
    <row r="921" spans="3:7" x14ac:dyDescent="0.3">
      <c r="C921" s="33"/>
      <c r="E921" s="33"/>
      <c r="G921" s="33"/>
    </row>
    <row r="922" spans="3:7" x14ac:dyDescent="0.3">
      <c r="C922" s="33"/>
      <c r="E922" s="33"/>
      <c r="G922" s="33"/>
    </row>
    <row r="923" spans="3:7" x14ac:dyDescent="0.3">
      <c r="C923" s="33"/>
      <c r="E923" s="33"/>
      <c r="G923" s="33"/>
    </row>
    <row r="924" spans="3:7" x14ac:dyDescent="0.3">
      <c r="C924" s="33"/>
      <c r="E924" s="33"/>
      <c r="G924" s="33"/>
    </row>
    <row r="925" spans="3:7" x14ac:dyDescent="0.3">
      <c r="C925" s="33"/>
      <c r="E925" s="33"/>
      <c r="G925" s="33"/>
    </row>
    <row r="926" spans="3:7" x14ac:dyDescent="0.3">
      <c r="C926" s="33"/>
      <c r="E926" s="33"/>
      <c r="G926" s="33"/>
    </row>
    <row r="927" spans="3:7" x14ac:dyDescent="0.3">
      <c r="C927" s="33"/>
      <c r="E927" s="33"/>
      <c r="G927" s="33"/>
    </row>
    <row r="928" spans="3:7" x14ac:dyDescent="0.3">
      <c r="C928" s="33"/>
      <c r="E928" s="33"/>
      <c r="G928" s="33"/>
    </row>
    <row r="929" spans="3:7" x14ac:dyDescent="0.3">
      <c r="C929" s="33"/>
      <c r="E929" s="33"/>
      <c r="G929" s="33"/>
    </row>
    <row r="930" spans="3:7" x14ac:dyDescent="0.3">
      <c r="C930" s="33"/>
      <c r="E930" s="33"/>
      <c r="G930" s="33"/>
    </row>
    <row r="931" spans="3:7" x14ac:dyDescent="0.3">
      <c r="C931" s="33"/>
      <c r="E931" s="33"/>
      <c r="G931" s="33"/>
    </row>
    <row r="932" spans="3:7" x14ac:dyDescent="0.3">
      <c r="C932" s="33"/>
      <c r="E932" s="33"/>
      <c r="G932" s="33"/>
    </row>
    <row r="933" spans="3:7" x14ac:dyDescent="0.3">
      <c r="C933" s="33"/>
      <c r="E933" s="33"/>
      <c r="G933" s="33"/>
    </row>
    <row r="934" spans="3:7" x14ac:dyDescent="0.3">
      <c r="C934" s="33"/>
      <c r="E934" s="33"/>
      <c r="G934" s="33"/>
    </row>
    <row r="935" spans="3:7" x14ac:dyDescent="0.3">
      <c r="C935" s="33"/>
      <c r="E935" s="33"/>
      <c r="G935" s="33"/>
    </row>
    <row r="936" spans="3:7" x14ac:dyDescent="0.3">
      <c r="C936" s="33"/>
      <c r="E936" s="33"/>
      <c r="G936" s="33"/>
    </row>
    <row r="937" spans="3:7" x14ac:dyDescent="0.3">
      <c r="C937" s="33"/>
      <c r="E937" s="33"/>
      <c r="G937" s="33"/>
    </row>
    <row r="938" spans="3:7" x14ac:dyDescent="0.3">
      <c r="C938" s="33"/>
      <c r="E938" s="33"/>
      <c r="G938" s="33"/>
    </row>
    <row r="939" spans="3:7" x14ac:dyDescent="0.3">
      <c r="C939" s="33"/>
      <c r="E939" s="33"/>
      <c r="G939" s="33"/>
    </row>
    <row r="940" spans="3:7" x14ac:dyDescent="0.3">
      <c r="C940" s="33"/>
      <c r="E940" s="33"/>
      <c r="G940" s="33"/>
    </row>
    <row r="941" spans="3:7" x14ac:dyDescent="0.3">
      <c r="C941" s="33"/>
      <c r="E941" s="33"/>
      <c r="G941" s="33"/>
    </row>
    <row r="942" spans="3:7" x14ac:dyDescent="0.3">
      <c r="C942" s="33"/>
      <c r="E942" s="33"/>
      <c r="G942" s="33"/>
    </row>
    <row r="943" spans="3:7" x14ac:dyDescent="0.3">
      <c r="C943" s="33"/>
      <c r="E943" s="33"/>
      <c r="G943" s="33"/>
    </row>
    <row r="944" spans="3:7" x14ac:dyDescent="0.3">
      <c r="C944" s="33"/>
      <c r="E944" s="33"/>
      <c r="G944" s="33"/>
    </row>
    <row r="945" spans="3:7" x14ac:dyDescent="0.3">
      <c r="C945" s="33"/>
      <c r="E945" s="33"/>
      <c r="G945" s="33"/>
    </row>
    <row r="946" spans="3:7" x14ac:dyDescent="0.3">
      <c r="C946" s="33"/>
      <c r="E946" s="33"/>
      <c r="G946" s="33"/>
    </row>
    <row r="947" spans="3:7" x14ac:dyDescent="0.3">
      <c r="C947" s="33"/>
      <c r="E947" s="33"/>
      <c r="G947" s="33"/>
    </row>
    <row r="948" spans="3:7" x14ac:dyDescent="0.3">
      <c r="C948" s="33"/>
      <c r="E948" s="33"/>
      <c r="G948" s="33"/>
    </row>
    <row r="949" spans="3:7" x14ac:dyDescent="0.3">
      <c r="C949" s="33"/>
      <c r="E949" s="33"/>
      <c r="G949" s="33"/>
    </row>
    <row r="950" spans="3:7" x14ac:dyDescent="0.3">
      <c r="C950" s="33"/>
      <c r="E950" s="33"/>
      <c r="G950" s="33"/>
    </row>
    <row r="951" spans="3:7" x14ac:dyDescent="0.3">
      <c r="C951" s="33"/>
      <c r="E951" s="33"/>
      <c r="G951" s="33"/>
    </row>
    <row r="952" spans="3:7" x14ac:dyDescent="0.3">
      <c r="C952" s="33"/>
      <c r="E952" s="33"/>
      <c r="G952" s="33"/>
    </row>
    <row r="953" spans="3:7" x14ac:dyDescent="0.3">
      <c r="C953" s="33"/>
      <c r="E953" s="33"/>
      <c r="G953" s="33"/>
    </row>
    <row r="954" spans="3:7" x14ac:dyDescent="0.3">
      <c r="C954" s="33"/>
      <c r="E954" s="33"/>
      <c r="G954" s="33"/>
    </row>
    <row r="955" spans="3:7" x14ac:dyDescent="0.3">
      <c r="C955" s="33"/>
      <c r="E955" s="33"/>
      <c r="G955" s="33"/>
    </row>
    <row r="956" spans="3:7" x14ac:dyDescent="0.3">
      <c r="C956" s="33"/>
      <c r="E956" s="33"/>
      <c r="G956" s="33"/>
    </row>
    <row r="957" spans="3:7" x14ac:dyDescent="0.3">
      <c r="C957" s="33"/>
      <c r="E957" s="33"/>
      <c r="G957" s="33"/>
    </row>
    <row r="958" spans="3:7" x14ac:dyDescent="0.3">
      <c r="C958" s="33"/>
      <c r="E958" s="33"/>
      <c r="G958" s="33"/>
    </row>
    <row r="959" spans="3:7" x14ac:dyDescent="0.3">
      <c r="C959" s="33"/>
      <c r="E959" s="33"/>
      <c r="G959" s="33"/>
    </row>
    <row r="960" spans="3:7" x14ac:dyDescent="0.3">
      <c r="C960" s="33"/>
      <c r="E960" s="33"/>
      <c r="G960" s="33"/>
    </row>
    <row r="961" spans="3:7" x14ac:dyDescent="0.3">
      <c r="C961" s="33"/>
      <c r="E961" s="33"/>
      <c r="G961" s="33"/>
    </row>
    <row r="962" spans="3:7" x14ac:dyDescent="0.3">
      <c r="C962" s="33"/>
      <c r="E962" s="33"/>
      <c r="G962" s="33"/>
    </row>
    <row r="963" spans="3:7" x14ac:dyDescent="0.3">
      <c r="C963" s="33"/>
      <c r="E963" s="33"/>
      <c r="G963" s="33"/>
    </row>
    <row r="964" spans="3:7" x14ac:dyDescent="0.3">
      <c r="C964" s="33"/>
      <c r="E964" s="33"/>
      <c r="G964" s="33"/>
    </row>
    <row r="965" spans="3:7" x14ac:dyDescent="0.3">
      <c r="C965" s="33"/>
      <c r="E965" s="33"/>
      <c r="G965" s="33"/>
    </row>
    <row r="966" spans="3:7" x14ac:dyDescent="0.3">
      <c r="C966" s="33"/>
      <c r="E966" s="33"/>
      <c r="G966" s="33"/>
    </row>
    <row r="967" spans="3:7" x14ac:dyDescent="0.3">
      <c r="C967" s="33"/>
      <c r="E967" s="33"/>
      <c r="G967" s="33"/>
    </row>
    <row r="968" spans="3:7" x14ac:dyDescent="0.3">
      <c r="C968" s="33"/>
      <c r="E968" s="33"/>
      <c r="G968" s="33"/>
    </row>
    <row r="969" spans="3:7" x14ac:dyDescent="0.3">
      <c r="C969" s="33"/>
      <c r="E969" s="33"/>
      <c r="G969" s="33"/>
    </row>
    <row r="970" spans="3:7" x14ac:dyDescent="0.3">
      <c r="C970" s="33"/>
      <c r="E970" s="33"/>
      <c r="G970" s="33"/>
    </row>
    <row r="971" spans="3:7" x14ac:dyDescent="0.3">
      <c r="C971" s="33"/>
      <c r="E971" s="33"/>
      <c r="G971" s="33"/>
    </row>
    <row r="972" spans="3:7" x14ac:dyDescent="0.3">
      <c r="C972" s="33"/>
      <c r="E972" s="33"/>
      <c r="G972" s="33"/>
    </row>
    <row r="973" spans="3:7" x14ac:dyDescent="0.3">
      <c r="C973" s="33"/>
      <c r="E973" s="33"/>
      <c r="G973" s="33"/>
    </row>
    <row r="974" spans="3:7" x14ac:dyDescent="0.3">
      <c r="C974" s="33"/>
      <c r="E974" s="33"/>
      <c r="G974" s="33"/>
    </row>
    <row r="975" spans="3:7" x14ac:dyDescent="0.3">
      <c r="C975" s="33"/>
      <c r="E975" s="33"/>
      <c r="G975" s="33"/>
    </row>
    <row r="976" spans="3:7" x14ac:dyDescent="0.3">
      <c r="C976" s="33"/>
      <c r="E976" s="33"/>
      <c r="G976" s="33"/>
    </row>
    <row r="977" spans="3:7" x14ac:dyDescent="0.3">
      <c r="C977" s="33"/>
      <c r="E977" s="33"/>
      <c r="G977" s="33"/>
    </row>
    <row r="978" spans="3:7" x14ac:dyDescent="0.3">
      <c r="C978" s="33"/>
      <c r="E978" s="33"/>
      <c r="G978" s="33"/>
    </row>
    <row r="979" spans="3:7" x14ac:dyDescent="0.3">
      <c r="C979" s="33"/>
      <c r="E979" s="33"/>
      <c r="G979" s="33"/>
    </row>
    <row r="980" spans="3:7" x14ac:dyDescent="0.3">
      <c r="C980" s="33"/>
      <c r="E980" s="33"/>
      <c r="G980" s="33"/>
    </row>
    <row r="981" spans="3:7" x14ac:dyDescent="0.3">
      <c r="C981" s="33"/>
      <c r="E981" s="33"/>
      <c r="G981" s="33"/>
    </row>
    <row r="982" spans="3:7" x14ac:dyDescent="0.3">
      <c r="C982" s="33"/>
      <c r="E982" s="33"/>
      <c r="G982" s="33"/>
    </row>
    <row r="983" spans="3:7" x14ac:dyDescent="0.3">
      <c r="C983" s="33"/>
      <c r="E983" s="33"/>
      <c r="G983" s="33"/>
    </row>
    <row r="984" spans="3:7" x14ac:dyDescent="0.3">
      <c r="C984" s="33"/>
      <c r="E984" s="33"/>
      <c r="G984" s="33"/>
    </row>
    <row r="985" spans="3:7" x14ac:dyDescent="0.3">
      <c r="C985" s="33"/>
      <c r="E985" s="33"/>
      <c r="G985" s="33"/>
    </row>
    <row r="986" spans="3:7" x14ac:dyDescent="0.3">
      <c r="C986" s="33"/>
      <c r="E986" s="33"/>
      <c r="G986" s="33"/>
    </row>
    <row r="987" spans="3:7" x14ac:dyDescent="0.3">
      <c r="C987" s="33"/>
      <c r="E987" s="33"/>
      <c r="G987" s="33"/>
    </row>
    <row r="988" spans="3:7" x14ac:dyDescent="0.3">
      <c r="C988" s="33"/>
      <c r="E988" s="33"/>
      <c r="G988" s="33"/>
    </row>
    <row r="989" spans="3:7" x14ac:dyDescent="0.3">
      <c r="C989" s="33"/>
      <c r="E989" s="33"/>
      <c r="G989" s="33"/>
    </row>
    <row r="990" spans="3:7" x14ac:dyDescent="0.3">
      <c r="C990" s="33"/>
      <c r="E990" s="33"/>
      <c r="G990" s="33"/>
    </row>
    <row r="991" spans="3:7" x14ac:dyDescent="0.3">
      <c r="C991" s="33"/>
      <c r="E991" s="33"/>
      <c r="G991" s="33"/>
    </row>
    <row r="992" spans="3:7" x14ac:dyDescent="0.3">
      <c r="C992" s="33"/>
      <c r="E992" s="33"/>
      <c r="G992" s="33"/>
    </row>
    <row r="993" spans="3:7" x14ac:dyDescent="0.3">
      <c r="C993" s="33"/>
      <c r="E993" s="33"/>
      <c r="G993" s="33"/>
    </row>
    <row r="994" spans="3:7" x14ac:dyDescent="0.3">
      <c r="C994" s="33"/>
      <c r="E994" s="33"/>
      <c r="G994" s="33"/>
    </row>
    <row r="995" spans="3:7" x14ac:dyDescent="0.3">
      <c r="C995" s="33"/>
      <c r="E995" s="33"/>
      <c r="G995" s="33"/>
    </row>
    <row r="996" spans="3:7" x14ac:dyDescent="0.3">
      <c r="C996" s="33"/>
      <c r="E996" s="33"/>
      <c r="G996" s="33"/>
    </row>
    <row r="997" spans="3:7" x14ac:dyDescent="0.3">
      <c r="C997" s="33"/>
      <c r="E997" s="33"/>
      <c r="G997" s="33"/>
    </row>
    <row r="998" spans="3:7" x14ac:dyDescent="0.3">
      <c r="C998" s="33"/>
      <c r="E998" s="33"/>
      <c r="G998" s="33"/>
    </row>
    <row r="999" spans="3:7" x14ac:dyDescent="0.3">
      <c r="C999" s="33"/>
      <c r="E999" s="33"/>
      <c r="G999" s="33"/>
    </row>
    <row r="1000" spans="3:7" x14ac:dyDescent="0.3">
      <c r="C1000" s="33"/>
      <c r="E1000" s="33"/>
      <c r="G1000" s="33"/>
    </row>
    <row r="1001" spans="3:7" x14ac:dyDescent="0.3">
      <c r="C1001" s="33"/>
      <c r="E1001" s="33"/>
      <c r="G1001" s="33"/>
    </row>
    <row r="1002" spans="3:7" x14ac:dyDescent="0.3">
      <c r="C1002" s="33"/>
      <c r="E1002" s="33"/>
      <c r="G1002" s="33"/>
    </row>
    <row r="1003" spans="3:7" x14ac:dyDescent="0.3">
      <c r="C1003" s="33"/>
      <c r="E1003" s="33"/>
      <c r="G1003" s="33"/>
    </row>
    <row r="1004" spans="3:7" x14ac:dyDescent="0.3">
      <c r="C1004" s="33"/>
      <c r="E1004" s="33"/>
      <c r="G1004" s="33"/>
    </row>
    <row r="1005" spans="3:7" x14ac:dyDescent="0.3">
      <c r="C1005" s="33"/>
      <c r="E1005" s="33"/>
      <c r="G1005" s="33"/>
    </row>
    <row r="1006" spans="3:7" x14ac:dyDescent="0.3">
      <c r="C1006" s="33"/>
      <c r="E1006" s="33"/>
      <c r="G1006" s="33"/>
    </row>
    <row r="1007" spans="3:7" x14ac:dyDescent="0.3">
      <c r="C1007" s="33"/>
      <c r="E1007" s="33"/>
      <c r="G1007" s="33"/>
    </row>
    <row r="1008" spans="3:7" x14ac:dyDescent="0.3">
      <c r="C1008" s="33"/>
      <c r="E1008" s="33"/>
      <c r="G1008" s="33"/>
    </row>
    <row r="1009" spans="3:7" x14ac:dyDescent="0.3">
      <c r="C1009" s="33"/>
      <c r="E1009" s="33"/>
      <c r="G1009" s="33"/>
    </row>
    <row r="1010" spans="3:7" x14ac:dyDescent="0.3">
      <c r="C1010" s="33"/>
      <c r="E1010" s="33"/>
      <c r="G1010" s="33"/>
    </row>
    <row r="1011" spans="3:7" x14ac:dyDescent="0.3">
      <c r="C1011" s="33"/>
      <c r="E1011" s="33"/>
      <c r="G1011" s="33"/>
    </row>
    <row r="1012" spans="3:7" x14ac:dyDescent="0.3">
      <c r="C1012" s="33"/>
      <c r="E1012" s="33"/>
      <c r="G1012" s="33"/>
    </row>
    <row r="1013" spans="3:7" x14ac:dyDescent="0.3">
      <c r="C1013" s="33"/>
      <c r="E1013" s="33"/>
      <c r="G1013" s="33"/>
    </row>
    <row r="1014" spans="3:7" x14ac:dyDescent="0.3">
      <c r="C1014" s="33"/>
      <c r="E1014" s="33"/>
      <c r="G1014" s="33"/>
    </row>
    <row r="1015" spans="3:7" x14ac:dyDescent="0.3">
      <c r="C1015" s="33"/>
      <c r="E1015" s="33"/>
      <c r="G1015" s="33"/>
    </row>
    <row r="1016" spans="3:7" x14ac:dyDescent="0.3">
      <c r="C1016" s="33"/>
      <c r="E1016" s="33"/>
      <c r="G1016" s="33"/>
    </row>
    <row r="1017" spans="3:7" x14ac:dyDescent="0.3">
      <c r="C1017" s="33"/>
      <c r="E1017" s="33"/>
      <c r="G1017" s="33"/>
    </row>
    <row r="1018" spans="3:7" x14ac:dyDescent="0.3">
      <c r="C1018" s="33"/>
      <c r="E1018" s="33"/>
      <c r="G1018" s="33"/>
    </row>
    <row r="1019" spans="3:7" x14ac:dyDescent="0.3">
      <c r="C1019" s="33"/>
      <c r="E1019" s="33"/>
      <c r="G1019" s="33"/>
    </row>
    <row r="1020" spans="3:7" x14ac:dyDescent="0.3">
      <c r="C1020" s="33"/>
      <c r="E1020" s="33"/>
      <c r="G1020" s="33"/>
    </row>
    <row r="1021" spans="3:7" x14ac:dyDescent="0.3">
      <c r="C1021" s="33"/>
      <c r="E1021" s="33"/>
      <c r="G1021" s="33"/>
    </row>
    <row r="1022" spans="3:7" x14ac:dyDescent="0.3">
      <c r="C1022" s="33"/>
      <c r="E1022" s="33"/>
      <c r="G1022" s="33"/>
    </row>
    <row r="1023" spans="3:7" x14ac:dyDescent="0.3">
      <c r="C1023" s="33"/>
      <c r="E1023" s="33"/>
      <c r="G1023" s="33"/>
    </row>
    <row r="1024" spans="3:7" x14ac:dyDescent="0.3">
      <c r="C1024" s="33"/>
      <c r="E1024" s="33"/>
      <c r="G1024" s="33"/>
    </row>
    <row r="1025" spans="3:7" x14ac:dyDescent="0.3">
      <c r="C1025" s="33"/>
      <c r="E1025" s="33"/>
      <c r="G1025" s="33"/>
    </row>
    <row r="1026" spans="3:7" x14ac:dyDescent="0.3">
      <c r="C1026" s="33"/>
      <c r="E1026" s="33"/>
      <c r="G1026" s="33"/>
    </row>
    <row r="1027" spans="3:7" x14ac:dyDescent="0.3">
      <c r="C1027" s="33"/>
      <c r="E1027" s="33"/>
      <c r="G1027" s="33"/>
    </row>
    <row r="1028" spans="3:7" x14ac:dyDescent="0.3">
      <c r="C1028" s="33"/>
      <c r="E1028" s="33"/>
      <c r="G1028" s="33"/>
    </row>
    <row r="1029" spans="3:7" x14ac:dyDescent="0.3">
      <c r="C1029" s="33"/>
      <c r="E1029" s="33"/>
      <c r="G1029" s="33"/>
    </row>
    <row r="1030" spans="3:7" x14ac:dyDescent="0.3">
      <c r="C1030" s="33"/>
      <c r="E1030" s="33"/>
      <c r="G1030" s="33"/>
    </row>
    <row r="1031" spans="3:7" x14ac:dyDescent="0.3">
      <c r="C1031" s="33"/>
      <c r="E1031" s="33"/>
      <c r="G1031" s="33"/>
    </row>
    <row r="1032" spans="3:7" x14ac:dyDescent="0.3">
      <c r="C1032" s="33"/>
      <c r="E1032" s="33"/>
      <c r="G1032" s="33"/>
    </row>
    <row r="1033" spans="3:7" x14ac:dyDescent="0.3">
      <c r="C1033" s="33"/>
      <c r="E1033" s="33"/>
      <c r="G1033" s="33"/>
    </row>
    <row r="1034" spans="3:7" x14ac:dyDescent="0.3">
      <c r="C1034" s="33"/>
      <c r="E1034" s="33"/>
      <c r="G1034" s="33"/>
    </row>
    <row r="1035" spans="3:7" x14ac:dyDescent="0.3">
      <c r="C1035" s="33"/>
      <c r="E1035" s="33"/>
      <c r="G1035" s="33"/>
    </row>
    <row r="1036" spans="3:7" x14ac:dyDescent="0.3">
      <c r="C1036" s="33"/>
      <c r="E1036" s="33"/>
      <c r="G1036" s="33"/>
    </row>
    <row r="1037" spans="3:7" x14ac:dyDescent="0.3">
      <c r="C1037" s="33"/>
      <c r="E1037" s="33"/>
      <c r="G1037" s="33"/>
    </row>
    <row r="1038" spans="3:7" x14ac:dyDescent="0.3">
      <c r="C1038" s="33"/>
      <c r="E1038" s="33"/>
      <c r="G1038" s="33"/>
    </row>
    <row r="1039" spans="3:7" x14ac:dyDescent="0.3">
      <c r="C1039" s="33"/>
      <c r="E1039" s="33"/>
      <c r="G1039" s="33"/>
    </row>
    <row r="1040" spans="3:7" x14ac:dyDescent="0.3">
      <c r="C1040" s="33"/>
      <c r="E1040" s="33"/>
      <c r="G1040" s="33"/>
    </row>
    <row r="1041" spans="3:7" x14ac:dyDescent="0.3">
      <c r="C1041" s="33"/>
      <c r="E1041" s="33"/>
      <c r="G1041" s="33"/>
    </row>
    <row r="1042" spans="3:7" x14ac:dyDescent="0.3">
      <c r="C1042" s="33"/>
      <c r="E1042" s="33"/>
      <c r="G1042" s="33"/>
    </row>
    <row r="1043" spans="3:7" x14ac:dyDescent="0.3">
      <c r="C1043" s="33"/>
      <c r="E1043" s="33"/>
      <c r="G1043" s="33"/>
    </row>
    <row r="1044" spans="3:7" x14ac:dyDescent="0.3">
      <c r="C1044" s="33"/>
      <c r="E1044" s="33"/>
      <c r="G1044" s="33"/>
    </row>
    <row r="1045" spans="3:7" x14ac:dyDescent="0.3">
      <c r="C1045" s="33"/>
      <c r="E1045" s="33"/>
      <c r="G1045" s="33"/>
    </row>
    <row r="1046" spans="3:7" x14ac:dyDescent="0.3">
      <c r="C1046" s="33"/>
      <c r="E1046" s="33"/>
      <c r="G1046" s="33"/>
    </row>
    <row r="1047" spans="3:7" x14ac:dyDescent="0.3">
      <c r="C1047" s="33"/>
      <c r="E1047" s="33"/>
      <c r="G1047" s="33"/>
    </row>
    <row r="1048" spans="3:7" x14ac:dyDescent="0.3">
      <c r="C1048" s="33"/>
      <c r="E1048" s="33"/>
      <c r="G1048" s="33"/>
    </row>
    <row r="1049" spans="3:7" x14ac:dyDescent="0.3">
      <c r="C1049" s="33"/>
      <c r="E1049" s="33"/>
      <c r="G1049" s="33"/>
    </row>
    <row r="1050" spans="3:7" x14ac:dyDescent="0.3">
      <c r="C1050" s="33"/>
      <c r="E1050" s="33"/>
      <c r="G1050" s="33"/>
    </row>
    <row r="1051" spans="3:7" x14ac:dyDescent="0.3">
      <c r="C1051" s="33"/>
      <c r="E1051" s="33"/>
      <c r="G1051" s="33"/>
    </row>
    <row r="1052" spans="3:7" x14ac:dyDescent="0.3">
      <c r="C1052" s="33"/>
      <c r="E1052" s="33"/>
      <c r="G1052" s="33"/>
    </row>
    <row r="1053" spans="3:7" x14ac:dyDescent="0.3">
      <c r="C1053" s="33"/>
      <c r="E1053" s="33"/>
      <c r="G1053" s="33"/>
    </row>
    <row r="1054" spans="3:7" x14ac:dyDescent="0.3">
      <c r="C1054" s="33"/>
      <c r="E1054" s="33"/>
      <c r="G1054" s="33"/>
    </row>
    <row r="1055" spans="3:7" x14ac:dyDescent="0.3">
      <c r="C1055" s="33"/>
      <c r="E1055" s="33"/>
      <c r="G1055" s="33"/>
    </row>
    <row r="1056" spans="3:7" x14ac:dyDescent="0.3">
      <c r="C1056" s="33"/>
      <c r="E1056" s="33"/>
      <c r="G1056" s="33"/>
    </row>
    <row r="1057" spans="3:7" x14ac:dyDescent="0.3">
      <c r="C1057" s="33"/>
      <c r="E1057" s="33"/>
      <c r="G1057" s="33"/>
    </row>
    <row r="1058" spans="3:7" x14ac:dyDescent="0.3">
      <c r="C1058" s="33"/>
      <c r="E1058" s="33"/>
      <c r="G1058" s="33"/>
    </row>
    <row r="1059" spans="3:7" x14ac:dyDescent="0.3">
      <c r="C1059" s="33"/>
      <c r="E1059" s="33"/>
      <c r="G1059" s="33"/>
    </row>
    <row r="1060" spans="3:7" x14ac:dyDescent="0.3">
      <c r="C1060" s="33"/>
      <c r="E1060" s="33"/>
      <c r="G1060" s="33"/>
    </row>
    <row r="1061" spans="3:7" x14ac:dyDescent="0.3">
      <c r="C1061" s="33"/>
      <c r="E1061" s="33"/>
      <c r="G1061" s="33"/>
    </row>
    <row r="1062" spans="3:7" x14ac:dyDescent="0.3">
      <c r="C1062" s="33"/>
      <c r="E1062" s="33"/>
      <c r="G1062" s="33"/>
    </row>
    <row r="1063" spans="3:7" x14ac:dyDescent="0.3">
      <c r="C1063" s="33"/>
      <c r="E1063" s="33"/>
      <c r="G1063" s="33"/>
    </row>
    <row r="1064" spans="3:7" x14ac:dyDescent="0.3">
      <c r="C1064" s="33"/>
      <c r="E1064" s="33"/>
      <c r="G1064" s="33"/>
    </row>
    <row r="1065" spans="3:7" x14ac:dyDescent="0.3">
      <c r="C1065" s="33"/>
      <c r="E1065" s="33"/>
      <c r="G1065" s="33"/>
    </row>
    <row r="1066" spans="3:7" x14ac:dyDescent="0.3">
      <c r="C1066" s="33"/>
      <c r="E1066" s="33"/>
      <c r="G1066" s="33"/>
    </row>
    <row r="1067" spans="3:7" x14ac:dyDescent="0.3">
      <c r="C1067" s="33"/>
      <c r="E1067" s="33"/>
      <c r="G1067" s="33"/>
    </row>
    <row r="1068" spans="3:7" x14ac:dyDescent="0.3">
      <c r="C1068" s="33"/>
      <c r="E1068" s="33"/>
      <c r="G1068" s="33"/>
    </row>
    <row r="1069" spans="3:7" x14ac:dyDescent="0.3">
      <c r="C1069" s="33"/>
      <c r="E1069" s="33"/>
      <c r="G1069" s="33"/>
    </row>
    <row r="1070" spans="3:7" x14ac:dyDescent="0.3">
      <c r="C1070" s="33"/>
      <c r="E1070" s="33"/>
      <c r="G1070" s="33"/>
    </row>
    <row r="1071" spans="3:7" x14ac:dyDescent="0.3">
      <c r="C1071" s="33"/>
      <c r="E1071" s="33"/>
      <c r="G1071" s="33"/>
    </row>
    <row r="1072" spans="3:7" x14ac:dyDescent="0.3">
      <c r="C1072" s="33"/>
      <c r="E1072" s="33"/>
      <c r="G1072" s="33"/>
    </row>
    <row r="1073" spans="3:7" x14ac:dyDescent="0.3">
      <c r="C1073" s="33"/>
      <c r="E1073" s="33"/>
      <c r="G1073" s="33"/>
    </row>
    <row r="1074" spans="3:7" x14ac:dyDescent="0.3">
      <c r="C1074" s="33"/>
      <c r="E1074" s="33"/>
      <c r="G1074" s="33"/>
    </row>
    <row r="1075" spans="3:7" x14ac:dyDescent="0.3">
      <c r="C1075" s="33"/>
      <c r="E1075" s="33"/>
      <c r="G1075" s="33"/>
    </row>
    <row r="1076" spans="3:7" x14ac:dyDescent="0.3">
      <c r="C1076" s="33"/>
      <c r="E1076" s="33"/>
      <c r="G1076" s="33"/>
    </row>
    <row r="1077" spans="3:7" x14ac:dyDescent="0.3">
      <c r="C1077" s="33"/>
      <c r="E1077" s="33"/>
      <c r="G1077" s="33"/>
    </row>
    <row r="1078" spans="3:7" x14ac:dyDescent="0.3">
      <c r="C1078" s="33"/>
      <c r="E1078" s="33"/>
      <c r="G1078" s="33"/>
    </row>
    <row r="1079" spans="3:7" x14ac:dyDescent="0.3">
      <c r="C1079" s="33"/>
      <c r="E1079" s="33"/>
      <c r="G1079" s="33"/>
    </row>
    <row r="1080" spans="3:7" x14ac:dyDescent="0.3">
      <c r="C1080" s="33"/>
      <c r="E1080" s="33"/>
      <c r="G1080" s="33"/>
    </row>
    <row r="1081" spans="3:7" x14ac:dyDescent="0.3">
      <c r="C1081" s="33"/>
      <c r="E1081" s="33"/>
      <c r="G1081" s="33"/>
    </row>
    <row r="1082" spans="3:7" x14ac:dyDescent="0.3">
      <c r="C1082" s="33"/>
      <c r="E1082" s="33"/>
      <c r="G1082" s="33"/>
    </row>
    <row r="1083" spans="3:7" x14ac:dyDescent="0.3">
      <c r="C1083" s="33"/>
      <c r="E1083" s="33"/>
      <c r="G1083" s="33"/>
    </row>
    <row r="1084" spans="3:7" x14ac:dyDescent="0.3">
      <c r="C1084" s="33"/>
      <c r="E1084" s="33"/>
      <c r="G1084" s="33"/>
    </row>
    <row r="1085" spans="3:7" x14ac:dyDescent="0.3">
      <c r="C1085" s="33"/>
      <c r="E1085" s="33"/>
      <c r="G1085" s="33"/>
    </row>
    <row r="1086" spans="3:7" x14ac:dyDescent="0.3">
      <c r="C1086" s="33"/>
      <c r="E1086" s="33"/>
      <c r="G1086" s="33"/>
    </row>
    <row r="1087" spans="3:7" x14ac:dyDescent="0.3">
      <c r="C1087" s="33"/>
      <c r="E1087" s="33"/>
      <c r="G1087" s="33"/>
    </row>
    <row r="1088" spans="3:7" x14ac:dyDescent="0.3">
      <c r="C1088" s="33"/>
      <c r="E1088" s="33"/>
      <c r="G1088" s="33"/>
    </row>
    <row r="1089" spans="3:7" x14ac:dyDescent="0.3">
      <c r="C1089" s="33"/>
      <c r="E1089" s="33"/>
      <c r="G1089" s="33"/>
    </row>
    <row r="1090" spans="3:7" x14ac:dyDescent="0.3">
      <c r="C1090" s="33"/>
      <c r="E1090" s="33"/>
      <c r="G1090" s="33"/>
    </row>
    <row r="1091" spans="3:7" x14ac:dyDescent="0.3">
      <c r="C1091" s="33"/>
      <c r="E1091" s="33"/>
      <c r="G1091" s="33"/>
    </row>
    <row r="1092" spans="3:7" x14ac:dyDescent="0.3">
      <c r="C1092" s="33"/>
      <c r="E1092" s="33"/>
      <c r="G1092" s="33"/>
    </row>
    <row r="1093" spans="3:7" x14ac:dyDescent="0.3">
      <c r="C1093" s="33"/>
      <c r="E1093" s="33"/>
      <c r="G1093" s="33"/>
    </row>
    <row r="1094" spans="3:7" x14ac:dyDescent="0.3">
      <c r="C1094" s="33"/>
      <c r="E1094" s="33"/>
      <c r="G1094" s="33"/>
    </row>
    <row r="1095" spans="3:7" x14ac:dyDescent="0.3">
      <c r="C1095" s="33"/>
      <c r="E1095" s="33"/>
      <c r="G1095" s="33"/>
    </row>
    <row r="1096" spans="3:7" x14ac:dyDescent="0.3">
      <c r="C1096" s="33"/>
      <c r="E1096" s="33"/>
      <c r="G1096" s="33"/>
    </row>
    <row r="1097" spans="3:7" x14ac:dyDescent="0.3">
      <c r="C1097" s="33"/>
      <c r="E1097" s="33"/>
      <c r="G1097" s="33"/>
    </row>
    <row r="1098" spans="3:7" x14ac:dyDescent="0.3">
      <c r="C1098" s="33"/>
      <c r="E1098" s="33"/>
      <c r="G1098" s="33"/>
    </row>
    <row r="1099" spans="3:7" x14ac:dyDescent="0.3">
      <c r="C1099" s="33"/>
      <c r="E1099" s="33"/>
      <c r="G1099" s="33"/>
    </row>
    <row r="1100" spans="3:7" x14ac:dyDescent="0.3">
      <c r="C1100" s="33"/>
      <c r="E1100" s="33"/>
      <c r="G1100" s="33"/>
    </row>
    <row r="1101" spans="3:7" x14ac:dyDescent="0.3">
      <c r="C1101" s="33"/>
      <c r="E1101" s="33"/>
      <c r="G1101" s="33"/>
    </row>
    <row r="1102" spans="3:7" x14ac:dyDescent="0.3">
      <c r="C1102" s="33"/>
      <c r="E1102" s="33"/>
      <c r="G1102" s="33"/>
    </row>
    <row r="1103" spans="3:7" x14ac:dyDescent="0.3">
      <c r="C1103" s="33"/>
      <c r="E1103" s="33"/>
      <c r="G1103" s="33"/>
    </row>
    <row r="1104" spans="3:7" x14ac:dyDescent="0.3">
      <c r="C1104" s="33"/>
      <c r="E1104" s="33"/>
      <c r="G1104" s="33"/>
    </row>
    <row r="1105" spans="3:7" x14ac:dyDescent="0.3">
      <c r="C1105" s="33"/>
      <c r="E1105" s="33"/>
      <c r="G1105" s="33"/>
    </row>
    <row r="1106" spans="3:7" x14ac:dyDescent="0.3">
      <c r="C1106" s="33"/>
      <c r="E1106" s="33"/>
      <c r="G1106" s="33"/>
    </row>
    <row r="1107" spans="3:7" x14ac:dyDescent="0.3">
      <c r="C1107" s="33"/>
      <c r="E1107" s="33"/>
      <c r="G1107" s="33"/>
    </row>
    <row r="1108" spans="3:7" x14ac:dyDescent="0.3">
      <c r="C1108" s="33"/>
      <c r="E1108" s="33"/>
      <c r="G1108" s="33"/>
    </row>
    <row r="1109" spans="3:7" x14ac:dyDescent="0.3">
      <c r="C1109" s="33"/>
      <c r="E1109" s="33"/>
      <c r="G1109" s="33"/>
    </row>
    <row r="1110" spans="3:7" x14ac:dyDescent="0.3">
      <c r="C1110" s="33"/>
      <c r="E1110" s="33"/>
      <c r="G1110" s="33"/>
    </row>
    <row r="1111" spans="3:7" x14ac:dyDescent="0.3">
      <c r="C1111" s="33"/>
      <c r="E1111" s="33"/>
      <c r="G1111" s="33"/>
    </row>
    <row r="1112" spans="3:7" x14ac:dyDescent="0.3">
      <c r="C1112" s="33"/>
      <c r="E1112" s="33"/>
      <c r="G1112" s="33"/>
    </row>
    <row r="1113" spans="3:7" x14ac:dyDescent="0.3">
      <c r="C1113" s="33"/>
      <c r="E1113" s="33"/>
      <c r="G1113" s="33"/>
    </row>
    <row r="1114" spans="3:7" x14ac:dyDescent="0.3">
      <c r="C1114" s="33"/>
      <c r="E1114" s="33"/>
      <c r="G1114" s="33"/>
    </row>
    <row r="1115" spans="3:7" x14ac:dyDescent="0.3">
      <c r="C1115" s="33"/>
      <c r="E1115" s="33"/>
      <c r="G1115" s="33"/>
    </row>
    <row r="1116" spans="3:7" x14ac:dyDescent="0.3">
      <c r="C1116" s="33"/>
      <c r="E1116" s="33"/>
      <c r="G1116" s="33"/>
    </row>
    <row r="1117" spans="3:7" x14ac:dyDescent="0.3">
      <c r="C1117" s="33"/>
      <c r="E1117" s="33"/>
      <c r="G1117" s="33"/>
    </row>
    <row r="1118" spans="3:7" x14ac:dyDescent="0.3">
      <c r="C1118" s="33"/>
      <c r="E1118" s="33"/>
      <c r="G1118" s="33"/>
    </row>
    <row r="1119" spans="3:7" x14ac:dyDescent="0.3">
      <c r="C1119" s="33"/>
      <c r="E1119" s="33"/>
      <c r="G1119" s="33"/>
    </row>
    <row r="1120" spans="3:7" x14ac:dyDescent="0.3">
      <c r="C1120" s="33"/>
      <c r="E1120" s="33"/>
      <c r="G1120" s="33"/>
    </row>
    <row r="1121" spans="3:7" x14ac:dyDescent="0.3">
      <c r="C1121" s="33"/>
      <c r="E1121" s="33"/>
      <c r="G1121" s="33"/>
    </row>
    <row r="1122" spans="3:7" x14ac:dyDescent="0.3">
      <c r="C1122" s="33"/>
      <c r="E1122" s="33"/>
      <c r="G1122" s="33"/>
    </row>
    <row r="1123" spans="3:7" x14ac:dyDescent="0.3">
      <c r="C1123" s="33"/>
      <c r="E1123" s="33"/>
      <c r="G1123" s="33"/>
    </row>
    <row r="1124" spans="3:7" x14ac:dyDescent="0.3">
      <c r="C1124" s="33"/>
      <c r="E1124" s="33"/>
      <c r="G1124" s="33"/>
    </row>
    <row r="1125" spans="3:7" x14ac:dyDescent="0.3">
      <c r="C1125" s="33"/>
      <c r="E1125" s="33"/>
      <c r="G1125" s="33"/>
    </row>
    <row r="1126" spans="3:7" x14ac:dyDescent="0.3">
      <c r="C1126" s="33"/>
      <c r="E1126" s="33"/>
      <c r="G1126" s="33"/>
    </row>
    <row r="1127" spans="3:7" x14ac:dyDescent="0.3">
      <c r="C1127" s="33"/>
      <c r="E1127" s="33"/>
      <c r="G1127" s="33"/>
    </row>
    <row r="1128" spans="3:7" x14ac:dyDescent="0.3">
      <c r="C1128" s="33"/>
      <c r="E1128" s="33"/>
      <c r="G1128" s="33"/>
    </row>
    <row r="1129" spans="3:7" x14ac:dyDescent="0.3">
      <c r="C1129" s="33"/>
      <c r="E1129" s="33"/>
      <c r="G1129" s="33"/>
    </row>
    <row r="1130" spans="3:7" x14ac:dyDescent="0.3">
      <c r="C1130" s="33"/>
      <c r="E1130" s="33"/>
      <c r="G1130" s="33"/>
    </row>
    <row r="1131" spans="3:7" x14ac:dyDescent="0.3">
      <c r="C1131" s="33"/>
      <c r="E1131" s="33"/>
      <c r="G1131" s="33"/>
    </row>
    <row r="1132" spans="3:7" x14ac:dyDescent="0.3">
      <c r="C1132" s="33"/>
      <c r="E1132" s="33"/>
      <c r="G1132" s="33"/>
    </row>
    <row r="1133" spans="3:7" x14ac:dyDescent="0.3">
      <c r="C1133" s="33"/>
      <c r="E1133" s="33"/>
      <c r="G1133" s="33"/>
    </row>
    <row r="1134" spans="3:7" x14ac:dyDescent="0.3">
      <c r="C1134" s="33"/>
      <c r="E1134" s="33"/>
      <c r="G1134" s="33"/>
    </row>
    <row r="1135" spans="3:7" x14ac:dyDescent="0.3">
      <c r="C1135" s="33"/>
      <c r="E1135" s="33"/>
      <c r="G1135" s="33"/>
    </row>
    <row r="1136" spans="3:7" x14ac:dyDescent="0.3">
      <c r="C1136" s="33"/>
      <c r="E1136" s="33"/>
      <c r="G1136" s="33"/>
    </row>
    <row r="1137" spans="3:7" x14ac:dyDescent="0.3">
      <c r="C1137" s="33"/>
      <c r="E1137" s="33"/>
      <c r="G1137" s="33"/>
    </row>
    <row r="1138" spans="3:7" x14ac:dyDescent="0.3">
      <c r="C1138" s="33"/>
      <c r="E1138" s="33"/>
      <c r="G1138" s="33"/>
    </row>
    <row r="1139" spans="3:7" x14ac:dyDescent="0.3">
      <c r="C1139" s="33"/>
      <c r="E1139" s="33"/>
      <c r="G1139" s="33"/>
    </row>
    <row r="1140" spans="3:7" x14ac:dyDescent="0.3">
      <c r="C1140" s="33"/>
      <c r="E1140" s="33"/>
      <c r="G1140" s="33"/>
    </row>
    <row r="1141" spans="3:7" x14ac:dyDescent="0.3">
      <c r="C1141" s="33"/>
      <c r="E1141" s="33"/>
      <c r="G1141" s="33"/>
    </row>
    <row r="1142" spans="3:7" x14ac:dyDescent="0.3">
      <c r="C1142" s="33"/>
      <c r="E1142" s="33"/>
      <c r="G1142" s="33"/>
    </row>
    <row r="1143" spans="3:7" x14ac:dyDescent="0.3">
      <c r="C1143" s="33"/>
      <c r="E1143" s="33"/>
      <c r="G1143" s="33"/>
    </row>
    <row r="1144" spans="3:7" x14ac:dyDescent="0.3">
      <c r="C1144" s="33"/>
      <c r="E1144" s="33"/>
      <c r="G1144" s="33"/>
    </row>
    <row r="1145" spans="3:7" x14ac:dyDescent="0.3">
      <c r="C1145" s="33"/>
      <c r="E1145" s="33"/>
      <c r="G1145" s="33"/>
    </row>
    <row r="1146" spans="3:7" x14ac:dyDescent="0.3">
      <c r="C1146" s="33"/>
      <c r="E1146" s="33"/>
      <c r="G1146" s="33"/>
    </row>
    <row r="1147" spans="3:7" x14ac:dyDescent="0.3">
      <c r="C1147" s="33"/>
      <c r="E1147" s="33"/>
      <c r="G1147" s="33"/>
    </row>
    <row r="1148" spans="3:7" x14ac:dyDescent="0.3">
      <c r="C1148" s="33"/>
      <c r="E1148" s="33"/>
      <c r="G1148" s="33"/>
    </row>
    <row r="1149" spans="3:7" x14ac:dyDescent="0.3">
      <c r="C1149" s="33"/>
      <c r="E1149" s="33"/>
      <c r="G1149" s="33"/>
    </row>
    <row r="1150" spans="3:7" x14ac:dyDescent="0.3">
      <c r="C1150" s="33"/>
      <c r="E1150" s="33"/>
      <c r="G1150" s="33"/>
    </row>
    <row r="1151" spans="3:7" x14ac:dyDescent="0.3">
      <c r="C1151" s="33"/>
      <c r="E1151" s="33"/>
      <c r="G1151" s="33"/>
    </row>
    <row r="1152" spans="3:7" x14ac:dyDescent="0.3">
      <c r="C1152" s="33"/>
      <c r="E1152" s="33"/>
      <c r="G1152" s="33"/>
    </row>
    <row r="1153" spans="3:7" x14ac:dyDescent="0.3">
      <c r="C1153" s="33"/>
      <c r="E1153" s="33"/>
      <c r="G1153" s="33"/>
    </row>
    <row r="1154" spans="3:7" x14ac:dyDescent="0.3">
      <c r="C1154" s="33"/>
      <c r="E1154" s="33"/>
      <c r="G1154" s="33"/>
    </row>
    <row r="1155" spans="3:7" x14ac:dyDescent="0.3">
      <c r="C1155" s="33"/>
      <c r="E1155" s="33"/>
      <c r="G1155" s="33"/>
    </row>
    <row r="1156" spans="3:7" x14ac:dyDescent="0.3">
      <c r="C1156" s="33"/>
      <c r="E1156" s="33"/>
      <c r="G1156" s="33"/>
    </row>
    <row r="1157" spans="3:7" x14ac:dyDescent="0.3">
      <c r="C1157" s="33"/>
      <c r="E1157" s="33"/>
      <c r="G1157" s="33"/>
    </row>
    <row r="1158" spans="3:7" x14ac:dyDescent="0.3">
      <c r="C1158" s="33"/>
      <c r="E1158" s="33"/>
      <c r="G1158" s="33"/>
    </row>
    <row r="1159" spans="3:7" x14ac:dyDescent="0.3">
      <c r="C1159" s="33"/>
      <c r="E1159" s="33"/>
      <c r="G1159" s="33"/>
    </row>
    <row r="1160" spans="3:7" x14ac:dyDescent="0.3">
      <c r="C1160" s="33"/>
      <c r="E1160" s="33"/>
      <c r="G1160" s="33"/>
    </row>
    <row r="1161" spans="3:7" x14ac:dyDescent="0.3">
      <c r="C1161" s="33"/>
      <c r="E1161" s="33"/>
      <c r="G1161" s="33"/>
    </row>
    <row r="1162" spans="3:7" x14ac:dyDescent="0.3">
      <c r="C1162" s="33"/>
      <c r="E1162" s="33"/>
      <c r="G1162" s="33"/>
    </row>
    <row r="1163" spans="3:7" x14ac:dyDescent="0.3">
      <c r="C1163" s="33"/>
      <c r="E1163" s="33"/>
      <c r="G1163" s="33"/>
    </row>
    <row r="1164" spans="3:7" x14ac:dyDescent="0.3">
      <c r="C1164" s="33"/>
      <c r="E1164" s="33"/>
      <c r="G1164" s="33"/>
    </row>
    <row r="1165" spans="3:7" x14ac:dyDescent="0.3">
      <c r="C1165" s="33"/>
      <c r="E1165" s="33"/>
      <c r="G1165" s="33"/>
    </row>
    <row r="1166" spans="3:7" x14ac:dyDescent="0.3">
      <c r="C1166" s="33"/>
      <c r="E1166" s="33"/>
      <c r="G1166" s="33"/>
    </row>
    <row r="1167" spans="3:7" x14ac:dyDescent="0.3">
      <c r="C1167" s="33"/>
      <c r="E1167" s="33"/>
      <c r="G1167" s="33"/>
    </row>
    <row r="1168" spans="3:7" x14ac:dyDescent="0.3">
      <c r="C1168" s="33"/>
      <c r="E1168" s="33"/>
      <c r="G1168" s="33"/>
    </row>
    <row r="1169" spans="3:7" x14ac:dyDescent="0.3">
      <c r="C1169" s="33"/>
      <c r="E1169" s="33"/>
      <c r="G1169" s="33"/>
    </row>
    <row r="1170" spans="3:7" x14ac:dyDescent="0.3">
      <c r="C1170" s="33"/>
      <c r="E1170" s="33"/>
      <c r="G1170" s="33"/>
    </row>
    <row r="1171" spans="3:7" x14ac:dyDescent="0.3">
      <c r="C1171" s="33"/>
      <c r="E1171" s="33"/>
      <c r="G1171" s="33"/>
    </row>
    <row r="1172" spans="3:7" x14ac:dyDescent="0.3">
      <c r="C1172" s="33"/>
      <c r="E1172" s="33"/>
      <c r="G1172" s="33"/>
    </row>
    <row r="1173" spans="3:7" x14ac:dyDescent="0.3">
      <c r="C1173" s="33"/>
      <c r="E1173" s="33"/>
      <c r="G1173" s="33"/>
    </row>
    <row r="1174" spans="3:7" x14ac:dyDescent="0.3">
      <c r="C1174" s="33"/>
      <c r="E1174" s="33"/>
      <c r="G1174" s="33"/>
    </row>
    <row r="1175" spans="3:7" x14ac:dyDescent="0.3">
      <c r="C1175" s="33"/>
      <c r="E1175" s="33"/>
      <c r="G1175" s="33"/>
    </row>
    <row r="1176" spans="3:7" x14ac:dyDescent="0.3">
      <c r="C1176" s="33"/>
      <c r="E1176" s="33"/>
      <c r="G1176" s="33"/>
    </row>
    <row r="1177" spans="3:7" x14ac:dyDescent="0.3">
      <c r="C1177" s="33"/>
      <c r="E1177" s="33"/>
      <c r="G1177" s="33"/>
    </row>
    <row r="1178" spans="3:7" x14ac:dyDescent="0.3">
      <c r="C1178" s="33"/>
      <c r="E1178" s="33"/>
      <c r="G1178" s="33"/>
    </row>
    <row r="1179" spans="3:7" x14ac:dyDescent="0.3">
      <c r="C1179" s="33"/>
      <c r="E1179" s="33"/>
      <c r="G1179" s="33"/>
    </row>
    <row r="1180" spans="3:7" x14ac:dyDescent="0.3">
      <c r="C1180" s="33"/>
      <c r="E1180" s="33"/>
      <c r="G1180" s="33"/>
    </row>
    <row r="1181" spans="3:7" x14ac:dyDescent="0.3">
      <c r="C1181" s="33"/>
      <c r="E1181" s="33"/>
      <c r="G1181" s="33"/>
    </row>
    <row r="1182" spans="3:7" x14ac:dyDescent="0.3">
      <c r="C1182" s="33"/>
      <c r="E1182" s="33"/>
      <c r="G1182" s="33"/>
    </row>
    <row r="1183" spans="3:7" x14ac:dyDescent="0.3">
      <c r="C1183" s="33"/>
      <c r="E1183" s="33"/>
      <c r="G1183" s="33"/>
    </row>
    <row r="1184" spans="3:7" x14ac:dyDescent="0.3">
      <c r="C1184" s="33"/>
      <c r="E1184" s="33"/>
      <c r="G1184" s="33"/>
    </row>
    <row r="1185" spans="3:7" x14ac:dyDescent="0.3">
      <c r="C1185" s="33"/>
      <c r="E1185" s="33"/>
      <c r="G1185" s="33"/>
    </row>
    <row r="1186" spans="3:7" x14ac:dyDescent="0.3">
      <c r="C1186" s="33"/>
      <c r="E1186" s="33"/>
      <c r="G1186" s="33"/>
    </row>
    <row r="1187" spans="3:7" x14ac:dyDescent="0.3">
      <c r="C1187" s="33"/>
      <c r="E1187" s="33"/>
      <c r="G1187" s="33"/>
    </row>
    <row r="1188" spans="3:7" x14ac:dyDescent="0.3">
      <c r="C1188" s="33"/>
      <c r="E1188" s="33"/>
      <c r="G1188" s="33"/>
    </row>
    <row r="1189" spans="3:7" x14ac:dyDescent="0.3">
      <c r="C1189" s="33"/>
      <c r="E1189" s="33"/>
      <c r="G1189" s="33"/>
    </row>
    <row r="1190" spans="3:7" x14ac:dyDescent="0.3">
      <c r="C1190" s="33"/>
      <c r="E1190" s="33"/>
      <c r="G1190" s="33"/>
    </row>
    <row r="1191" spans="3:7" x14ac:dyDescent="0.3">
      <c r="C1191" s="33"/>
      <c r="E1191" s="33"/>
      <c r="G1191" s="33"/>
    </row>
    <row r="1192" spans="3:7" x14ac:dyDescent="0.3">
      <c r="C1192" s="33"/>
      <c r="E1192" s="33"/>
      <c r="G1192" s="33"/>
    </row>
    <row r="1193" spans="3:7" x14ac:dyDescent="0.3">
      <c r="C1193" s="33"/>
      <c r="E1193" s="33"/>
      <c r="G1193" s="33"/>
    </row>
    <row r="1194" spans="3:7" x14ac:dyDescent="0.3">
      <c r="C1194" s="33"/>
      <c r="E1194" s="33"/>
      <c r="G1194" s="33"/>
    </row>
    <row r="1195" spans="3:7" x14ac:dyDescent="0.3">
      <c r="C1195" s="33"/>
      <c r="E1195" s="33"/>
      <c r="G1195" s="33"/>
    </row>
    <row r="1196" spans="3:7" x14ac:dyDescent="0.3">
      <c r="C1196" s="33"/>
      <c r="E1196" s="33"/>
      <c r="G1196" s="33"/>
    </row>
    <row r="1197" spans="3:7" x14ac:dyDescent="0.3">
      <c r="C1197" s="33"/>
      <c r="E1197" s="33"/>
      <c r="G1197" s="33"/>
    </row>
    <row r="1198" spans="3:7" x14ac:dyDescent="0.3">
      <c r="C1198" s="33"/>
      <c r="E1198" s="33"/>
      <c r="G1198" s="33"/>
    </row>
    <row r="1199" spans="3:7" x14ac:dyDescent="0.3">
      <c r="C1199" s="33"/>
      <c r="E1199" s="33"/>
      <c r="G1199" s="33"/>
    </row>
    <row r="1200" spans="3:7" x14ac:dyDescent="0.3">
      <c r="C1200" s="33"/>
      <c r="E1200" s="33"/>
      <c r="G1200" s="33"/>
    </row>
    <row r="1201" spans="3:7" x14ac:dyDescent="0.3">
      <c r="C1201" s="33"/>
      <c r="E1201" s="33"/>
      <c r="G1201" s="33"/>
    </row>
    <row r="1202" spans="3:7" x14ac:dyDescent="0.3">
      <c r="C1202" s="33"/>
      <c r="E1202" s="33"/>
      <c r="G1202" s="33"/>
    </row>
    <row r="1203" spans="3:7" x14ac:dyDescent="0.3">
      <c r="C1203" s="33"/>
      <c r="E1203" s="33"/>
      <c r="G1203" s="33"/>
    </row>
    <row r="1204" spans="3:7" x14ac:dyDescent="0.3">
      <c r="C1204" s="33"/>
      <c r="E1204" s="33"/>
      <c r="G1204" s="33"/>
    </row>
    <row r="1205" spans="3:7" x14ac:dyDescent="0.3">
      <c r="C1205" s="33"/>
      <c r="E1205" s="33"/>
      <c r="G1205" s="33"/>
    </row>
    <row r="1206" spans="3:7" x14ac:dyDescent="0.3">
      <c r="C1206" s="33"/>
      <c r="E1206" s="33"/>
      <c r="G1206" s="33"/>
    </row>
    <row r="1207" spans="3:7" x14ac:dyDescent="0.3">
      <c r="C1207" s="33"/>
      <c r="E1207" s="33"/>
      <c r="G1207" s="33"/>
    </row>
    <row r="1208" spans="3:7" x14ac:dyDescent="0.3">
      <c r="C1208" s="33"/>
      <c r="E1208" s="33"/>
      <c r="G1208" s="33"/>
    </row>
    <row r="1209" spans="3:7" x14ac:dyDescent="0.3">
      <c r="C1209" s="33"/>
      <c r="E1209" s="33"/>
      <c r="G1209" s="33"/>
    </row>
    <row r="1210" spans="3:7" x14ac:dyDescent="0.3">
      <c r="C1210" s="33"/>
      <c r="E1210" s="33"/>
      <c r="G1210" s="33"/>
    </row>
    <row r="1211" spans="3:7" x14ac:dyDescent="0.3">
      <c r="C1211" s="33"/>
      <c r="E1211" s="33"/>
      <c r="G1211" s="33"/>
    </row>
    <row r="1212" spans="3:7" x14ac:dyDescent="0.3">
      <c r="C1212" s="33"/>
      <c r="E1212" s="33"/>
      <c r="G1212" s="33"/>
    </row>
    <row r="1213" spans="3:7" x14ac:dyDescent="0.3">
      <c r="C1213" s="33"/>
      <c r="E1213" s="33"/>
      <c r="G1213" s="33"/>
    </row>
    <row r="1214" spans="3:7" x14ac:dyDescent="0.3">
      <c r="C1214" s="33"/>
      <c r="E1214" s="33"/>
      <c r="G1214" s="33"/>
    </row>
    <row r="1215" spans="3:7" x14ac:dyDescent="0.3">
      <c r="C1215" s="33"/>
      <c r="E1215" s="33"/>
      <c r="G1215" s="33"/>
    </row>
    <row r="1216" spans="3:7" x14ac:dyDescent="0.3">
      <c r="C1216" s="33"/>
      <c r="E1216" s="33"/>
      <c r="G1216" s="33"/>
    </row>
    <row r="1217" spans="3:7" x14ac:dyDescent="0.3">
      <c r="C1217" s="33"/>
      <c r="E1217" s="33"/>
      <c r="G1217" s="33"/>
    </row>
    <row r="1218" spans="3:7" x14ac:dyDescent="0.3">
      <c r="C1218" s="33"/>
      <c r="E1218" s="33"/>
      <c r="G1218" s="33"/>
    </row>
    <row r="1219" spans="3:7" x14ac:dyDescent="0.3">
      <c r="C1219" s="33"/>
      <c r="E1219" s="33"/>
      <c r="G1219" s="33"/>
    </row>
    <row r="1220" spans="3:7" x14ac:dyDescent="0.3">
      <c r="C1220" s="33"/>
      <c r="E1220" s="33"/>
      <c r="G1220" s="33"/>
    </row>
    <row r="1221" spans="3:7" x14ac:dyDescent="0.3">
      <c r="C1221" s="33"/>
      <c r="E1221" s="33"/>
      <c r="G1221" s="33"/>
    </row>
    <row r="1222" spans="3:7" x14ac:dyDescent="0.3">
      <c r="C1222" s="33"/>
      <c r="E1222" s="33"/>
      <c r="G1222" s="33"/>
    </row>
    <row r="1223" spans="3:7" x14ac:dyDescent="0.3">
      <c r="C1223" s="33"/>
      <c r="E1223" s="33"/>
      <c r="G1223" s="33"/>
    </row>
    <row r="1224" spans="3:7" x14ac:dyDescent="0.3">
      <c r="C1224" s="33"/>
      <c r="E1224" s="33"/>
      <c r="G1224" s="33"/>
    </row>
    <row r="1225" spans="3:7" x14ac:dyDescent="0.3">
      <c r="C1225" s="33"/>
      <c r="E1225" s="33"/>
      <c r="G1225" s="33"/>
    </row>
    <row r="1226" spans="3:7" x14ac:dyDescent="0.3">
      <c r="C1226" s="33"/>
      <c r="E1226" s="33"/>
      <c r="G1226" s="33"/>
    </row>
    <row r="1227" spans="3:7" x14ac:dyDescent="0.3">
      <c r="C1227" s="33"/>
      <c r="E1227" s="33"/>
      <c r="G1227" s="33"/>
    </row>
    <row r="1228" spans="3:7" x14ac:dyDescent="0.3">
      <c r="C1228" s="33"/>
      <c r="E1228" s="33"/>
      <c r="G1228" s="33"/>
    </row>
    <row r="1229" spans="3:7" x14ac:dyDescent="0.3">
      <c r="C1229" s="33"/>
      <c r="E1229" s="33"/>
      <c r="G1229" s="33"/>
    </row>
    <row r="1230" spans="3:7" x14ac:dyDescent="0.3">
      <c r="C1230" s="33"/>
      <c r="E1230" s="33"/>
      <c r="G1230" s="33"/>
    </row>
    <row r="1231" spans="3:7" x14ac:dyDescent="0.3">
      <c r="C1231" s="33"/>
      <c r="E1231" s="33"/>
      <c r="G1231" s="33"/>
    </row>
    <row r="1232" spans="3:7" x14ac:dyDescent="0.3">
      <c r="C1232" s="33"/>
      <c r="E1232" s="33"/>
      <c r="G1232" s="33"/>
    </row>
    <row r="1233" spans="3:7" x14ac:dyDescent="0.3">
      <c r="C1233" s="33"/>
      <c r="E1233" s="33"/>
      <c r="G1233" s="33"/>
    </row>
    <row r="1234" spans="3:7" x14ac:dyDescent="0.3">
      <c r="C1234" s="33"/>
      <c r="E1234" s="33"/>
      <c r="G1234" s="33"/>
    </row>
    <row r="1235" spans="3:7" x14ac:dyDescent="0.3">
      <c r="C1235" s="33"/>
      <c r="E1235" s="33"/>
      <c r="G1235" s="33"/>
    </row>
    <row r="1236" spans="3:7" x14ac:dyDescent="0.3">
      <c r="C1236" s="33"/>
      <c r="E1236" s="33"/>
      <c r="G1236" s="33"/>
    </row>
    <row r="1237" spans="3:7" x14ac:dyDescent="0.3">
      <c r="C1237" s="33"/>
      <c r="E1237" s="33"/>
      <c r="G1237" s="33"/>
    </row>
    <row r="1238" spans="3:7" x14ac:dyDescent="0.3">
      <c r="C1238" s="33"/>
      <c r="E1238" s="33"/>
      <c r="G1238" s="33"/>
    </row>
    <row r="1239" spans="3:7" x14ac:dyDescent="0.3">
      <c r="C1239" s="33"/>
      <c r="E1239" s="33"/>
      <c r="G1239" s="33"/>
    </row>
    <row r="1240" spans="3:7" x14ac:dyDescent="0.3">
      <c r="C1240" s="33"/>
      <c r="E1240" s="33"/>
      <c r="G1240" s="33"/>
    </row>
    <row r="1241" spans="3:7" x14ac:dyDescent="0.3">
      <c r="C1241" s="33"/>
      <c r="E1241" s="33"/>
      <c r="G1241" s="33"/>
    </row>
    <row r="1242" spans="3:7" x14ac:dyDescent="0.3">
      <c r="C1242" s="33"/>
      <c r="E1242" s="33"/>
      <c r="G1242" s="33"/>
    </row>
    <row r="1243" spans="3:7" x14ac:dyDescent="0.3">
      <c r="C1243" s="33"/>
      <c r="E1243" s="33"/>
      <c r="G1243" s="33"/>
    </row>
    <row r="1244" spans="3:7" x14ac:dyDescent="0.3">
      <c r="C1244" s="33"/>
      <c r="E1244" s="33"/>
      <c r="G1244" s="33"/>
    </row>
    <row r="1245" spans="3:7" x14ac:dyDescent="0.3">
      <c r="C1245" s="33"/>
      <c r="E1245" s="33"/>
      <c r="G1245" s="33"/>
    </row>
    <row r="1246" spans="3:7" x14ac:dyDescent="0.3">
      <c r="C1246" s="33"/>
      <c r="E1246" s="33"/>
      <c r="G1246" s="33"/>
    </row>
    <row r="1247" spans="3:7" x14ac:dyDescent="0.3">
      <c r="C1247" s="33"/>
      <c r="E1247" s="33"/>
      <c r="G1247" s="33"/>
    </row>
    <row r="1248" spans="3:7" x14ac:dyDescent="0.3">
      <c r="C1248" s="33"/>
      <c r="E1248" s="33"/>
      <c r="G1248" s="33"/>
    </row>
    <row r="1249" spans="3:7" x14ac:dyDescent="0.3">
      <c r="C1249" s="33"/>
      <c r="E1249" s="33"/>
      <c r="G1249" s="33"/>
    </row>
    <row r="1250" spans="3:7" x14ac:dyDescent="0.3">
      <c r="C1250" s="33"/>
      <c r="E1250" s="33"/>
      <c r="G1250" s="33"/>
    </row>
    <row r="1251" spans="3:7" x14ac:dyDescent="0.3">
      <c r="C1251" s="33"/>
      <c r="E1251" s="33"/>
      <c r="G1251" s="33"/>
    </row>
    <row r="1252" spans="3:7" x14ac:dyDescent="0.3">
      <c r="C1252" s="33"/>
      <c r="E1252" s="33"/>
      <c r="G1252" s="33"/>
    </row>
    <row r="1253" spans="3:7" x14ac:dyDescent="0.3">
      <c r="C1253" s="33"/>
      <c r="E1253" s="33"/>
      <c r="G1253" s="33"/>
    </row>
    <row r="1254" spans="3:7" x14ac:dyDescent="0.3">
      <c r="C1254" s="33"/>
      <c r="E1254" s="33"/>
      <c r="G1254" s="33"/>
    </row>
    <row r="1255" spans="3:7" x14ac:dyDescent="0.3">
      <c r="C1255" s="33"/>
      <c r="E1255" s="33"/>
      <c r="G1255" s="33"/>
    </row>
    <row r="1256" spans="3:7" x14ac:dyDescent="0.3">
      <c r="C1256" s="33"/>
      <c r="E1256" s="33"/>
      <c r="G1256" s="33"/>
    </row>
    <row r="1257" spans="3:7" x14ac:dyDescent="0.3">
      <c r="C1257" s="33"/>
      <c r="E1257" s="33"/>
      <c r="G1257" s="33"/>
    </row>
    <row r="1258" spans="3:7" x14ac:dyDescent="0.3">
      <c r="C1258" s="33"/>
      <c r="E1258" s="33"/>
      <c r="G1258" s="33"/>
    </row>
    <row r="1259" spans="3:7" x14ac:dyDescent="0.3">
      <c r="C1259" s="33"/>
      <c r="E1259" s="33"/>
      <c r="G1259" s="33"/>
    </row>
    <row r="1260" spans="3:7" x14ac:dyDescent="0.3">
      <c r="C1260" s="33"/>
      <c r="E1260" s="33"/>
      <c r="G1260" s="33"/>
    </row>
    <row r="1261" spans="3:7" x14ac:dyDescent="0.3">
      <c r="C1261" s="33"/>
      <c r="E1261" s="33"/>
      <c r="G1261" s="33"/>
    </row>
    <row r="1262" spans="3:7" x14ac:dyDescent="0.3">
      <c r="C1262" s="33"/>
      <c r="E1262" s="33"/>
      <c r="G1262" s="33"/>
    </row>
    <row r="1263" spans="3:7" x14ac:dyDescent="0.3">
      <c r="C1263" s="33"/>
      <c r="E1263" s="33"/>
      <c r="G1263" s="33"/>
    </row>
    <row r="1264" spans="3:7" x14ac:dyDescent="0.3">
      <c r="C1264" s="33"/>
      <c r="E1264" s="33"/>
      <c r="G1264" s="33"/>
    </row>
    <row r="1265" spans="3:7" x14ac:dyDescent="0.3">
      <c r="C1265" s="33"/>
      <c r="E1265" s="33"/>
      <c r="G1265" s="33"/>
    </row>
    <row r="1266" spans="3:7" x14ac:dyDescent="0.3">
      <c r="C1266" s="33"/>
      <c r="E1266" s="33"/>
      <c r="G1266" s="33"/>
    </row>
    <row r="1267" spans="3:7" x14ac:dyDescent="0.3">
      <c r="C1267" s="33"/>
      <c r="E1267" s="33"/>
      <c r="G1267" s="33"/>
    </row>
    <row r="1268" spans="3:7" x14ac:dyDescent="0.3">
      <c r="C1268" s="33"/>
      <c r="E1268" s="33"/>
      <c r="G1268" s="33"/>
    </row>
    <row r="1269" spans="3:7" x14ac:dyDescent="0.3">
      <c r="C1269" s="33"/>
      <c r="E1269" s="33"/>
      <c r="G1269" s="33"/>
    </row>
    <row r="1270" spans="3:7" x14ac:dyDescent="0.3">
      <c r="C1270" s="33"/>
      <c r="E1270" s="33"/>
      <c r="G1270" s="33"/>
    </row>
    <row r="1271" spans="3:7" x14ac:dyDescent="0.3">
      <c r="C1271" s="33"/>
      <c r="E1271" s="33"/>
      <c r="G1271" s="33"/>
    </row>
    <row r="1272" spans="3:7" x14ac:dyDescent="0.3">
      <c r="C1272" s="33"/>
      <c r="E1272" s="33"/>
      <c r="G1272" s="33"/>
    </row>
    <row r="1273" spans="3:7" x14ac:dyDescent="0.3">
      <c r="C1273" s="33"/>
      <c r="E1273" s="33"/>
      <c r="G1273" s="33"/>
    </row>
    <row r="1274" spans="3:7" x14ac:dyDescent="0.3">
      <c r="C1274" s="33"/>
      <c r="E1274" s="33"/>
      <c r="G1274" s="33"/>
    </row>
    <row r="1275" spans="3:7" x14ac:dyDescent="0.3">
      <c r="C1275" s="33"/>
      <c r="E1275" s="33"/>
      <c r="G1275" s="33"/>
    </row>
    <row r="1276" spans="3:7" x14ac:dyDescent="0.3">
      <c r="C1276" s="33"/>
      <c r="E1276" s="33"/>
      <c r="G1276" s="33"/>
    </row>
    <row r="1277" spans="3:7" x14ac:dyDescent="0.3">
      <c r="C1277" s="33"/>
      <c r="E1277" s="33"/>
      <c r="G1277" s="33"/>
    </row>
    <row r="1278" spans="3:7" x14ac:dyDescent="0.3">
      <c r="C1278" s="33"/>
      <c r="E1278" s="33"/>
      <c r="G1278" s="33"/>
    </row>
    <row r="1279" spans="3:7" x14ac:dyDescent="0.3">
      <c r="C1279" s="33"/>
      <c r="E1279" s="33"/>
      <c r="G1279" s="33"/>
    </row>
    <row r="1280" spans="3:7" x14ac:dyDescent="0.3">
      <c r="C1280" s="33"/>
      <c r="E1280" s="33"/>
      <c r="G1280" s="33"/>
    </row>
    <row r="1281" spans="3:7" x14ac:dyDescent="0.3">
      <c r="C1281" s="33"/>
      <c r="E1281" s="33"/>
      <c r="G1281" s="33"/>
    </row>
    <row r="1282" spans="3:7" x14ac:dyDescent="0.3">
      <c r="C1282" s="33"/>
      <c r="E1282" s="33"/>
      <c r="G1282" s="33"/>
    </row>
    <row r="1283" spans="3:7" x14ac:dyDescent="0.3">
      <c r="C1283" s="33"/>
      <c r="E1283" s="33"/>
      <c r="G1283" s="33"/>
    </row>
    <row r="1284" spans="3:7" x14ac:dyDescent="0.3">
      <c r="C1284" s="33"/>
      <c r="E1284" s="33"/>
      <c r="G1284" s="33"/>
    </row>
    <row r="1285" spans="3:7" x14ac:dyDescent="0.3">
      <c r="C1285" s="33"/>
      <c r="E1285" s="33"/>
      <c r="G1285" s="33"/>
    </row>
    <row r="1286" spans="3:7" x14ac:dyDescent="0.3">
      <c r="C1286" s="33"/>
      <c r="E1286" s="33"/>
      <c r="G1286" s="33"/>
    </row>
    <row r="1287" spans="3:7" x14ac:dyDescent="0.3">
      <c r="C1287" s="33"/>
      <c r="E1287" s="33"/>
      <c r="G1287" s="33"/>
    </row>
    <row r="1288" spans="3:7" x14ac:dyDescent="0.3">
      <c r="C1288" s="33"/>
      <c r="E1288" s="33"/>
      <c r="G1288" s="33"/>
    </row>
    <row r="1289" spans="3:7" x14ac:dyDescent="0.3">
      <c r="C1289" s="33"/>
      <c r="E1289" s="33"/>
      <c r="G1289" s="33"/>
    </row>
    <row r="1290" spans="3:7" x14ac:dyDescent="0.3">
      <c r="C1290" s="33"/>
      <c r="E1290" s="33"/>
      <c r="G1290" s="33"/>
    </row>
    <row r="1291" spans="3:7" x14ac:dyDescent="0.3">
      <c r="C1291" s="33"/>
      <c r="E1291" s="33"/>
      <c r="G1291" s="33"/>
    </row>
    <row r="1292" spans="3:7" x14ac:dyDescent="0.3">
      <c r="C1292" s="33"/>
      <c r="E1292" s="33"/>
      <c r="G1292" s="33"/>
    </row>
    <row r="1293" spans="3:7" x14ac:dyDescent="0.3">
      <c r="C1293" s="33"/>
      <c r="E1293" s="33"/>
      <c r="G1293" s="33"/>
    </row>
    <row r="1294" spans="3:7" x14ac:dyDescent="0.3">
      <c r="C1294" s="33"/>
      <c r="E1294" s="33"/>
      <c r="G1294" s="33"/>
    </row>
    <row r="1295" spans="3:7" x14ac:dyDescent="0.3">
      <c r="C1295" s="33"/>
      <c r="E1295" s="33"/>
      <c r="G1295" s="33"/>
    </row>
    <row r="1296" spans="3:7" x14ac:dyDescent="0.3">
      <c r="C1296" s="33"/>
      <c r="E1296" s="33"/>
      <c r="G1296" s="33"/>
    </row>
    <row r="1297" spans="3:7" x14ac:dyDescent="0.3">
      <c r="C1297" s="33"/>
      <c r="E1297" s="33"/>
      <c r="G1297" s="33"/>
    </row>
    <row r="1298" spans="3:7" x14ac:dyDescent="0.3">
      <c r="C1298" s="33"/>
      <c r="E1298" s="33"/>
      <c r="G1298" s="33"/>
    </row>
    <row r="1299" spans="3:7" x14ac:dyDescent="0.3">
      <c r="C1299" s="33"/>
      <c r="E1299" s="33"/>
      <c r="G1299" s="33"/>
    </row>
    <row r="1300" spans="3:7" x14ac:dyDescent="0.3">
      <c r="C1300" s="33"/>
      <c r="E1300" s="33"/>
      <c r="G1300" s="33"/>
    </row>
    <row r="1301" spans="3:7" x14ac:dyDescent="0.3">
      <c r="C1301" s="33"/>
      <c r="E1301" s="33"/>
      <c r="G1301" s="33"/>
    </row>
    <row r="1302" spans="3:7" x14ac:dyDescent="0.3">
      <c r="C1302" s="33"/>
      <c r="E1302" s="33"/>
      <c r="G1302" s="33"/>
    </row>
    <row r="1303" spans="3:7" x14ac:dyDescent="0.3">
      <c r="C1303" s="33"/>
      <c r="E1303" s="33"/>
      <c r="G1303" s="33"/>
    </row>
    <row r="1304" spans="3:7" x14ac:dyDescent="0.3">
      <c r="C1304" s="33"/>
      <c r="E1304" s="33"/>
      <c r="G1304" s="33"/>
    </row>
    <row r="1305" spans="3:7" x14ac:dyDescent="0.3">
      <c r="C1305" s="33"/>
      <c r="E1305" s="33"/>
      <c r="G1305" s="33"/>
    </row>
    <row r="1306" spans="3:7" x14ac:dyDescent="0.3">
      <c r="C1306" s="33"/>
      <c r="E1306" s="33"/>
      <c r="G1306" s="33"/>
    </row>
    <row r="1307" spans="3:7" x14ac:dyDescent="0.3">
      <c r="C1307" s="33"/>
      <c r="E1307" s="33"/>
      <c r="G1307" s="33"/>
    </row>
    <row r="1308" spans="3:7" x14ac:dyDescent="0.3">
      <c r="C1308" s="33"/>
      <c r="E1308" s="33"/>
      <c r="G1308" s="33"/>
    </row>
    <row r="1309" spans="3:7" x14ac:dyDescent="0.3">
      <c r="C1309" s="33"/>
      <c r="E1309" s="33"/>
      <c r="G1309" s="33"/>
    </row>
    <row r="1310" spans="3:7" x14ac:dyDescent="0.3">
      <c r="C1310" s="33"/>
      <c r="E1310" s="33"/>
      <c r="G1310" s="33"/>
    </row>
    <row r="1311" spans="3:7" x14ac:dyDescent="0.3">
      <c r="C1311" s="33"/>
      <c r="E1311" s="33"/>
      <c r="G1311" s="33"/>
    </row>
    <row r="1312" spans="3:7" x14ac:dyDescent="0.3">
      <c r="C1312" s="33"/>
      <c r="E1312" s="33"/>
      <c r="G1312" s="33"/>
    </row>
    <row r="1313" spans="3:7" x14ac:dyDescent="0.3">
      <c r="C1313" s="33"/>
      <c r="E1313" s="33"/>
      <c r="G1313" s="33"/>
    </row>
    <row r="1314" spans="3:7" x14ac:dyDescent="0.3">
      <c r="C1314" s="33"/>
      <c r="E1314" s="33"/>
      <c r="G1314" s="33"/>
    </row>
    <row r="1315" spans="3:7" x14ac:dyDescent="0.3">
      <c r="C1315" s="33"/>
      <c r="E1315" s="33"/>
      <c r="G1315" s="33"/>
    </row>
    <row r="1316" spans="3:7" x14ac:dyDescent="0.3">
      <c r="C1316" s="33"/>
      <c r="E1316" s="33"/>
      <c r="G1316" s="33"/>
    </row>
    <row r="1317" spans="3:7" x14ac:dyDescent="0.3">
      <c r="C1317" s="33"/>
      <c r="E1317" s="33"/>
      <c r="G1317" s="33"/>
    </row>
    <row r="1318" spans="3:7" x14ac:dyDescent="0.3">
      <c r="C1318" s="33"/>
      <c r="E1318" s="33"/>
      <c r="G1318" s="33"/>
    </row>
    <row r="1319" spans="3:7" x14ac:dyDescent="0.3">
      <c r="C1319" s="33"/>
      <c r="E1319" s="33"/>
      <c r="G1319" s="33"/>
    </row>
    <row r="1320" spans="3:7" x14ac:dyDescent="0.3">
      <c r="C1320" s="33"/>
      <c r="E1320" s="33"/>
      <c r="G1320" s="33"/>
    </row>
    <row r="1321" spans="3:7" x14ac:dyDescent="0.3">
      <c r="C1321" s="33"/>
      <c r="E1321" s="33"/>
      <c r="G1321" s="33"/>
    </row>
    <row r="1322" spans="3:7" x14ac:dyDescent="0.3">
      <c r="C1322" s="33"/>
      <c r="E1322" s="33"/>
      <c r="G1322" s="33"/>
    </row>
    <row r="1323" spans="3:7" x14ac:dyDescent="0.3">
      <c r="C1323" s="33"/>
      <c r="E1323" s="33"/>
      <c r="G1323" s="33"/>
    </row>
    <row r="1324" spans="3:7" x14ac:dyDescent="0.3">
      <c r="C1324" s="33"/>
      <c r="E1324" s="33"/>
      <c r="G1324" s="33"/>
    </row>
    <row r="1325" spans="3:7" x14ac:dyDescent="0.3">
      <c r="C1325" s="33"/>
      <c r="E1325" s="33"/>
      <c r="G1325" s="33"/>
    </row>
    <row r="1326" spans="3:7" x14ac:dyDescent="0.3">
      <c r="C1326" s="33"/>
      <c r="E1326" s="33"/>
      <c r="G1326" s="33"/>
    </row>
    <row r="1327" spans="3:7" x14ac:dyDescent="0.3">
      <c r="C1327" s="33"/>
      <c r="E1327" s="33"/>
      <c r="G1327" s="33"/>
    </row>
    <row r="1328" spans="3:7" x14ac:dyDescent="0.3">
      <c r="C1328" s="33"/>
      <c r="E1328" s="33"/>
      <c r="G1328" s="33"/>
    </row>
    <row r="1329" spans="3:7" x14ac:dyDescent="0.3">
      <c r="C1329" s="33"/>
      <c r="E1329" s="33"/>
      <c r="G1329" s="33"/>
    </row>
    <row r="1330" spans="3:7" x14ac:dyDescent="0.3">
      <c r="C1330" s="33"/>
      <c r="E1330" s="33"/>
      <c r="G1330" s="33"/>
    </row>
    <row r="1331" spans="3:7" x14ac:dyDescent="0.3">
      <c r="C1331" s="33"/>
      <c r="E1331" s="33"/>
      <c r="G1331" s="33"/>
    </row>
    <row r="1332" spans="3:7" x14ac:dyDescent="0.3">
      <c r="C1332" s="33"/>
      <c r="E1332" s="33"/>
      <c r="G1332" s="33"/>
    </row>
    <row r="1333" spans="3:7" x14ac:dyDescent="0.3">
      <c r="C1333" s="33"/>
      <c r="E1333" s="33"/>
      <c r="G1333" s="33"/>
    </row>
    <row r="1334" spans="3:7" x14ac:dyDescent="0.3">
      <c r="C1334" s="33"/>
      <c r="E1334" s="33"/>
      <c r="G1334" s="33"/>
    </row>
    <row r="1335" spans="3:7" x14ac:dyDescent="0.3">
      <c r="C1335" s="33"/>
      <c r="E1335" s="33"/>
      <c r="G1335" s="33"/>
    </row>
    <row r="1336" spans="3:7" x14ac:dyDescent="0.3">
      <c r="C1336" s="33"/>
      <c r="E1336" s="33"/>
      <c r="G1336" s="33"/>
    </row>
    <row r="1337" spans="3:7" x14ac:dyDescent="0.3">
      <c r="C1337" s="33"/>
      <c r="E1337" s="33"/>
      <c r="G1337" s="33"/>
    </row>
    <row r="1338" spans="3:7" x14ac:dyDescent="0.3">
      <c r="C1338" s="33"/>
      <c r="E1338" s="33"/>
      <c r="G1338" s="33"/>
    </row>
    <row r="1339" spans="3:7" x14ac:dyDescent="0.3">
      <c r="C1339" s="33"/>
      <c r="E1339" s="33"/>
      <c r="G1339" s="33"/>
    </row>
    <row r="1340" spans="3:7" x14ac:dyDescent="0.3">
      <c r="C1340" s="33"/>
      <c r="E1340" s="33"/>
      <c r="G1340" s="33"/>
    </row>
    <row r="1341" spans="3:7" x14ac:dyDescent="0.3">
      <c r="C1341" s="33"/>
      <c r="E1341" s="33"/>
      <c r="G1341" s="33"/>
    </row>
    <row r="1342" spans="3:7" x14ac:dyDescent="0.3">
      <c r="C1342" s="33"/>
      <c r="E1342" s="33"/>
      <c r="G1342" s="33"/>
    </row>
    <row r="1343" spans="3:7" x14ac:dyDescent="0.3">
      <c r="C1343" s="33"/>
      <c r="E1343" s="33"/>
      <c r="G1343" s="33"/>
    </row>
    <row r="1344" spans="3:7" x14ac:dyDescent="0.3">
      <c r="C1344" s="33"/>
      <c r="E1344" s="33"/>
      <c r="G1344" s="33"/>
    </row>
    <row r="1345" spans="3:7" x14ac:dyDescent="0.3">
      <c r="C1345" s="33"/>
      <c r="E1345" s="33"/>
      <c r="G1345" s="33"/>
    </row>
    <row r="1346" spans="3:7" x14ac:dyDescent="0.3">
      <c r="C1346" s="33"/>
      <c r="E1346" s="33"/>
      <c r="G1346" s="33"/>
    </row>
    <row r="1347" spans="3:7" x14ac:dyDescent="0.3">
      <c r="C1347" s="33"/>
      <c r="E1347" s="33"/>
      <c r="G1347" s="33"/>
    </row>
    <row r="1348" spans="3:7" x14ac:dyDescent="0.3">
      <c r="C1348" s="33"/>
      <c r="E1348" s="33"/>
      <c r="G1348" s="33"/>
    </row>
    <row r="1349" spans="3:7" x14ac:dyDescent="0.3">
      <c r="C1349" s="33"/>
      <c r="E1349" s="33"/>
      <c r="G1349" s="33"/>
    </row>
    <row r="1350" spans="3:7" x14ac:dyDescent="0.3">
      <c r="C1350" s="33"/>
      <c r="E1350" s="33"/>
      <c r="G1350" s="33"/>
    </row>
    <row r="1351" spans="3:7" x14ac:dyDescent="0.3">
      <c r="C1351" s="33"/>
      <c r="E1351" s="33"/>
      <c r="G1351" s="33"/>
    </row>
    <row r="1352" spans="3:7" x14ac:dyDescent="0.3">
      <c r="C1352" s="33"/>
      <c r="E1352" s="33"/>
      <c r="G1352" s="33"/>
    </row>
    <row r="1353" spans="3:7" x14ac:dyDescent="0.3">
      <c r="C1353" s="33"/>
      <c r="E1353" s="33"/>
      <c r="G1353" s="33"/>
    </row>
    <row r="1354" spans="3:7" x14ac:dyDescent="0.3">
      <c r="C1354" s="33"/>
      <c r="E1354" s="33"/>
      <c r="G1354" s="33"/>
    </row>
    <row r="1355" spans="3:7" x14ac:dyDescent="0.3">
      <c r="C1355" s="33"/>
      <c r="E1355" s="33"/>
      <c r="G1355" s="33"/>
    </row>
    <row r="1356" spans="3:7" x14ac:dyDescent="0.3">
      <c r="C1356" s="33"/>
      <c r="E1356" s="33"/>
      <c r="G1356" s="33"/>
    </row>
    <row r="1357" spans="3:7" x14ac:dyDescent="0.3">
      <c r="C1357" s="33"/>
      <c r="E1357" s="33"/>
      <c r="G1357" s="33"/>
    </row>
    <row r="1358" spans="3:7" x14ac:dyDescent="0.3">
      <c r="C1358" s="33"/>
      <c r="E1358" s="33"/>
      <c r="G1358" s="33"/>
    </row>
    <row r="1359" spans="3:7" x14ac:dyDescent="0.3">
      <c r="C1359" s="33"/>
      <c r="E1359" s="33"/>
      <c r="G1359" s="33"/>
    </row>
    <row r="1360" spans="3:7" x14ac:dyDescent="0.3">
      <c r="C1360" s="33"/>
      <c r="E1360" s="33"/>
      <c r="G1360" s="33"/>
    </row>
    <row r="1361" spans="3:7" x14ac:dyDescent="0.3">
      <c r="C1361" s="33"/>
      <c r="E1361" s="33"/>
      <c r="G1361" s="33"/>
    </row>
    <row r="1362" spans="3:7" x14ac:dyDescent="0.3">
      <c r="C1362" s="33"/>
      <c r="E1362" s="33"/>
      <c r="G1362" s="33"/>
    </row>
    <row r="1363" spans="3:7" x14ac:dyDescent="0.3">
      <c r="C1363" s="33"/>
      <c r="E1363" s="33"/>
      <c r="G1363" s="33"/>
    </row>
    <row r="1364" spans="3:7" x14ac:dyDescent="0.3">
      <c r="C1364" s="33"/>
      <c r="E1364" s="33"/>
      <c r="G1364" s="33"/>
    </row>
    <row r="1365" spans="3:7" x14ac:dyDescent="0.3">
      <c r="C1365" s="33"/>
      <c r="E1365" s="33"/>
      <c r="G1365" s="33"/>
    </row>
    <row r="1366" spans="3:7" x14ac:dyDescent="0.3">
      <c r="C1366" s="33"/>
      <c r="E1366" s="33"/>
      <c r="G1366" s="33"/>
    </row>
    <row r="1367" spans="3:7" x14ac:dyDescent="0.3">
      <c r="C1367" s="33"/>
      <c r="E1367" s="33"/>
      <c r="G1367" s="33"/>
    </row>
    <row r="1368" spans="3:7" x14ac:dyDescent="0.3">
      <c r="C1368" s="33"/>
      <c r="E1368" s="33"/>
      <c r="G1368" s="33"/>
    </row>
    <row r="1369" spans="3:7" x14ac:dyDescent="0.3">
      <c r="C1369" s="33"/>
      <c r="E1369" s="33"/>
      <c r="G1369" s="33"/>
    </row>
    <row r="1370" spans="3:7" x14ac:dyDescent="0.3">
      <c r="C1370" s="33"/>
      <c r="E1370" s="33"/>
      <c r="G1370" s="33"/>
    </row>
    <row r="1371" spans="3:7" x14ac:dyDescent="0.3">
      <c r="C1371" s="33"/>
      <c r="E1371" s="33"/>
      <c r="G1371" s="33"/>
    </row>
    <row r="1372" spans="3:7" x14ac:dyDescent="0.3">
      <c r="C1372" s="33"/>
      <c r="E1372" s="33"/>
      <c r="G1372" s="33"/>
    </row>
    <row r="1373" spans="3:7" x14ac:dyDescent="0.3">
      <c r="C1373" s="33"/>
      <c r="E1373" s="33"/>
      <c r="G1373" s="33"/>
    </row>
    <row r="1374" spans="3:7" x14ac:dyDescent="0.3">
      <c r="C1374" s="33"/>
      <c r="E1374" s="33"/>
      <c r="G1374" s="33"/>
    </row>
    <row r="1375" spans="3:7" x14ac:dyDescent="0.3">
      <c r="C1375" s="33"/>
      <c r="E1375" s="33"/>
      <c r="G1375" s="33"/>
    </row>
    <row r="1376" spans="3:7" x14ac:dyDescent="0.3">
      <c r="C1376" s="33"/>
      <c r="E1376" s="33"/>
      <c r="G1376" s="33"/>
    </row>
    <row r="1377" spans="3:7" x14ac:dyDescent="0.3">
      <c r="C1377" s="33"/>
      <c r="E1377" s="33"/>
      <c r="G1377" s="33"/>
    </row>
    <row r="1378" spans="3:7" x14ac:dyDescent="0.3">
      <c r="C1378" s="33"/>
      <c r="E1378" s="33"/>
      <c r="G1378" s="33"/>
    </row>
    <row r="1379" spans="3:7" x14ac:dyDescent="0.3">
      <c r="C1379" s="33"/>
      <c r="E1379" s="33"/>
      <c r="G1379" s="33"/>
    </row>
    <row r="1380" spans="3:7" x14ac:dyDescent="0.3">
      <c r="C1380" s="33"/>
      <c r="E1380" s="33"/>
      <c r="G1380" s="33"/>
    </row>
    <row r="1381" spans="3:7" x14ac:dyDescent="0.3">
      <c r="C1381" s="33"/>
      <c r="E1381" s="33"/>
      <c r="G1381" s="33"/>
    </row>
    <row r="1382" spans="3:7" x14ac:dyDescent="0.3">
      <c r="C1382" s="33"/>
      <c r="E1382" s="33"/>
      <c r="G1382" s="33"/>
    </row>
    <row r="1383" spans="3:7" x14ac:dyDescent="0.3">
      <c r="C1383" s="33"/>
      <c r="E1383" s="33"/>
      <c r="G1383" s="33"/>
    </row>
    <row r="1384" spans="3:7" x14ac:dyDescent="0.3">
      <c r="C1384" s="33"/>
      <c r="E1384" s="33"/>
      <c r="G1384" s="33"/>
    </row>
    <row r="1385" spans="3:7" x14ac:dyDescent="0.3">
      <c r="C1385" s="33"/>
      <c r="E1385" s="33"/>
      <c r="G1385" s="33"/>
    </row>
    <row r="1386" spans="3:7" x14ac:dyDescent="0.3">
      <c r="C1386" s="33"/>
      <c r="E1386" s="33"/>
      <c r="G1386" s="33"/>
    </row>
    <row r="1387" spans="3:7" x14ac:dyDescent="0.3">
      <c r="C1387" s="33"/>
      <c r="E1387" s="33"/>
      <c r="G1387" s="33"/>
    </row>
    <row r="1388" spans="3:7" x14ac:dyDescent="0.3">
      <c r="C1388" s="33"/>
      <c r="E1388" s="33"/>
      <c r="G1388" s="33"/>
    </row>
    <row r="1389" spans="3:7" x14ac:dyDescent="0.3">
      <c r="C1389" s="33"/>
      <c r="E1389" s="33"/>
      <c r="G1389" s="33"/>
    </row>
    <row r="1390" spans="3:7" x14ac:dyDescent="0.3">
      <c r="C1390" s="33"/>
      <c r="E1390" s="33"/>
      <c r="G1390" s="33"/>
    </row>
    <row r="1391" spans="3:7" x14ac:dyDescent="0.3">
      <c r="C1391" s="33"/>
      <c r="E1391" s="33"/>
      <c r="G1391" s="33"/>
    </row>
    <row r="1392" spans="3:7" x14ac:dyDescent="0.3">
      <c r="C1392" s="33"/>
      <c r="E1392" s="33"/>
      <c r="G1392" s="33"/>
    </row>
    <row r="1393" spans="3:7" x14ac:dyDescent="0.3">
      <c r="C1393" s="33"/>
      <c r="E1393" s="33"/>
      <c r="G1393" s="33"/>
    </row>
    <row r="1394" spans="3:7" x14ac:dyDescent="0.3">
      <c r="C1394" s="33"/>
      <c r="E1394" s="33"/>
      <c r="G1394" s="33"/>
    </row>
    <row r="1395" spans="3:7" x14ac:dyDescent="0.3">
      <c r="C1395" s="33"/>
      <c r="E1395" s="33"/>
      <c r="G1395" s="33"/>
    </row>
    <row r="1396" spans="3:7" x14ac:dyDescent="0.3">
      <c r="C1396" s="33"/>
      <c r="E1396" s="33"/>
      <c r="G1396" s="33"/>
    </row>
    <row r="1397" spans="3:7" x14ac:dyDescent="0.3">
      <c r="C1397" s="33"/>
      <c r="E1397" s="33"/>
      <c r="G1397" s="33"/>
    </row>
    <row r="1398" spans="3:7" x14ac:dyDescent="0.3">
      <c r="C1398" s="33"/>
      <c r="E1398" s="33"/>
      <c r="G1398" s="33"/>
    </row>
    <row r="1399" spans="3:7" x14ac:dyDescent="0.3">
      <c r="C1399" s="33"/>
      <c r="E1399" s="33"/>
      <c r="G1399" s="33"/>
    </row>
    <row r="1400" spans="3:7" x14ac:dyDescent="0.3">
      <c r="C1400" s="33"/>
      <c r="E1400" s="33"/>
      <c r="G1400" s="33"/>
    </row>
    <row r="1401" spans="3:7" x14ac:dyDescent="0.3">
      <c r="C1401" s="33"/>
      <c r="E1401" s="33"/>
      <c r="G1401" s="33"/>
    </row>
    <row r="1402" spans="3:7" x14ac:dyDescent="0.3">
      <c r="C1402" s="33"/>
      <c r="E1402" s="33"/>
      <c r="G1402" s="33"/>
    </row>
    <row r="1403" spans="3:7" x14ac:dyDescent="0.3">
      <c r="C1403" s="33"/>
      <c r="E1403" s="33"/>
      <c r="G1403" s="33"/>
    </row>
    <row r="1404" spans="3:7" x14ac:dyDescent="0.3">
      <c r="C1404" s="33"/>
      <c r="E1404" s="33"/>
      <c r="G1404" s="33"/>
    </row>
    <row r="1405" spans="3:7" x14ac:dyDescent="0.3">
      <c r="C1405" s="33"/>
      <c r="E1405" s="33"/>
      <c r="G1405" s="33"/>
    </row>
    <row r="1406" spans="3:7" x14ac:dyDescent="0.3">
      <c r="C1406" s="33"/>
      <c r="E1406" s="33"/>
      <c r="G1406" s="33"/>
    </row>
    <row r="1407" spans="3:7" x14ac:dyDescent="0.3">
      <c r="C1407" s="33"/>
      <c r="E1407" s="33"/>
      <c r="G1407" s="33"/>
    </row>
    <row r="1408" spans="3:7" x14ac:dyDescent="0.3">
      <c r="C1408" s="33"/>
      <c r="E1408" s="33"/>
      <c r="G1408" s="33"/>
    </row>
    <row r="1409" spans="3:7" x14ac:dyDescent="0.3">
      <c r="C1409" s="33"/>
      <c r="E1409" s="33"/>
      <c r="G1409" s="33"/>
    </row>
    <row r="1410" spans="3:7" x14ac:dyDescent="0.3">
      <c r="C1410" s="33"/>
      <c r="E1410" s="33"/>
      <c r="G1410" s="33"/>
    </row>
    <row r="1411" spans="3:7" x14ac:dyDescent="0.3">
      <c r="C1411" s="33"/>
      <c r="E1411" s="33"/>
      <c r="G1411" s="33"/>
    </row>
    <row r="1412" spans="3:7" x14ac:dyDescent="0.3">
      <c r="C1412" s="33"/>
      <c r="E1412" s="33"/>
      <c r="G1412" s="33"/>
    </row>
    <row r="1413" spans="3:7" x14ac:dyDescent="0.3">
      <c r="C1413" s="33"/>
      <c r="E1413" s="33"/>
      <c r="G1413" s="33"/>
    </row>
    <row r="1414" spans="3:7" x14ac:dyDescent="0.3">
      <c r="C1414" s="33"/>
      <c r="E1414" s="33"/>
      <c r="G1414" s="33"/>
    </row>
    <row r="1415" spans="3:7" x14ac:dyDescent="0.3">
      <c r="C1415" s="33"/>
      <c r="E1415" s="33"/>
      <c r="G1415" s="33"/>
    </row>
    <row r="1416" spans="3:7" x14ac:dyDescent="0.3">
      <c r="C1416" s="33"/>
      <c r="E1416" s="33"/>
      <c r="G1416" s="33"/>
    </row>
    <row r="1417" spans="3:7" x14ac:dyDescent="0.3">
      <c r="C1417" s="33"/>
      <c r="E1417" s="33"/>
      <c r="G1417" s="33"/>
    </row>
    <row r="1418" spans="3:7" x14ac:dyDescent="0.3">
      <c r="C1418" s="33"/>
      <c r="E1418" s="33"/>
      <c r="G1418" s="33"/>
    </row>
    <row r="1419" spans="3:7" x14ac:dyDescent="0.3">
      <c r="C1419" s="33"/>
      <c r="E1419" s="33"/>
      <c r="G1419" s="33"/>
    </row>
    <row r="1420" spans="3:7" x14ac:dyDescent="0.3">
      <c r="C1420" s="33"/>
      <c r="E1420" s="33"/>
      <c r="G1420" s="33"/>
    </row>
    <row r="1421" spans="3:7" x14ac:dyDescent="0.3">
      <c r="C1421" s="33"/>
      <c r="E1421" s="33"/>
      <c r="G1421" s="33"/>
    </row>
    <row r="1422" spans="3:7" x14ac:dyDescent="0.3">
      <c r="C1422" s="33"/>
      <c r="E1422" s="33"/>
      <c r="G1422" s="33"/>
    </row>
    <row r="1423" spans="3:7" x14ac:dyDescent="0.3">
      <c r="C1423" s="33"/>
      <c r="E1423" s="33"/>
      <c r="G1423" s="33"/>
    </row>
    <row r="1424" spans="3:7" x14ac:dyDescent="0.3">
      <c r="C1424" s="33"/>
      <c r="E1424" s="33"/>
      <c r="G1424" s="33"/>
    </row>
    <row r="1425" spans="3:7" x14ac:dyDescent="0.3">
      <c r="C1425" s="33"/>
      <c r="E1425" s="33"/>
      <c r="G1425" s="33"/>
    </row>
    <row r="1426" spans="3:7" x14ac:dyDescent="0.3">
      <c r="C1426" s="33"/>
      <c r="E1426" s="33"/>
      <c r="G1426" s="33"/>
    </row>
    <row r="1427" spans="3:7" x14ac:dyDescent="0.3">
      <c r="C1427" s="33"/>
      <c r="E1427" s="33"/>
      <c r="G1427" s="33"/>
    </row>
    <row r="1428" spans="3:7" x14ac:dyDescent="0.3">
      <c r="C1428" s="33"/>
      <c r="E1428" s="33"/>
      <c r="G1428" s="33"/>
    </row>
    <row r="1429" spans="3:7" x14ac:dyDescent="0.3">
      <c r="C1429" s="33"/>
      <c r="E1429" s="33"/>
      <c r="G1429" s="33"/>
    </row>
    <row r="1430" spans="3:7" x14ac:dyDescent="0.3">
      <c r="C1430" s="33"/>
      <c r="E1430" s="33"/>
      <c r="G1430" s="33"/>
    </row>
    <row r="1431" spans="3:7" x14ac:dyDescent="0.3">
      <c r="C1431" s="33"/>
      <c r="E1431" s="33"/>
      <c r="G1431" s="33"/>
    </row>
    <row r="1432" spans="3:7" x14ac:dyDescent="0.3">
      <c r="C1432" s="33"/>
      <c r="E1432" s="33"/>
      <c r="G1432" s="33"/>
    </row>
    <row r="1433" spans="3:7" x14ac:dyDescent="0.3">
      <c r="C1433" s="33"/>
      <c r="E1433" s="33"/>
      <c r="G1433" s="33"/>
    </row>
    <row r="1434" spans="3:7" x14ac:dyDescent="0.3">
      <c r="C1434" s="33"/>
      <c r="E1434" s="33"/>
      <c r="G1434" s="33"/>
    </row>
    <row r="1435" spans="3:7" x14ac:dyDescent="0.3">
      <c r="C1435" s="33"/>
      <c r="E1435" s="33"/>
      <c r="G1435" s="33"/>
    </row>
    <row r="1436" spans="3:7" x14ac:dyDescent="0.3">
      <c r="C1436" s="33"/>
      <c r="E1436" s="33"/>
      <c r="G1436" s="33"/>
    </row>
    <row r="1437" spans="3:7" x14ac:dyDescent="0.3">
      <c r="C1437" s="33"/>
      <c r="E1437" s="33"/>
      <c r="G1437" s="33"/>
    </row>
    <row r="1438" spans="3:7" x14ac:dyDescent="0.3">
      <c r="C1438" s="33"/>
      <c r="E1438" s="33"/>
      <c r="G1438" s="33"/>
    </row>
    <row r="1439" spans="3:7" x14ac:dyDescent="0.3">
      <c r="C1439" s="33"/>
      <c r="E1439" s="33"/>
      <c r="G1439" s="33"/>
    </row>
    <row r="1440" spans="3:7" x14ac:dyDescent="0.3">
      <c r="C1440" s="33"/>
      <c r="E1440" s="33"/>
      <c r="G1440" s="33"/>
    </row>
    <row r="1441" spans="3:7" x14ac:dyDescent="0.3">
      <c r="C1441" s="33"/>
      <c r="E1441" s="33"/>
      <c r="G1441" s="33"/>
    </row>
    <row r="1442" spans="3:7" x14ac:dyDescent="0.3">
      <c r="C1442" s="33"/>
      <c r="E1442" s="33"/>
      <c r="G1442" s="33"/>
    </row>
    <row r="1443" spans="3:7" x14ac:dyDescent="0.3">
      <c r="C1443" s="33"/>
      <c r="E1443" s="33"/>
      <c r="G1443" s="33"/>
    </row>
    <row r="1444" spans="3:7" x14ac:dyDescent="0.3">
      <c r="C1444" s="33"/>
      <c r="E1444" s="33"/>
      <c r="G1444" s="33"/>
    </row>
    <row r="1445" spans="3:7" x14ac:dyDescent="0.3">
      <c r="C1445" s="33"/>
      <c r="E1445" s="33"/>
      <c r="G1445" s="33"/>
    </row>
    <row r="1446" spans="3:7" x14ac:dyDescent="0.3">
      <c r="C1446" s="33"/>
      <c r="E1446" s="33"/>
      <c r="G1446" s="33"/>
    </row>
    <row r="1447" spans="3:7" x14ac:dyDescent="0.3">
      <c r="C1447" s="33"/>
      <c r="E1447" s="33"/>
      <c r="G1447" s="33"/>
    </row>
    <row r="1448" spans="3:7" x14ac:dyDescent="0.3">
      <c r="C1448" s="33"/>
      <c r="E1448" s="33"/>
      <c r="G1448" s="33"/>
    </row>
    <row r="1449" spans="3:7" x14ac:dyDescent="0.3">
      <c r="C1449" s="33"/>
      <c r="E1449" s="33"/>
      <c r="G1449" s="33"/>
    </row>
    <row r="1450" spans="3:7" x14ac:dyDescent="0.3">
      <c r="C1450" s="33"/>
      <c r="E1450" s="33"/>
      <c r="G1450" s="33"/>
    </row>
    <row r="1451" spans="3:7" x14ac:dyDescent="0.3">
      <c r="C1451" s="33"/>
      <c r="E1451" s="33"/>
      <c r="G1451" s="33"/>
    </row>
    <row r="1452" spans="3:7" x14ac:dyDescent="0.3">
      <c r="C1452" s="33"/>
      <c r="E1452" s="33"/>
      <c r="G1452" s="33"/>
    </row>
    <row r="1453" spans="3:7" x14ac:dyDescent="0.3">
      <c r="C1453" s="33"/>
      <c r="E1453" s="33"/>
      <c r="G1453" s="33"/>
    </row>
    <row r="1454" spans="3:7" x14ac:dyDescent="0.3">
      <c r="C1454" s="33"/>
      <c r="E1454" s="33"/>
      <c r="G1454" s="33"/>
    </row>
    <row r="1455" spans="3:7" x14ac:dyDescent="0.3">
      <c r="C1455" s="33"/>
      <c r="E1455" s="33"/>
      <c r="G1455" s="33"/>
    </row>
    <row r="1456" spans="3:7" x14ac:dyDescent="0.3">
      <c r="C1456" s="33"/>
      <c r="E1456" s="33"/>
      <c r="G1456" s="33"/>
    </row>
    <row r="1457" spans="3:7" x14ac:dyDescent="0.3">
      <c r="C1457" s="33"/>
      <c r="E1457" s="33"/>
      <c r="G1457" s="33"/>
    </row>
    <row r="1458" spans="3:7" x14ac:dyDescent="0.3">
      <c r="C1458" s="33"/>
      <c r="E1458" s="33"/>
      <c r="G1458" s="33"/>
    </row>
    <row r="1459" spans="3:7" x14ac:dyDescent="0.3">
      <c r="C1459" s="33"/>
      <c r="E1459" s="33"/>
      <c r="G1459" s="33"/>
    </row>
    <row r="1460" spans="3:7" x14ac:dyDescent="0.3">
      <c r="C1460" s="33"/>
      <c r="E1460" s="33"/>
      <c r="G1460" s="33"/>
    </row>
    <row r="1461" spans="3:7" x14ac:dyDescent="0.3">
      <c r="C1461" s="33"/>
      <c r="E1461" s="33"/>
      <c r="G1461" s="33"/>
    </row>
    <row r="1462" spans="3:7" x14ac:dyDescent="0.3">
      <c r="C1462" s="33"/>
      <c r="E1462" s="33"/>
      <c r="G1462" s="33"/>
    </row>
    <row r="1463" spans="3:7" x14ac:dyDescent="0.3">
      <c r="C1463" s="33"/>
      <c r="E1463" s="33"/>
      <c r="G1463" s="33"/>
    </row>
    <row r="1464" spans="3:7" x14ac:dyDescent="0.3">
      <c r="C1464" s="33"/>
      <c r="E1464" s="33"/>
      <c r="G1464" s="33"/>
    </row>
    <row r="1465" spans="3:7" x14ac:dyDescent="0.3">
      <c r="C1465" s="33"/>
      <c r="E1465" s="33"/>
      <c r="G1465" s="33"/>
    </row>
    <row r="1466" spans="3:7" x14ac:dyDescent="0.3">
      <c r="C1466" s="33"/>
      <c r="E1466" s="33"/>
      <c r="G1466" s="33"/>
    </row>
    <row r="1467" spans="3:7" x14ac:dyDescent="0.3">
      <c r="C1467" s="33"/>
      <c r="E1467" s="33"/>
      <c r="G1467" s="33"/>
    </row>
    <row r="1468" spans="3:7" x14ac:dyDescent="0.3">
      <c r="C1468" s="33"/>
      <c r="E1468" s="33"/>
      <c r="G1468" s="33"/>
    </row>
    <row r="1469" spans="3:7" x14ac:dyDescent="0.3">
      <c r="C1469" s="33"/>
      <c r="E1469" s="33"/>
      <c r="G1469" s="33"/>
    </row>
    <row r="1470" spans="3:7" x14ac:dyDescent="0.3">
      <c r="C1470" s="33"/>
      <c r="E1470" s="33"/>
      <c r="G1470" s="33"/>
    </row>
    <row r="1471" spans="3:7" x14ac:dyDescent="0.3">
      <c r="C1471" s="33"/>
      <c r="E1471" s="33"/>
      <c r="G1471" s="33"/>
    </row>
    <row r="1472" spans="3:7" x14ac:dyDescent="0.3">
      <c r="C1472" s="33"/>
      <c r="E1472" s="33"/>
      <c r="G1472" s="33"/>
    </row>
    <row r="1473" spans="3:7" x14ac:dyDescent="0.3">
      <c r="C1473" s="33"/>
      <c r="E1473" s="33"/>
      <c r="G1473" s="33"/>
    </row>
    <row r="1474" spans="3:7" x14ac:dyDescent="0.3">
      <c r="C1474" s="33"/>
      <c r="E1474" s="33"/>
      <c r="G1474" s="33"/>
    </row>
    <row r="1475" spans="3:7" x14ac:dyDescent="0.3">
      <c r="C1475" s="33"/>
      <c r="E1475" s="33"/>
      <c r="G1475" s="33"/>
    </row>
    <row r="1476" spans="3:7" x14ac:dyDescent="0.3">
      <c r="C1476" s="33"/>
      <c r="E1476" s="33"/>
      <c r="G1476" s="33"/>
    </row>
    <row r="1477" spans="3:7" x14ac:dyDescent="0.3">
      <c r="C1477" s="33"/>
      <c r="E1477" s="33"/>
      <c r="G1477" s="33"/>
    </row>
    <row r="1478" spans="3:7" x14ac:dyDescent="0.3">
      <c r="C1478" s="33"/>
      <c r="E1478" s="33"/>
      <c r="G1478" s="33"/>
    </row>
    <row r="1479" spans="3:7" x14ac:dyDescent="0.3">
      <c r="C1479" s="33"/>
      <c r="E1479" s="33"/>
      <c r="G1479" s="33"/>
    </row>
    <row r="1480" spans="3:7" x14ac:dyDescent="0.3">
      <c r="C1480" s="33"/>
      <c r="E1480" s="33"/>
      <c r="G1480" s="33"/>
    </row>
    <row r="1481" spans="3:7" x14ac:dyDescent="0.3">
      <c r="C1481" s="33"/>
      <c r="E1481" s="33"/>
      <c r="G1481" s="33"/>
    </row>
    <row r="1482" spans="3:7" x14ac:dyDescent="0.3">
      <c r="C1482" s="33"/>
      <c r="E1482" s="33"/>
      <c r="G1482" s="33"/>
    </row>
    <row r="1483" spans="3:7" x14ac:dyDescent="0.3">
      <c r="C1483" s="33"/>
      <c r="E1483" s="33"/>
      <c r="G1483" s="33"/>
    </row>
    <row r="1484" spans="3:7" x14ac:dyDescent="0.3">
      <c r="C1484" s="33"/>
      <c r="E1484" s="33"/>
      <c r="G1484" s="33"/>
    </row>
    <row r="1485" spans="3:7" x14ac:dyDescent="0.3">
      <c r="C1485" s="33"/>
      <c r="E1485" s="33"/>
      <c r="G1485" s="33"/>
    </row>
    <row r="1486" spans="3:7" x14ac:dyDescent="0.3">
      <c r="C1486" s="33"/>
      <c r="E1486" s="33"/>
      <c r="G1486" s="33"/>
    </row>
    <row r="1487" spans="3:7" x14ac:dyDescent="0.3">
      <c r="C1487" s="33"/>
      <c r="E1487" s="33"/>
      <c r="G1487" s="33"/>
    </row>
    <row r="1488" spans="3:7" x14ac:dyDescent="0.3">
      <c r="C1488" s="33"/>
      <c r="E1488" s="33"/>
      <c r="G1488" s="33"/>
    </row>
    <row r="1489" spans="3:7" x14ac:dyDescent="0.3">
      <c r="C1489" s="33"/>
      <c r="E1489" s="33"/>
      <c r="G1489" s="33"/>
    </row>
    <row r="1490" spans="3:7" x14ac:dyDescent="0.3">
      <c r="C1490" s="33"/>
      <c r="E1490" s="33"/>
      <c r="G1490" s="33"/>
    </row>
    <row r="1491" spans="3:7" x14ac:dyDescent="0.3">
      <c r="C1491" s="33"/>
      <c r="E1491" s="33"/>
      <c r="G1491" s="33"/>
    </row>
    <row r="1492" spans="3:7" x14ac:dyDescent="0.3">
      <c r="C1492" s="33"/>
      <c r="E1492" s="33"/>
      <c r="G1492" s="33"/>
    </row>
    <row r="1493" spans="3:7" x14ac:dyDescent="0.3">
      <c r="C1493" s="33"/>
      <c r="E1493" s="33"/>
      <c r="G1493" s="33"/>
    </row>
    <row r="1494" spans="3:7" x14ac:dyDescent="0.3">
      <c r="C1494" s="33"/>
      <c r="E1494" s="33"/>
      <c r="G1494" s="33"/>
    </row>
    <row r="1495" spans="3:7" x14ac:dyDescent="0.3">
      <c r="C1495" s="33"/>
      <c r="E1495" s="33"/>
      <c r="G1495" s="33"/>
    </row>
    <row r="1496" spans="3:7" x14ac:dyDescent="0.3">
      <c r="C1496" s="33"/>
      <c r="E1496" s="33"/>
      <c r="G1496" s="33"/>
    </row>
    <row r="1497" spans="3:7" x14ac:dyDescent="0.3">
      <c r="C1497" s="33"/>
      <c r="E1497" s="33"/>
      <c r="G1497" s="33"/>
    </row>
    <row r="1498" spans="3:7" x14ac:dyDescent="0.3">
      <c r="C1498" s="33"/>
      <c r="E1498" s="33"/>
      <c r="G1498" s="33"/>
    </row>
    <row r="1499" spans="3:7" x14ac:dyDescent="0.3">
      <c r="C1499" s="33"/>
      <c r="E1499" s="33"/>
      <c r="G1499" s="33"/>
    </row>
    <row r="1500" spans="3:7" x14ac:dyDescent="0.3">
      <c r="C1500" s="33"/>
      <c r="E1500" s="33"/>
      <c r="G1500" s="33"/>
    </row>
    <row r="1501" spans="3:7" x14ac:dyDescent="0.3">
      <c r="C1501" s="33"/>
      <c r="E1501" s="33"/>
      <c r="G1501" s="33"/>
    </row>
    <row r="1502" spans="3:7" x14ac:dyDescent="0.3">
      <c r="C1502" s="33"/>
      <c r="E1502" s="33"/>
      <c r="G1502" s="33"/>
    </row>
    <row r="1503" spans="3:7" x14ac:dyDescent="0.3">
      <c r="C1503" s="33"/>
      <c r="E1503" s="33"/>
      <c r="G1503" s="33"/>
    </row>
    <row r="1504" spans="3:7" x14ac:dyDescent="0.3">
      <c r="C1504" s="33"/>
      <c r="E1504" s="33"/>
      <c r="G1504" s="33"/>
    </row>
    <row r="1505" spans="3:7" x14ac:dyDescent="0.3">
      <c r="C1505" s="33"/>
      <c r="E1505" s="33"/>
      <c r="G1505" s="33"/>
    </row>
    <row r="1506" spans="3:7" x14ac:dyDescent="0.3">
      <c r="C1506" s="33"/>
      <c r="E1506" s="33"/>
      <c r="G1506" s="33"/>
    </row>
    <row r="1507" spans="3:7" x14ac:dyDescent="0.3">
      <c r="C1507" s="33"/>
      <c r="E1507" s="33"/>
      <c r="G1507" s="33"/>
    </row>
    <row r="1508" spans="3:7" x14ac:dyDescent="0.3">
      <c r="C1508" s="33"/>
      <c r="E1508" s="33"/>
      <c r="G1508" s="33"/>
    </row>
    <row r="1509" spans="3:7" x14ac:dyDescent="0.3">
      <c r="C1509" s="33"/>
      <c r="E1509" s="33"/>
      <c r="G1509" s="33"/>
    </row>
    <row r="1510" spans="3:7" x14ac:dyDescent="0.3">
      <c r="C1510" s="33"/>
      <c r="E1510" s="33"/>
      <c r="G1510" s="33"/>
    </row>
    <row r="1511" spans="3:7" x14ac:dyDescent="0.3">
      <c r="C1511" s="33"/>
      <c r="E1511" s="33"/>
      <c r="G1511" s="33"/>
    </row>
    <row r="1512" spans="3:7" x14ac:dyDescent="0.3">
      <c r="C1512" s="33"/>
      <c r="E1512" s="33"/>
      <c r="G1512" s="33"/>
    </row>
    <row r="1513" spans="3:7" x14ac:dyDescent="0.3">
      <c r="C1513" s="33"/>
      <c r="E1513" s="33"/>
      <c r="G1513" s="33"/>
    </row>
    <row r="1514" spans="3:7" x14ac:dyDescent="0.3">
      <c r="C1514" s="33"/>
      <c r="E1514" s="33"/>
      <c r="G1514" s="33"/>
    </row>
    <row r="1515" spans="3:7" x14ac:dyDescent="0.3">
      <c r="C1515" s="33"/>
      <c r="E1515" s="33"/>
      <c r="G1515" s="33"/>
    </row>
    <row r="1516" spans="3:7" x14ac:dyDescent="0.3">
      <c r="C1516" s="33"/>
      <c r="E1516" s="33"/>
      <c r="G1516" s="33"/>
    </row>
    <row r="1517" spans="3:7" x14ac:dyDescent="0.3">
      <c r="C1517" s="33"/>
      <c r="E1517" s="33"/>
      <c r="G1517" s="33"/>
    </row>
    <row r="1518" spans="3:7" x14ac:dyDescent="0.3">
      <c r="C1518" s="33"/>
      <c r="E1518" s="33"/>
      <c r="G1518" s="33"/>
    </row>
    <row r="1519" spans="3:7" x14ac:dyDescent="0.3">
      <c r="C1519" s="33"/>
      <c r="E1519" s="33"/>
      <c r="G1519" s="33"/>
    </row>
    <row r="1520" spans="3:7" x14ac:dyDescent="0.3">
      <c r="C1520" s="33"/>
      <c r="E1520" s="33"/>
      <c r="G1520" s="33"/>
    </row>
    <row r="1521" spans="3:7" x14ac:dyDescent="0.3">
      <c r="C1521" s="33"/>
      <c r="E1521" s="33"/>
      <c r="G1521" s="33"/>
    </row>
    <row r="1522" spans="3:7" x14ac:dyDescent="0.3">
      <c r="C1522" s="33"/>
      <c r="E1522" s="33"/>
      <c r="G1522" s="33"/>
    </row>
    <row r="1523" spans="3:7" x14ac:dyDescent="0.3">
      <c r="C1523" s="33"/>
      <c r="E1523" s="33"/>
      <c r="G1523" s="33"/>
    </row>
    <row r="1524" spans="3:7" x14ac:dyDescent="0.3">
      <c r="C1524" s="33"/>
      <c r="E1524" s="33"/>
      <c r="G1524" s="33"/>
    </row>
    <row r="1525" spans="3:7" x14ac:dyDescent="0.3">
      <c r="C1525" s="33"/>
      <c r="E1525" s="33"/>
      <c r="G1525" s="33"/>
    </row>
    <row r="1526" spans="3:7" x14ac:dyDescent="0.3">
      <c r="C1526" s="33"/>
      <c r="E1526" s="33"/>
      <c r="G1526" s="33"/>
    </row>
    <row r="1527" spans="3:7" x14ac:dyDescent="0.3">
      <c r="C1527" s="33"/>
      <c r="E1527" s="33"/>
      <c r="G1527" s="33"/>
    </row>
    <row r="1528" spans="3:7" x14ac:dyDescent="0.3">
      <c r="C1528" s="33"/>
      <c r="E1528" s="33"/>
      <c r="G1528" s="33"/>
    </row>
    <row r="1529" spans="3:7" x14ac:dyDescent="0.3">
      <c r="C1529" s="33"/>
      <c r="E1529" s="33"/>
      <c r="G1529" s="33"/>
    </row>
    <row r="1530" spans="3:7" x14ac:dyDescent="0.3">
      <c r="C1530" s="33"/>
      <c r="E1530" s="33"/>
      <c r="G1530" s="33"/>
    </row>
    <row r="1531" spans="3:7" x14ac:dyDescent="0.3">
      <c r="C1531" s="33"/>
      <c r="E1531" s="33"/>
      <c r="G1531" s="33"/>
    </row>
    <row r="1532" spans="3:7" x14ac:dyDescent="0.3">
      <c r="C1532" s="33"/>
      <c r="E1532" s="33"/>
      <c r="G1532" s="33"/>
    </row>
    <row r="1533" spans="3:7" x14ac:dyDescent="0.3">
      <c r="C1533" s="33"/>
      <c r="E1533" s="33"/>
      <c r="G1533" s="33"/>
    </row>
    <row r="1534" spans="3:7" x14ac:dyDescent="0.3">
      <c r="C1534" s="33"/>
      <c r="E1534" s="33"/>
      <c r="G1534" s="33"/>
    </row>
    <row r="1535" spans="3:7" x14ac:dyDescent="0.3">
      <c r="C1535" s="33"/>
      <c r="E1535" s="33"/>
      <c r="G1535" s="33"/>
    </row>
    <row r="1536" spans="3:7" x14ac:dyDescent="0.3">
      <c r="C1536" s="33"/>
      <c r="E1536" s="33"/>
      <c r="G1536" s="33"/>
    </row>
    <row r="1537" spans="3:7" x14ac:dyDescent="0.3">
      <c r="C1537" s="33"/>
      <c r="E1537" s="33"/>
      <c r="G1537" s="33"/>
    </row>
    <row r="1538" spans="3:7" x14ac:dyDescent="0.3">
      <c r="C1538" s="33"/>
      <c r="E1538" s="33"/>
      <c r="G1538" s="33"/>
    </row>
    <row r="1539" spans="3:7" x14ac:dyDescent="0.3">
      <c r="C1539" s="33"/>
      <c r="E1539" s="33"/>
      <c r="G1539" s="33"/>
    </row>
    <row r="1540" spans="3:7" x14ac:dyDescent="0.3">
      <c r="C1540" s="33"/>
      <c r="E1540" s="33"/>
      <c r="G1540" s="33"/>
    </row>
    <row r="1541" spans="3:7" x14ac:dyDescent="0.3">
      <c r="C1541" s="33"/>
      <c r="E1541" s="33"/>
      <c r="G1541" s="33"/>
    </row>
    <row r="1542" spans="3:7" x14ac:dyDescent="0.3">
      <c r="C1542" s="33"/>
      <c r="E1542" s="33"/>
      <c r="G1542" s="33"/>
    </row>
    <row r="1543" spans="3:7" x14ac:dyDescent="0.3">
      <c r="C1543" s="33"/>
      <c r="E1543" s="33"/>
      <c r="G1543" s="33"/>
    </row>
    <row r="1544" spans="3:7" x14ac:dyDescent="0.3">
      <c r="C1544" s="33"/>
      <c r="E1544" s="33"/>
      <c r="G1544" s="33"/>
    </row>
    <row r="1545" spans="3:7" x14ac:dyDescent="0.3">
      <c r="C1545" s="33"/>
      <c r="E1545" s="33"/>
      <c r="G1545" s="33"/>
    </row>
    <row r="1546" spans="3:7" x14ac:dyDescent="0.3">
      <c r="C1546" s="33"/>
      <c r="E1546" s="33"/>
      <c r="G1546" s="33"/>
    </row>
    <row r="1547" spans="3:7" x14ac:dyDescent="0.3">
      <c r="C1547" s="33"/>
      <c r="E1547" s="33"/>
      <c r="G1547" s="33"/>
    </row>
    <row r="1548" spans="3:7" x14ac:dyDescent="0.3">
      <c r="C1548" s="33"/>
      <c r="E1548" s="33"/>
      <c r="G1548" s="33"/>
    </row>
    <row r="1549" spans="3:7" x14ac:dyDescent="0.3">
      <c r="C1549" s="33"/>
      <c r="E1549" s="33"/>
      <c r="G1549" s="33"/>
    </row>
    <row r="1550" spans="3:7" x14ac:dyDescent="0.3">
      <c r="C1550" s="33"/>
      <c r="E1550" s="33"/>
      <c r="G1550" s="33"/>
    </row>
    <row r="1551" spans="3:7" x14ac:dyDescent="0.3">
      <c r="C1551" s="33"/>
      <c r="E1551" s="33"/>
      <c r="G1551" s="33"/>
    </row>
    <row r="1552" spans="3:7" x14ac:dyDescent="0.3">
      <c r="C1552" s="33"/>
      <c r="E1552" s="33"/>
      <c r="G1552" s="33"/>
    </row>
    <row r="1553" spans="3:7" x14ac:dyDescent="0.3">
      <c r="C1553" s="33"/>
      <c r="E1553" s="33"/>
      <c r="G1553" s="33"/>
    </row>
    <row r="1554" spans="3:7" x14ac:dyDescent="0.3">
      <c r="C1554" s="33"/>
      <c r="E1554" s="33"/>
      <c r="G1554" s="33"/>
    </row>
    <row r="1555" spans="3:7" x14ac:dyDescent="0.3">
      <c r="C1555" s="33"/>
      <c r="E1555" s="33"/>
      <c r="G1555" s="33"/>
    </row>
    <row r="1556" spans="3:7" x14ac:dyDescent="0.3">
      <c r="C1556" s="33"/>
      <c r="E1556" s="33"/>
      <c r="G1556" s="33"/>
    </row>
    <row r="1557" spans="3:7" x14ac:dyDescent="0.3">
      <c r="C1557" s="33"/>
      <c r="E1557" s="33"/>
      <c r="G1557" s="33"/>
    </row>
    <row r="1558" spans="3:7" x14ac:dyDescent="0.3">
      <c r="C1558" s="33"/>
      <c r="E1558" s="33"/>
      <c r="G1558" s="33"/>
    </row>
    <row r="1559" spans="3:7" x14ac:dyDescent="0.3">
      <c r="C1559" s="33"/>
      <c r="E1559" s="33"/>
      <c r="G1559" s="33"/>
    </row>
    <row r="1560" spans="3:7" x14ac:dyDescent="0.3">
      <c r="C1560" s="33"/>
      <c r="E1560" s="33"/>
      <c r="G1560" s="33"/>
    </row>
    <row r="1561" spans="3:7" x14ac:dyDescent="0.3">
      <c r="C1561" s="33"/>
      <c r="E1561" s="33"/>
      <c r="G1561" s="33"/>
    </row>
    <row r="1562" spans="3:7" x14ac:dyDescent="0.3">
      <c r="C1562" s="33"/>
      <c r="E1562" s="33"/>
      <c r="G1562" s="33"/>
    </row>
    <row r="1563" spans="3:7" x14ac:dyDescent="0.3">
      <c r="C1563" s="33"/>
      <c r="E1563" s="33"/>
      <c r="G1563" s="33"/>
    </row>
    <row r="1564" spans="3:7" x14ac:dyDescent="0.3">
      <c r="C1564" s="33"/>
      <c r="E1564" s="33"/>
      <c r="G1564" s="33"/>
    </row>
    <row r="1565" spans="3:7" x14ac:dyDescent="0.3">
      <c r="C1565" s="33"/>
      <c r="E1565" s="33"/>
      <c r="G1565" s="33"/>
    </row>
    <row r="1566" spans="3:7" x14ac:dyDescent="0.3">
      <c r="C1566" s="33"/>
      <c r="E1566" s="33"/>
      <c r="G1566" s="33"/>
    </row>
    <row r="1567" spans="3:7" x14ac:dyDescent="0.3">
      <c r="C1567" s="33"/>
      <c r="E1567" s="33"/>
      <c r="G1567" s="33"/>
    </row>
    <row r="1568" spans="3:7" x14ac:dyDescent="0.3">
      <c r="C1568" s="33"/>
      <c r="E1568" s="33"/>
      <c r="G1568" s="33"/>
    </row>
    <row r="1569" spans="3:7" x14ac:dyDescent="0.3">
      <c r="C1569" s="33"/>
      <c r="E1569" s="33"/>
      <c r="G1569" s="33"/>
    </row>
    <row r="1570" spans="3:7" x14ac:dyDescent="0.3">
      <c r="C1570" s="33"/>
      <c r="E1570" s="33"/>
      <c r="G1570" s="33"/>
    </row>
    <row r="1571" spans="3:7" x14ac:dyDescent="0.3">
      <c r="C1571" s="33"/>
      <c r="E1571" s="33"/>
      <c r="G1571" s="33"/>
    </row>
    <row r="1572" spans="3:7" x14ac:dyDescent="0.3">
      <c r="C1572" s="33"/>
      <c r="E1572" s="33"/>
      <c r="G1572" s="33"/>
    </row>
    <row r="1573" spans="3:7" x14ac:dyDescent="0.3">
      <c r="C1573" s="33"/>
      <c r="E1573" s="33"/>
      <c r="G1573" s="33"/>
    </row>
    <row r="1574" spans="3:7" x14ac:dyDescent="0.3">
      <c r="C1574" s="33"/>
      <c r="E1574" s="33"/>
      <c r="G1574" s="33"/>
    </row>
    <row r="1575" spans="3:7" x14ac:dyDescent="0.3">
      <c r="C1575" s="33"/>
      <c r="E1575" s="33"/>
      <c r="G1575" s="33"/>
    </row>
    <row r="1576" spans="3:7" x14ac:dyDescent="0.3">
      <c r="C1576" s="33"/>
      <c r="E1576" s="33"/>
      <c r="G1576" s="33"/>
    </row>
    <row r="1577" spans="3:7" x14ac:dyDescent="0.3">
      <c r="C1577" s="33"/>
      <c r="E1577" s="33"/>
      <c r="G1577" s="33"/>
    </row>
    <row r="1578" spans="3:7" x14ac:dyDescent="0.3">
      <c r="C1578" s="33"/>
      <c r="E1578" s="33"/>
      <c r="G1578" s="33"/>
    </row>
    <row r="1579" spans="3:7" x14ac:dyDescent="0.3">
      <c r="C1579" s="33"/>
      <c r="E1579" s="33"/>
      <c r="G1579" s="33"/>
    </row>
    <row r="1580" spans="3:7" x14ac:dyDescent="0.3">
      <c r="C1580" s="33"/>
      <c r="E1580" s="33"/>
      <c r="G1580" s="33"/>
    </row>
    <row r="1581" spans="3:7" x14ac:dyDescent="0.3">
      <c r="C1581" s="33"/>
      <c r="E1581" s="33"/>
      <c r="G1581" s="33"/>
    </row>
    <row r="1582" spans="3:7" x14ac:dyDescent="0.3">
      <c r="C1582" s="33"/>
      <c r="E1582" s="33"/>
      <c r="G1582" s="33"/>
    </row>
    <row r="1583" spans="3:7" x14ac:dyDescent="0.3">
      <c r="C1583" s="33"/>
      <c r="E1583" s="33"/>
      <c r="G1583" s="33"/>
    </row>
    <row r="1584" spans="3:7" x14ac:dyDescent="0.3">
      <c r="C1584" s="33"/>
      <c r="E1584" s="33"/>
      <c r="G1584" s="33"/>
    </row>
    <row r="1585" spans="3:7" x14ac:dyDescent="0.3">
      <c r="C1585" s="33"/>
      <c r="E1585" s="33"/>
      <c r="G1585" s="33"/>
    </row>
    <row r="1586" spans="3:7" x14ac:dyDescent="0.3">
      <c r="C1586" s="33"/>
      <c r="E1586" s="33"/>
      <c r="G1586" s="33"/>
    </row>
    <row r="1587" spans="3:7" x14ac:dyDescent="0.3">
      <c r="C1587" s="33"/>
      <c r="E1587" s="33"/>
      <c r="G1587" s="33"/>
    </row>
    <row r="1588" spans="3:7" x14ac:dyDescent="0.3">
      <c r="C1588" s="33"/>
      <c r="E1588" s="33"/>
      <c r="G1588" s="33"/>
    </row>
    <row r="1589" spans="3:7" x14ac:dyDescent="0.3">
      <c r="C1589" s="33"/>
      <c r="E1589" s="33"/>
      <c r="G1589" s="33"/>
    </row>
    <row r="1590" spans="3:7" x14ac:dyDescent="0.3">
      <c r="C1590" s="33"/>
      <c r="E1590" s="33"/>
      <c r="G1590" s="33"/>
    </row>
    <row r="1591" spans="3:7" x14ac:dyDescent="0.3">
      <c r="C1591" s="33"/>
      <c r="E1591" s="33"/>
      <c r="G1591" s="33"/>
    </row>
    <row r="1592" spans="3:7" x14ac:dyDescent="0.3">
      <c r="C1592" s="33"/>
      <c r="E1592" s="33"/>
      <c r="G1592" s="33"/>
    </row>
    <row r="1593" spans="3:7" x14ac:dyDescent="0.3">
      <c r="C1593" s="33"/>
      <c r="E1593" s="33"/>
      <c r="G1593" s="33"/>
    </row>
    <row r="1594" spans="3:7" x14ac:dyDescent="0.3">
      <c r="C1594" s="33"/>
      <c r="E1594" s="33"/>
      <c r="G1594" s="33"/>
    </row>
    <row r="1595" spans="3:7" x14ac:dyDescent="0.3">
      <c r="C1595" s="33"/>
      <c r="E1595" s="33"/>
      <c r="G1595" s="33"/>
    </row>
    <row r="1596" spans="3:7" x14ac:dyDescent="0.3">
      <c r="C1596" s="33"/>
      <c r="E1596" s="33"/>
      <c r="G1596" s="33"/>
    </row>
    <row r="1597" spans="3:7" x14ac:dyDescent="0.3">
      <c r="C1597" s="33"/>
      <c r="E1597" s="33"/>
      <c r="G1597" s="33"/>
    </row>
    <row r="1598" spans="3:7" x14ac:dyDescent="0.3">
      <c r="C1598" s="33"/>
      <c r="E1598" s="33"/>
      <c r="G1598" s="33"/>
    </row>
    <row r="1599" spans="3:7" x14ac:dyDescent="0.3">
      <c r="C1599" s="33"/>
      <c r="E1599" s="33"/>
      <c r="G1599" s="33"/>
    </row>
    <row r="1600" spans="3:7" x14ac:dyDescent="0.3">
      <c r="C1600" s="33"/>
      <c r="E1600" s="33"/>
      <c r="G1600" s="33"/>
    </row>
    <row r="1601" spans="3:7" x14ac:dyDescent="0.3">
      <c r="C1601" s="33"/>
      <c r="E1601" s="33"/>
      <c r="G1601" s="33"/>
    </row>
    <row r="1602" spans="3:7" x14ac:dyDescent="0.3">
      <c r="C1602" s="33"/>
      <c r="E1602" s="33"/>
      <c r="G1602" s="33"/>
    </row>
    <row r="1603" spans="3:7" x14ac:dyDescent="0.3">
      <c r="C1603" s="33"/>
      <c r="E1603" s="33"/>
      <c r="G1603" s="33"/>
    </row>
    <row r="1604" spans="3:7" x14ac:dyDescent="0.3">
      <c r="C1604" s="33"/>
      <c r="E1604" s="33"/>
      <c r="G1604" s="33"/>
    </row>
    <row r="1605" spans="3:7" x14ac:dyDescent="0.3">
      <c r="C1605" s="33"/>
      <c r="E1605" s="33"/>
      <c r="G1605" s="33"/>
    </row>
    <row r="1606" spans="3:7" x14ac:dyDescent="0.3">
      <c r="C1606" s="33"/>
      <c r="E1606" s="33"/>
      <c r="G1606" s="33"/>
    </row>
    <row r="1607" spans="3:7" x14ac:dyDescent="0.3">
      <c r="C1607" s="33"/>
      <c r="E1607" s="33"/>
      <c r="G1607" s="33"/>
    </row>
    <row r="1608" spans="3:7" x14ac:dyDescent="0.3">
      <c r="C1608" s="33"/>
      <c r="E1608" s="33"/>
      <c r="G1608" s="33"/>
    </row>
    <row r="1609" spans="3:7" x14ac:dyDescent="0.3">
      <c r="C1609" s="33"/>
      <c r="E1609" s="33"/>
      <c r="G1609" s="33"/>
    </row>
    <row r="1610" spans="3:7" x14ac:dyDescent="0.3">
      <c r="C1610" s="33"/>
      <c r="E1610" s="33"/>
      <c r="G1610" s="33"/>
    </row>
    <row r="1611" spans="3:7" x14ac:dyDescent="0.3">
      <c r="C1611" s="33"/>
      <c r="E1611" s="33"/>
      <c r="G1611" s="33"/>
    </row>
    <row r="1612" spans="3:7" x14ac:dyDescent="0.3">
      <c r="C1612" s="33"/>
      <c r="E1612" s="33"/>
      <c r="G1612" s="33"/>
    </row>
    <row r="1613" spans="3:7" x14ac:dyDescent="0.3">
      <c r="C1613" s="33"/>
      <c r="E1613" s="33"/>
      <c r="G1613" s="33"/>
    </row>
    <row r="1614" spans="3:7" x14ac:dyDescent="0.3">
      <c r="C1614" s="33"/>
      <c r="E1614" s="33"/>
      <c r="G1614" s="33"/>
    </row>
    <row r="1615" spans="3:7" x14ac:dyDescent="0.3">
      <c r="C1615" s="33"/>
      <c r="E1615" s="33"/>
      <c r="G1615" s="33"/>
    </row>
    <row r="1616" spans="3:7" x14ac:dyDescent="0.3">
      <c r="C1616" s="33"/>
      <c r="E1616" s="33"/>
      <c r="G1616" s="33"/>
    </row>
    <row r="1617" spans="3:7" x14ac:dyDescent="0.3">
      <c r="C1617" s="33"/>
      <c r="E1617" s="33"/>
      <c r="G1617" s="33"/>
    </row>
    <row r="1618" spans="3:7" x14ac:dyDescent="0.3">
      <c r="C1618" s="33"/>
      <c r="E1618" s="33"/>
      <c r="G1618" s="33"/>
    </row>
    <row r="1619" spans="3:7" x14ac:dyDescent="0.3">
      <c r="C1619" s="33"/>
      <c r="E1619" s="33"/>
      <c r="G1619" s="33"/>
    </row>
    <row r="1620" spans="3:7" x14ac:dyDescent="0.3">
      <c r="C1620" s="33"/>
      <c r="E1620" s="33"/>
      <c r="G1620" s="33"/>
    </row>
    <row r="1621" spans="3:7" x14ac:dyDescent="0.3">
      <c r="C1621" s="33"/>
      <c r="E1621" s="33"/>
      <c r="G1621" s="33"/>
    </row>
    <row r="1622" spans="3:7" x14ac:dyDescent="0.3">
      <c r="C1622" s="33"/>
      <c r="E1622" s="33"/>
      <c r="G1622" s="33"/>
    </row>
    <row r="1623" spans="3:7" x14ac:dyDescent="0.3">
      <c r="C1623" s="33"/>
      <c r="E1623" s="33"/>
      <c r="G1623" s="33"/>
    </row>
    <row r="1624" spans="3:7" x14ac:dyDescent="0.3">
      <c r="C1624" s="33"/>
      <c r="E1624" s="33"/>
      <c r="G1624" s="33"/>
    </row>
    <row r="1625" spans="3:7" x14ac:dyDescent="0.3">
      <c r="C1625" s="33"/>
      <c r="E1625" s="33"/>
      <c r="G1625" s="33"/>
    </row>
    <row r="1626" spans="3:7" x14ac:dyDescent="0.3">
      <c r="C1626" s="33"/>
      <c r="E1626" s="33"/>
      <c r="G1626" s="33"/>
    </row>
    <row r="1627" spans="3:7" x14ac:dyDescent="0.3">
      <c r="C1627" s="33"/>
      <c r="E1627" s="33"/>
      <c r="G1627" s="33"/>
    </row>
    <row r="1628" spans="3:7" x14ac:dyDescent="0.3">
      <c r="C1628" s="33"/>
      <c r="E1628" s="33"/>
      <c r="G1628" s="33"/>
    </row>
    <row r="1629" spans="3:7" x14ac:dyDescent="0.3">
      <c r="C1629" s="33"/>
      <c r="E1629" s="33"/>
      <c r="G1629" s="33"/>
    </row>
    <row r="1630" spans="3:7" x14ac:dyDescent="0.3">
      <c r="C1630" s="33"/>
      <c r="E1630" s="33"/>
      <c r="G1630" s="33"/>
    </row>
    <row r="1631" spans="3:7" x14ac:dyDescent="0.3">
      <c r="C1631" s="33"/>
      <c r="E1631" s="33"/>
      <c r="G1631" s="33"/>
    </row>
    <row r="1632" spans="3:7" x14ac:dyDescent="0.3">
      <c r="C1632" s="33"/>
      <c r="E1632" s="33"/>
      <c r="G1632" s="33"/>
    </row>
    <row r="1633" spans="3:7" x14ac:dyDescent="0.3">
      <c r="C1633" s="33"/>
      <c r="E1633" s="33"/>
      <c r="G1633" s="33"/>
    </row>
    <row r="1634" spans="3:7" x14ac:dyDescent="0.3">
      <c r="C1634" s="33"/>
      <c r="E1634" s="33"/>
      <c r="G1634" s="33"/>
    </row>
    <row r="1635" spans="3:7" x14ac:dyDescent="0.3">
      <c r="C1635" s="33"/>
      <c r="E1635" s="33"/>
      <c r="G1635" s="33"/>
    </row>
    <row r="1636" spans="3:7" x14ac:dyDescent="0.3">
      <c r="C1636" s="33"/>
      <c r="E1636" s="33"/>
      <c r="G1636" s="33"/>
    </row>
    <row r="1637" spans="3:7" x14ac:dyDescent="0.3">
      <c r="C1637" s="33"/>
      <c r="E1637" s="33"/>
      <c r="G1637" s="33"/>
    </row>
    <row r="1638" spans="3:7" x14ac:dyDescent="0.3">
      <c r="C1638" s="33"/>
      <c r="E1638" s="33"/>
      <c r="G1638" s="33"/>
    </row>
    <row r="1639" spans="3:7" x14ac:dyDescent="0.3">
      <c r="C1639" s="33"/>
      <c r="E1639" s="33"/>
      <c r="G1639" s="33"/>
    </row>
    <row r="1640" spans="3:7" x14ac:dyDescent="0.3">
      <c r="C1640" s="33"/>
      <c r="E1640" s="33"/>
      <c r="G1640" s="33"/>
    </row>
    <row r="1641" spans="3:7" x14ac:dyDescent="0.3">
      <c r="C1641" s="33"/>
      <c r="E1641" s="33"/>
      <c r="G1641" s="33"/>
    </row>
    <row r="1642" spans="3:7" x14ac:dyDescent="0.3">
      <c r="C1642" s="33"/>
      <c r="E1642" s="33"/>
      <c r="G1642" s="33"/>
    </row>
    <row r="1643" spans="3:7" x14ac:dyDescent="0.3">
      <c r="C1643" s="33"/>
      <c r="E1643" s="33"/>
      <c r="G1643" s="33"/>
    </row>
    <row r="1644" spans="3:7" x14ac:dyDescent="0.3">
      <c r="C1644" s="33"/>
      <c r="E1644" s="33"/>
      <c r="G1644" s="33"/>
    </row>
    <row r="1645" spans="3:7" x14ac:dyDescent="0.3">
      <c r="C1645" s="33"/>
      <c r="E1645" s="33"/>
      <c r="G1645" s="33"/>
    </row>
    <row r="1646" spans="3:7" x14ac:dyDescent="0.3">
      <c r="C1646" s="33"/>
      <c r="E1646" s="33"/>
      <c r="G1646" s="33"/>
    </row>
    <row r="1647" spans="3:7" x14ac:dyDescent="0.3">
      <c r="C1647" s="33"/>
      <c r="E1647" s="33"/>
      <c r="G1647" s="33"/>
    </row>
    <row r="1648" spans="3:7" x14ac:dyDescent="0.3">
      <c r="C1648" s="33"/>
      <c r="E1648" s="33"/>
      <c r="G1648" s="33"/>
    </row>
    <row r="1649" spans="3:7" x14ac:dyDescent="0.3">
      <c r="C1649" s="33"/>
      <c r="E1649" s="33"/>
      <c r="G1649" s="33"/>
    </row>
    <row r="1650" spans="3:7" x14ac:dyDescent="0.3">
      <c r="C1650" s="33"/>
      <c r="E1650" s="33"/>
      <c r="G1650" s="33"/>
    </row>
    <row r="1651" spans="3:7" x14ac:dyDescent="0.3">
      <c r="C1651" s="33"/>
      <c r="E1651" s="33"/>
      <c r="G1651" s="33"/>
    </row>
    <row r="1652" spans="3:7" x14ac:dyDescent="0.3">
      <c r="C1652" s="33"/>
      <c r="E1652" s="33"/>
      <c r="G1652" s="33"/>
    </row>
    <row r="1653" spans="3:7" x14ac:dyDescent="0.3">
      <c r="C1653" s="33"/>
      <c r="E1653" s="33"/>
      <c r="G1653" s="33"/>
    </row>
    <row r="1654" spans="3:7" x14ac:dyDescent="0.3">
      <c r="C1654" s="33"/>
      <c r="E1654" s="33"/>
      <c r="G1654" s="33"/>
    </row>
    <row r="1655" spans="3:7" x14ac:dyDescent="0.3">
      <c r="C1655" s="33"/>
      <c r="E1655" s="33"/>
      <c r="G1655" s="33"/>
    </row>
    <row r="1656" spans="3:7" x14ac:dyDescent="0.3">
      <c r="C1656" s="33"/>
      <c r="E1656" s="33"/>
      <c r="G1656" s="33"/>
    </row>
    <row r="1657" spans="3:7" x14ac:dyDescent="0.3">
      <c r="C1657" s="33"/>
      <c r="E1657" s="33"/>
      <c r="G1657" s="33"/>
    </row>
    <row r="1658" spans="3:7" x14ac:dyDescent="0.3">
      <c r="C1658" s="33"/>
      <c r="E1658" s="33"/>
      <c r="G1658" s="33"/>
    </row>
    <row r="1659" spans="3:7" x14ac:dyDescent="0.3">
      <c r="C1659" s="33"/>
      <c r="E1659" s="33"/>
      <c r="G1659" s="33"/>
    </row>
    <row r="1660" spans="3:7" x14ac:dyDescent="0.3">
      <c r="C1660" s="33"/>
      <c r="E1660" s="33"/>
      <c r="G1660" s="33"/>
    </row>
    <row r="1661" spans="3:7" x14ac:dyDescent="0.3">
      <c r="C1661" s="33"/>
      <c r="E1661" s="33"/>
      <c r="G1661" s="33"/>
    </row>
    <row r="1662" spans="3:7" x14ac:dyDescent="0.3">
      <c r="C1662" s="33"/>
      <c r="E1662" s="33"/>
      <c r="G1662" s="33"/>
    </row>
    <row r="1663" spans="3:7" x14ac:dyDescent="0.3">
      <c r="C1663" s="33"/>
      <c r="E1663" s="33"/>
      <c r="G1663" s="33"/>
    </row>
    <row r="1664" spans="3:7" x14ac:dyDescent="0.3">
      <c r="C1664" s="33"/>
      <c r="E1664" s="33"/>
      <c r="G1664" s="33"/>
    </row>
    <row r="1665" spans="3:7" x14ac:dyDescent="0.3">
      <c r="C1665" s="33"/>
      <c r="E1665" s="33"/>
      <c r="G1665" s="33"/>
    </row>
    <row r="1666" spans="3:7" x14ac:dyDescent="0.3">
      <c r="C1666" s="33"/>
      <c r="E1666" s="33"/>
      <c r="G1666" s="33"/>
    </row>
    <row r="1667" spans="3:7" x14ac:dyDescent="0.3">
      <c r="C1667" s="33"/>
      <c r="E1667" s="33"/>
      <c r="G1667" s="33"/>
    </row>
    <row r="1668" spans="3:7" x14ac:dyDescent="0.3">
      <c r="C1668" s="33"/>
      <c r="E1668" s="33"/>
      <c r="G1668" s="33"/>
    </row>
    <row r="1669" spans="3:7" x14ac:dyDescent="0.3">
      <c r="C1669" s="33"/>
      <c r="E1669" s="33"/>
      <c r="G1669" s="33"/>
    </row>
    <row r="1670" spans="3:7" x14ac:dyDescent="0.3">
      <c r="C1670" s="33"/>
      <c r="E1670" s="33"/>
      <c r="G1670" s="33"/>
    </row>
    <row r="1671" spans="3:7" x14ac:dyDescent="0.3">
      <c r="C1671" s="33"/>
      <c r="E1671" s="33"/>
      <c r="G1671" s="33"/>
    </row>
    <row r="1672" spans="3:7" x14ac:dyDescent="0.3">
      <c r="C1672" s="33"/>
      <c r="E1672" s="33"/>
      <c r="G1672" s="33"/>
    </row>
    <row r="1673" spans="3:7" x14ac:dyDescent="0.3">
      <c r="C1673" s="33"/>
      <c r="E1673" s="33"/>
      <c r="G1673" s="33"/>
    </row>
    <row r="1674" spans="3:7" x14ac:dyDescent="0.3">
      <c r="C1674" s="33"/>
      <c r="E1674" s="33"/>
      <c r="G1674" s="33"/>
    </row>
    <row r="1675" spans="3:7" x14ac:dyDescent="0.3">
      <c r="C1675" s="33"/>
      <c r="E1675" s="33"/>
      <c r="G1675" s="33"/>
    </row>
    <row r="1676" spans="3:7" x14ac:dyDescent="0.3">
      <c r="C1676" s="33"/>
      <c r="E1676" s="33"/>
      <c r="G1676" s="33"/>
    </row>
    <row r="1677" spans="3:7" x14ac:dyDescent="0.3">
      <c r="C1677" s="33"/>
      <c r="E1677" s="33"/>
      <c r="G1677" s="33"/>
    </row>
    <row r="1678" spans="3:7" x14ac:dyDescent="0.3">
      <c r="C1678" s="33"/>
      <c r="E1678" s="33"/>
      <c r="G1678" s="33"/>
    </row>
    <row r="1679" spans="3:7" x14ac:dyDescent="0.3">
      <c r="C1679" s="33"/>
      <c r="E1679" s="33"/>
      <c r="G1679" s="33"/>
    </row>
    <row r="1680" spans="3:7" x14ac:dyDescent="0.3">
      <c r="C1680" s="33"/>
      <c r="E1680" s="33"/>
      <c r="G1680" s="33"/>
    </row>
    <row r="1681" spans="3:7" x14ac:dyDescent="0.3">
      <c r="C1681" s="33"/>
      <c r="E1681" s="33"/>
      <c r="G1681" s="33"/>
    </row>
    <row r="1682" spans="3:7" x14ac:dyDescent="0.3">
      <c r="C1682" s="33"/>
      <c r="E1682" s="33"/>
      <c r="G1682" s="33"/>
    </row>
    <row r="1683" spans="3:7" x14ac:dyDescent="0.3">
      <c r="C1683" s="33"/>
      <c r="E1683" s="33"/>
      <c r="G1683" s="33"/>
    </row>
    <row r="1684" spans="3:7" x14ac:dyDescent="0.3">
      <c r="C1684" s="33"/>
      <c r="E1684" s="33"/>
      <c r="G1684" s="33"/>
    </row>
    <row r="1685" spans="3:7" x14ac:dyDescent="0.3">
      <c r="C1685" s="33"/>
      <c r="E1685" s="33"/>
      <c r="G1685" s="33"/>
    </row>
    <row r="1686" spans="3:7" x14ac:dyDescent="0.3">
      <c r="C1686" s="33"/>
      <c r="E1686" s="33"/>
      <c r="G1686" s="33"/>
    </row>
    <row r="1687" spans="3:7" x14ac:dyDescent="0.3">
      <c r="C1687" s="33"/>
      <c r="E1687" s="33"/>
      <c r="G1687" s="33"/>
    </row>
    <row r="1688" spans="3:7" x14ac:dyDescent="0.3">
      <c r="C1688" s="33"/>
      <c r="E1688" s="33"/>
      <c r="G1688" s="33"/>
    </row>
    <row r="1689" spans="3:7" x14ac:dyDescent="0.3">
      <c r="C1689" s="33"/>
      <c r="E1689" s="33"/>
      <c r="G1689" s="33"/>
    </row>
    <row r="1690" spans="3:7" x14ac:dyDescent="0.3">
      <c r="C1690" s="33"/>
      <c r="E1690" s="33"/>
      <c r="G1690" s="33"/>
    </row>
    <row r="1691" spans="3:7" x14ac:dyDescent="0.3">
      <c r="C1691" s="33"/>
      <c r="E1691" s="33"/>
      <c r="G1691" s="33"/>
    </row>
    <row r="1692" spans="3:7" x14ac:dyDescent="0.3">
      <c r="C1692" s="33"/>
      <c r="E1692" s="33"/>
      <c r="G1692" s="33"/>
    </row>
    <row r="1693" spans="3:7" x14ac:dyDescent="0.3">
      <c r="C1693" s="33"/>
      <c r="E1693" s="33"/>
      <c r="G1693" s="33"/>
    </row>
    <row r="1694" spans="3:7" x14ac:dyDescent="0.3">
      <c r="C1694" s="33"/>
      <c r="E1694" s="33"/>
      <c r="G1694" s="33"/>
    </row>
    <row r="1695" spans="3:7" x14ac:dyDescent="0.3">
      <c r="C1695" s="33"/>
      <c r="E1695" s="33"/>
      <c r="G1695" s="33"/>
    </row>
    <row r="1696" spans="3:7" x14ac:dyDescent="0.3">
      <c r="C1696" s="33"/>
      <c r="E1696" s="33"/>
      <c r="G1696" s="33"/>
    </row>
    <row r="1697" spans="3:7" x14ac:dyDescent="0.3">
      <c r="C1697" s="33"/>
      <c r="E1697" s="33"/>
      <c r="G1697" s="33"/>
    </row>
    <row r="1698" spans="3:7" x14ac:dyDescent="0.3">
      <c r="C1698" s="33"/>
      <c r="E1698" s="33"/>
      <c r="G1698" s="33"/>
    </row>
    <row r="1699" spans="3:7" x14ac:dyDescent="0.3">
      <c r="C1699" s="33"/>
      <c r="E1699" s="33"/>
      <c r="G1699" s="33"/>
    </row>
    <row r="1700" spans="3:7" x14ac:dyDescent="0.3">
      <c r="C1700" s="33"/>
      <c r="E1700" s="33"/>
      <c r="G1700" s="33"/>
    </row>
    <row r="1701" spans="3:7" x14ac:dyDescent="0.3">
      <c r="C1701" s="33"/>
      <c r="E1701" s="33"/>
      <c r="G1701" s="33"/>
    </row>
    <row r="1702" spans="3:7" x14ac:dyDescent="0.3">
      <c r="C1702" s="33"/>
      <c r="E1702" s="33"/>
      <c r="G1702" s="33"/>
    </row>
    <row r="1703" spans="3:7" x14ac:dyDescent="0.3">
      <c r="C1703" s="33"/>
      <c r="E1703" s="33"/>
      <c r="G1703" s="33"/>
    </row>
    <row r="1704" spans="3:7" x14ac:dyDescent="0.3">
      <c r="C1704" s="33"/>
      <c r="E1704" s="33"/>
      <c r="G1704" s="33"/>
    </row>
    <row r="1705" spans="3:7" x14ac:dyDescent="0.3">
      <c r="C1705" s="33"/>
      <c r="E1705" s="33"/>
      <c r="G1705" s="33"/>
    </row>
    <row r="1706" spans="3:7" x14ac:dyDescent="0.3">
      <c r="C1706" s="33"/>
      <c r="E1706" s="33"/>
      <c r="G1706" s="33"/>
    </row>
    <row r="1707" spans="3:7" x14ac:dyDescent="0.3">
      <c r="C1707" s="33"/>
      <c r="E1707" s="33"/>
      <c r="G1707" s="33"/>
    </row>
    <row r="1708" spans="3:7" x14ac:dyDescent="0.3">
      <c r="C1708" s="33"/>
      <c r="E1708" s="33"/>
      <c r="G1708" s="33"/>
    </row>
    <row r="1709" spans="3:7" x14ac:dyDescent="0.3">
      <c r="C1709" s="33"/>
      <c r="E1709" s="33"/>
      <c r="G1709" s="33"/>
    </row>
    <row r="1710" spans="3:7" x14ac:dyDescent="0.3">
      <c r="C1710" s="33"/>
      <c r="E1710" s="33"/>
      <c r="G1710" s="33"/>
    </row>
    <row r="1711" spans="3:7" x14ac:dyDescent="0.3">
      <c r="C1711" s="33"/>
      <c r="E1711" s="33"/>
      <c r="G1711" s="33"/>
    </row>
    <row r="1712" spans="3:7" x14ac:dyDescent="0.3">
      <c r="C1712" s="33"/>
      <c r="E1712" s="33"/>
      <c r="G1712" s="33"/>
    </row>
    <row r="1713" spans="3:7" x14ac:dyDescent="0.3">
      <c r="C1713" s="33"/>
      <c r="E1713" s="33"/>
      <c r="G1713" s="33"/>
    </row>
    <row r="1714" spans="3:7" x14ac:dyDescent="0.3">
      <c r="C1714" s="33"/>
      <c r="E1714" s="33"/>
      <c r="G1714" s="33"/>
    </row>
    <row r="1715" spans="3:7" x14ac:dyDescent="0.3">
      <c r="C1715" s="33"/>
      <c r="E1715" s="33"/>
      <c r="G1715" s="33"/>
    </row>
    <row r="1716" spans="3:7" x14ac:dyDescent="0.3">
      <c r="C1716" s="33"/>
      <c r="E1716" s="33"/>
      <c r="G1716" s="33"/>
    </row>
    <row r="1717" spans="3:7" x14ac:dyDescent="0.3">
      <c r="C1717" s="33"/>
      <c r="E1717" s="33"/>
      <c r="G1717" s="33"/>
    </row>
    <row r="1718" spans="3:7" x14ac:dyDescent="0.3">
      <c r="C1718" s="33"/>
      <c r="E1718" s="33"/>
      <c r="G1718" s="33"/>
    </row>
    <row r="1719" spans="3:7" x14ac:dyDescent="0.3">
      <c r="C1719" s="33"/>
      <c r="E1719" s="33"/>
      <c r="G1719" s="33"/>
    </row>
    <row r="1720" spans="3:7" x14ac:dyDescent="0.3">
      <c r="C1720" s="33"/>
      <c r="E1720" s="33"/>
      <c r="G1720" s="33"/>
    </row>
    <row r="1721" spans="3:7" x14ac:dyDescent="0.3">
      <c r="C1721" s="33"/>
      <c r="E1721" s="33"/>
      <c r="G1721" s="33"/>
    </row>
    <row r="1722" spans="3:7" x14ac:dyDescent="0.3">
      <c r="C1722" s="33"/>
      <c r="E1722" s="33"/>
      <c r="G1722" s="33"/>
    </row>
    <row r="1723" spans="3:7" x14ac:dyDescent="0.3">
      <c r="C1723" s="33"/>
      <c r="E1723" s="33"/>
      <c r="G1723" s="33"/>
    </row>
    <row r="1724" spans="3:7" x14ac:dyDescent="0.3">
      <c r="C1724" s="33"/>
      <c r="E1724" s="33"/>
      <c r="G1724" s="33"/>
    </row>
    <row r="1725" spans="3:7" x14ac:dyDescent="0.3">
      <c r="C1725" s="33"/>
      <c r="E1725" s="33"/>
      <c r="G1725" s="33"/>
    </row>
    <row r="1726" spans="3:7" x14ac:dyDescent="0.3">
      <c r="C1726" s="33"/>
      <c r="E1726" s="33"/>
      <c r="G1726" s="33"/>
    </row>
    <row r="1727" spans="3:7" x14ac:dyDescent="0.3">
      <c r="C1727" s="33"/>
      <c r="E1727" s="33"/>
      <c r="G1727" s="33"/>
    </row>
    <row r="1728" spans="3:7" x14ac:dyDescent="0.3">
      <c r="C1728" s="33"/>
      <c r="E1728" s="33"/>
      <c r="G1728" s="33"/>
    </row>
    <row r="1729" spans="3:7" x14ac:dyDescent="0.3">
      <c r="C1729" s="33"/>
      <c r="E1729" s="33"/>
      <c r="G1729" s="33"/>
    </row>
    <row r="1730" spans="3:7" x14ac:dyDescent="0.3">
      <c r="C1730" s="33"/>
      <c r="E1730" s="33"/>
      <c r="G1730" s="33"/>
    </row>
    <row r="1731" spans="3:7" x14ac:dyDescent="0.3">
      <c r="C1731" s="33"/>
      <c r="E1731" s="33"/>
      <c r="G1731" s="33"/>
    </row>
    <row r="1732" spans="3:7" x14ac:dyDescent="0.3">
      <c r="C1732" s="33"/>
      <c r="E1732" s="33"/>
      <c r="G1732" s="33"/>
    </row>
    <row r="1733" spans="3:7" x14ac:dyDescent="0.3">
      <c r="C1733" s="33"/>
      <c r="E1733" s="33"/>
      <c r="G1733" s="33"/>
    </row>
    <row r="1734" spans="3:7" x14ac:dyDescent="0.3">
      <c r="C1734" s="33"/>
      <c r="E1734" s="33"/>
      <c r="G1734" s="33"/>
    </row>
    <row r="1735" spans="3:7" x14ac:dyDescent="0.3">
      <c r="C1735" s="33"/>
      <c r="E1735" s="33"/>
      <c r="G1735" s="33"/>
    </row>
    <row r="1736" spans="3:7" x14ac:dyDescent="0.3">
      <c r="C1736" s="33"/>
      <c r="E1736" s="33"/>
      <c r="G1736" s="33"/>
    </row>
    <row r="1737" spans="3:7" x14ac:dyDescent="0.3">
      <c r="C1737" s="33"/>
      <c r="E1737" s="33"/>
      <c r="G1737" s="33"/>
    </row>
    <row r="1738" spans="3:7" x14ac:dyDescent="0.3">
      <c r="C1738" s="33"/>
      <c r="E1738" s="33"/>
      <c r="G1738" s="33"/>
    </row>
    <row r="1739" spans="3:7" x14ac:dyDescent="0.3">
      <c r="C1739" s="33"/>
      <c r="E1739" s="33"/>
      <c r="G1739" s="33"/>
    </row>
    <row r="1740" spans="3:7" x14ac:dyDescent="0.3">
      <c r="C1740" s="33"/>
      <c r="E1740" s="33"/>
      <c r="G1740" s="33"/>
    </row>
    <row r="1741" spans="3:7" x14ac:dyDescent="0.3">
      <c r="C1741" s="33"/>
      <c r="E1741" s="33"/>
      <c r="G1741" s="33"/>
    </row>
    <row r="1742" spans="3:7" x14ac:dyDescent="0.3">
      <c r="C1742" s="33"/>
      <c r="E1742" s="33"/>
      <c r="G1742" s="33"/>
    </row>
    <row r="1743" spans="3:7" x14ac:dyDescent="0.3">
      <c r="C1743" s="33"/>
      <c r="E1743" s="33"/>
      <c r="G1743" s="33"/>
    </row>
    <row r="1744" spans="3:7" x14ac:dyDescent="0.3">
      <c r="C1744" s="33"/>
      <c r="E1744" s="33"/>
      <c r="G1744" s="33"/>
    </row>
    <row r="1745" spans="3:7" x14ac:dyDescent="0.3">
      <c r="C1745" s="33"/>
      <c r="E1745" s="33"/>
      <c r="G1745" s="33"/>
    </row>
    <row r="1746" spans="3:7" x14ac:dyDescent="0.3">
      <c r="C1746" s="33"/>
      <c r="E1746" s="33"/>
      <c r="G1746" s="33"/>
    </row>
    <row r="1747" spans="3:7" x14ac:dyDescent="0.3">
      <c r="C1747" s="33"/>
      <c r="E1747" s="33"/>
      <c r="G1747" s="33"/>
    </row>
    <row r="1748" spans="3:7" x14ac:dyDescent="0.3">
      <c r="C1748" s="33"/>
      <c r="E1748" s="33"/>
      <c r="G1748" s="33"/>
    </row>
    <row r="1749" spans="3:7" x14ac:dyDescent="0.3">
      <c r="C1749" s="33"/>
      <c r="E1749" s="33"/>
      <c r="G1749" s="33"/>
    </row>
    <row r="1750" spans="3:7" x14ac:dyDescent="0.3">
      <c r="C1750" s="33"/>
      <c r="E1750" s="33"/>
      <c r="G1750" s="33"/>
    </row>
    <row r="1751" spans="3:7" x14ac:dyDescent="0.3">
      <c r="C1751" s="33"/>
      <c r="E1751" s="33"/>
      <c r="G1751" s="33"/>
    </row>
    <row r="1752" spans="3:7" x14ac:dyDescent="0.3">
      <c r="C1752" s="33"/>
      <c r="E1752" s="33"/>
      <c r="G1752" s="33"/>
    </row>
    <row r="1753" spans="3:7" x14ac:dyDescent="0.3">
      <c r="C1753" s="33"/>
      <c r="E1753" s="33"/>
      <c r="G1753" s="33"/>
    </row>
    <row r="1754" spans="3:7" x14ac:dyDescent="0.3">
      <c r="C1754" s="33"/>
      <c r="E1754" s="33"/>
      <c r="G1754" s="33"/>
    </row>
    <row r="1755" spans="3:7" x14ac:dyDescent="0.3">
      <c r="C1755" s="33"/>
      <c r="E1755" s="33"/>
      <c r="G1755" s="33"/>
    </row>
    <row r="1756" spans="3:7" x14ac:dyDescent="0.3">
      <c r="C1756" s="33"/>
      <c r="E1756" s="33"/>
      <c r="G1756" s="33"/>
    </row>
    <row r="1757" spans="3:7" x14ac:dyDescent="0.3">
      <c r="C1757" s="33"/>
      <c r="E1757" s="33"/>
      <c r="G1757" s="33"/>
    </row>
  </sheetData>
  <mergeCells count="111">
    <mergeCell ref="C1:G1"/>
    <mergeCell ref="C38:D38"/>
    <mergeCell ref="E32:F32"/>
    <mergeCell ref="E34:F34"/>
    <mergeCell ref="E35:F35"/>
    <mergeCell ref="E36:F36"/>
    <mergeCell ref="E37:F37"/>
    <mergeCell ref="E38:F38"/>
    <mergeCell ref="C33:D33"/>
    <mergeCell ref="E33:F33"/>
    <mergeCell ref="C18:G18"/>
    <mergeCell ref="E19:F19"/>
    <mergeCell ref="E20:F20"/>
    <mergeCell ref="E21:F21"/>
    <mergeCell ref="E24:F24"/>
    <mergeCell ref="E10:F10"/>
    <mergeCell ref="E11:F11"/>
    <mergeCell ref="C17:D17"/>
    <mergeCell ref="E17:F17"/>
    <mergeCell ref="C10:D10"/>
    <mergeCell ref="C11:D11"/>
    <mergeCell ref="E8:F8"/>
    <mergeCell ref="E9:F9"/>
    <mergeCell ref="E3:F3"/>
    <mergeCell ref="C8:D8"/>
    <mergeCell ref="C9:D9"/>
    <mergeCell ref="E2:F2"/>
    <mergeCell ref="E4:F4"/>
    <mergeCell ref="E5:F5"/>
    <mergeCell ref="C6:D6"/>
    <mergeCell ref="C7:D7"/>
    <mergeCell ref="E7:F7"/>
    <mergeCell ref="E6:F6"/>
    <mergeCell ref="C2:D2"/>
    <mergeCell ref="C3:D3"/>
    <mergeCell ref="C4:D4"/>
    <mergeCell ref="C5:D5"/>
    <mergeCell ref="B40:G40"/>
    <mergeCell ref="C27:D27"/>
    <mergeCell ref="C28:D28"/>
    <mergeCell ref="E27:F27"/>
    <mergeCell ref="E28:F28"/>
    <mergeCell ref="C32:D32"/>
    <mergeCell ref="C34:D34"/>
    <mergeCell ref="C35:D35"/>
    <mergeCell ref="C36:D36"/>
    <mergeCell ref="C37:D37"/>
    <mergeCell ref="C39:D39"/>
    <mergeCell ref="E39:F39"/>
    <mergeCell ref="E22:F22"/>
    <mergeCell ref="E13:F13"/>
    <mergeCell ref="M32:N32"/>
    <mergeCell ref="O32:P32"/>
    <mergeCell ref="C25:D25"/>
    <mergeCell ref="E25:F25"/>
    <mergeCell ref="C29:D29"/>
    <mergeCell ref="E29:F29"/>
    <mergeCell ref="A30:G30"/>
    <mergeCell ref="A31:G31"/>
    <mergeCell ref="E26:F26"/>
    <mergeCell ref="C26:D26"/>
    <mergeCell ref="C24:D24"/>
    <mergeCell ref="C21:D21"/>
    <mergeCell ref="E50:F50"/>
    <mergeCell ref="C50:D50"/>
    <mergeCell ref="C41:D41"/>
    <mergeCell ref="E41:F41"/>
    <mergeCell ref="E44:F44"/>
    <mergeCell ref="C44:D44"/>
    <mergeCell ref="C45:D45"/>
    <mergeCell ref="E45:F45"/>
    <mergeCell ref="C12:D12"/>
    <mergeCell ref="E12:F12"/>
    <mergeCell ref="C14:D14"/>
    <mergeCell ref="E14:F14"/>
    <mergeCell ref="C13:D13"/>
    <mergeCell ref="C15:D15"/>
    <mergeCell ref="C16:D16"/>
    <mergeCell ref="E15:F15"/>
    <mergeCell ref="E16:F16"/>
    <mergeCell ref="C43:D43"/>
    <mergeCell ref="E43:F43"/>
    <mergeCell ref="C19:D19"/>
    <mergeCell ref="C20:D20"/>
    <mergeCell ref="C23:D23"/>
    <mergeCell ref="E23:F23"/>
    <mergeCell ref="C22:D22"/>
    <mergeCell ref="C42:D42"/>
    <mergeCell ref="E42:F42"/>
    <mergeCell ref="C57:D57"/>
    <mergeCell ref="C56:D56"/>
    <mergeCell ref="E57:F57"/>
    <mergeCell ref="E56:F56"/>
    <mergeCell ref="C54:D54"/>
    <mergeCell ref="C55:D55"/>
    <mergeCell ref="E55:F55"/>
    <mergeCell ref="E54:F54"/>
    <mergeCell ref="C51:D51"/>
    <mergeCell ref="E51:F51"/>
    <mergeCell ref="C52:D52"/>
    <mergeCell ref="E52:F52"/>
    <mergeCell ref="C53:D53"/>
    <mergeCell ref="E53:F53"/>
    <mergeCell ref="E46:F46"/>
    <mergeCell ref="E47:F47"/>
    <mergeCell ref="E48:F48"/>
    <mergeCell ref="C46:D46"/>
    <mergeCell ref="C47:D47"/>
    <mergeCell ref="C48:D48"/>
    <mergeCell ref="C49:D49"/>
    <mergeCell ref="E49:F49"/>
  </mergeCells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459A2-A29F-4B2B-8739-240D048ACF64}">
  <dimension ref="A1:L673"/>
  <sheetViews>
    <sheetView topLeftCell="A4" zoomScaleNormal="100" workbookViewId="0">
      <selection activeCell="H18" sqref="H18"/>
    </sheetView>
  </sheetViews>
  <sheetFormatPr defaultRowHeight="14.4" x14ac:dyDescent="0.3"/>
  <cols>
    <col min="1" max="1" width="32.33203125" customWidth="1"/>
    <col min="2" max="2" width="4.109375" customWidth="1"/>
    <col min="3" max="3" width="13.109375" customWidth="1"/>
    <col min="4" max="4" width="4.77734375" customWidth="1"/>
    <col min="5" max="5" width="13.77734375" customWidth="1"/>
    <col min="11" max="11" width="23.44140625" customWidth="1"/>
  </cols>
  <sheetData>
    <row r="1" spans="1:12" s="56" customFormat="1" x14ac:dyDescent="0.3">
      <c r="B1" s="121" t="s">
        <v>90</v>
      </c>
      <c r="C1" s="121"/>
      <c r="D1" s="121"/>
      <c r="E1" s="121"/>
    </row>
    <row r="2" spans="1:12" x14ac:dyDescent="0.3">
      <c r="A2" s="2" t="s">
        <v>64</v>
      </c>
      <c r="B2" s="127" t="s">
        <v>98</v>
      </c>
      <c r="C2" s="127"/>
      <c r="D2" s="127" t="s">
        <v>99</v>
      </c>
      <c r="E2" s="127"/>
    </row>
    <row r="3" spans="1:12" x14ac:dyDescent="0.3">
      <c r="A3" t="s">
        <v>15</v>
      </c>
      <c r="B3" s="122">
        <f>[1]All!$L$12*L17</f>
        <v>0.48314833998105799</v>
      </c>
      <c r="C3" s="122"/>
      <c r="D3" s="122">
        <f>[1]All!$L$13*L17</f>
        <v>0.5946441107459175</v>
      </c>
      <c r="E3" s="122"/>
    </row>
    <row r="4" spans="1:12" x14ac:dyDescent="0.3">
      <c r="A4" t="s">
        <v>16</v>
      </c>
      <c r="B4" s="122">
        <f>[2]prod_herd_data!J17</f>
        <v>367.30829304581511</v>
      </c>
      <c r="C4" s="122"/>
      <c r="D4" s="122">
        <f>[2]prod_herd_data!J18</f>
        <v>1424.0802472278533</v>
      </c>
      <c r="E4" s="122"/>
      <c r="K4" s="56"/>
    </row>
    <row r="5" spans="1:12" ht="15.6" x14ac:dyDescent="0.3">
      <c r="A5" t="s">
        <v>4</v>
      </c>
      <c r="B5" s="122">
        <f>B4*B3</f>
        <v>177.46439204636155</v>
      </c>
      <c r="C5" s="122"/>
      <c r="D5" s="122">
        <f>D4*D3</f>
        <v>846.82093224363314</v>
      </c>
      <c r="E5" s="122"/>
      <c r="K5" s="55"/>
    </row>
    <row r="6" spans="1:12" s="56" customFormat="1" ht="15.6" x14ac:dyDescent="0.3">
      <c r="B6" s="118"/>
      <c r="C6" s="118"/>
      <c r="D6" s="122"/>
      <c r="E6" s="122"/>
      <c r="K6" s="55"/>
    </row>
    <row r="7" spans="1:12" x14ac:dyDescent="0.3">
      <c r="A7" s="2" t="s">
        <v>60</v>
      </c>
      <c r="B7" s="122"/>
      <c r="C7" s="122"/>
      <c r="D7" s="122"/>
      <c r="E7" s="122"/>
    </row>
    <row r="8" spans="1:12" x14ac:dyDescent="0.3">
      <c r="A8" s="56" t="s">
        <v>29</v>
      </c>
      <c r="B8" s="122">
        <f xml:space="preserve"> (([2]FEEDING_base!$J$17*L30)+([2]FEEDING_base!$J$18*L31))</f>
        <v>79.444873766804676</v>
      </c>
      <c r="C8" s="122"/>
      <c r="D8" s="122">
        <f>(([2]FEEDING_base!$J$23*L30)+([2]FEEDING_base!$J$24*L31))</f>
        <v>241.16030694690787</v>
      </c>
      <c r="E8" s="122"/>
    </row>
    <row r="9" spans="1:12" x14ac:dyDescent="0.3">
      <c r="A9" s="56" t="s">
        <v>1</v>
      </c>
      <c r="B9" s="122">
        <f>[1]All!$P$12*L17</f>
        <v>3.7037541262095375</v>
      </c>
      <c r="C9" s="122"/>
      <c r="D9" s="122">
        <f>[1]All!$P$13*L17</f>
        <v>9.9618214429084109</v>
      </c>
      <c r="E9" s="122"/>
    </row>
    <row r="10" spans="1:12" x14ac:dyDescent="0.3">
      <c r="A10" s="56" t="s">
        <v>61</v>
      </c>
      <c r="B10" s="122">
        <f>[1]All!$Q$12*L17</f>
        <v>9.4509588048105453</v>
      </c>
      <c r="C10" s="122"/>
      <c r="D10" s="122">
        <f>[1]All!$Q$13*L17</f>
        <v>8.9400961667126779</v>
      </c>
      <c r="E10" s="122"/>
      <c r="K10" s="2" t="str">
        <f>Dairy_Income_Roadmap!K10</f>
        <v>Basic income parameters</v>
      </c>
      <c r="L10" s="2"/>
    </row>
    <row r="11" spans="1:12" x14ac:dyDescent="0.3">
      <c r="A11" s="56" t="s">
        <v>62</v>
      </c>
      <c r="B11" s="122">
        <f>[1]All!$R$12*L17</f>
        <v>0.12771565952446681</v>
      </c>
      <c r="C11" s="122"/>
      <c r="D11" s="122">
        <f>[1]All!$R$13*L17</f>
        <v>1.0217252761957345</v>
      </c>
      <c r="E11" s="122"/>
      <c r="K11" s="54" t="str">
        <f>Dairy_Income_Roadmap!K11</f>
        <v>Amortization period (years)</v>
      </c>
      <c r="L11" s="54">
        <v>12</v>
      </c>
    </row>
    <row r="12" spans="1:12" x14ac:dyDescent="0.3">
      <c r="A12" s="56" t="s">
        <v>63</v>
      </c>
      <c r="B12" s="122">
        <f>0*L17</f>
        <v>0</v>
      </c>
      <c r="C12" s="122"/>
      <c r="D12" s="122">
        <f>0*L17</f>
        <v>0</v>
      </c>
      <c r="E12" s="122"/>
      <c r="K12" s="54"/>
      <c r="L12" s="54"/>
    </row>
    <row r="13" spans="1:12" s="56" customFormat="1" x14ac:dyDescent="0.3">
      <c r="B13" s="118"/>
      <c r="C13" s="118"/>
      <c r="D13" s="122"/>
      <c r="E13" s="122"/>
      <c r="K13" s="54"/>
      <c r="L13" s="54"/>
    </row>
    <row r="14" spans="1:12" x14ac:dyDescent="0.3">
      <c r="A14" s="2" t="s">
        <v>97</v>
      </c>
      <c r="B14" s="122">
        <f>SUM(B8:B12)</f>
        <v>92.727302357349217</v>
      </c>
      <c r="C14" s="122"/>
      <c r="D14" s="122">
        <f>SUM(D8:D12)</f>
        <v>261.08394983272473</v>
      </c>
      <c r="E14" s="122"/>
      <c r="K14" s="54" t="str">
        <f>Dairy_Income_Roadmap!K13</f>
        <v>Price acquring new animal (USD/head)</v>
      </c>
      <c r="L14" s="54">
        <f>Dairy_Income_Roadmap!L13</f>
        <v>397.7</v>
      </c>
    </row>
    <row r="15" spans="1:12" x14ac:dyDescent="0.3">
      <c r="B15" s="118"/>
      <c r="C15" s="118"/>
      <c r="D15" s="122"/>
      <c r="E15" s="122"/>
      <c r="K15" s="54" t="str">
        <f>Dairy_Income_Roadmap!K14</f>
        <v>Standard error animal price (fraction)</v>
      </c>
      <c r="L15" s="54">
        <f>Dairy_Income_Roadmap!L14</f>
        <v>0</v>
      </c>
    </row>
    <row r="16" spans="1:12" x14ac:dyDescent="0.3">
      <c r="B16" s="118"/>
      <c r="C16" s="118"/>
      <c r="D16" s="122"/>
      <c r="E16" s="122"/>
      <c r="K16" s="54"/>
      <c r="L16" s="54"/>
    </row>
    <row r="17" spans="1:12" x14ac:dyDescent="0.3">
      <c r="A17" s="56"/>
      <c r="B17" s="122"/>
      <c r="C17" s="122"/>
      <c r="D17" s="122"/>
      <c r="E17" s="122"/>
      <c r="K17" s="54" t="str">
        <f>Dairy_Income_Roadmap!K16</f>
        <v>Price deflator</v>
      </c>
      <c r="L17" s="61">
        <f>Dairy_Income_Roadmap!L16</f>
        <v>1.2771565952446682</v>
      </c>
    </row>
    <row r="18" spans="1:12" x14ac:dyDescent="0.3">
      <c r="B18" s="73" t="s">
        <v>77</v>
      </c>
      <c r="C18" s="73"/>
      <c r="D18" s="126"/>
      <c r="E18" s="126"/>
      <c r="K18" s="54"/>
      <c r="L18" s="54"/>
    </row>
    <row r="19" spans="1:12" x14ac:dyDescent="0.3">
      <c r="A19" t="s">
        <v>7</v>
      </c>
      <c r="B19" s="122">
        <f>L36*L17</f>
        <v>473.19051384219415</v>
      </c>
      <c r="C19" s="122"/>
      <c r="D19" s="122">
        <f>L38*L17</f>
        <v>626.19041111347224</v>
      </c>
      <c r="E19" s="122"/>
      <c r="K19" s="2"/>
      <c r="L19" s="54"/>
    </row>
    <row r="20" spans="1:12" x14ac:dyDescent="0.3">
      <c r="A20" t="s">
        <v>78</v>
      </c>
      <c r="B20" s="122">
        <f>( [5]Sheet1!$QH$65*[2]feeding_change_data!$J$4+      [5]Sheet1!$QH$56*[2]feeding_change_data!$K$4)/([2]feeding_change_data!$J$4+[2]feeding_change_data!$K$4)</f>
        <v>146.80537326217234</v>
      </c>
      <c r="C20" s="122"/>
      <c r="D20" s="122">
        <f>( [5]Sheet1!$QG$65*[2]feeding_change_data!$J$4+      [5]Sheet1!$QG$56*[2]feeding_change_data!$K$4)/([2]feeding_change_data!$J$4+[2]feeding_change_data!$K$4)</f>
        <v>410.46318105569441</v>
      </c>
      <c r="E20" s="122"/>
      <c r="K20" s="54" t="str">
        <f>Dairy_Income_Roadmap!K19</f>
        <v>Forage seeding cost (USD/ha/yr)</v>
      </c>
      <c r="L20" s="54">
        <f>Dairy_Income_Roadmap!L19</f>
        <v>28</v>
      </c>
    </row>
    <row r="21" spans="1:12" x14ac:dyDescent="0.3">
      <c r="A21" t="s">
        <v>79</v>
      </c>
      <c r="B21" s="122">
        <f>(((1/1000)*(1/L23)/L33))*B20</f>
        <v>1.5056961360222804E-2</v>
      </c>
      <c r="C21" s="122"/>
      <c r="D21" s="122">
        <f>(((1/1000)*(1/L23)/L33))*D20</f>
        <v>4.2098787800584042E-2</v>
      </c>
      <c r="E21" s="122"/>
      <c r="K21" s="54"/>
      <c r="L21" s="54"/>
    </row>
    <row r="22" spans="1:12" x14ac:dyDescent="0.3">
      <c r="A22" t="s">
        <v>80</v>
      </c>
      <c r="B22" s="122">
        <f>( [5]Sheet1!$QP$65*[2]feeding_change_data_pasture!$J$4+      [5]Sheet1!$QP$56*[2]feeding_change_data_pasture!$K$4)/([2]feeding_change_data_pasture!$J$4+[2]feeding_change_data_pasture!$K$4)</f>
        <v>96.509350562910655</v>
      </c>
      <c r="C22" s="122"/>
      <c r="D22" s="122">
        <f>( [5]Sheet1!$QO$65*[2]feeding_change_data_pasture!$J$4+      [5]Sheet1!$QO$56*[2]feeding_change_data_pasture!$K$4)/([2]feeding_change_data_pasture!$J$4+[2]feeding_change_data_pasture!$K$4)</f>
        <v>300.37899968817578</v>
      </c>
      <c r="E22" s="122"/>
      <c r="K22" s="54"/>
      <c r="L22" s="54"/>
    </row>
    <row r="23" spans="1:12" x14ac:dyDescent="0.3">
      <c r="A23" t="s">
        <v>81</v>
      </c>
      <c r="B23" s="122">
        <f>(((1/1000)*(1/L25)/L34))*B22</f>
        <v>3.8603740225164267E-2</v>
      </c>
      <c r="C23" s="122"/>
      <c r="D23" s="122">
        <f>(((1/1000)*(1/L25)/L34))*D22</f>
        <v>0.12015159987527031</v>
      </c>
      <c r="E23" s="122"/>
      <c r="K23" s="54" t="str">
        <f>Dairy_Income_Roadmap!K23</f>
        <v>Use efficiency napier</v>
      </c>
      <c r="L23" s="54">
        <f>Dairy_Income_Roadmap!L23</f>
        <v>0.75</v>
      </c>
    </row>
    <row r="24" spans="1:12" s="70" customFormat="1" x14ac:dyDescent="0.3">
      <c r="A24" s="70" t="s">
        <v>83</v>
      </c>
      <c r="B24" s="122">
        <f>B21+B23</f>
        <v>5.366070158538707E-2</v>
      </c>
      <c r="C24" s="122"/>
      <c r="D24" s="122">
        <f>D21+D23</f>
        <v>0.16225038767585437</v>
      </c>
      <c r="E24" s="122"/>
      <c r="K24" s="54"/>
      <c r="L24" s="54"/>
    </row>
    <row r="25" spans="1:12" x14ac:dyDescent="0.3">
      <c r="A25" t="s">
        <v>72</v>
      </c>
      <c r="B25" s="122">
        <f>(B21+B23)*L17*L20</f>
        <v>1.9189273301865273</v>
      </c>
      <c r="C25" s="122"/>
      <c r="D25" s="122">
        <f>(D21+D23)*L17*L20</f>
        <v>5.8021362756342052</v>
      </c>
      <c r="E25" s="122"/>
      <c r="K25" s="54" t="str">
        <f>Dairy_Income_Roadmap!K24</f>
        <v>Use efficiency pasture</v>
      </c>
      <c r="L25" s="54">
        <f>Dairy_Income_Roadmap!L24</f>
        <v>0.5</v>
      </c>
    </row>
    <row r="26" spans="1:12" x14ac:dyDescent="0.3">
      <c r="A26" t="s">
        <v>8</v>
      </c>
      <c r="B26" s="122">
        <f>(B21+B23)*B19+B25</f>
        <v>27.310662286508478</v>
      </c>
      <c r="C26" s="122"/>
      <c r="D26" s="122">
        <f>(D21+D23)*D19+D25</f>
        <v>107.40177323769771</v>
      </c>
      <c r="E26" s="122"/>
      <c r="K26" s="54"/>
      <c r="L26" s="54"/>
    </row>
    <row r="27" spans="1:12" x14ac:dyDescent="0.3">
      <c r="B27" s="118"/>
      <c r="C27" s="118"/>
      <c r="D27" s="122"/>
      <c r="E27" s="122"/>
      <c r="K27" s="54" t="str">
        <f>Dairy_Income_Roadmap!K26</f>
        <v>Standard error (%) improved forage yield</v>
      </c>
      <c r="L27" s="54">
        <f>Dairy_Income_Roadmap!L26</f>
        <v>7.5</v>
      </c>
    </row>
    <row r="28" spans="1:12" x14ac:dyDescent="0.3">
      <c r="A28" t="s">
        <v>47</v>
      </c>
      <c r="B28" s="122">
        <f>B5-B14</f>
        <v>84.737089689012336</v>
      </c>
      <c r="C28" s="122"/>
      <c r="D28" s="122">
        <f>D5-D14</f>
        <v>585.73698241090847</v>
      </c>
      <c r="E28" s="122"/>
      <c r="K28" s="54" t="str">
        <f>Dairy_Income_Roadmap!K27</f>
        <v>Standard error (%) improved forage yield</v>
      </c>
      <c r="L28" s="54">
        <f>Dairy_Income_Roadmap!L27</f>
        <v>20</v>
      </c>
    </row>
    <row r="29" spans="1:12" x14ac:dyDescent="0.3">
      <c r="B29" s="128"/>
      <c r="C29" s="128"/>
      <c r="D29" s="57"/>
      <c r="E29" s="57"/>
      <c r="K29" s="54"/>
      <c r="L29" s="54"/>
    </row>
    <row r="30" spans="1:12" x14ac:dyDescent="0.3">
      <c r="B30" s="118"/>
      <c r="C30" s="118"/>
      <c r="D30" s="21"/>
      <c r="E30" s="21"/>
      <c r="K30" s="54" t="str">
        <f>Dairy_Income_Roadmap!K29</f>
        <v>Market price Sunflower cake (USD/kg)</v>
      </c>
      <c r="L30" s="61">
        <f>Dairy_Income_Roadmap!L29</f>
        <v>0.31928914881116705</v>
      </c>
    </row>
    <row r="31" spans="1:12" x14ac:dyDescent="0.3">
      <c r="B31" s="118"/>
      <c r="C31" s="118"/>
      <c r="D31" s="21"/>
      <c r="E31" s="21"/>
      <c r="K31" s="54" t="str">
        <f>Dairy_Income_Roadmap!K30</f>
        <v>Market price Maize bran (USD/kg)</v>
      </c>
      <c r="L31" s="61">
        <f>Dairy_Income_Roadmap!L30</f>
        <v>0.26820288500138029</v>
      </c>
    </row>
    <row r="32" spans="1:12" x14ac:dyDescent="0.3">
      <c r="B32" s="118"/>
      <c r="C32" s="118"/>
      <c r="D32" s="21"/>
      <c r="E32" s="21"/>
      <c r="K32" s="54"/>
      <c r="L32" s="54"/>
    </row>
    <row r="33" spans="1:12" x14ac:dyDescent="0.3">
      <c r="B33" s="118"/>
      <c r="C33" s="118"/>
      <c r="D33" s="21"/>
      <c r="E33" s="21"/>
      <c r="K33" s="54" t="str">
        <f>Dairy_Income_Roadmap!K32</f>
        <v>Napier yield (Mg/ha)</v>
      </c>
      <c r="L33" s="54">
        <f>Dairy_Income_Roadmap!L32</f>
        <v>13</v>
      </c>
    </row>
    <row r="34" spans="1:12" x14ac:dyDescent="0.3">
      <c r="A34" s="121" t="s">
        <v>56</v>
      </c>
      <c r="B34" s="118"/>
      <c r="C34" s="118"/>
      <c r="D34" s="118"/>
      <c r="E34" s="118"/>
      <c r="F34" s="58"/>
      <c r="G34" s="58"/>
      <c r="K34" s="54" t="str">
        <f>Dairy_Income_Roadmap!K33</f>
        <v>Pasture yield (Mg/ha)</v>
      </c>
      <c r="L34" s="54">
        <f>Dairy_Income_Roadmap!L33</f>
        <v>5</v>
      </c>
    </row>
    <row r="35" spans="1:12" x14ac:dyDescent="0.3">
      <c r="A35" s="118" t="s">
        <v>54</v>
      </c>
      <c r="B35" s="118"/>
      <c r="C35" s="118"/>
      <c r="D35" s="118"/>
      <c r="E35" s="118"/>
      <c r="F35" s="58"/>
      <c r="G35" s="58"/>
      <c r="K35" s="54"/>
      <c r="L35" s="54"/>
    </row>
    <row r="36" spans="1:12" x14ac:dyDescent="0.3">
      <c r="A36" t="s">
        <v>17</v>
      </c>
      <c r="B36" s="122">
        <f>[1]All!$S$12*L17</f>
        <v>0.11494409357202014</v>
      </c>
      <c r="C36" s="122"/>
      <c r="D36" s="21"/>
      <c r="E36" s="57">
        <f>[1]All!$S$13*L17</f>
        <v>8.9400961667126785E-2</v>
      </c>
      <c r="K36" s="54" t="str">
        <f>Dairy_Income_Roadmap!K35</f>
        <v xml:space="preserve">Opportunity cost land strata 1 </v>
      </c>
      <c r="L36" s="61">
        <f>[1]All!$N$12*L17</f>
        <v>370.50312828047828</v>
      </c>
    </row>
    <row r="37" spans="1:12" x14ac:dyDescent="0.3">
      <c r="B37" s="118"/>
      <c r="C37" s="118"/>
      <c r="D37" s="21"/>
      <c r="E37" s="57"/>
      <c r="K37" s="54" t="str">
        <f>Dairy_Income_Roadmap!K36</f>
        <v>SE (fraction)</v>
      </c>
      <c r="L37" s="61">
        <f>[1]All!$U$12*L17/L36</f>
        <v>0.53119613926232334</v>
      </c>
    </row>
    <row r="38" spans="1:12" x14ac:dyDescent="0.3">
      <c r="A38" t="s">
        <v>0</v>
      </c>
      <c r="B38" s="122">
        <f>[1]All!$V$12*L17</f>
        <v>169.09553321039408</v>
      </c>
      <c r="C38" s="122"/>
      <c r="D38" s="21"/>
      <c r="E38" s="57">
        <f>[1]All!$V$13*L17</f>
        <v>107.79201663865</v>
      </c>
      <c r="K38" s="54" t="str">
        <f>Dairy_Income_Roadmap!K37</f>
        <v>Opportunity cost land strata 2</v>
      </c>
      <c r="L38" s="61">
        <f>[1]All!$N$13*L17</f>
        <v>490.30041691442807</v>
      </c>
    </row>
    <row r="39" spans="1:12" x14ac:dyDescent="0.3">
      <c r="A39" t="s">
        <v>1</v>
      </c>
      <c r="B39" s="122">
        <f>[1]All!$W$12*L17</f>
        <v>22.09480909773276</v>
      </c>
      <c r="C39" s="122"/>
      <c r="D39" s="21"/>
      <c r="E39" s="57">
        <f>[1]All!$W$13*L17</f>
        <v>64.36869240033127</v>
      </c>
      <c r="K39" s="54" t="str">
        <f>Dairy_Income_Roadmap!K38</f>
        <v>SE (fraction)</v>
      </c>
      <c r="L39" s="61">
        <f>[1]All!$U$13*L17/L38</f>
        <v>0.4540244855431102</v>
      </c>
    </row>
    <row r="40" spans="1:12" x14ac:dyDescent="0.3">
      <c r="A40" t="s">
        <v>2</v>
      </c>
      <c r="B40" s="122">
        <f>[1]All!$X$12*L17</f>
        <v>11.62212501672648</v>
      </c>
      <c r="C40" s="122"/>
      <c r="D40" s="21"/>
      <c r="E40" s="57">
        <f>[1]All!$X$13*L17</f>
        <v>10.472684081006278</v>
      </c>
      <c r="K40" s="54"/>
      <c r="L40" s="54"/>
    </row>
    <row r="41" spans="1:12" x14ac:dyDescent="0.3">
      <c r="A41" t="s">
        <v>5</v>
      </c>
      <c r="B41" s="122">
        <f>[1]All!$Y$12*L17</f>
        <v>0.89400961667126766</v>
      </c>
      <c r="C41" s="122"/>
      <c r="D41" s="21"/>
      <c r="E41" s="57">
        <f>[1]All!$Y$13*L17</f>
        <v>4.2146167643074044</v>
      </c>
      <c r="K41" s="54"/>
      <c r="L41" s="54"/>
    </row>
    <row r="42" spans="1:12" x14ac:dyDescent="0.3">
      <c r="A42" t="s">
        <v>3</v>
      </c>
      <c r="B42" s="122">
        <f>B12*L17</f>
        <v>0</v>
      </c>
      <c r="C42" s="122"/>
      <c r="D42" s="57"/>
      <c r="E42" s="57">
        <f>D12*L17</f>
        <v>0</v>
      </c>
      <c r="K42" s="54"/>
      <c r="L42" s="54"/>
    </row>
    <row r="43" spans="1:12" x14ac:dyDescent="0.3">
      <c r="B43" s="118"/>
      <c r="C43" s="118"/>
      <c r="D43" s="21"/>
      <c r="E43" s="21"/>
      <c r="K43" s="54"/>
      <c r="L43" s="54"/>
    </row>
    <row r="44" spans="1:12" s="58" customFormat="1" x14ac:dyDescent="0.3">
      <c r="B44" s="118"/>
      <c r="C44" s="118"/>
      <c r="D44" s="21"/>
      <c r="E44" s="21"/>
      <c r="K44" s="54"/>
      <c r="L44" s="54"/>
    </row>
    <row r="45" spans="1:12" x14ac:dyDescent="0.3">
      <c r="B45" s="126" t="s">
        <v>55</v>
      </c>
      <c r="C45" s="126"/>
      <c r="D45" s="126"/>
      <c r="E45" s="126"/>
      <c r="K45" s="54"/>
      <c r="L45" s="54"/>
    </row>
    <row r="46" spans="1:12" x14ac:dyDescent="0.3">
      <c r="A46" t="s">
        <v>9</v>
      </c>
      <c r="B46" s="122">
        <f ca="1">_xlfn.NORM.INV(RAND(),B3,B36)</f>
        <v>0.41958522916918795</v>
      </c>
      <c r="C46" s="122"/>
      <c r="D46" s="57"/>
      <c r="E46" s="57">
        <f ca="1">_xlfn.NORM.INV(RAND(),D3,E36)</f>
        <v>0.59903143970330808</v>
      </c>
      <c r="K46" s="54"/>
      <c r="L46" s="54"/>
    </row>
    <row r="47" spans="1:12" s="107" customFormat="1" x14ac:dyDescent="0.3">
      <c r="A47" s="107" t="s">
        <v>103</v>
      </c>
      <c r="B47" s="122">
        <f>Dairy_Income_Baseline!B4*Dairy_Income_Roadmap!L21</f>
        <v>51.423161026414121</v>
      </c>
      <c r="C47" s="122"/>
      <c r="D47" s="106"/>
      <c r="E47" s="106">
        <f>D4*Dairy_Income_Roadmap!L21</f>
        <v>199.3712346118995</v>
      </c>
      <c r="K47" s="54"/>
      <c r="L47" s="54"/>
    </row>
    <row r="48" spans="1:12" x14ac:dyDescent="0.3">
      <c r="B48" s="118"/>
      <c r="C48" s="118"/>
      <c r="D48" s="57"/>
      <c r="E48" s="57"/>
      <c r="K48" s="54"/>
      <c r="L48" s="54"/>
    </row>
    <row r="49" spans="1:12" x14ac:dyDescent="0.3">
      <c r="A49" t="s">
        <v>10</v>
      </c>
      <c r="B49" s="122">
        <f ca="1">_xlfn.NORM.INV(RAND(),B8,B38)</f>
        <v>126.66969838336293</v>
      </c>
      <c r="C49" s="122"/>
      <c r="D49" s="57"/>
      <c r="E49" s="57">
        <f ca="1">_xlfn.NORM.INV(RAND(),D8,E38)</f>
        <v>347.64011273591308</v>
      </c>
      <c r="K49" s="54"/>
      <c r="L49" s="54"/>
    </row>
    <row r="50" spans="1:12" x14ac:dyDescent="0.3">
      <c r="A50" t="s">
        <v>1</v>
      </c>
      <c r="B50" s="122">
        <f ca="1">_xlfn.NORM.INV(RAND(),B9,B39)</f>
        <v>46.944745782245043</v>
      </c>
      <c r="C50" s="122"/>
      <c r="D50" s="57"/>
      <c r="E50" s="57">
        <f ca="1">_xlfn.NORM.INV(RAND(),D9,E39)</f>
        <v>49.510324252259558</v>
      </c>
      <c r="K50" s="54"/>
      <c r="L50" s="54"/>
    </row>
    <row r="51" spans="1:12" x14ac:dyDescent="0.3">
      <c r="A51" t="s">
        <v>2</v>
      </c>
      <c r="B51" s="122">
        <f ca="1">_xlfn.NORM.INV(RAND(),B10,B40)</f>
        <v>-9.9057062858783826</v>
      </c>
      <c r="C51" s="122"/>
      <c r="D51" s="57"/>
      <c r="E51" s="57">
        <f ca="1">_xlfn.NORM.INV(RAND(),D10,E40)</f>
        <v>9.6441869526726567</v>
      </c>
      <c r="K51" s="54"/>
      <c r="L51" s="54"/>
    </row>
    <row r="52" spans="1:12" x14ac:dyDescent="0.3">
      <c r="A52" t="s">
        <v>12</v>
      </c>
      <c r="B52" s="122">
        <f ca="1">_xlfn.NORM.INV(RAND(),B11,B41)</f>
        <v>1.4445255620026409</v>
      </c>
      <c r="C52" s="122"/>
      <c r="D52" s="57"/>
      <c r="E52" s="57">
        <f ca="1">_xlfn.NORM.INV(RAND(),D11,E41)</f>
        <v>2.376670093176434</v>
      </c>
      <c r="K52" s="54"/>
      <c r="L52" s="54"/>
    </row>
    <row r="53" spans="1:12" x14ac:dyDescent="0.3">
      <c r="A53" t="s">
        <v>3</v>
      </c>
      <c r="B53" s="122">
        <v>1E-4</v>
      </c>
      <c r="C53" s="122"/>
      <c r="D53" s="57"/>
      <c r="E53" s="57">
        <v>1E-4</v>
      </c>
      <c r="K53" s="54"/>
      <c r="L53" s="54"/>
    </row>
    <row r="54" spans="1:12" x14ac:dyDescent="0.3">
      <c r="B54" s="118"/>
      <c r="C54" s="118"/>
      <c r="D54" s="57"/>
      <c r="E54" s="57"/>
      <c r="K54" s="54"/>
      <c r="L54" s="54"/>
    </row>
    <row r="55" spans="1:12" x14ac:dyDescent="0.3">
      <c r="A55" s="2" t="s">
        <v>75</v>
      </c>
      <c r="B55" s="122">
        <f ca="1">SUM(B49:B53)</f>
        <v>165.15336344173224</v>
      </c>
      <c r="C55" s="122"/>
      <c r="D55" s="57"/>
      <c r="E55" s="57">
        <f ca="1">SUM(E49:E53)</f>
        <v>409.17139403402172</v>
      </c>
      <c r="K55" s="54"/>
      <c r="L55" s="54"/>
    </row>
    <row r="56" spans="1:12" x14ac:dyDescent="0.3">
      <c r="A56" s="2"/>
      <c r="B56" s="118"/>
      <c r="C56" s="118"/>
      <c r="D56" s="57"/>
      <c r="E56" s="57"/>
      <c r="K56" s="54"/>
      <c r="L56" s="54"/>
    </row>
    <row r="57" spans="1:12" x14ac:dyDescent="0.3">
      <c r="A57" s="2" t="s">
        <v>47</v>
      </c>
      <c r="B57" s="122">
        <f ca="1">B46*B47-B55</f>
        <v>-143.57696463786021</v>
      </c>
      <c r="C57" s="122"/>
      <c r="D57" s="57"/>
      <c r="E57" s="57">
        <f ca="1">E46*E47-E55</f>
        <v>-289.74175632902956</v>
      </c>
      <c r="K57" s="54"/>
      <c r="L57" s="54"/>
    </row>
    <row r="58" spans="1:12" x14ac:dyDescent="0.3">
      <c r="A58" s="2"/>
      <c r="B58" s="118"/>
      <c r="C58" s="118"/>
      <c r="D58" s="57"/>
      <c r="E58" s="57"/>
      <c r="K58" s="54"/>
      <c r="L58" s="54"/>
    </row>
    <row r="59" spans="1:12" x14ac:dyDescent="0.3">
      <c r="A59" s="2" t="s">
        <v>13</v>
      </c>
      <c r="B59" s="122">
        <f ca="1">AVERAGE(C63:C562)</f>
        <v>-68.654732679131499</v>
      </c>
      <c r="C59" s="122"/>
      <c r="D59" s="57"/>
      <c r="E59" s="57">
        <f ca="1">AVERAGE(E63:E562)</f>
        <v>-144.38838754400533</v>
      </c>
      <c r="K59" s="54"/>
      <c r="L59" s="54"/>
    </row>
    <row r="60" spans="1:12" x14ac:dyDescent="0.3">
      <c r="A60" s="2" t="s">
        <v>11</v>
      </c>
      <c r="B60" s="122">
        <f ca="1">STDEVA(C63:C562)</f>
        <v>178.26920523192138</v>
      </c>
      <c r="C60" s="122"/>
      <c r="D60" s="57"/>
      <c r="E60" s="57">
        <f t="shared" ref="E60" ca="1" si="0">STDEVA(E63:E562)</f>
        <v>132.65444874538497</v>
      </c>
      <c r="K60" s="54"/>
      <c r="L60" s="54"/>
    </row>
    <row r="61" spans="1:12" x14ac:dyDescent="0.3">
      <c r="B61" s="118"/>
      <c r="C61" s="118"/>
      <c r="K61" s="54"/>
      <c r="L61" s="54"/>
    </row>
    <row r="62" spans="1:12" x14ac:dyDescent="0.3">
      <c r="A62" s="2" t="s">
        <v>71</v>
      </c>
      <c r="B62" s="118"/>
      <c r="C62" s="118"/>
      <c r="K62" s="54"/>
      <c r="L62" s="54"/>
    </row>
    <row r="63" spans="1:12" x14ac:dyDescent="0.3">
      <c r="B63">
        <v>1</v>
      </c>
      <c r="C63" s="33">
        <f ca="1">B57</f>
        <v>-143.57696463786021</v>
      </c>
      <c r="D63">
        <f>B63</f>
        <v>1</v>
      </c>
      <c r="E63" s="33">
        <f ca="1">E57</f>
        <v>-289.74175632902956</v>
      </c>
      <c r="K63" s="54"/>
      <c r="L63" s="54"/>
    </row>
    <row r="64" spans="1:12" x14ac:dyDescent="0.3">
      <c r="B64">
        <v>2</v>
      </c>
      <c r="C64" s="33">
        <f t="dataTable" ref="C64:C562" dt2D="0" dtr="0" r1="C62" ca="1"/>
        <v>-5.6333265560545414</v>
      </c>
      <c r="D64" s="56">
        <f>B64</f>
        <v>2</v>
      </c>
      <c r="E64" s="33">
        <f t="dataTable" ref="E64:E562" dt2D="0" dtr="0" r1="E62" ca="1"/>
        <v>141.8318884691607</v>
      </c>
      <c r="K64" s="54"/>
      <c r="L64" s="54"/>
    </row>
    <row r="65" spans="2:12" x14ac:dyDescent="0.3">
      <c r="B65" s="56">
        <v>3</v>
      </c>
      <c r="C65" s="33">
        <v>-76.996224769473841</v>
      </c>
      <c r="D65" s="56">
        <f t="shared" ref="D65:D128" si="1">B65</f>
        <v>3</v>
      </c>
      <c r="E65" s="33">
        <v>-12.693538834689718</v>
      </c>
      <c r="K65" s="54"/>
      <c r="L65" s="54"/>
    </row>
    <row r="66" spans="2:12" x14ac:dyDescent="0.3">
      <c r="B66" s="56">
        <v>4</v>
      </c>
      <c r="C66" s="33">
        <v>-275.3856630047672</v>
      </c>
      <c r="D66" s="56">
        <f t="shared" si="1"/>
        <v>4</v>
      </c>
      <c r="E66" s="33">
        <v>-225.24375225144178</v>
      </c>
      <c r="K66" s="54"/>
      <c r="L66" s="54"/>
    </row>
    <row r="67" spans="2:12" x14ac:dyDescent="0.3">
      <c r="B67" s="56">
        <v>5</v>
      </c>
      <c r="C67" s="33">
        <v>-28.311476159950349</v>
      </c>
      <c r="D67" s="56">
        <f t="shared" si="1"/>
        <v>5</v>
      </c>
      <c r="E67" s="33">
        <v>-131.15232517445909</v>
      </c>
      <c r="K67" s="54"/>
      <c r="L67" s="54"/>
    </row>
    <row r="68" spans="2:12" x14ac:dyDescent="0.3">
      <c r="B68" s="56">
        <v>6</v>
      </c>
      <c r="C68" s="33">
        <v>-422.71143890625797</v>
      </c>
      <c r="D68" s="56">
        <f t="shared" si="1"/>
        <v>6</v>
      </c>
      <c r="E68" s="33">
        <v>-45.668915869604675</v>
      </c>
      <c r="K68" s="54"/>
      <c r="L68" s="54"/>
    </row>
    <row r="69" spans="2:12" x14ac:dyDescent="0.3">
      <c r="B69" s="56">
        <v>7</v>
      </c>
      <c r="C69" s="33">
        <v>-805.7273089403933</v>
      </c>
      <c r="D69" s="56">
        <f t="shared" si="1"/>
        <v>7</v>
      </c>
      <c r="E69" s="33">
        <v>-179.10832620515288</v>
      </c>
      <c r="K69" s="54"/>
      <c r="L69" s="54"/>
    </row>
    <row r="70" spans="2:12" x14ac:dyDescent="0.3">
      <c r="B70" s="56">
        <v>8</v>
      </c>
      <c r="C70" s="33">
        <v>-68.924453782196863</v>
      </c>
      <c r="D70" s="56">
        <f t="shared" si="1"/>
        <v>8</v>
      </c>
      <c r="E70" s="33">
        <v>-327.38347988561702</v>
      </c>
      <c r="K70" s="54"/>
      <c r="L70" s="54"/>
    </row>
    <row r="71" spans="2:12" x14ac:dyDescent="0.3">
      <c r="B71" s="56">
        <v>9</v>
      </c>
      <c r="C71" s="33">
        <v>18.650765525543296</v>
      </c>
      <c r="D71" s="56">
        <f t="shared" si="1"/>
        <v>9</v>
      </c>
      <c r="E71" s="33">
        <v>-69.304364972900828</v>
      </c>
      <c r="K71" s="54"/>
      <c r="L71" s="54"/>
    </row>
    <row r="72" spans="2:12" x14ac:dyDescent="0.3">
      <c r="B72" s="56">
        <v>10</v>
      </c>
      <c r="C72" s="33">
        <v>-358.87714299186194</v>
      </c>
      <c r="D72" s="56">
        <f t="shared" si="1"/>
        <v>10</v>
      </c>
      <c r="E72" s="33">
        <v>-233.29472811681839</v>
      </c>
      <c r="K72" s="54"/>
      <c r="L72" s="54"/>
    </row>
    <row r="73" spans="2:12" x14ac:dyDescent="0.3">
      <c r="B73" s="56">
        <v>11</v>
      </c>
      <c r="C73" s="33">
        <v>205.62347688376053</v>
      </c>
      <c r="D73" s="56">
        <f t="shared" si="1"/>
        <v>11</v>
      </c>
      <c r="E73" s="33">
        <v>-203.12319279367841</v>
      </c>
      <c r="K73" s="54"/>
      <c r="L73" s="54"/>
    </row>
    <row r="74" spans="2:12" x14ac:dyDescent="0.3">
      <c r="B74" s="56">
        <v>12</v>
      </c>
      <c r="C74" s="33">
        <v>-257.70614331298714</v>
      </c>
      <c r="D74" s="56">
        <f t="shared" si="1"/>
        <v>12</v>
      </c>
      <c r="E74" s="33">
        <v>-192.34028934702235</v>
      </c>
      <c r="K74" s="54"/>
      <c r="L74" s="54"/>
    </row>
    <row r="75" spans="2:12" x14ac:dyDescent="0.3">
      <c r="B75" s="56">
        <v>13</v>
      </c>
      <c r="C75" s="33">
        <v>-207.56669273122316</v>
      </c>
      <c r="D75" s="56">
        <f t="shared" si="1"/>
        <v>13</v>
      </c>
      <c r="E75" s="33">
        <v>-263.50363831606836</v>
      </c>
      <c r="K75" s="54"/>
      <c r="L75" s="54"/>
    </row>
    <row r="76" spans="2:12" x14ac:dyDescent="0.3">
      <c r="B76" s="56">
        <v>14</v>
      </c>
      <c r="C76" s="33">
        <v>180.07064409268978</v>
      </c>
      <c r="D76" s="56">
        <f t="shared" si="1"/>
        <v>14</v>
      </c>
      <c r="E76" s="33">
        <v>-45.581943570168903</v>
      </c>
      <c r="K76" s="54"/>
      <c r="L76" s="54"/>
    </row>
    <row r="77" spans="2:12" x14ac:dyDescent="0.3">
      <c r="B77" s="56">
        <v>15</v>
      </c>
      <c r="C77" s="33">
        <v>62.885300136226164</v>
      </c>
      <c r="D77" s="56">
        <f t="shared" si="1"/>
        <v>15</v>
      </c>
      <c r="E77" s="33">
        <v>-155.7199168121773</v>
      </c>
      <c r="K77" s="54"/>
      <c r="L77" s="54"/>
    </row>
    <row r="78" spans="2:12" x14ac:dyDescent="0.3">
      <c r="B78" s="56">
        <v>16</v>
      </c>
      <c r="C78" s="33">
        <v>-52.610174981890061</v>
      </c>
      <c r="D78" s="56">
        <f t="shared" si="1"/>
        <v>16</v>
      </c>
      <c r="E78" s="33">
        <v>-105.75506726608734</v>
      </c>
      <c r="K78" s="54"/>
      <c r="L78" s="54"/>
    </row>
    <row r="79" spans="2:12" x14ac:dyDescent="0.3">
      <c r="B79" s="56">
        <v>17</v>
      </c>
      <c r="C79" s="33">
        <v>-360.02335748869473</v>
      </c>
      <c r="D79" s="56">
        <f t="shared" si="1"/>
        <v>17</v>
      </c>
      <c r="E79" s="33">
        <v>-208.04554045352887</v>
      </c>
      <c r="K79" s="54"/>
      <c r="L79" s="54"/>
    </row>
    <row r="80" spans="2:12" x14ac:dyDescent="0.3">
      <c r="B80" s="56">
        <v>18</v>
      </c>
      <c r="C80" s="33">
        <v>-345.07350742508243</v>
      </c>
      <c r="D80" s="56">
        <f t="shared" si="1"/>
        <v>18</v>
      </c>
      <c r="E80" s="33">
        <v>-31.124223079013319</v>
      </c>
      <c r="K80" s="54"/>
      <c r="L80" s="54"/>
    </row>
    <row r="81" spans="2:12" x14ac:dyDescent="0.3">
      <c r="B81" s="56">
        <v>19</v>
      </c>
      <c r="C81" s="33">
        <v>5.3114768576994713</v>
      </c>
      <c r="D81" s="56">
        <f t="shared" si="1"/>
        <v>19</v>
      </c>
      <c r="E81" s="33">
        <v>-86.286410814310472</v>
      </c>
      <c r="K81" s="54"/>
      <c r="L81" s="54"/>
    </row>
    <row r="82" spans="2:12" x14ac:dyDescent="0.3">
      <c r="B82" s="56">
        <v>20</v>
      </c>
      <c r="C82" s="33">
        <v>153.09395323535819</v>
      </c>
      <c r="D82" s="56">
        <f t="shared" si="1"/>
        <v>20</v>
      </c>
      <c r="E82" s="33">
        <v>-169.34810170545137</v>
      </c>
      <c r="K82" s="54"/>
      <c r="L82" s="54"/>
    </row>
    <row r="83" spans="2:12" x14ac:dyDescent="0.3">
      <c r="B83" s="56">
        <v>21</v>
      </c>
      <c r="C83" s="33">
        <v>-11.216422752526775</v>
      </c>
      <c r="D83" s="56">
        <f t="shared" si="1"/>
        <v>21</v>
      </c>
      <c r="E83" s="33">
        <v>-85.018873979972156</v>
      </c>
      <c r="K83" s="54"/>
      <c r="L83" s="54"/>
    </row>
    <row r="84" spans="2:12" x14ac:dyDescent="0.3">
      <c r="B84" s="56">
        <v>22</v>
      </c>
      <c r="C84" s="33">
        <v>-62.787139672748758</v>
      </c>
      <c r="D84" s="56">
        <f t="shared" si="1"/>
        <v>22</v>
      </c>
      <c r="E84" s="33">
        <v>-299.721098787975</v>
      </c>
      <c r="K84" s="54"/>
      <c r="L84" s="54"/>
    </row>
    <row r="85" spans="2:12" x14ac:dyDescent="0.3">
      <c r="B85" s="56">
        <v>23</v>
      </c>
      <c r="C85" s="33">
        <v>-23.238116047046049</v>
      </c>
      <c r="D85" s="56">
        <f t="shared" si="1"/>
        <v>23</v>
      </c>
      <c r="E85" s="33">
        <v>-89.766798659809496</v>
      </c>
      <c r="K85" s="54"/>
      <c r="L85" s="54"/>
    </row>
    <row r="86" spans="2:12" x14ac:dyDescent="0.3">
      <c r="B86" s="56">
        <v>24</v>
      </c>
      <c r="C86" s="33">
        <v>-253.99244501567236</v>
      </c>
      <c r="D86" s="56">
        <f t="shared" si="1"/>
        <v>24</v>
      </c>
      <c r="E86" s="33">
        <v>-122.75835721453085</v>
      </c>
      <c r="K86" s="54"/>
      <c r="L86" s="54"/>
    </row>
    <row r="87" spans="2:12" x14ac:dyDescent="0.3">
      <c r="B87" s="56">
        <v>25</v>
      </c>
      <c r="C87" s="33">
        <v>-537.19166929242135</v>
      </c>
      <c r="D87" s="56">
        <f t="shared" si="1"/>
        <v>25</v>
      </c>
      <c r="E87" s="33">
        <v>-219.40484361147341</v>
      </c>
      <c r="K87" s="54"/>
      <c r="L87" s="54"/>
    </row>
    <row r="88" spans="2:12" x14ac:dyDescent="0.3">
      <c r="B88" s="56">
        <v>26</v>
      </c>
      <c r="C88" s="33">
        <v>-164.56632409172823</v>
      </c>
      <c r="D88" s="56">
        <f t="shared" si="1"/>
        <v>26</v>
      </c>
      <c r="E88" s="33">
        <v>-83.085473131780986</v>
      </c>
      <c r="K88" s="54"/>
      <c r="L88" s="54"/>
    </row>
    <row r="89" spans="2:12" x14ac:dyDescent="0.3">
      <c r="B89" s="56">
        <v>27</v>
      </c>
      <c r="C89" s="33">
        <v>130.10214283762548</v>
      </c>
      <c r="D89" s="56">
        <f t="shared" si="1"/>
        <v>27</v>
      </c>
      <c r="E89" s="33">
        <v>-251.23738111646804</v>
      </c>
      <c r="K89" s="54"/>
      <c r="L89" s="54"/>
    </row>
    <row r="90" spans="2:12" x14ac:dyDescent="0.3">
      <c r="B90" s="56">
        <v>28</v>
      </c>
      <c r="C90" s="33">
        <v>-114.87415106555049</v>
      </c>
      <c r="D90" s="56">
        <f t="shared" si="1"/>
        <v>28</v>
      </c>
      <c r="E90" s="33">
        <v>-149.40650291958093</v>
      </c>
      <c r="K90" s="54"/>
      <c r="L90" s="54"/>
    </row>
    <row r="91" spans="2:12" x14ac:dyDescent="0.3">
      <c r="B91" s="56">
        <v>29</v>
      </c>
      <c r="C91" s="33">
        <v>-213.73051148634684</v>
      </c>
      <c r="D91" s="56">
        <f t="shared" si="1"/>
        <v>29</v>
      </c>
      <c r="E91" s="33">
        <v>-284.87516317590763</v>
      </c>
      <c r="K91" s="54"/>
      <c r="L91" s="54"/>
    </row>
    <row r="92" spans="2:12" x14ac:dyDescent="0.3">
      <c r="B92" s="56">
        <v>30</v>
      </c>
      <c r="C92" s="33">
        <v>-17.309720476841512</v>
      </c>
      <c r="D92" s="56">
        <f t="shared" si="1"/>
        <v>30</v>
      </c>
      <c r="E92" s="33">
        <v>-461.52527189234513</v>
      </c>
      <c r="K92" s="54"/>
      <c r="L92" s="54"/>
    </row>
    <row r="93" spans="2:12" x14ac:dyDescent="0.3">
      <c r="B93" s="56">
        <v>31</v>
      </c>
      <c r="C93" s="33">
        <v>-63.032706326616413</v>
      </c>
      <c r="D93" s="56">
        <f t="shared" si="1"/>
        <v>31</v>
      </c>
      <c r="E93" s="33">
        <v>-27.925965191454821</v>
      </c>
      <c r="K93" s="54"/>
      <c r="L93" s="54"/>
    </row>
    <row r="94" spans="2:12" x14ac:dyDescent="0.3">
      <c r="B94" s="56">
        <v>32</v>
      </c>
      <c r="C94" s="33">
        <v>156.42572208819155</v>
      </c>
      <c r="D94" s="56">
        <f t="shared" si="1"/>
        <v>32</v>
      </c>
      <c r="E94" s="33">
        <v>-287.37267184205291</v>
      </c>
      <c r="K94" s="54"/>
      <c r="L94" s="54"/>
    </row>
    <row r="95" spans="2:12" x14ac:dyDescent="0.3">
      <c r="B95" s="56">
        <v>33</v>
      </c>
      <c r="C95" s="33">
        <v>320.83218399309214</v>
      </c>
      <c r="D95" s="56">
        <f t="shared" si="1"/>
        <v>33</v>
      </c>
      <c r="E95" s="33">
        <v>-131.7164222760552</v>
      </c>
      <c r="K95" s="54"/>
      <c r="L95" s="54"/>
    </row>
    <row r="96" spans="2:12" x14ac:dyDescent="0.3">
      <c r="B96" s="56">
        <v>34</v>
      </c>
      <c r="C96" s="33">
        <v>359.79180490665345</v>
      </c>
      <c r="D96" s="56">
        <f t="shared" si="1"/>
        <v>34</v>
      </c>
      <c r="E96" s="33">
        <v>-260.92793865245375</v>
      </c>
      <c r="K96" s="54"/>
      <c r="L96" s="54"/>
    </row>
    <row r="97" spans="2:12" x14ac:dyDescent="0.3">
      <c r="B97" s="56">
        <v>35</v>
      </c>
      <c r="C97" s="33">
        <v>-125.4712147211404</v>
      </c>
      <c r="D97" s="56">
        <f t="shared" si="1"/>
        <v>35</v>
      </c>
      <c r="E97" s="33">
        <v>-146.49713791932197</v>
      </c>
      <c r="K97" s="54"/>
      <c r="L97" s="54"/>
    </row>
    <row r="98" spans="2:12" x14ac:dyDescent="0.3">
      <c r="B98" s="56">
        <v>36</v>
      </c>
      <c r="C98" s="33">
        <v>190.15832815839073</v>
      </c>
      <c r="D98" s="56">
        <f t="shared" si="1"/>
        <v>36</v>
      </c>
      <c r="E98" s="33">
        <v>-113.66844890635606</v>
      </c>
      <c r="K98" s="54"/>
      <c r="L98" s="54"/>
    </row>
    <row r="99" spans="2:12" x14ac:dyDescent="0.3">
      <c r="B99" s="56">
        <v>37</v>
      </c>
      <c r="C99" s="33">
        <v>77.407677334602269</v>
      </c>
      <c r="D99" s="56">
        <f t="shared" si="1"/>
        <v>37</v>
      </c>
      <c r="E99" s="33">
        <v>-300.27679424153263</v>
      </c>
      <c r="K99" s="54"/>
      <c r="L99" s="54"/>
    </row>
    <row r="100" spans="2:12" x14ac:dyDescent="0.3">
      <c r="B100" s="56">
        <v>38</v>
      </c>
      <c r="C100" s="33">
        <v>-479.98872639039462</v>
      </c>
      <c r="D100" s="56">
        <f t="shared" si="1"/>
        <v>38</v>
      </c>
      <c r="E100" s="33">
        <v>8.1176662806716848</v>
      </c>
      <c r="K100" s="54"/>
      <c r="L100" s="54"/>
    </row>
    <row r="101" spans="2:12" x14ac:dyDescent="0.3">
      <c r="B101" s="56">
        <v>39</v>
      </c>
      <c r="C101" s="33">
        <v>51.112430300168171</v>
      </c>
      <c r="D101" s="56">
        <f t="shared" si="1"/>
        <v>39</v>
      </c>
      <c r="E101" s="33">
        <v>-276.61765104225123</v>
      </c>
      <c r="K101" s="54"/>
      <c r="L101" s="54"/>
    </row>
    <row r="102" spans="2:12" x14ac:dyDescent="0.3">
      <c r="B102" s="56">
        <v>40</v>
      </c>
      <c r="C102" s="33">
        <v>36.73853779292434</v>
      </c>
      <c r="D102" s="56">
        <f t="shared" si="1"/>
        <v>40</v>
      </c>
      <c r="E102" s="33">
        <v>-114.1069032437436</v>
      </c>
      <c r="K102" s="54"/>
      <c r="L102" s="54"/>
    </row>
    <row r="103" spans="2:12" x14ac:dyDescent="0.3">
      <c r="B103" s="56">
        <v>41</v>
      </c>
      <c r="C103" s="33">
        <v>-282.55123196626249</v>
      </c>
      <c r="D103" s="56">
        <f t="shared" si="1"/>
        <v>41</v>
      </c>
      <c r="E103" s="33">
        <v>-219.23647591645559</v>
      </c>
      <c r="K103" s="54"/>
      <c r="L103" s="54"/>
    </row>
    <row r="104" spans="2:12" x14ac:dyDescent="0.3">
      <c r="B104" s="56">
        <v>42</v>
      </c>
      <c r="C104" s="33">
        <v>-53.168727339425466</v>
      </c>
      <c r="D104" s="56">
        <f t="shared" si="1"/>
        <v>42</v>
      </c>
      <c r="E104" s="33">
        <v>-0.90827846863237482</v>
      </c>
      <c r="K104" s="54"/>
      <c r="L104" s="54"/>
    </row>
    <row r="105" spans="2:12" x14ac:dyDescent="0.3">
      <c r="B105" s="56">
        <v>43</v>
      </c>
      <c r="C105" s="33">
        <v>-9.6957156112741743</v>
      </c>
      <c r="D105" s="56">
        <f t="shared" si="1"/>
        <v>43</v>
      </c>
      <c r="E105" s="33">
        <v>2.8347394569837405</v>
      </c>
      <c r="K105" s="54"/>
      <c r="L105" s="54"/>
    </row>
    <row r="106" spans="2:12" x14ac:dyDescent="0.3">
      <c r="B106" s="56">
        <v>44</v>
      </c>
      <c r="C106" s="33">
        <v>-32.643482520259269</v>
      </c>
      <c r="D106" s="56">
        <f t="shared" si="1"/>
        <v>44</v>
      </c>
      <c r="E106" s="33">
        <v>-100.86394109797735</v>
      </c>
      <c r="K106" s="54"/>
      <c r="L106" s="54"/>
    </row>
    <row r="107" spans="2:12" x14ac:dyDescent="0.3">
      <c r="B107" s="56">
        <v>45</v>
      </c>
      <c r="C107" s="33">
        <v>-139.60689003680116</v>
      </c>
      <c r="D107" s="56">
        <f t="shared" si="1"/>
        <v>45</v>
      </c>
      <c r="E107" s="33">
        <v>-95.805333610065929</v>
      </c>
      <c r="K107" s="54"/>
      <c r="L107" s="54"/>
    </row>
    <row r="108" spans="2:12" x14ac:dyDescent="0.3">
      <c r="B108" s="56">
        <v>46</v>
      </c>
      <c r="C108" s="33">
        <v>-209.80276340160117</v>
      </c>
      <c r="D108" s="56">
        <f t="shared" si="1"/>
        <v>46</v>
      </c>
      <c r="E108" s="33">
        <v>-363.92499799092889</v>
      </c>
      <c r="K108" s="54"/>
      <c r="L108" s="54"/>
    </row>
    <row r="109" spans="2:12" x14ac:dyDescent="0.3">
      <c r="B109" s="56">
        <v>47</v>
      </c>
      <c r="C109" s="33">
        <v>94.865305112413495</v>
      </c>
      <c r="D109" s="56">
        <f t="shared" si="1"/>
        <v>47</v>
      </c>
      <c r="E109" s="33">
        <v>-318.2098338889777</v>
      </c>
      <c r="K109" s="54"/>
      <c r="L109" s="54"/>
    </row>
    <row r="110" spans="2:12" x14ac:dyDescent="0.3">
      <c r="B110" s="56">
        <v>48</v>
      </c>
      <c r="C110" s="33">
        <v>-98.403476175362371</v>
      </c>
      <c r="D110" s="56">
        <f t="shared" si="1"/>
        <v>48</v>
      </c>
      <c r="E110" s="33">
        <v>-292.1410867467917</v>
      </c>
      <c r="K110" s="54"/>
      <c r="L110" s="54"/>
    </row>
    <row r="111" spans="2:12" x14ac:dyDescent="0.3">
      <c r="B111" s="56">
        <v>49</v>
      </c>
      <c r="C111" s="33">
        <v>5.0599840999914178</v>
      </c>
      <c r="D111" s="56">
        <f t="shared" si="1"/>
        <v>49</v>
      </c>
      <c r="E111" s="33">
        <v>-155.2024703077885</v>
      </c>
      <c r="K111" s="54"/>
      <c r="L111" s="54"/>
    </row>
    <row r="112" spans="2:12" x14ac:dyDescent="0.3">
      <c r="B112" s="56">
        <v>50</v>
      </c>
      <c r="C112" s="33">
        <v>23.375340722670138</v>
      </c>
      <c r="D112" s="56">
        <f t="shared" si="1"/>
        <v>50</v>
      </c>
      <c r="E112" s="33">
        <v>-139.68494226255982</v>
      </c>
      <c r="K112" s="54"/>
      <c r="L112" s="54"/>
    </row>
    <row r="113" spans="2:12" x14ac:dyDescent="0.3">
      <c r="B113" s="56">
        <v>51</v>
      </c>
      <c r="C113" s="33">
        <v>-149.55104148319623</v>
      </c>
      <c r="D113" s="56">
        <f t="shared" si="1"/>
        <v>51</v>
      </c>
      <c r="E113" s="33">
        <v>-24.533287391777293</v>
      </c>
      <c r="K113" s="54"/>
      <c r="L113" s="54"/>
    </row>
    <row r="114" spans="2:12" x14ac:dyDescent="0.3">
      <c r="B114" s="56">
        <v>52</v>
      </c>
      <c r="C114" s="33">
        <v>45.203616211003379</v>
      </c>
      <c r="D114" s="56">
        <f t="shared" si="1"/>
        <v>52</v>
      </c>
      <c r="E114" s="33">
        <v>-76.81250764672896</v>
      </c>
      <c r="K114" s="54"/>
      <c r="L114" s="54"/>
    </row>
    <row r="115" spans="2:12" x14ac:dyDescent="0.3">
      <c r="B115" s="56">
        <v>53</v>
      </c>
      <c r="C115" s="33">
        <v>-242.65556780229852</v>
      </c>
      <c r="D115" s="56">
        <f t="shared" si="1"/>
        <v>53</v>
      </c>
      <c r="E115" s="33">
        <v>-30.831373713119859</v>
      </c>
      <c r="K115" s="54"/>
      <c r="L115" s="54"/>
    </row>
    <row r="116" spans="2:12" x14ac:dyDescent="0.3">
      <c r="B116" s="56">
        <v>54</v>
      </c>
      <c r="C116" s="33">
        <v>107.13971895790894</v>
      </c>
      <c r="D116" s="56">
        <f t="shared" si="1"/>
        <v>54</v>
      </c>
      <c r="E116" s="33">
        <v>-197.04327749096785</v>
      </c>
      <c r="K116" s="54"/>
      <c r="L116" s="54"/>
    </row>
    <row r="117" spans="2:12" x14ac:dyDescent="0.3">
      <c r="B117" s="56">
        <v>55</v>
      </c>
      <c r="C117" s="33">
        <v>-10.893143096378161</v>
      </c>
      <c r="D117" s="56">
        <f t="shared" si="1"/>
        <v>55</v>
      </c>
      <c r="E117" s="33">
        <v>-62.757543785043765</v>
      </c>
      <c r="K117" s="54"/>
      <c r="L117" s="54"/>
    </row>
    <row r="118" spans="2:12" x14ac:dyDescent="0.3">
      <c r="B118" s="56">
        <v>56</v>
      </c>
      <c r="C118" s="33">
        <v>204.89990757203509</v>
      </c>
      <c r="D118" s="56">
        <f t="shared" si="1"/>
        <v>56</v>
      </c>
      <c r="E118" s="33">
        <v>-123.84806589634741</v>
      </c>
      <c r="K118" s="54"/>
      <c r="L118" s="54"/>
    </row>
    <row r="119" spans="2:12" x14ac:dyDescent="0.3">
      <c r="B119" s="56">
        <v>57</v>
      </c>
      <c r="C119" s="33">
        <v>-151.08746113978782</v>
      </c>
      <c r="D119" s="56">
        <f t="shared" si="1"/>
        <v>57</v>
      </c>
      <c r="E119" s="33">
        <v>35.02313793581628</v>
      </c>
      <c r="K119" s="54"/>
      <c r="L119" s="54"/>
    </row>
    <row r="120" spans="2:12" x14ac:dyDescent="0.3">
      <c r="B120" s="56">
        <v>58</v>
      </c>
      <c r="C120" s="33">
        <v>-300.97697990035863</v>
      </c>
      <c r="D120" s="56">
        <f t="shared" si="1"/>
        <v>58</v>
      </c>
      <c r="E120" s="33">
        <v>-13.830524570827748</v>
      </c>
      <c r="K120" s="54"/>
      <c r="L120" s="54"/>
    </row>
    <row r="121" spans="2:12" x14ac:dyDescent="0.3">
      <c r="B121" s="56">
        <v>59</v>
      </c>
      <c r="C121" s="33">
        <v>-88.144662056059431</v>
      </c>
      <c r="D121" s="56">
        <f t="shared" si="1"/>
        <v>59</v>
      </c>
      <c r="E121" s="33">
        <v>-325.81062328235117</v>
      </c>
      <c r="K121" s="54"/>
      <c r="L121" s="54"/>
    </row>
    <row r="122" spans="2:12" x14ac:dyDescent="0.3">
      <c r="B122" s="56">
        <v>60</v>
      </c>
      <c r="C122" s="33">
        <v>-242.90294167784364</v>
      </c>
      <c r="D122" s="56">
        <f t="shared" si="1"/>
        <v>60</v>
      </c>
      <c r="E122" s="33">
        <v>-151.38544163237557</v>
      </c>
      <c r="K122" s="54"/>
      <c r="L122" s="54"/>
    </row>
    <row r="123" spans="2:12" x14ac:dyDescent="0.3">
      <c r="B123" s="56">
        <v>61</v>
      </c>
      <c r="C123" s="33">
        <v>224.8875912996605</v>
      </c>
      <c r="D123" s="56">
        <f t="shared" si="1"/>
        <v>61</v>
      </c>
      <c r="E123" s="33">
        <v>-269.58921043991813</v>
      </c>
      <c r="K123" s="54"/>
      <c r="L123" s="54"/>
    </row>
    <row r="124" spans="2:12" x14ac:dyDescent="0.3">
      <c r="B124" s="56">
        <v>62</v>
      </c>
      <c r="C124" s="33">
        <v>-287.96293118450512</v>
      </c>
      <c r="D124" s="56">
        <f t="shared" si="1"/>
        <v>62</v>
      </c>
      <c r="E124" s="33">
        <v>-100.56102069931904</v>
      </c>
      <c r="K124" s="54"/>
      <c r="L124" s="54"/>
    </row>
    <row r="125" spans="2:12" x14ac:dyDescent="0.3">
      <c r="B125" s="56">
        <v>63</v>
      </c>
      <c r="C125" s="33">
        <v>-184.350471829078</v>
      </c>
      <c r="D125" s="56">
        <f t="shared" si="1"/>
        <v>63</v>
      </c>
      <c r="E125" s="33">
        <v>-239.5406015183668</v>
      </c>
      <c r="K125" s="54"/>
      <c r="L125" s="54"/>
    </row>
    <row r="126" spans="2:12" x14ac:dyDescent="0.3">
      <c r="B126" s="56">
        <v>64</v>
      </c>
      <c r="C126" s="33">
        <v>15.845393240710926</v>
      </c>
      <c r="D126" s="56">
        <f t="shared" si="1"/>
        <v>64</v>
      </c>
      <c r="E126" s="33">
        <v>-23.06659446914351</v>
      </c>
      <c r="K126" s="54"/>
      <c r="L126" s="54"/>
    </row>
    <row r="127" spans="2:12" x14ac:dyDescent="0.3">
      <c r="B127" s="56">
        <v>65</v>
      </c>
      <c r="C127" s="33">
        <v>-101.12998214212173</v>
      </c>
      <c r="D127" s="56">
        <f t="shared" si="1"/>
        <v>65</v>
      </c>
      <c r="E127" s="33">
        <v>-100.12731279362617</v>
      </c>
      <c r="K127" s="54"/>
      <c r="L127" s="54"/>
    </row>
    <row r="128" spans="2:12" x14ac:dyDescent="0.3">
      <c r="B128" s="56">
        <v>66</v>
      </c>
      <c r="C128" s="33">
        <v>27.742000428752007</v>
      </c>
      <c r="D128" s="56">
        <f t="shared" si="1"/>
        <v>66</v>
      </c>
      <c r="E128" s="33">
        <v>-96.146640697336721</v>
      </c>
      <c r="K128" s="54"/>
      <c r="L128" s="54"/>
    </row>
    <row r="129" spans="2:12" x14ac:dyDescent="0.3">
      <c r="B129" s="56">
        <v>67</v>
      </c>
      <c r="C129" s="33">
        <v>-207.10664552558342</v>
      </c>
      <c r="D129" s="56">
        <f t="shared" ref="D129:D192" si="2">B129</f>
        <v>67</v>
      </c>
      <c r="E129" s="33">
        <v>-5.7650951179043659</v>
      </c>
      <c r="K129" s="54"/>
      <c r="L129" s="54"/>
    </row>
    <row r="130" spans="2:12" x14ac:dyDescent="0.3">
      <c r="B130" s="56">
        <v>68</v>
      </c>
      <c r="C130" s="33">
        <v>-128.99216659094631</v>
      </c>
      <c r="D130" s="56">
        <f t="shared" si="2"/>
        <v>68</v>
      </c>
      <c r="E130" s="33">
        <v>-90.155941174665301</v>
      </c>
      <c r="K130" s="54"/>
      <c r="L130" s="54"/>
    </row>
    <row r="131" spans="2:12" x14ac:dyDescent="0.3">
      <c r="B131" s="56">
        <v>69</v>
      </c>
      <c r="C131" s="33">
        <v>-125.41174058106549</v>
      </c>
      <c r="D131" s="56">
        <f t="shared" si="2"/>
        <v>69</v>
      </c>
      <c r="E131" s="33">
        <v>16.90311694894703</v>
      </c>
      <c r="K131" s="54"/>
      <c r="L131" s="54"/>
    </row>
    <row r="132" spans="2:12" x14ac:dyDescent="0.3">
      <c r="B132" s="56">
        <v>70</v>
      </c>
      <c r="C132" s="33">
        <v>-48.529704615810914</v>
      </c>
      <c r="D132" s="56">
        <f t="shared" si="2"/>
        <v>70</v>
      </c>
      <c r="E132" s="33">
        <v>375.76114049493128</v>
      </c>
      <c r="K132" s="54"/>
      <c r="L132" s="54"/>
    </row>
    <row r="133" spans="2:12" x14ac:dyDescent="0.3">
      <c r="B133" s="56">
        <v>71</v>
      </c>
      <c r="C133" s="33">
        <v>133.00281328522607</v>
      </c>
      <c r="D133" s="56">
        <f t="shared" si="2"/>
        <v>71</v>
      </c>
      <c r="E133" s="33">
        <v>-182.75098957934432</v>
      </c>
      <c r="K133" s="54"/>
      <c r="L133" s="54"/>
    </row>
    <row r="134" spans="2:12" x14ac:dyDescent="0.3">
      <c r="B134" s="56">
        <v>72</v>
      </c>
      <c r="C134" s="33">
        <v>42.957224063512662</v>
      </c>
      <c r="D134" s="56">
        <f t="shared" si="2"/>
        <v>72</v>
      </c>
      <c r="E134" s="33">
        <v>-111.29007570055673</v>
      </c>
      <c r="K134" s="54"/>
      <c r="L134" s="54"/>
    </row>
    <row r="135" spans="2:12" x14ac:dyDescent="0.3">
      <c r="B135" s="56">
        <v>73</v>
      </c>
      <c r="C135" s="33">
        <v>-225.49131056183941</v>
      </c>
      <c r="D135" s="56">
        <f t="shared" si="2"/>
        <v>73</v>
      </c>
      <c r="E135" s="33">
        <v>59.942201880683974</v>
      </c>
      <c r="K135" s="54"/>
      <c r="L135" s="54"/>
    </row>
    <row r="136" spans="2:12" x14ac:dyDescent="0.3">
      <c r="B136" s="56">
        <v>74</v>
      </c>
      <c r="C136" s="33">
        <v>-330.96959845826035</v>
      </c>
      <c r="D136" s="56">
        <f t="shared" si="2"/>
        <v>74</v>
      </c>
      <c r="E136" s="33">
        <v>-12.740880102948807</v>
      </c>
      <c r="K136" s="54"/>
      <c r="L136" s="54"/>
    </row>
    <row r="137" spans="2:12" x14ac:dyDescent="0.3">
      <c r="B137" s="56">
        <v>75</v>
      </c>
      <c r="C137" s="33">
        <v>-273.8709479094984</v>
      </c>
      <c r="D137" s="56">
        <f t="shared" si="2"/>
        <v>75</v>
      </c>
      <c r="E137" s="33">
        <v>5.1121972458529967</v>
      </c>
      <c r="K137" s="54"/>
      <c r="L137" s="54"/>
    </row>
    <row r="138" spans="2:12" x14ac:dyDescent="0.3">
      <c r="B138" s="56">
        <v>76</v>
      </c>
      <c r="C138" s="33">
        <v>25.421008016468882</v>
      </c>
      <c r="D138" s="56">
        <f t="shared" si="2"/>
        <v>76</v>
      </c>
      <c r="E138" s="33">
        <v>-22.868464061755375</v>
      </c>
      <c r="K138" s="54"/>
      <c r="L138" s="54"/>
    </row>
    <row r="139" spans="2:12" x14ac:dyDescent="0.3">
      <c r="B139" s="56">
        <v>77</v>
      </c>
      <c r="C139" s="33">
        <v>-24.064287920290202</v>
      </c>
      <c r="D139" s="56">
        <f t="shared" si="2"/>
        <v>77</v>
      </c>
      <c r="E139" s="33">
        <v>-57.653299000467072</v>
      </c>
      <c r="K139" s="54"/>
      <c r="L139" s="54"/>
    </row>
    <row r="140" spans="2:12" x14ac:dyDescent="0.3">
      <c r="B140" s="56">
        <v>78</v>
      </c>
      <c r="C140" s="33">
        <v>-235.46007068000839</v>
      </c>
      <c r="D140" s="56">
        <f t="shared" si="2"/>
        <v>78</v>
      </c>
      <c r="E140" s="33">
        <v>-342.70796712097058</v>
      </c>
      <c r="K140" s="54"/>
      <c r="L140" s="54"/>
    </row>
    <row r="141" spans="2:12" x14ac:dyDescent="0.3">
      <c r="B141" s="56">
        <v>79</v>
      </c>
      <c r="C141" s="33">
        <v>96.781682082425135</v>
      </c>
      <c r="D141" s="56">
        <f t="shared" si="2"/>
        <v>79</v>
      </c>
      <c r="E141" s="33">
        <v>-106.09366467269992</v>
      </c>
      <c r="K141" s="54"/>
      <c r="L141" s="54"/>
    </row>
    <row r="142" spans="2:12" x14ac:dyDescent="0.3">
      <c r="B142" s="56">
        <v>80</v>
      </c>
      <c r="C142" s="33">
        <v>171.70782789711959</v>
      </c>
      <c r="D142" s="56">
        <f t="shared" si="2"/>
        <v>80</v>
      </c>
      <c r="E142" s="33">
        <v>42.290702702845323</v>
      </c>
      <c r="K142" s="54"/>
      <c r="L142" s="54"/>
    </row>
    <row r="143" spans="2:12" x14ac:dyDescent="0.3">
      <c r="B143" s="56">
        <v>81</v>
      </c>
      <c r="C143" s="33">
        <v>-134.54425313888069</v>
      </c>
      <c r="D143" s="56">
        <f t="shared" si="2"/>
        <v>81</v>
      </c>
      <c r="E143" s="33">
        <v>-119.20729568383064</v>
      </c>
      <c r="K143" s="54"/>
      <c r="L143" s="54"/>
    </row>
    <row r="144" spans="2:12" x14ac:dyDescent="0.3">
      <c r="B144" s="56">
        <v>82</v>
      </c>
      <c r="C144" s="33">
        <v>-233.11342870509515</v>
      </c>
      <c r="D144" s="56">
        <f t="shared" si="2"/>
        <v>82</v>
      </c>
      <c r="E144" s="33">
        <v>-123.32335396850186</v>
      </c>
      <c r="K144" s="54"/>
      <c r="L144" s="54"/>
    </row>
    <row r="145" spans="2:12" x14ac:dyDescent="0.3">
      <c r="B145" s="56">
        <v>83</v>
      </c>
      <c r="C145" s="33">
        <v>88.221711442997758</v>
      </c>
      <c r="D145" s="56">
        <f t="shared" si="2"/>
        <v>83</v>
      </c>
      <c r="E145" s="33">
        <v>6.9767555479470502</v>
      </c>
      <c r="K145" s="54"/>
      <c r="L145" s="54"/>
    </row>
    <row r="146" spans="2:12" x14ac:dyDescent="0.3">
      <c r="B146" s="56">
        <v>84</v>
      </c>
      <c r="C146" s="33">
        <v>-82.61064792251733</v>
      </c>
      <c r="D146" s="56">
        <f t="shared" si="2"/>
        <v>84</v>
      </c>
      <c r="E146" s="33">
        <v>108.43730289959404</v>
      </c>
      <c r="K146" s="54"/>
      <c r="L146" s="54"/>
    </row>
    <row r="147" spans="2:12" x14ac:dyDescent="0.3">
      <c r="B147" s="56">
        <v>85</v>
      </c>
      <c r="C147" s="33">
        <v>-300.98334953044156</v>
      </c>
      <c r="D147" s="56">
        <f t="shared" si="2"/>
        <v>85</v>
      </c>
      <c r="E147" s="33">
        <v>-74.154747459838987</v>
      </c>
      <c r="K147" s="54"/>
      <c r="L147" s="54"/>
    </row>
    <row r="148" spans="2:12" x14ac:dyDescent="0.3">
      <c r="B148" s="56">
        <v>86</v>
      </c>
      <c r="C148" s="33">
        <v>-274.60260211585052</v>
      </c>
      <c r="D148" s="56">
        <f t="shared" si="2"/>
        <v>86</v>
      </c>
      <c r="E148" s="33">
        <v>-46.484212784396291</v>
      </c>
      <c r="K148" s="54"/>
      <c r="L148" s="54"/>
    </row>
    <row r="149" spans="2:12" x14ac:dyDescent="0.3">
      <c r="B149" s="56">
        <v>87</v>
      </c>
      <c r="C149" s="33">
        <v>-284.55057912520158</v>
      </c>
      <c r="D149" s="56">
        <f t="shared" si="2"/>
        <v>87</v>
      </c>
      <c r="E149" s="33">
        <v>0.78561123906453645</v>
      </c>
      <c r="K149" s="54"/>
      <c r="L149" s="54"/>
    </row>
    <row r="150" spans="2:12" x14ac:dyDescent="0.3">
      <c r="B150" s="56">
        <v>88</v>
      </c>
      <c r="C150" s="33">
        <v>-271.4479904757651</v>
      </c>
      <c r="D150" s="56">
        <f t="shared" si="2"/>
        <v>88</v>
      </c>
      <c r="E150" s="33">
        <v>-186.24191189740583</v>
      </c>
      <c r="K150" s="54"/>
      <c r="L150" s="54"/>
    </row>
    <row r="151" spans="2:12" x14ac:dyDescent="0.3">
      <c r="B151" s="56">
        <v>89</v>
      </c>
      <c r="C151" s="33">
        <v>-45.551804146943866</v>
      </c>
      <c r="D151" s="56">
        <f t="shared" si="2"/>
        <v>89</v>
      </c>
      <c r="E151" s="33">
        <v>-151.07063822221153</v>
      </c>
      <c r="K151" s="54"/>
      <c r="L151" s="54"/>
    </row>
    <row r="152" spans="2:12" x14ac:dyDescent="0.3">
      <c r="B152" s="56">
        <v>90</v>
      </c>
      <c r="C152" s="33">
        <v>-187.35369342585295</v>
      </c>
      <c r="D152" s="56">
        <f t="shared" si="2"/>
        <v>90</v>
      </c>
      <c r="E152" s="33">
        <v>-49.564659974617385</v>
      </c>
      <c r="K152" s="54"/>
      <c r="L152" s="54"/>
    </row>
    <row r="153" spans="2:12" x14ac:dyDescent="0.3">
      <c r="B153" s="56">
        <v>91</v>
      </c>
      <c r="C153" s="33">
        <v>-372.64438980651869</v>
      </c>
      <c r="D153" s="56">
        <f t="shared" si="2"/>
        <v>91</v>
      </c>
      <c r="E153" s="33">
        <v>-17.452411892723333</v>
      </c>
      <c r="K153" s="54"/>
      <c r="L153" s="54"/>
    </row>
    <row r="154" spans="2:12" x14ac:dyDescent="0.3">
      <c r="B154" s="56">
        <v>92</v>
      </c>
      <c r="C154" s="33">
        <v>-194.31894050272194</v>
      </c>
      <c r="D154" s="56">
        <f t="shared" si="2"/>
        <v>92</v>
      </c>
      <c r="E154" s="33">
        <v>-267.81679393299862</v>
      </c>
      <c r="K154" s="54"/>
      <c r="L154" s="54"/>
    </row>
    <row r="155" spans="2:12" x14ac:dyDescent="0.3">
      <c r="B155" s="56">
        <v>93</v>
      </c>
      <c r="C155" s="33">
        <v>151.18681609617366</v>
      </c>
      <c r="D155" s="56">
        <f t="shared" si="2"/>
        <v>93</v>
      </c>
      <c r="E155" s="33">
        <v>-58.49638052032401</v>
      </c>
      <c r="K155" s="54"/>
      <c r="L155" s="54"/>
    </row>
    <row r="156" spans="2:12" x14ac:dyDescent="0.3">
      <c r="B156" s="56">
        <v>94</v>
      </c>
      <c r="C156" s="33">
        <v>-357.57399214755225</v>
      </c>
      <c r="D156" s="56">
        <f t="shared" si="2"/>
        <v>94</v>
      </c>
      <c r="E156" s="33">
        <v>-218.58851190001184</v>
      </c>
      <c r="K156" s="54"/>
      <c r="L156" s="54"/>
    </row>
    <row r="157" spans="2:12" x14ac:dyDescent="0.3">
      <c r="B157" s="56">
        <v>95</v>
      </c>
      <c r="C157" s="33">
        <v>16.124261141321231</v>
      </c>
      <c r="D157" s="56">
        <f t="shared" si="2"/>
        <v>95</v>
      </c>
      <c r="E157" s="33">
        <v>-67.149608360064718</v>
      </c>
      <c r="K157" s="54"/>
      <c r="L157" s="54"/>
    </row>
    <row r="158" spans="2:12" x14ac:dyDescent="0.3">
      <c r="B158" s="56">
        <v>96</v>
      </c>
      <c r="C158" s="33">
        <v>152.96742816539276</v>
      </c>
      <c r="D158" s="56">
        <f t="shared" si="2"/>
        <v>96</v>
      </c>
      <c r="E158" s="33">
        <v>-260.09950107501197</v>
      </c>
      <c r="K158" s="54"/>
      <c r="L158" s="54"/>
    </row>
    <row r="159" spans="2:12" x14ac:dyDescent="0.3">
      <c r="B159" s="56">
        <v>97</v>
      </c>
      <c r="C159" s="33">
        <v>-63.200156178572712</v>
      </c>
      <c r="D159" s="56">
        <f t="shared" si="2"/>
        <v>97</v>
      </c>
      <c r="E159" s="33">
        <v>-193.16910765306443</v>
      </c>
      <c r="K159" s="54"/>
      <c r="L159" s="54"/>
    </row>
    <row r="160" spans="2:12" x14ac:dyDescent="0.3">
      <c r="B160" s="56">
        <v>98</v>
      </c>
      <c r="C160" s="33">
        <v>95.591789791632749</v>
      </c>
      <c r="D160" s="56">
        <f t="shared" si="2"/>
        <v>98</v>
      </c>
      <c r="E160" s="33">
        <v>-397.06539783245171</v>
      </c>
      <c r="K160" s="54"/>
      <c r="L160" s="54"/>
    </row>
    <row r="161" spans="2:12" x14ac:dyDescent="0.3">
      <c r="B161" s="56">
        <v>99</v>
      </c>
      <c r="C161" s="33">
        <v>-244.50300451157938</v>
      </c>
      <c r="D161" s="56">
        <f t="shared" si="2"/>
        <v>99</v>
      </c>
      <c r="E161" s="33">
        <v>-5.1910865338047927</v>
      </c>
      <c r="K161" s="54"/>
      <c r="L161" s="54"/>
    </row>
    <row r="162" spans="2:12" x14ac:dyDescent="0.3">
      <c r="B162" s="56">
        <v>100</v>
      </c>
      <c r="C162" s="33">
        <v>53.102786909518002</v>
      </c>
      <c r="D162" s="56">
        <f t="shared" si="2"/>
        <v>100</v>
      </c>
      <c r="E162" s="33">
        <v>-129.03276046786584</v>
      </c>
      <c r="K162" s="54"/>
      <c r="L162" s="54"/>
    </row>
    <row r="163" spans="2:12" x14ac:dyDescent="0.3">
      <c r="B163" s="56">
        <v>101</v>
      </c>
      <c r="C163" s="33">
        <v>13.740191829808326</v>
      </c>
      <c r="D163" s="56">
        <f t="shared" si="2"/>
        <v>101</v>
      </c>
      <c r="E163" s="33">
        <v>-77.525606783592224</v>
      </c>
      <c r="K163" s="54"/>
      <c r="L163" s="54"/>
    </row>
    <row r="164" spans="2:12" x14ac:dyDescent="0.3">
      <c r="B164" s="56">
        <v>102</v>
      </c>
      <c r="C164" s="33">
        <v>-267.95498740606757</v>
      </c>
      <c r="D164" s="56">
        <f t="shared" si="2"/>
        <v>102</v>
      </c>
      <c r="E164" s="33">
        <v>-200.30435328608235</v>
      </c>
      <c r="K164" s="54"/>
      <c r="L164" s="54"/>
    </row>
    <row r="165" spans="2:12" x14ac:dyDescent="0.3">
      <c r="B165" s="56">
        <v>103</v>
      </c>
      <c r="C165" s="33">
        <v>-68.838535029682873</v>
      </c>
      <c r="D165" s="56">
        <f t="shared" si="2"/>
        <v>103</v>
      </c>
      <c r="E165" s="33">
        <v>-296.97727235391824</v>
      </c>
      <c r="K165" s="54"/>
      <c r="L165" s="54"/>
    </row>
    <row r="166" spans="2:12" x14ac:dyDescent="0.3">
      <c r="B166" s="56">
        <v>104</v>
      </c>
      <c r="C166" s="33">
        <v>-196.31685764607192</v>
      </c>
      <c r="D166" s="56">
        <f t="shared" si="2"/>
        <v>104</v>
      </c>
      <c r="E166" s="33">
        <v>-129.41921033963058</v>
      </c>
    </row>
    <row r="167" spans="2:12" x14ac:dyDescent="0.3">
      <c r="B167" s="56">
        <v>105</v>
      </c>
      <c r="C167" s="33">
        <v>14.92336875088094</v>
      </c>
      <c r="D167" s="56">
        <f t="shared" si="2"/>
        <v>105</v>
      </c>
      <c r="E167" s="33">
        <v>-71.672157857486056</v>
      </c>
    </row>
    <row r="168" spans="2:12" x14ac:dyDescent="0.3">
      <c r="B168" s="56">
        <v>106</v>
      </c>
      <c r="C168" s="33">
        <v>177.88584515275883</v>
      </c>
      <c r="D168" s="56">
        <f t="shared" si="2"/>
        <v>106</v>
      </c>
      <c r="E168" s="33">
        <v>-226.35170870116929</v>
      </c>
    </row>
    <row r="169" spans="2:12" x14ac:dyDescent="0.3">
      <c r="B169" s="56">
        <v>107</v>
      </c>
      <c r="C169" s="33">
        <v>-311.60169549823257</v>
      </c>
      <c r="D169" s="56">
        <f t="shared" si="2"/>
        <v>107</v>
      </c>
      <c r="E169" s="33">
        <v>-15.710573895452626</v>
      </c>
    </row>
    <row r="170" spans="2:12" x14ac:dyDescent="0.3">
      <c r="B170" s="56">
        <v>108</v>
      </c>
      <c r="C170" s="33">
        <v>80.287394871673357</v>
      </c>
      <c r="D170" s="56">
        <f t="shared" si="2"/>
        <v>108</v>
      </c>
      <c r="E170" s="33">
        <v>-167.29292396177794</v>
      </c>
    </row>
    <row r="171" spans="2:12" x14ac:dyDescent="0.3">
      <c r="B171" s="56">
        <v>109</v>
      </c>
      <c r="C171" s="33">
        <v>51.872024823603844</v>
      </c>
      <c r="D171" s="56">
        <f t="shared" si="2"/>
        <v>109</v>
      </c>
      <c r="E171" s="33">
        <v>-297.4858517207897</v>
      </c>
    </row>
    <row r="172" spans="2:12" x14ac:dyDescent="0.3">
      <c r="B172" s="56">
        <v>110</v>
      </c>
      <c r="C172" s="33">
        <v>332.94165832311887</v>
      </c>
      <c r="D172" s="56">
        <f t="shared" si="2"/>
        <v>110</v>
      </c>
      <c r="E172" s="33">
        <v>-236.0023926854131</v>
      </c>
    </row>
    <row r="173" spans="2:12" x14ac:dyDescent="0.3">
      <c r="B173" s="56">
        <v>111</v>
      </c>
      <c r="C173" s="33">
        <v>-111.52847880732406</v>
      </c>
      <c r="D173" s="56">
        <f t="shared" si="2"/>
        <v>111</v>
      </c>
      <c r="E173" s="33">
        <v>-285.82951014849266</v>
      </c>
    </row>
    <row r="174" spans="2:12" x14ac:dyDescent="0.3">
      <c r="B174" s="56">
        <v>112</v>
      </c>
      <c r="C174" s="33">
        <v>15.256230132735819</v>
      </c>
      <c r="D174" s="56">
        <f t="shared" si="2"/>
        <v>112</v>
      </c>
      <c r="E174" s="33">
        <v>-42.236473212606398</v>
      </c>
    </row>
    <row r="175" spans="2:12" x14ac:dyDescent="0.3">
      <c r="B175" s="56">
        <v>113</v>
      </c>
      <c r="C175" s="33">
        <v>-419.44259183271055</v>
      </c>
      <c r="D175" s="56">
        <f t="shared" si="2"/>
        <v>113</v>
      </c>
      <c r="E175" s="33">
        <v>-17.385108515390016</v>
      </c>
    </row>
    <row r="176" spans="2:12" x14ac:dyDescent="0.3">
      <c r="B176" s="56">
        <v>114</v>
      </c>
      <c r="C176" s="33">
        <v>-23.463479863943007</v>
      </c>
      <c r="D176" s="56">
        <f t="shared" si="2"/>
        <v>114</v>
      </c>
      <c r="E176" s="33">
        <v>-323.52692765903691</v>
      </c>
    </row>
    <row r="177" spans="2:5" x14ac:dyDescent="0.3">
      <c r="B177" s="56">
        <v>115</v>
      </c>
      <c r="C177" s="33">
        <v>-309.56649364531984</v>
      </c>
      <c r="D177" s="56">
        <f t="shared" si="2"/>
        <v>115</v>
      </c>
      <c r="E177" s="33">
        <v>-266.2023902312028</v>
      </c>
    </row>
    <row r="178" spans="2:5" x14ac:dyDescent="0.3">
      <c r="B178" s="56">
        <v>116</v>
      </c>
      <c r="C178" s="33">
        <v>132.21809705307689</v>
      </c>
      <c r="D178" s="56">
        <f t="shared" si="2"/>
        <v>116</v>
      </c>
      <c r="E178" s="33">
        <v>25.188430414776889</v>
      </c>
    </row>
    <row r="179" spans="2:5" x14ac:dyDescent="0.3">
      <c r="B179" s="56">
        <v>117</v>
      </c>
      <c r="C179" s="33">
        <v>-113.99389305518284</v>
      </c>
      <c r="D179" s="56">
        <f t="shared" si="2"/>
        <v>117</v>
      </c>
      <c r="E179" s="33">
        <v>-353.23758786675847</v>
      </c>
    </row>
    <row r="180" spans="2:5" x14ac:dyDescent="0.3">
      <c r="B180" s="56">
        <v>118</v>
      </c>
      <c r="C180" s="33">
        <v>92.670373480021468</v>
      </c>
      <c r="D180" s="56">
        <f t="shared" si="2"/>
        <v>118</v>
      </c>
      <c r="E180" s="33">
        <v>-272.97379703856166</v>
      </c>
    </row>
    <row r="181" spans="2:5" x14ac:dyDescent="0.3">
      <c r="B181" s="56">
        <v>119</v>
      </c>
      <c r="C181" s="33">
        <v>72.985635374316928</v>
      </c>
      <c r="D181" s="56">
        <f t="shared" si="2"/>
        <v>119</v>
      </c>
      <c r="E181" s="33">
        <v>-218.4707215987799</v>
      </c>
    </row>
    <row r="182" spans="2:5" x14ac:dyDescent="0.3">
      <c r="B182" s="56">
        <v>120</v>
      </c>
      <c r="C182" s="33">
        <v>-385.31307589518991</v>
      </c>
      <c r="D182" s="56">
        <f t="shared" si="2"/>
        <v>120</v>
      </c>
      <c r="E182" s="33">
        <v>-340.98363262265832</v>
      </c>
    </row>
    <row r="183" spans="2:5" x14ac:dyDescent="0.3">
      <c r="B183" s="56">
        <v>121</v>
      </c>
      <c r="C183" s="33">
        <v>105.23370807539359</v>
      </c>
      <c r="D183" s="56">
        <f t="shared" si="2"/>
        <v>121</v>
      </c>
      <c r="E183" s="33">
        <v>-199.27141100036721</v>
      </c>
    </row>
    <row r="184" spans="2:5" x14ac:dyDescent="0.3">
      <c r="B184" s="56">
        <v>122</v>
      </c>
      <c r="C184" s="33">
        <v>-237.80511413422914</v>
      </c>
      <c r="D184" s="56">
        <f t="shared" si="2"/>
        <v>122</v>
      </c>
      <c r="E184" s="33">
        <v>-329.13152769640897</v>
      </c>
    </row>
    <row r="185" spans="2:5" x14ac:dyDescent="0.3">
      <c r="B185" s="56">
        <v>123</v>
      </c>
      <c r="C185" s="33">
        <v>-147.78592720731118</v>
      </c>
      <c r="D185" s="56">
        <f t="shared" si="2"/>
        <v>123</v>
      </c>
      <c r="E185" s="33">
        <v>-347.85241395754349</v>
      </c>
    </row>
    <row r="186" spans="2:5" x14ac:dyDescent="0.3">
      <c r="B186" s="56">
        <v>124</v>
      </c>
      <c r="C186" s="33">
        <v>-7.0164581333187535</v>
      </c>
      <c r="D186" s="56">
        <f t="shared" si="2"/>
        <v>124</v>
      </c>
      <c r="E186" s="33">
        <v>-52.407048615995379</v>
      </c>
    </row>
    <row r="187" spans="2:5" x14ac:dyDescent="0.3">
      <c r="B187" s="56">
        <v>125</v>
      </c>
      <c r="C187" s="33">
        <v>67.828172759002214</v>
      </c>
      <c r="D187" s="56">
        <f t="shared" si="2"/>
        <v>125</v>
      </c>
      <c r="E187" s="33">
        <v>-33.159770960809283</v>
      </c>
    </row>
    <row r="188" spans="2:5" x14ac:dyDescent="0.3">
      <c r="B188" s="56">
        <v>126</v>
      </c>
      <c r="C188" s="33">
        <v>-222.98016447841627</v>
      </c>
      <c r="D188" s="56">
        <f t="shared" si="2"/>
        <v>126</v>
      </c>
      <c r="E188" s="33">
        <v>65.925722538608767</v>
      </c>
    </row>
    <row r="189" spans="2:5" x14ac:dyDescent="0.3">
      <c r="B189" s="56">
        <v>127</v>
      </c>
      <c r="C189" s="33">
        <v>293.79984777329565</v>
      </c>
      <c r="D189" s="56">
        <f t="shared" si="2"/>
        <v>127</v>
      </c>
      <c r="E189" s="33">
        <v>-142.4495730926028</v>
      </c>
    </row>
    <row r="190" spans="2:5" x14ac:dyDescent="0.3">
      <c r="B190" s="56">
        <v>128</v>
      </c>
      <c r="C190" s="33">
        <v>-346.36761839057493</v>
      </c>
      <c r="D190" s="56">
        <f t="shared" si="2"/>
        <v>128</v>
      </c>
      <c r="E190" s="33">
        <v>-287.44797424868528</v>
      </c>
    </row>
    <row r="191" spans="2:5" x14ac:dyDescent="0.3">
      <c r="B191" s="56">
        <v>129</v>
      </c>
      <c r="C191" s="33">
        <v>70.32356878593589</v>
      </c>
      <c r="D191" s="56">
        <f t="shared" si="2"/>
        <v>129</v>
      </c>
      <c r="E191" s="33">
        <v>-166.51020364236902</v>
      </c>
    </row>
    <row r="192" spans="2:5" x14ac:dyDescent="0.3">
      <c r="B192" s="56">
        <v>130</v>
      </c>
      <c r="C192" s="33">
        <v>-44.44509364578078</v>
      </c>
      <c r="D192" s="56">
        <f t="shared" si="2"/>
        <v>130</v>
      </c>
      <c r="E192" s="33">
        <v>-243.80154277290254</v>
      </c>
    </row>
    <row r="193" spans="2:5" x14ac:dyDescent="0.3">
      <c r="B193" s="56">
        <v>131</v>
      </c>
      <c r="C193" s="33">
        <v>-176.39957229705738</v>
      </c>
      <c r="D193" s="56">
        <f t="shared" ref="D193:D256" si="3">B193</f>
        <v>131</v>
      </c>
      <c r="E193" s="33">
        <v>-276.1008585659842</v>
      </c>
    </row>
    <row r="194" spans="2:5" x14ac:dyDescent="0.3">
      <c r="B194" s="56">
        <v>132</v>
      </c>
      <c r="C194" s="33">
        <v>-111.83652283337275</v>
      </c>
      <c r="D194" s="56">
        <f t="shared" si="3"/>
        <v>132</v>
      </c>
      <c r="E194" s="33">
        <v>-298.28691761449568</v>
      </c>
    </row>
    <row r="195" spans="2:5" x14ac:dyDescent="0.3">
      <c r="B195" s="56">
        <v>133</v>
      </c>
      <c r="C195" s="33">
        <v>271.43872540012012</v>
      </c>
      <c r="D195" s="56">
        <f t="shared" si="3"/>
        <v>133</v>
      </c>
      <c r="E195" s="33">
        <v>58.434272443475521</v>
      </c>
    </row>
    <row r="196" spans="2:5" x14ac:dyDescent="0.3">
      <c r="B196" s="56">
        <v>134</v>
      </c>
      <c r="C196" s="33">
        <v>24.384799790749994</v>
      </c>
      <c r="D196" s="56">
        <f t="shared" si="3"/>
        <v>134</v>
      </c>
      <c r="E196" s="33">
        <v>-141.08257897340258</v>
      </c>
    </row>
    <row r="197" spans="2:5" x14ac:dyDescent="0.3">
      <c r="B197" s="56">
        <v>135</v>
      </c>
      <c r="C197" s="33">
        <v>96.347674448816605</v>
      </c>
      <c r="D197" s="56">
        <f t="shared" si="3"/>
        <v>135</v>
      </c>
      <c r="E197" s="33">
        <v>-138.20941358695782</v>
      </c>
    </row>
    <row r="198" spans="2:5" x14ac:dyDescent="0.3">
      <c r="B198" s="56">
        <v>136</v>
      </c>
      <c r="C198" s="33">
        <v>-261.1930386740288</v>
      </c>
      <c r="D198" s="56">
        <f t="shared" si="3"/>
        <v>136</v>
      </c>
      <c r="E198" s="33">
        <v>-75.878343482704508</v>
      </c>
    </row>
    <row r="199" spans="2:5" x14ac:dyDescent="0.3">
      <c r="B199" s="56">
        <v>137</v>
      </c>
      <c r="C199" s="33">
        <v>-327.19206824433689</v>
      </c>
      <c r="D199" s="56">
        <f t="shared" si="3"/>
        <v>137</v>
      </c>
      <c r="E199" s="33">
        <v>-127.37768057342018</v>
      </c>
    </row>
    <row r="200" spans="2:5" x14ac:dyDescent="0.3">
      <c r="B200" s="56">
        <v>138</v>
      </c>
      <c r="C200" s="33">
        <v>-213.72011869720501</v>
      </c>
      <c r="D200" s="56">
        <f t="shared" si="3"/>
        <v>138</v>
      </c>
      <c r="E200" s="33">
        <v>-185.18366016342273</v>
      </c>
    </row>
    <row r="201" spans="2:5" x14ac:dyDescent="0.3">
      <c r="B201" s="56">
        <v>139</v>
      </c>
      <c r="C201" s="33">
        <v>72.464873054698472</v>
      </c>
      <c r="D201" s="56">
        <f t="shared" si="3"/>
        <v>139</v>
      </c>
      <c r="E201" s="33">
        <v>-131.8224161208189</v>
      </c>
    </row>
    <row r="202" spans="2:5" x14ac:dyDescent="0.3">
      <c r="B202" s="56">
        <v>140</v>
      </c>
      <c r="C202" s="33">
        <v>10.927106434084497</v>
      </c>
      <c r="D202" s="56">
        <f t="shared" si="3"/>
        <v>140</v>
      </c>
      <c r="E202" s="33">
        <v>-88.767508887441295</v>
      </c>
    </row>
    <row r="203" spans="2:5" x14ac:dyDescent="0.3">
      <c r="B203" s="56">
        <v>141</v>
      </c>
      <c r="C203" s="33">
        <v>-157.95205830499702</v>
      </c>
      <c r="D203" s="56">
        <f t="shared" si="3"/>
        <v>141</v>
      </c>
      <c r="E203" s="33">
        <v>-209.09834517387782</v>
      </c>
    </row>
    <row r="204" spans="2:5" x14ac:dyDescent="0.3">
      <c r="B204" s="56">
        <v>142</v>
      </c>
      <c r="C204" s="33">
        <v>74.278754774108137</v>
      </c>
      <c r="D204" s="56">
        <f t="shared" si="3"/>
        <v>142</v>
      </c>
      <c r="E204" s="33">
        <v>-98.504376954201533</v>
      </c>
    </row>
    <row r="205" spans="2:5" x14ac:dyDescent="0.3">
      <c r="B205" s="56">
        <v>143</v>
      </c>
      <c r="C205" s="33">
        <v>-224.27001294602718</v>
      </c>
      <c r="D205" s="56">
        <f t="shared" si="3"/>
        <v>143</v>
      </c>
      <c r="E205" s="33">
        <v>-319.51002187324451</v>
      </c>
    </row>
    <row r="206" spans="2:5" x14ac:dyDescent="0.3">
      <c r="B206" s="56">
        <v>144</v>
      </c>
      <c r="C206" s="33">
        <v>-80.538410848453537</v>
      </c>
      <c r="D206" s="56">
        <f t="shared" si="3"/>
        <v>144</v>
      </c>
      <c r="E206" s="33">
        <v>-44.659478807804149</v>
      </c>
    </row>
    <row r="207" spans="2:5" x14ac:dyDescent="0.3">
      <c r="B207" s="56">
        <v>145</v>
      </c>
      <c r="C207" s="33">
        <v>-239.59474730541984</v>
      </c>
      <c r="D207" s="56">
        <f t="shared" si="3"/>
        <v>145</v>
      </c>
      <c r="E207" s="33">
        <v>-70.774620564470368</v>
      </c>
    </row>
    <row r="208" spans="2:5" x14ac:dyDescent="0.3">
      <c r="B208" s="56">
        <v>146</v>
      </c>
      <c r="C208" s="33">
        <v>104.81844530102002</v>
      </c>
      <c r="D208" s="56">
        <f t="shared" si="3"/>
        <v>146</v>
      </c>
      <c r="E208" s="33">
        <v>-258.75034568925616</v>
      </c>
    </row>
    <row r="209" spans="2:5" x14ac:dyDescent="0.3">
      <c r="B209" s="56">
        <v>147</v>
      </c>
      <c r="C209" s="33">
        <v>-69.581439464670495</v>
      </c>
      <c r="D209" s="56">
        <f t="shared" si="3"/>
        <v>147</v>
      </c>
      <c r="E209" s="33">
        <v>-28.278495659437255</v>
      </c>
    </row>
    <row r="210" spans="2:5" x14ac:dyDescent="0.3">
      <c r="B210" s="56">
        <v>148</v>
      </c>
      <c r="C210" s="33">
        <v>-260.36093830152157</v>
      </c>
      <c r="D210" s="56">
        <f t="shared" si="3"/>
        <v>148</v>
      </c>
      <c r="E210" s="33">
        <v>3.9851005893453646</v>
      </c>
    </row>
    <row r="211" spans="2:5" x14ac:dyDescent="0.3">
      <c r="B211" s="56">
        <v>149</v>
      </c>
      <c r="C211" s="33">
        <v>-38.173199966446013</v>
      </c>
      <c r="D211" s="56">
        <f t="shared" si="3"/>
        <v>149</v>
      </c>
      <c r="E211" s="33">
        <v>-101.83209672364124</v>
      </c>
    </row>
    <row r="212" spans="2:5" x14ac:dyDescent="0.3">
      <c r="B212" s="56">
        <v>150</v>
      </c>
      <c r="C212" s="33">
        <v>76.840805391732715</v>
      </c>
      <c r="D212" s="56">
        <f t="shared" si="3"/>
        <v>150</v>
      </c>
      <c r="E212" s="33">
        <v>-132.36195248763079</v>
      </c>
    </row>
    <row r="213" spans="2:5" x14ac:dyDescent="0.3">
      <c r="B213" s="56">
        <v>151</v>
      </c>
      <c r="C213" s="33">
        <v>-150.52949560668722</v>
      </c>
      <c r="D213" s="56">
        <f t="shared" si="3"/>
        <v>151</v>
      </c>
      <c r="E213" s="33">
        <v>-87.679014567349611</v>
      </c>
    </row>
    <row r="214" spans="2:5" x14ac:dyDescent="0.3">
      <c r="B214" s="56">
        <v>152</v>
      </c>
      <c r="C214" s="33">
        <v>-71.054338128129046</v>
      </c>
      <c r="D214" s="56">
        <f t="shared" si="3"/>
        <v>152</v>
      </c>
      <c r="E214" s="33">
        <v>-215.67848593547131</v>
      </c>
    </row>
    <row r="215" spans="2:5" x14ac:dyDescent="0.3">
      <c r="B215" s="56">
        <v>153</v>
      </c>
      <c r="C215" s="33">
        <v>-13.870898646551646</v>
      </c>
      <c r="D215" s="56">
        <f t="shared" si="3"/>
        <v>153</v>
      </c>
      <c r="E215" s="33">
        <v>139.59804665169275</v>
      </c>
    </row>
    <row r="216" spans="2:5" x14ac:dyDescent="0.3">
      <c r="B216" s="56">
        <v>154</v>
      </c>
      <c r="C216" s="33">
        <v>-470.38933662319539</v>
      </c>
      <c r="D216" s="56">
        <f t="shared" si="3"/>
        <v>154</v>
      </c>
      <c r="E216" s="33">
        <v>-528.88673287263828</v>
      </c>
    </row>
    <row r="217" spans="2:5" x14ac:dyDescent="0.3">
      <c r="B217" s="56">
        <v>155</v>
      </c>
      <c r="C217" s="33">
        <v>196.10995540686241</v>
      </c>
      <c r="D217" s="56">
        <f t="shared" si="3"/>
        <v>155</v>
      </c>
      <c r="E217" s="33">
        <v>-58.610348789314941</v>
      </c>
    </row>
    <row r="218" spans="2:5" x14ac:dyDescent="0.3">
      <c r="B218" s="56">
        <v>156</v>
      </c>
      <c r="C218" s="33">
        <v>-91.739534733264833</v>
      </c>
      <c r="D218" s="56">
        <f t="shared" si="3"/>
        <v>156</v>
      </c>
      <c r="E218" s="33">
        <v>-88.510158654798715</v>
      </c>
    </row>
    <row r="219" spans="2:5" x14ac:dyDescent="0.3">
      <c r="B219" s="56">
        <v>157</v>
      </c>
      <c r="C219" s="33">
        <v>-192.7299561379881</v>
      </c>
      <c r="D219" s="56">
        <f t="shared" si="3"/>
        <v>157</v>
      </c>
      <c r="E219" s="33">
        <v>-159.05408948136588</v>
      </c>
    </row>
    <row r="220" spans="2:5" x14ac:dyDescent="0.3">
      <c r="B220" s="56">
        <v>158</v>
      </c>
      <c r="C220" s="33">
        <v>277.25249317052715</v>
      </c>
      <c r="D220" s="56">
        <f t="shared" si="3"/>
        <v>158</v>
      </c>
      <c r="E220" s="33">
        <v>33.766749788319814</v>
      </c>
    </row>
    <row r="221" spans="2:5" x14ac:dyDescent="0.3">
      <c r="B221" s="56">
        <v>159</v>
      </c>
      <c r="C221" s="33">
        <v>-7.7486377845235275</v>
      </c>
      <c r="D221" s="56">
        <f t="shared" si="3"/>
        <v>159</v>
      </c>
      <c r="E221" s="33">
        <v>-398.41819127648932</v>
      </c>
    </row>
    <row r="222" spans="2:5" x14ac:dyDescent="0.3">
      <c r="B222" s="56">
        <v>160</v>
      </c>
      <c r="C222" s="33">
        <v>180.2556029852806</v>
      </c>
      <c r="D222" s="56">
        <f t="shared" si="3"/>
        <v>160</v>
      </c>
      <c r="E222" s="33">
        <v>-168.8731973431675</v>
      </c>
    </row>
    <row r="223" spans="2:5" x14ac:dyDescent="0.3">
      <c r="B223" s="56">
        <v>161</v>
      </c>
      <c r="C223" s="33">
        <v>42.076556712317561</v>
      </c>
      <c r="D223" s="56">
        <f t="shared" si="3"/>
        <v>161</v>
      </c>
      <c r="E223" s="33">
        <v>-303.62957591600775</v>
      </c>
    </row>
    <row r="224" spans="2:5" x14ac:dyDescent="0.3">
      <c r="B224" s="56">
        <v>162</v>
      </c>
      <c r="C224" s="33">
        <v>3.8473513415616978</v>
      </c>
      <c r="D224" s="56">
        <f t="shared" si="3"/>
        <v>162</v>
      </c>
      <c r="E224" s="33">
        <v>-351.10984684699866</v>
      </c>
    </row>
    <row r="225" spans="2:5" x14ac:dyDescent="0.3">
      <c r="B225" s="56">
        <v>163</v>
      </c>
      <c r="C225" s="33">
        <v>13.95360679139071</v>
      </c>
      <c r="D225" s="56">
        <f t="shared" si="3"/>
        <v>163</v>
      </c>
      <c r="E225" s="33">
        <v>170.89238579183814</v>
      </c>
    </row>
    <row r="226" spans="2:5" x14ac:dyDescent="0.3">
      <c r="B226" s="56">
        <v>164</v>
      </c>
      <c r="C226" s="33">
        <v>147.31217187318819</v>
      </c>
      <c r="D226" s="56">
        <f t="shared" si="3"/>
        <v>164</v>
      </c>
      <c r="E226" s="33">
        <v>-213.23760092204992</v>
      </c>
    </row>
    <row r="227" spans="2:5" x14ac:dyDescent="0.3">
      <c r="B227" s="56">
        <v>165</v>
      </c>
      <c r="C227" s="33">
        <v>63.682748078670812</v>
      </c>
      <c r="D227" s="56">
        <f t="shared" si="3"/>
        <v>165</v>
      </c>
      <c r="E227" s="33">
        <v>-196.46525276138061</v>
      </c>
    </row>
    <row r="228" spans="2:5" x14ac:dyDescent="0.3">
      <c r="B228" s="56">
        <v>166</v>
      </c>
      <c r="C228" s="33">
        <v>-72.699530224490331</v>
      </c>
      <c r="D228" s="56">
        <f t="shared" si="3"/>
        <v>166</v>
      </c>
      <c r="E228" s="33">
        <v>-119.46920686248475</v>
      </c>
    </row>
    <row r="229" spans="2:5" x14ac:dyDescent="0.3">
      <c r="B229" s="56">
        <v>167</v>
      </c>
      <c r="C229" s="33">
        <v>212.35889934435849</v>
      </c>
      <c r="D229" s="56">
        <f t="shared" si="3"/>
        <v>167</v>
      </c>
      <c r="E229" s="33">
        <v>-140.10533454379345</v>
      </c>
    </row>
    <row r="230" spans="2:5" x14ac:dyDescent="0.3">
      <c r="B230" s="56">
        <v>168</v>
      </c>
      <c r="C230" s="33">
        <v>212.73974756478026</v>
      </c>
      <c r="D230" s="56">
        <f t="shared" si="3"/>
        <v>168</v>
      </c>
      <c r="E230" s="33">
        <v>42.793378091599308</v>
      </c>
    </row>
    <row r="231" spans="2:5" x14ac:dyDescent="0.3">
      <c r="B231" s="56">
        <v>169</v>
      </c>
      <c r="C231" s="33">
        <v>228.47909590605369</v>
      </c>
      <c r="D231" s="56">
        <f t="shared" si="3"/>
        <v>169</v>
      </c>
      <c r="E231" s="33">
        <v>-25.900980237293624</v>
      </c>
    </row>
    <row r="232" spans="2:5" x14ac:dyDescent="0.3">
      <c r="B232" s="56">
        <v>170</v>
      </c>
      <c r="C232" s="33">
        <v>-43.613454205828816</v>
      </c>
      <c r="D232" s="56">
        <f t="shared" si="3"/>
        <v>170</v>
      </c>
      <c r="E232" s="33">
        <v>-268.85942170848989</v>
      </c>
    </row>
    <row r="233" spans="2:5" x14ac:dyDescent="0.3">
      <c r="B233" s="56">
        <v>171</v>
      </c>
      <c r="C233" s="33">
        <v>-321.61905598867759</v>
      </c>
      <c r="D233" s="56">
        <f t="shared" si="3"/>
        <v>171</v>
      </c>
      <c r="E233" s="33">
        <v>-216.53583698816169</v>
      </c>
    </row>
    <row r="234" spans="2:5" x14ac:dyDescent="0.3">
      <c r="B234" s="56">
        <v>172</v>
      </c>
      <c r="C234" s="33">
        <v>-64.016312620107186</v>
      </c>
      <c r="D234" s="56">
        <f t="shared" si="3"/>
        <v>172</v>
      </c>
      <c r="E234" s="33">
        <v>-87.622312191873746</v>
      </c>
    </row>
    <row r="235" spans="2:5" x14ac:dyDescent="0.3">
      <c r="B235" s="56">
        <v>173</v>
      </c>
      <c r="C235" s="33">
        <v>-23.144221346742263</v>
      </c>
      <c r="D235" s="56">
        <f t="shared" si="3"/>
        <v>173</v>
      </c>
      <c r="E235" s="33">
        <v>-34.456400346200581</v>
      </c>
    </row>
    <row r="236" spans="2:5" x14ac:dyDescent="0.3">
      <c r="B236" s="56">
        <v>174</v>
      </c>
      <c r="C236" s="33">
        <v>-119.28147046707025</v>
      </c>
      <c r="D236" s="56">
        <f t="shared" si="3"/>
        <v>174</v>
      </c>
      <c r="E236" s="33">
        <v>-202.42651555963153</v>
      </c>
    </row>
    <row r="237" spans="2:5" x14ac:dyDescent="0.3">
      <c r="B237" s="56">
        <v>175</v>
      </c>
      <c r="C237" s="33">
        <v>-59.312409759365842</v>
      </c>
      <c r="D237" s="56">
        <f t="shared" si="3"/>
        <v>175</v>
      </c>
      <c r="E237" s="33">
        <v>-92.052447170857874</v>
      </c>
    </row>
    <row r="238" spans="2:5" x14ac:dyDescent="0.3">
      <c r="B238" s="56">
        <v>176</v>
      </c>
      <c r="C238" s="33">
        <v>119.06823195895369</v>
      </c>
      <c r="D238" s="56">
        <f t="shared" si="3"/>
        <v>176</v>
      </c>
      <c r="E238" s="33">
        <v>-451.37653560497785</v>
      </c>
    </row>
    <row r="239" spans="2:5" x14ac:dyDescent="0.3">
      <c r="B239" s="56">
        <v>177</v>
      </c>
      <c r="C239" s="33">
        <v>92.150190951388709</v>
      </c>
      <c r="D239" s="56">
        <f t="shared" si="3"/>
        <v>177</v>
      </c>
      <c r="E239" s="33">
        <v>-272.59110762777675</v>
      </c>
    </row>
    <row r="240" spans="2:5" x14ac:dyDescent="0.3">
      <c r="B240" s="56">
        <v>178</v>
      </c>
      <c r="C240" s="33">
        <v>34.500098381043642</v>
      </c>
      <c r="D240" s="56">
        <f t="shared" si="3"/>
        <v>178</v>
      </c>
      <c r="E240" s="33">
        <v>-106.12232619508691</v>
      </c>
    </row>
    <row r="241" spans="2:5" x14ac:dyDescent="0.3">
      <c r="B241" s="56">
        <v>179</v>
      </c>
      <c r="C241" s="33">
        <v>-29.269715755750191</v>
      </c>
      <c r="D241" s="56">
        <f t="shared" si="3"/>
        <v>179</v>
      </c>
      <c r="E241" s="33">
        <v>-117.15882555550833</v>
      </c>
    </row>
    <row r="242" spans="2:5" x14ac:dyDescent="0.3">
      <c r="B242" s="56">
        <v>180</v>
      </c>
      <c r="C242" s="33">
        <v>347.46698308538714</v>
      </c>
      <c r="D242" s="56">
        <f t="shared" si="3"/>
        <v>180</v>
      </c>
      <c r="E242" s="33">
        <v>-147.64661915405091</v>
      </c>
    </row>
    <row r="243" spans="2:5" x14ac:dyDescent="0.3">
      <c r="B243" s="56">
        <v>181</v>
      </c>
      <c r="C243" s="33">
        <v>-49.657622333266985</v>
      </c>
      <c r="D243" s="56">
        <f t="shared" si="3"/>
        <v>181</v>
      </c>
      <c r="E243" s="33">
        <v>-68.398784768407808</v>
      </c>
    </row>
    <row r="244" spans="2:5" x14ac:dyDescent="0.3">
      <c r="B244" s="56">
        <v>182</v>
      </c>
      <c r="C244" s="33">
        <v>-0.22172330023393627</v>
      </c>
      <c r="D244" s="56">
        <f t="shared" si="3"/>
        <v>182</v>
      </c>
      <c r="E244" s="33">
        <v>-55.922414257367706</v>
      </c>
    </row>
    <row r="245" spans="2:5" x14ac:dyDescent="0.3">
      <c r="B245" s="56">
        <v>183</v>
      </c>
      <c r="C245" s="33">
        <v>125.70999467596883</v>
      </c>
      <c r="D245" s="56">
        <f t="shared" si="3"/>
        <v>183</v>
      </c>
      <c r="E245" s="33">
        <v>5.1978646844438856</v>
      </c>
    </row>
    <row r="246" spans="2:5" x14ac:dyDescent="0.3">
      <c r="B246" s="56">
        <v>184</v>
      </c>
      <c r="C246" s="33">
        <v>-72.693012907506557</v>
      </c>
      <c r="D246" s="56">
        <f t="shared" si="3"/>
        <v>184</v>
      </c>
      <c r="E246" s="33">
        <v>-39.664559161185167</v>
      </c>
    </row>
    <row r="247" spans="2:5" x14ac:dyDescent="0.3">
      <c r="B247" s="56">
        <v>185</v>
      </c>
      <c r="C247" s="33">
        <v>-17.816151674810261</v>
      </c>
      <c r="D247" s="56">
        <f t="shared" si="3"/>
        <v>185</v>
      </c>
      <c r="E247" s="33">
        <v>-220.25732549617314</v>
      </c>
    </row>
    <row r="248" spans="2:5" x14ac:dyDescent="0.3">
      <c r="B248" s="56">
        <v>186</v>
      </c>
      <c r="C248" s="33">
        <v>-94.603537671437934</v>
      </c>
      <c r="D248" s="56">
        <f t="shared" si="3"/>
        <v>186</v>
      </c>
      <c r="E248" s="33">
        <v>-77.33078457133999</v>
      </c>
    </row>
    <row r="249" spans="2:5" x14ac:dyDescent="0.3">
      <c r="B249" s="56">
        <v>187</v>
      </c>
      <c r="C249" s="33">
        <v>425.51694739102186</v>
      </c>
      <c r="D249" s="56">
        <f t="shared" si="3"/>
        <v>187</v>
      </c>
      <c r="E249" s="33">
        <v>-218.53108381924264</v>
      </c>
    </row>
    <row r="250" spans="2:5" x14ac:dyDescent="0.3">
      <c r="B250" s="56">
        <v>188</v>
      </c>
      <c r="C250" s="33">
        <v>-68.70845551058251</v>
      </c>
      <c r="D250" s="56">
        <f t="shared" si="3"/>
        <v>188</v>
      </c>
      <c r="E250" s="33">
        <v>-122.68800532819397</v>
      </c>
    </row>
    <row r="251" spans="2:5" x14ac:dyDescent="0.3">
      <c r="B251" s="56">
        <v>189</v>
      </c>
      <c r="C251" s="33">
        <v>-326.7321336166932</v>
      </c>
      <c r="D251" s="56">
        <f t="shared" si="3"/>
        <v>189</v>
      </c>
      <c r="E251" s="33">
        <v>50.317079869937601</v>
      </c>
    </row>
    <row r="252" spans="2:5" x14ac:dyDescent="0.3">
      <c r="B252" s="56">
        <v>190</v>
      </c>
      <c r="C252" s="33">
        <v>41.447476574912358</v>
      </c>
      <c r="D252" s="56">
        <f t="shared" si="3"/>
        <v>190</v>
      </c>
      <c r="E252" s="33">
        <v>-50.102907638538966</v>
      </c>
    </row>
    <row r="253" spans="2:5" x14ac:dyDescent="0.3">
      <c r="B253" s="56">
        <v>191</v>
      </c>
      <c r="C253" s="33">
        <v>198.37463287474623</v>
      </c>
      <c r="D253" s="56">
        <f t="shared" si="3"/>
        <v>191</v>
      </c>
      <c r="E253" s="33">
        <v>-254.71247986084609</v>
      </c>
    </row>
    <row r="254" spans="2:5" x14ac:dyDescent="0.3">
      <c r="B254" s="56">
        <v>192</v>
      </c>
      <c r="C254" s="33">
        <v>146.48706390909339</v>
      </c>
      <c r="D254" s="56">
        <f t="shared" si="3"/>
        <v>192</v>
      </c>
      <c r="E254" s="33">
        <v>-217.65017171214629</v>
      </c>
    </row>
    <row r="255" spans="2:5" x14ac:dyDescent="0.3">
      <c r="B255" s="56">
        <v>193</v>
      </c>
      <c r="C255" s="33">
        <v>-42.611448856730838</v>
      </c>
      <c r="D255" s="56">
        <f t="shared" si="3"/>
        <v>193</v>
      </c>
      <c r="E255" s="33">
        <v>-94.036217269432086</v>
      </c>
    </row>
    <row r="256" spans="2:5" x14ac:dyDescent="0.3">
      <c r="B256" s="56">
        <v>194</v>
      </c>
      <c r="C256" s="33">
        <v>-42.685504334110526</v>
      </c>
      <c r="D256" s="56">
        <f t="shared" si="3"/>
        <v>194</v>
      </c>
      <c r="E256" s="33">
        <v>23.698116058195552</v>
      </c>
    </row>
    <row r="257" spans="2:5" x14ac:dyDescent="0.3">
      <c r="B257" s="56">
        <v>195</v>
      </c>
      <c r="C257" s="33">
        <v>-115.45676813368459</v>
      </c>
      <c r="D257" s="56">
        <f t="shared" ref="D257:D274" si="4">B257</f>
        <v>195</v>
      </c>
      <c r="E257" s="33">
        <v>-323.46129293838771</v>
      </c>
    </row>
    <row r="258" spans="2:5" x14ac:dyDescent="0.3">
      <c r="B258" s="56">
        <v>196</v>
      </c>
      <c r="C258" s="33">
        <v>-223.23577649375198</v>
      </c>
      <c r="D258" s="56">
        <f t="shared" si="4"/>
        <v>196</v>
      </c>
      <c r="E258" s="33">
        <v>-238.36360686057577</v>
      </c>
    </row>
    <row r="259" spans="2:5" x14ac:dyDescent="0.3">
      <c r="B259" s="56">
        <v>197</v>
      </c>
      <c r="C259" s="33">
        <v>-226.23049373101773</v>
      </c>
      <c r="D259" s="56">
        <f t="shared" si="4"/>
        <v>197</v>
      </c>
      <c r="E259" s="33">
        <v>-161.29941411387063</v>
      </c>
    </row>
    <row r="260" spans="2:5" x14ac:dyDescent="0.3">
      <c r="B260" s="56">
        <v>198</v>
      </c>
      <c r="C260" s="33">
        <v>75.708630486447078</v>
      </c>
      <c r="D260" s="56">
        <f t="shared" si="4"/>
        <v>198</v>
      </c>
      <c r="E260" s="33">
        <v>-273.60078248527697</v>
      </c>
    </row>
    <row r="261" spans="2:5" x14ac:dyDescent="0.3">
      <c r="B261" s="56">
        <v>199</v>
      </c>
      <c r="C261" s="33">
        <v>-251.90505866959239</v>
      </c>
      <c r="D261" s="56">
        <f t="shared" si="4"/>
        <v>199</v>
      </c>
      <c r="E261" s="33">
        <v>-203.9135658491598</v>
      </c>
    </row>
    <row r="262" spans="2:5" x14ac:dyDescent="0.3">
      <c r="B262" s="56">
        <v>200</v>
      </c>
      <c r="C262" s="33">
        <v>-176.12119744365364</v>
      </c>
      <c r="D262" s="56">
        <f t="shared" si="4"/>
        <v>200</v>
      </c>
      <c r="E262" s="33">
        <v>-77.979665031387015</v>
      </c>
    </row>
    <row r="263" spans="2:5" x14ac:dyDescent="0.3">
      <c r="B263" s="56">
        <v>201</v>
      </c>
      <c r="C263" s="33">
        <v>180.00549386433954</v>
      </c>
      <c r="D263" s="56">
        <f t="shared" si="4"/>
        <v>201</v>
      </c>
      <c r="E263" s="33">
        <v>-338.69362745727079</v>
      </c>
    </row>
    <row r="264" spans="2:5" x14ac:dyDescent="0.3">
      <c r="B264" s="56">
        <v>202</v>
      </c>
      <c r="C264" s="33">
        <v>-145.13645930879318</v>
      </c>
      <c r="D264" s="56">
        <f t="shared" si="4"/>
        <v>202</v>
      </c>
      <c r="E264" s="33">
        <v>-149.00655067987611</v>
      </c>
    </row>
    <row r="265" spans="2:5" x14ac:dyDescent="0.3">
      <c r="B265" s="56">
        <v>203</v>
      </c>
      <c r="C265" s="33">
        <v>53.401827650738966</v>
      </c>
      <c r="D265" s="56">
        <f t="shared" si="4"/>
        <v>203</v>
      </c>
      <c r="E265" s="33">
        <v>-232.76529009057717</v>
      </c>
    </row>
    <row r="266" spans="2:5" x14ac:dyDescent="0.3">
      <c r="B266" s="56">
        <v>204</v>
      </c>
      <c r="C266" s="33">
        <v>-228.79374207174885</v>
      </c>
      <c r="D266" s="56">
        <f t="shared" si="4"/>
        <v>204</v>
      </c>
      <c r="E266" s="33">
        <v>-320.38562348830806</v>
      </c>
    </row>
    <row r="267" spans="2:5" x14ac:dyDescent="0.3">
      <c r="B267" s="56">
        <v>205</v>
      </c>
      <c r="C267" s="33">
        <v>-189.20426714030026</v>
      </c>
      <c r="D267" s="56">
        <f t="shared" si="4"/>
        <v>205</v>
      </c>
      <c r="E267" s="33">
        <v>-193.7596726562071</v>
      </c>
    </row>
    <row r="268" spans="2:5" x14ac:dyDescent="0.3">
      <c r="B268" s="56">
        <v>206</v>
      </c>
      <c r="C268" s="33">
        <v>-93.264265891724563</v>
      </c>
      <c r="D268" s="56">
        <f t="shared" si="4"/>
        <v>206</v>
      </c>
      <c r="E268" s="33">
        <v>-227.33049516111319</v>
      </c>
    </row>
    <row r="269" spans="2:5" x14ac:dyDescent="0.3">
      <c r="B269" s="56">
        <v>207</v>
      </c>
      <c r="C269" s="33">
        <v>-344.97942742321425</v>
      </c>
      <c r="D269" s="56">
        <f t="shared" si="4"/>
        <v>207</v>
      </c>
      <c r="E269" s="33">
        <v>-153.875356574639</v>
      </c>
    </row>
    <row r="270" spans="2:5" x14ac:dyDescent="0.3">
      <c r="B270" s="56">
        <v>208</v>
      </c>
      <c r="C270" s="33">
        <v>96.007539403390311</v>
      </c>
      <c r="D270" s="56">
        <f t="shared" si="4"/>
        <v>208</v>
      </c>
      <c r="E270" s="33">
        <v>164.03071786782624</v>
      </c>
    </row>
    <row r="271" spans="2:5" x14ac:dyDescent="0.3">
      <c r="B271" s="56">
        <v>209</v>
      </c>
      <c r="C271" s="33">
        <v>-72.152345457342378</v>
      </c>
      <c r="D271" s="56">
        <f t="shared" si="4"/>
        <v>209</v>
      </c>
      <c r="E271" s="33">
        <v>-61.367741564732086</v>
      </c>
    </row>
    <row r="272" spans="2:5" x14ac:dyDescent="0.3">
      <c r="B272" s="56">
        <v>210</v>
      </c>
      <c r="C272" s="33">
        <v>34.708526961068465</v>
      </c>
      <c r="D272" s="56">
        <f t="shared" si="4"/>
        <v>210</v>
      </c>
      <c r="E272" s="33">
        <v>-69.748440066135515</v>
      </c>
    </row>
    <row r="273" spans="2:5" x14ac:dyDescent="0.3">
      <c r="B273" s="56">
        <v>211</v>
      </c>
      <c r="C273" s="33">
        <v>42.686649885305599</v>
      </c>
      <c r="D273" s="56">
        <f t="shared" si="4"/>
        <v>211</v>
      </c>
      <c r="E273" s="33">
        <v>-175.69029725359189</v>
      </c>
    </row>
    <row r="274" spans="2:5" x14ac:dyDescent="0.3">
      <c r="B274" s="56">
        <v>212</v>
      </c>
      <c r="C274" s="33">
        <v>-246.55930814097655</v>
      </c>
      <c r="D274" s="56">
        <f t="shared" si="4"/>
        <v>212</v>
      </c>
      <c r="E274" s="33">
        <v>-127.20418615242299</v>
      </c>
    </row>
    <row r="275" spans="2:5" x14ac:dyDescent="0.3">
      <c r="B275" s="56">
        <v>213</v>
      </c>
      <c r="C275" s="33">
        <v>-191.78117064417663</v>
      </c>
      <c r="D275" s="56">
        <f t="shared" ref="D275:D338" si="5">B275</f>
        <v>213</v>
      </c>
      <c r="E275" s="33">
        <v>-126.86573272677705</v>
      </c>
    </row>
    <row r="276" spans="2:5" x14ac:dyDescent="0.3">
      <c r="B276" s="56">
        <v>214</v>
      </c>
      <c r="C276" s="33">
        <v>-189.83143530650344</v>
      </c>
      <c r="D276" s="56">
        <f t="shared" si="5"/>
        <v>214</v>
      </c>
      <c r="E276" s="33">
        <v>28.662507647040698</v>
      </c>
    </row>
    <row r="277" spans="2:5" x14ac:dyDescent="0.3">
      <c r="B277" s="56">
        <v>215</v>
      </c>
      <c r="C277" s="33">
        <v>-417.65547645213121</v>
      </c>
      <c r="D277" s="56">
        <f t="shared" si="5"/>
        <v>215</v>
      </c>
      <c r="E277" s="33">
        <v>-469.42826102013839</v>
      </c>
    </row>
    <row r="278" spans="2:5" x14ac:dyDescent="0.3">
      <c r="B278" s="56">
        <v>216</v>
      </c>
      <c r="C278" s="33">
        <v>-452.86704191704922</v>
      </c>
      <c r="D278" s="56">
        <f t="shared" si="5"/>
        <v>216</v>
      </c>
      <c r="E278" s="33">
        <v>-73.851232550415361</v>
      </c>
    </row>
    <row r="279" spans="2:5" x14ac:dyDescent="0.3">
      <c r="B279" s="56">
        <v>217</v>
      </c>
      <c r="C279" s="33">
        <v>118.33119578570187</v>
      </c>
      <c r="D279" s="56">
        <f t="shared" si="5"/>
        <v>217</v>
      </c>
      <c r="E279" s="33">
        <v>211.68527992448014</v>
      </c>
    </row>
    <row r="280" spans="2:5" x14ac:dyDescent="0.3">
      <c r="B280" s="56">
        <v>218</v>
      </c>
      <c r="C280" s="33">
        <v>25.22743770272448</v>
      </c>
      <c r="D280" s="56">
        <f t="shared" si="5"/>
        <v>218</v>
      </c>
      <c r="E280" s="33">
        <v>13.875331861990915</v>
      </c>
    </row>
    <row r="281" spans="2:5" x14ac:dyDescent="0.3">
      <c r="B281" s="56">
        <v>219</v>
      </c>
      <c r="C281" s="33">
        <v>181.98752646455921</v>
      </c>
      <c r="D281" s="56">
        <f t="shared" si="5"/>
        <v>219</v>
      </c>
      <c r="E281" s="33">
        <v>-107.84715800585303</v>
      </c>
    </row>
    <row r="282" spans="2:5" x14ac:dyDescent="0.3">
      <c r="B282" s="56">
        <v>220</v>
      </c>
      <c r="C282" s="33">
        <v>-215.58075681635771</v>
      </c>
      <c r="D282" s="56">
        <f t="shared" si="5"/>
        <v>220</v>
      </c>
      <c r="E282" s="33">
        <v>-323.96994498402614</v>
      </c>
    </row>
    <row r="283" spans="2:5" x14ac:dyDescent="0.3">
      <c r="B283" s="56">
        <v>221</v>
      </c>
      <c r="C283" s="33">
        <v>53.156635722549908</v>
      </c>
      <c r="D283" s="56">
        <f t="shared" si="5"/>
        <v>221</v>
      </c>
      <c r="E283" s="33">
        <v>-221.81362968524272</v>
      </c>
    </row>
    <row r="284" spans="2:5" x14ac:dyDescent="0.3">
      <c r="B284" s="56">
        <v>222</v>
      </c>
      <c r="C284" s="33">
        <v>-204.2069091595647</v>
      </c>
      <c r="D284" s="56">
        <f t="shared" si="5"/>
        <v>222</v>
      </c>
      <c r="E284" s="33">
        <v>-269.70790247172408</v>
      </c>
    </row>
    <row r="285" spans="2:5" x14ac:dyDescent="0.3">
      <c r="B285" s="56">
        <v>223</v>
      </c>
      <c r="C285" s="33">
        <v>-53.129922003842069</v>
      </c>
      <c r="D285" s="56">
        <f t="shared" si="5"/>
        <v>223</v>
      </c>
      <c r="E285" s="33">
        <v>-335.71487540668068</v>
      </c>
    </row>
    <row r="286" spans="2:5" x14ac:dyDescent="0.3">
      <c r="B286" s="56">
        <v>224</v>
      </c>
      <c r="C286" s="33">
        <v>143.9684693085467</v>
      </c>
      <c r="D286" s="56">
        <f t="shared" si="5"/>
        <v>224</v>
      </c>
      <c r="E286" s="33">
        <v>-148.99053230503711</v>
      </c>
    </row>
    <row r="287" spans="2:5" x14ac:dyDescent="0.3">
      <c r="B287" s="56">
        <v>225</v>
      </c>
      <c r="C287" s="33">
        <v>110.68103241106409</v>
      </c>
      <c r="D287" s="56">
        <f t="shared" si="5"/>
        <v>225</v>
      </c>
      <c r="E287" s="33">
        <v>-345.95764204289469</v>
      </c>
    </row>
    <row r="288" spans="2:5" x14ac:dyDescent="0.3">
      <c r="B288" s="56">
        <v>226</v>
      </c>
      <c r="C288" s="33">
        <v>-11.571114697742747</v>
      </c>
      <c r="D288" s="56">
        <f t="shared" si="5"/>
        <v>226</v>
      </c>
      <c r="E288" s="33">
        <v>-228.53031318086528</v>
      </c>
    </row>
    <row r="289" spans="2:5" x14ac:dyDescent="0.3">
      <c r="B289" s="56">
        <v>227</v>
      </c>
      <c r="C289" s="33">
        <v>-189.18214759286818</v>
      </c>
      <c r="D289" s="56">
        <f t="shared" si="5"/>
        <v>227</v>
      </c>
      <c r="E289" s="33">
        <v>-127.20442171757483</v>
      </c>
    </row>
    <row r="290" spans="2:5" x14ac:dyDescent="0.3">
      <c r="B290" s="56">
        <v>228</v>
      </c>
      <c r="C290" s="33">
        <v>-117.39935720071351</v>
      </c>
      <c r="D290" s="56">
        <f t="shared" si="5"/>
        <v>228</v>
      </c>
      <c r="E290" s="33">
        <v>-85.385012736245699</v>
      </c>
    </row>
    <row r="291" spans="2:5" x14ac:dyDescent="0.3">
      <c r="B291" s="56">
        <v>229</v>
      </c>
      <c r="C291" s="33">
        <v>40.404980427581926</v>
      </c>
      <c r="D291" s="56">
        <f t="shared" si="5"/>
        <v>229</v>
      </c>
      <c r="E291" s="33">
        <v>-8.8908072922255883</v>
      </c>
    </row>
    <row r="292" spans="2:5" x14ac:dyDescent="0.3">
      <c r="B292" s="56">
        <v>230</v>
      </c>
      <c r="C292" s="33">
        <v>161.81146791034973</v>
      </c>
      <c r="D292" s="56">
        <f t="shared" si="5"/>
        <v>230</v>
      </c>
      <c r="E292" s="33">
        <v>-191.31006297211167</v>
      </c>
    </row>
    <row r="293" spans="2:5" x14ac:dyDescent="0.3">
      <c r="B293" s="56">
        <v>231</v>
      </c>
      <c r="C293" s="33">
        <v>-72.518704744286964</v>
      </c>
      <c r="D293" s="56">
        <f t="shared" si="5"/>
        <v>231</v>
      </c>
      <c r="E293" s="33">
        <v>-208.49943898972271</v>
      </c>
    </row>
    <row r="294" spans="2:5" x14ac:dyDescent="0.3">
      <c r="B294" s="56">
        <v>232</v>
      </c>
      <c r="C294" s="33">
        <v>-301.42658855527304</v>
      </c>
      <c r="D294" s="56">
        <f t="shared" si="5"/>
        <v>232</v>
      </c>
      <c r="E294" s="33">
        <v>-537.51516487671574</v>
      </c>
    </row>
    <row r="295" spans="2:5" x14ac:dyDescent="0.3">
      <c r="B295" s="56">
        <v>233</v>
      </c>
      <c r="C295" s="33">
        <v>-282.65906674517504</v>
      </c>
      <c r="D295" s="56">
        <f t="shared" si="5"/>
        <v>233</v>
      </c>
      <c r="E295" s="33">
        <v>-74.972203590323829</v>
      </c>
    </row>
    <row r="296" spans="2:5" x14ac:dyDescent="0.3">
      <c r="B296" s="56">
        <v>234</v>
      </c>
      <c r="C296" s="33">
        <v>-330.91815606385848</v>
      </c>
      <c r="D296" s="56">
        <f t="shared" si="5"/>
        <v>234</v>
      </c>
      <c r="E296" s="33">
        <v>-187.319940588299</v>
      </c>
    </row>
    <row r="297" spans="2:5" x14ac:dyDescent="0.3">
      <c r="B297" s="56">
        <v>235</v>
      </c>
      <c r="C297" s="33">
        <v>165.94124868373103</v>
      </c>
      <c r="D297" s="56">
        <f t="shared" si="5"/>
        <v>235</v>
      </c>
      <c r="E297" s="33">
        <v>-162.72612581658223</v>
      </c>
    </row>
    <row r="298" spans="2:5" x14ac:dyDescent="0.3">
      <c r="B298" s="56">
        <v>236</v>
      </c>
      <c r="C298" s="33">
        <v>-198.50938535352356</v>
      </c>
      <c r="D298" s="56">
        <f t="shared" si="5"/>
        <v>236</v>
      </c>
      <c r="E298" s="33">
        <v>-83.120804818478547</v>
      </c>
    </row>
    <row r="299" spans="2:5" x14ac:dyDescent="0.3">
      <c r="B299" s="56">
        <v>237</v>
      </c>
      <c r="C299" s="33">
        <v>209.12283090142205</v>
      </c>
      <c r="D299" s="56">
        <f t="shared" si="5"/>
        <v>237</v>
      </c>
      <c r="E299" s="33">
        <v>-92.271524399047323</v>
      </c>
    </row>
    <row r="300" spans="2:5" x14ac:dyDescent="0.3">
      <c r="B300" s="56">
        <v>238</v>
      </c>
      <c r="C300" s="33">
        <v>68.914786761508282</v>
      </c>
      <c r="D300" s="56">
        <f t="shared" si="5"/>
        <v>238</v>
      </c>
      <c r="E300" s="33">
        <v>-128.24288486589643</v>
      </c>
    </row>
    <row r="301" spans="2:5" x14ac:dyDescent="0.3">
      <c r="B301" s="56">
        <v>239</v>
      </c>
      <c r="C301" s="33">
        <v>42.179060572412887</v>
      </c>
      <c r="D301" s="56">
        <f t="shared" si="5"/>
        <v>239</v>
      </c>
      <c r="E301" s="33">
        <v>-141.20100254916676</v>
      </c>
    </row>
    <row r="302" spans="2:5" x14ac:dyDescent="0.3">
      <c r="B302" s="56">
        <v>240</v>
      </c>
      <c r="C302" s="33">
        <v>-48.153302933398336</v>
      </c>
      <c r="D302" s="56">
        <f t="shared" si="5"/>
        <v>240</v>
      </c>
      <c r="E302" s="33">
        <v>-177.338201380219</v>
      </c>
    </row>
    <row r="303" spans="2:5" x14ac:dyDescent="0.3">
      <c r="B303" s="56">
        <v>241</v>
      </c>
      <c r="C303" s="33">
        <v>218.09412288358277</v>
      </c>
      <c r="D303" s="56">
        <f t="shared" si="5"/>
        <v>241</v>
      </c>
      <c r="E303" s="33">
        <v>-29.770502559320263</v>
      </c>
    </row>
    <row r="304" spans="2:5" x14ac:dyDescent="0.3">
      <c r="B304" s="56">
        <v>242</v>
      </c>
      <c r="C304" s="33">
        <v>-99.690780036687244</v>
      </c>
      <c r="D304" s="56">
        <f t="shared" si="5"/>
        <v>242</v>
      </c>
      <c r="E304" s="33">
        <v>-60.064661684921319</v>
      </c>
    </row>
    <row r="305" spans="2:5" x14ac:dyDescent="0.3">
      <c r="B305" s="56">
        <v>243</v>
      </c>
      <c r="C305" s="33">
        <v>40.277657512327679</v>
      </c>
      <c r="D305" s="56">
        <f t="shared" si="5"/>
        <v>243</v>
      </c>
      <c r="E305" s="33">
        <v>-185.8092744426155</v>
      </c>
    </row>
    <row r="306" spans="2:5" x14ac:dyDescent="0.3">
      <c r="B306" s="56">
        <v>244</v>
      </c>
      <c r="C306" s="33">
        <v>59.50358813572899</v>
      </c>
      <c r="D306" s="56">
        <f t="shared" si="5"/>
        <v>244</v>
      </c>
      <c r="E306" s="33">
        <v>-349.88966866751252</v>
      </c>
    </row>
    <row r="307" spans="2:5" x14ac:dyDescent="0.3">
      <c r="B307" s="56">
        <v>245</v>
      </c>
      <c r="C307" s="33">
        <v>-21.097789125932202</v>
      </c>
      <c r="D307" s="56">
        <f t="shared" si="5"/>
        <v>245</v>
      </c>
      <c r="E307" s="33">
        <v>-114.90072765381858</v>
      </c>
    </row>
    <row r="308" spans="2:5" x14ac:dyDescent="0.3">
      <c r="B308" s="56">
        <v>246</v>
      </c>
      <c r="C308" s="33">
        <v>-157.91139745166183</v>
      </c>
      <c r="D308" s="56">
        <f t="shared" si="5"/>
        <v>246</v>
      </c>
      <c r="E308" s="33">
        <v>-226.13054157847773</v>
      </c>
    </row>
    <row r="309" spans="2:5" x14ac:dyDescent="0.3">
      <c r="B309" s="56">
        <v>247</v>
      </c>
      <c r="C309" s="33">
        <v>-246.46014941102902</v>
      </c>
      <c r="D309" s="56">
        <f t="shared" si="5"/>
        <v>247</v>
      </c>
      <c r="E309" s="33">
        <v>-273.177332029767</v>
      </c>
    </row>
    <row r="310" spans="2:5" x14ac:dyDescent="0.3">
      <c r="B310" s="56">
        <v>248</v>
      </c>
      <c r="C310" s="33">
        <v>-108.89666305638144</v>
      </c>
      <c r="D310" s="56">
        <f t="shared" si="5"/>
        <v>248</v>
      </c>
      <c r="E310" s="33">
        <v>-187.12957026834007</v>
      </c>
    </row>
    <row r="311" spans="2:5" x14ac:dyDescent="0.3">
      <c r="B311" s="56">
        <v>249</v>
      </c>
      <c r="C311" s="33">
        <v>-35.283982869734032</v>
      </c>
      <c r="D311" s="56">
        <f t="shared" si="5"/>
        <v>249</v>
      </c>
      <c r="E311" s="33">
        <v>-0.25557577398961939</v>
      </c>
    </row>
    <row r="312" spans="2:5" x14ac:dyDescent="0.3">
      <c r="B312" s="56">
        <v>250</v>
      </c>
      <c r="C312" s="33">
        <v>54.233882503895849</v>
      </c>
      <c r="D312" s="56">
        <f t="shared" si="5"/>
        <v>250</v>
      </c>
      <c r="E312" s="33">
        <v>-80.855481647455349</v>
      </c>
    </row>
    <row r="313" spans="2:5" x14ac:dyDescent="0.3">
      <c r="B313" s="56">
        <v>251</v>
      </c>
      <c r="C313" s="33">
        <v>72.181129153492137</v>
      </c>
      <c r="D313" s="56">
        <f t="shared" si="5"/>
        <v>251</v>
      </c>
      <c r="E313" s="33">
        <v>-192.22521415581491</v>
      </c>
    </row>
    <row r="314" spans="2:5" x14ac:dyDescent="0.3">
      <c r="B314" s="56">
        <v>252</v>
      </c>
      <c r="C314" s="33">
        <v>-20.246926100212946</v>
      </c>
      <c r="D314" s="56">
        <f t="shared" si="5"/>
        <v>252</v>
      </c>
      <c r="E314" s="33">
        <v>-105.37917279553169</v>
      </c>
    </row>
    <row r="315" spans="2:5" x14ac:dyDescent="0.3">
      <c r="B315" s="56">
        <v>253</v>
      </c>
      <c r="C315" s="33">
        <v>198.42359730228333</v>
      </c>
      <c r="D315" s="56">
        <f t="shared" si="5"/>
        <v>253</v>
      </c>
      <c r="E315" s="33">
        <v>-252.38324363642107</v>
      </c>
    </row>
    <row r="316" spans="2:5" x14ac:dyDescent="0.3">
      <c r="B316" s="56">
        <v>254</v>
      </c>
      <c r="C316" s="33">
        <v>-48.334841400388214</v>
      </c>
      <c r="D316" s="56">
        <f t="shared" si="5"/>
        <v>254</v>
      </c>
      <c r="E316" s="33">
        <v>-133.9981950422208</v>
      </c>
    </row>
    <row r="317" spans="2:5" x14ac:dyDescent="0.3">
      <c r="B317" s="56">
        <v>255</v>
      </c>
      <c r="C317" s="33">
        <v>90.187276382278966</v>
      </c>
      <c r="D317" s="56">
        <f t="shared" si="5"/>
        <v>255</v>
      </c>
      <c r="E317" s="33">
        <v>-287.0651636887975</v>
      </c>
    </row>
    <row r="318" spans="2:5" x14ac:dyDescent="0.3">
      <c r="B318" s="56">
        <v>256</v>
      </c>
      <c r="C318" s="33">
        <v>-247.92912279300145</v>
      </c>
      <c r="D318" s="56">
        <f t="shared" si="5"/>
        <v>256</v>
      </c>
      <c r="E318" s="33">
        <v>-323.70772502674151</v>
      </c>
    </row>
    <row r="319" spans="2:5" x14ac:dyDescent="0.3">
      <c r="B319" s="56">
        <v>257</v>
      </c>
      <c r="C319" s="33">
        <v>-58.527210348948103</v>
      </c>
      <c r="D319" s="56">
        <f t="shared" si="5"/>
        <v>257</v>
      </c>
      <c r="E319" s="33">
        <v>-1.581060591377053</v>
      </c>
    </row>
    <row r="320" spans="2:5" x14ac:dyDescent="0.3">
      <c r="B320" s="56">
        <v>258</v>
      </c>
      <c r="C320" s="33">
        <v>-256.62472661623036</v>
      </c>
      <c r="D320" s="56">
        <f t="shared" si="5"/>
        <v>258</v>
      </c>
      <c r="E320" s="33">
        <v>-183.47887296297205</v>
      </c>
    </row>
    <row r="321" spans="2:5" x14ac:dyDescent="0.3">
      <c r="B321" s="56">
        <v>259</v>
      </c>
      <c r="C321" s="33">
        <v>18.490336025007025</v>
      </c>
      <c r="D321" s="56">
        <f t="shared" si="5"/>
        <v>259</v>
      </c>
      <c r="E321" s="33">
        <v>-181.91686439213933</v>
      </c>
    </row>
    <row r="322" spans="2:5" x14ac:dyDescent="0.3">
      <c r="B322" s="56">
        <v>260</v>
      </c>
      <c r="C322" s="33">
        <v>-170.58099425024699</v>
      </c>
      <c r="D322" s="56">
        <f t="shared" si="5"/>
        <v>260</v>
      </c>
      <c r="E322" s="33">
        <v>65.40571860408825</v>
      </c>
    </row>
    <row r="323" spans="2:5" x14ac:dyDescent="0.3">
      <c r="B323" s="56">
        <v>261</v>
      </c>
      <c r="C323" s="33">
        <v>40.537552095260104</v>
      </c>
      <c r="D323" s="56">
        <f t="shared" si="5"/>
        <v>261</v>
      </c>
      <c r="E323" s="33">
        <v>-273.617519832536</v>
      </c>
    </row>
    <row r="324" spans="2:5" x14ac:dyDescent="0.3">
      <c r="B324" s="56">
        <v>262</v>
      </c>
      <c r="C324" s="33">
        <v>-212.9505356659555</v>
      </c>
      <c r="D324" s="56">
        <f t="shared" si="5"/>
        <v>262</v>
      </c>
      <c r="E324" s="33">
        <v>-175.79563758060794</v>
      </c>
    </row>
    <row r="325" spans="2:5" x14ac:dyDescent="0.3">
      <c r="B325" s="56">
        <v>263</v>
      </c>
      <c r="C325" s="33">
        <v>50.438466428387784</v>
      </c>
      <c r="D325" s="56">
        <f t="shared" si="5"/>
        <v>263</v>
      </c>
      <c r="E325" s="33">
        <v>122.76247300845294</v>
      </c>
    </row>
    <row r="326" spans="2:5" x14ac:dyDescent="0.3">
      <c r="B326" s="56">
        <v>264</v>
      </c>
      <c r="C326" s="33">
        <v>-172.79603731980529</v>
      </c>
      <c r="D326" s="56">
        <f t="shared" si="5"/>
        <v>264</v>
      </c>
      <c r="E326" s="33">
        <v>40.324895782709689</v>
      </c>
    </row>
    <row r="327" spans="2:5" x14ac:dyDescent="0.3">
      <c r="B327" s="56">
        <v>265</v>
      </c>
      <c r="C327" s="33">
        <v>168.24216284153979</v>
      </c>
      <c r="D327" s="56">
        <f t="shared" si="5"/>
        <v>265</v>
      </c>
      <c r="E327" s="33">
        <v>-126.77286557576049</v>
      </c>
    </row>
    <row r="328" spans="2:5" x14ac:dyDescent="0.3">
      <c r="B328" s="56">
        <v>266</v>
      </c>
      <c r="C328" s="33">
        <v>-268.30307061327426</v>
      </c>
      <c r="D328" s="56">
        <f t="shared" si="5"/>
        <v>266</v>
      </c>
      <c r="E328" s="33">
        <v>-120.52841877284017</v>
      </c>
    </row>
    <row r="329" spans="2:5" x14ac:dyDescent="0.3">
      <c r="B329" s="56">
        <v>267</v>
      </c>
      <c r="C329" s="33">
        <v>-213.29264376185537</v>
      </c>
      <c r="D329" s="56">
        <f t="shared" si="5"/>
        <v>267</v>
      </c>
      <c r="E329" s="33">
        <v>-57.612472110124031</v>
      </c>
    </row>
    <row r="330" spans="2:5" x14ac:dyDescent="0.3">
      <c r="B330" s="56">
        <v>268</v>
      </c>
      <c r="C330" s="33">
        <v>-28.090391335687208</v>
      </c>
      <c r="D330" s="56">
        <f t="shared" si="5"/>
        <v>268</v>
      </c>
      <c r="E330" s="33">
        <v>-332.45159505377205</v>
      </c>
    </row>
    <row r="331" spans="2:5" x14ac:dyDescent="0.3">
      <c r="B331" s="56">
        <v>269</v>
      </c>
      <c r="C331" s="33">
        <v>-39.809257339279867</v>
      </c>
      <c r="D331" s="56">
        <f t="shared" si="5"/>
        <v>269</v>
      </c>
      <c r="E331" s="33">
        <v>-187.94742587652905</v>
      </c>
    </row>
    <row r="332" spans="2:5" x14ac:dyDescent="0.3">
      <c r="B332" s="56">
        <v>270</v>
      </c>
      <c r="C332" s="33">
        <v>213.5950300961656</v>
      </c>
      <c r="D332" s="56">
        <f t="shared" si="5"/>
        <v>270</v>
      </c>
      <c r="E332" s="33">
        <v>-83.16740461262043</v>
      </c>
    </row>
    <row r="333" spans="2:5" x14ac:dyDescent="0.3">
      <c r="B333" s="56">
        <v>271</v>
      </c>
      <c r="C333" s="33">
        <v>199.41850901905588</v>
      </c>
      <c r="D333" s="56">
        <f t="shared" si="5"/>
        <v>271</v>
      </c>
      <c r="E333" s="33">
        <v>91.645403622243563</v>
      </c>
    </row>
    <row r="334" spans="2:5" x14ac:dyDescent="0.3">
      <c r="B334" s="56">
        <v>272</v>
      </c>
      <c r="C334" s="33">
        <v>127.74235787204363</v>
      </c>
      <c r="D334" s="56">
        <f t="shared" si="5"/>
        <v>272</v>
      </c>
      <c r="E334" s="33">
        <v>-141.24912203200199</v>
      </c>
    </row>
    <row r="335" spans="2:5" x14ac:dyDescent="0.3">
      <c r="B335" s="56">
        <v>273</v>
      </c>
      <c r="C335" s="33">
        <v>46.725514182994566</v>
      </c>
      <c r="D335" s="56">
        <f t="shared" si="5"/>
        <v>273</v>
      </c>
      <c r="E335" s="33">
        <v>-246.73193361731259</v>
      </c>
    </row>
    <row r="336" spans="2:5" x14ac:dyDescent="0.3">
      <c r="B336" s="56">
        <v>274</v>
      </c>
      <c r="C336" s="33">
        <v>-126.15292955045331</v>
      </c>
      <c r="D336" s="56">
        <f t="shared" si="5"/>
        <v>274</v>
      </c>
      <c r="E336" s="33">
        <v>91.003974822815366</v>
      </c>
    </row>
    <row r="337" spans="2:5" x14ac:dyDescent="0.3">
      <c r="B337" s="56">
        <v>275</v>
      </c>
      <c r="C337" s="33">
        <v>22.003784857116763</v>
      </c>
      <c r="D337" s="56">
        <f t="shared" si="5"/>
        <v>275</v>
      </c>
      <c r="E337" s="33">
        <v>-215.05112762897681</v>
      </c>
    </row>
    <row r="338" spans="2:5" x14ac:dyDescent="0.3">
      <c r="B338" s="56">
        <v>276</v>
      </c>
      <c r="C338" s="33">
        <v>-98.269431490902051</v>
      </c>
      <c r="D338" s="56">
        <f t="shared" si="5"/>
        <v>276</v>
      </c>
      <c r="E338" s="33">
        <v>2.7251276918366614</v>
      </c>
    </row>
    <row r="339" spans="2:5" x14ac:dyDescent="0.3">
      <c r="B339" s="56">
        <v>277</v>
      </c>
      <c r="C339" s="33">
        <v>-214.7357355029913</v>
      </c>
      <c r="D339" s="56">
        <f t="shared" ref="D339:D402" si="6">B339</f>
        <v>277</v>
      </c>
      <c r="E339" s="33">
        <v>81.573505829895765</v>
      </c>
    </row>
    <row r="340" spans="2:5" x14ac:dyDescent="0.3">
      <c r="B340" s="56">
        <v>278</v>
      </c>
      <c r="C340" s="33">
        <v>-161.70090517770294</v>
      </c>
      <c r="D340" s="56">
        <f t="shared" si="6"/>
        <v>278</v>
      </c>
      <c r="E340" s="33">
        <v>-222.46348545434225</v>
      </c>
    </row>
    <row r="341" spans="2:5" x14ac:dyDescent="0.3">
      <c r="B341" s="56">
        <v>279</v>
      </c>
      <c r="C341" s="33">
        <v>33.409667860536125</v>
      </c>
      <c r="D341" s="56">
        <f t="shared" si="6"/>
        <v>279</v>
      </c>
      <c r="E341" s="33">
        <v>-286.86549816748737</v>
      </c>
    </row>
    <row r="342" spans="2:5" x14ac:dyDescent="0.3">
      <c r="B342" s="56">
        <v>280</v>
      </c>
      <c r="C342" s="33">
        <v>49.271736749621354</v>
      </c>
      <c r="D342" s="56">
        <f t="shared" si="6"/>
        <v>280</v>
      </c>
      <c r="E342" s="33">
        <v>-259.42318473516855</v>
      </c>
    </row>
    <row r="343" spans="2:5" x14ac:dyDescent="0.3">
      <c r="B343" s="56">
        <v>281</v>
      </c>
      <c r="C343" s="33">
        <v>-58.194078690214383</v>
      </c>
      <c r="D343" s="56">
        <f t="shared" si="6"/>
        <v>281</v>
      </c>
      <c r="E343" s="33">
        <v>74.16282153599775</v>
      </c>
    </row>
    <row r="344" spans="2:5" x14ac:dyDescent="0.3">
      <c r="B344" s="56">
        <v>282</v>
      </c>
      <c r="C344" s="33">
        <v>-234.00162666047532</v>
      </c>
      <c r="D344" s="56">
        <f t="shared" si="6"/>
        <v>282</v>
      </c>
      <c r="E344" s="33">
        <v>-123.61350934546321</v>
      </c>
    </row>
    <row r="345" spans="2:5" x14ac:dyDescent="0.3">
      <c r="B345" s="56">
        <v>283</v>
      </c>
      <c r="C345" s="33">
        <v>-23.320935317096701</v>
      </c>
      <c r="D345" s="56">
        <f t="shared" si="6"/>
        <v>283</v>
      </c>
      <c r="E345" s="33">
        <v>-148.10727319097643</v>
      </c>
    </row>
    <row r="346" spans="2:5" x14ac:dyDescent="0.3">
      <c r="B346" s="56">
        <v>284</v>
      </c>
      <c r="C346" s="33">
        <v>-566.51006253610058</v>
      </c>
      <c r="D346" s="56">
        <f t="shared" si="6"/>
        <v>284</v>
      </c>
      <c r="E346" s="33">
        <v>-64.273136663599928</v>
      </c>
    </row>
    <row r="347" spans="2:5" x14ac:dyDescent="0.3">
      <c r="B347" s="56">
        <v>285</v>
      </c>
      <c r="C347" s="33">
        <v>146.87456579558565</v>
      </c>
      <c r="D347" s="56">
        <f t="shared" si="6"/>
        <v>285</v>
      </c>
      <c r="E347" s="33">
        <v>-41.772385348130001</v>
      </c>
    </row>
    <row r="348" spans="2:5" x14ac:dyDescent="0.3">
      <c r="B348" s="56">
        <v>286</v>
      </c>
      <c r="C348" s="33">
        <v>-328.9501167693179</v>
      </c>
      <c r="D348" s="56">
        <f t="shared" si="6"/>
        <v>286</v>
      </c>
      <c r="E348" s="33">
        <v>7.9034886373173805</v>
      </c>
    </row>
    <row r="349" spans="2:5" x14ac:dyDescent="0.3">
      <c r="B349" s="56">
        <v>287</v>
      </c>
      <c r="C349" s="33">
        <v>-113.27782672786861</v>
      </c>
      <c r="D349" s="56">
        <f t="shared" si="6"/>
        <v>287</v>
      </c>
      <c r="E349" s="33">
        <v>110.48165257648486</v>
      </c>
    </row>
    <row r="350" spans="2:5" x14ac:dyDescent="0.3">
      <c r="B350" s="56">
        <v>288</v>
      </c>
      <c r="C350" s="33">
        <v>49.327088837447555</v>
      </c>
      <c r="D350" s="56">
        <f t="shared" si="6"/>
        <v>288</v>
      </c>
      <c r="E350" s="33">
        <v>-121.44479167598111</v>
      </c>
    </row>
    <row r="351" spans="2:5" x14ac:dyDescent="0.3">
      <c r="B351" s="56">
        <v>289</v>
      </c>
      <c r="C351" s="33">
        <v>60.005402417378797</v>
      </c>
      <c r="D351" s="56">
        <f t="shared" si="6"/>
        <v>289</v>
      </c>
      <c r="E351" s="33">
        <v>-260.44654166479165</v>
      </c>
    </row>
    <row r="352" spans="2:5" x14ac:dyDescent="0.3">
      <c r="B352" s="56">
        <v>290</v>
      </c>
      <c r="C352" s="33">
        <v>-167.63608429836449</v>
      </c>
      <c r="D352" s="56">
        <f t="shared" si="6"/>
        <v>290</v>
      </c>
      <c r="E352" s="33">
        <v>-244.63245974508581</v>
      </c>
    </row>
    <row r="353" spans="2:5" x14ac:dyDescent="0.3">
      <c r="B353" s="56">
        <v>291</v>
      </c>
      <c r="C353" s="33">
        <v>166.68147062067911</v>
      </c>
      <c r="D353" s="56">
        <f t="shared" si="6"/>
        <v>291</v>
      </c>
      <c r="E353" s="33">
        <v>-185.92369909915783</v>
      </c>
    </row>
    <row r="354" spans="2:5" x14ac:dyDescent="0.3">
      <c r="B354" s="56">
        <v>292</v>
      </c>
      <c r="C354" s="33">
        <v>68.921602445300422</v>
      </c>
      <c r="D354" s="56">
        <f t="shared" si="6"/>
        <v>292</v>
      </c>
      <c r="E354" s="33">
        <v>-144.12810761398987</v>
      </c>
    </row>
    <row r="355" spans="2:5" x14ac:dyDescent="0.3">
      <c r="B355" s="56">
        <v>293</v>
      </c>
      <c r="C355" s="33">
        <v>26.61882438253545</v>
      </c>
      <c r="D355" s="56">
        <f t="shared" si="6"/>
        <v>293</v>
      </c>
      <c r="E355" s="33">
        <v>-330.77022988256772</v>
      </c>
    </row>
    <row r="356" spans="2:5" x14ac:dyDescent="0.3">
      <c r="B356" s="56">
        <v>294</v>
      </c>
      <c r="C356" s="33">
        <v>60.946472732811003</v>
      </c>
      <c r="D356" s="56">
        <f t="shared" si="6"/>
        <v>294</v>
      </c>
      <c r="E356" s="33">
        <v>1.2881736671733677</v>
      </c>
    </row>
    <row r="357" spans="2:5" x14ac:dyDescent="0.3">
      <c r="B357" s="56">
        <v>295</v>
      </c>
      <c r="C357" s="33">
        <v>29.624328405721041</v>
      </c>
      <c r="D357" s="56">
        <f t="shared" si="6"/>
        <v>295</v>
      </c>
      <c r="E357" s="33">
        <v>-250.92913446456362</v>
      </c>
    </row>
    <row r="358" spans="2:5" x14ac:dyDescent="0.3">
      <c r="B358" s="56">
        <v>296</v>
      </c>
      <c r="C358" s="33">
        <v>-222.37785866323765</v>
      </c>
      <c r="D358" s="56">
        <f t="shared" si="6"/>
        <v>296</v>
      </c>
      <c r="E358" s="33">
        <v>-286.00074779144222</v>
      </c>
    </row>
    <row r="359" spans="2:5" x14ac:dyDescent="0.3">
      <c r="B359" s="56">
        <v>297</v>
      </c>
      <c r="C359" s="33">
        <v>-275.1380869954379</v>
      </c>
      <c r="D359" s="56">
        <f t="shared" si="6"/>
        <v>297</v>
      </c>
      <c r="E359" s="33">
        <v>-25.017393020956973</v>
      </c>
    </row>
    <row r="360" spans="2:5" x14ac:dyDescent="0.3">
      <c r="B360" s="56">
        <v>298</v>
      </c>
      <c r="C360" s="33">
        <v>-98.164419676770777</v>
      </c>
      <c r="D360" s="56">
        <f t="shared" si="6"/>
        <v>298</v>
      </c>
      <c r="E360" s="33">
        <v>-288.96060509232314</v>
      </c>
    </row>
    <row r="361" spans="2:5" x14ac:dyDescent="0.3">
      <c r="B361" s="56">
        <v>299</v>
      </c>
      <c r="C361" s="33">
        <v>203.6547007260948</v>
      </c>
      <c r="D361" s="56">
        <f t="shared" si="6"/>
        <v>299</v>
      </c>
      <c r="E361" s="33">
        <v>-156.78720503757836</v>
      </c>
    </row>
    <row r="362" spans="2:5" x14ac:dyDescent="0.3">
      <c r="B362" s="56">
        <v>300</v>
      </c>
      <c r="C362" s="33">
        <v>-181.06843640045884</v>
      </c>
      <c r="D362" s="56">
        <f t="shared" si="6"/>
        <v>300</v>
      </c>
      <c r="E362" s="33">
        <v>-333.82535695073693</v>
      </c>
    </row>
    <row r="363" spans="2:5" x14ac:dyDescent="0.3">
      <c r="B363" s="56">
        <v>301</v>
      </c>
      <c r="C363" s="33">
        <v>-28.110126150605282</v>
      </c>
      <c r="D363" s="56">
        <f t="shared" si="6"/>
        <v>301</v>
      </c>
      <c r="E363" s="33">
        <v>172.31323108875347</v>
      </c>
    </row>
    <row r="364" spans="2:5" x14ac:dyDescent="0.3">
      <c r="B364" s="56">
        <v>302</v>
      </c>
      <c r="C364" s="33">
        <v>-501.08083228226934</v>
      </c>
      <c r="D364" s="56">
        <f t="shared" si="6"/>
        <v>302</v>
      </c>
      <c r="E364" s="33">
        <v>-232.61138293990166</v>
      </c>
    </row>
    <row r="365" spans="2:5" x14ac:dyDescent="0.3">
      <c r="B365" s="56">
        <v>303</v>
      </c>
      <c r="C365" s="33">
        <v>-82.237645812843894</v>
      </c>
      <c r="D365" s="56">
        <f t="shared" si="6"/>
        <v>303</v>
      </c>
      <c r="E365" s="33">
        <v>-394.77767973117471</v>
      </c>
    </row>
    <row r="366" spans="2:5" x14ac:dyDescent="0.3">
      <c r="B366" s="56">
        <v>304</v>
      </c>
      <c r="C366" s="33">
        <v>-244.90945933085041</v>
      </c>
      <c r="D366" s="56">
        <f t="shared" si="6"/>
        <v>304</v>
      </c>
      <c r="E366" s="33">
        <v>-250.10505468379819</v>
      </c>
    </row>
    <row r="367" spans="2:5" x14ac:dyDescent="0.3">
      <c r="B367" s="56">
        <v>305</v>
      </c>
      <c r="C367" s="33">
        <v>-122.03498701970935</v>
      </c>
      <c r="D367" s="56">
        <f t="shared" si="6"/>
        <v>305</v>
      </c>
      <c r="E367" s="33">
        <v>-98.36430410655089</v>
      </c>
    </row>
    <row r="368" spans="2:5" x14ac:dyDescent="0.3">
      <c r="B368" s="56">
        <v>306</v>
      </c>
      <c r="C368" s="33">
        <v>-76.40495381614393</v>
      </c>
      <c r="D368" s="56">
        <f t="shared" si="6"/>
        <v>306</v>
      </c>
      <c r="E368" s="33">
        <v>-19.010481624579924</v>
      </c>
    </row>
    <row r="369" spans="2:5" x14ac:dyDescent="0.3">
      <c r="B369" s="56">
        <v>307</v>
      </c>
      <c r="C369" s="33">
        <v>-387.43453167324759</v>
      </c>
      <c r="D369" s="56">
        <f t="shared" si="6"/>
        <v>307</v>
      </c>
      <c r="E369" s="33">
        <v>-269.59486506109016</v>
      </c>
    </row>
    <row r="370" spans="2:5" x14ac:dyDescent="0.3">
      <c r="B370" s="56">
        <v>308</v>
      </c>
      <c r="C370" s="33">
        <v>-24.101721525670342</v>
      </c>
      <c r="D370" s="56">
        <f t="shared" si="6"/>
        <v>308</v>
      </c>
      <c r="E370" s="33">
        <v>-40.766233433748582</v>
      </c>
    </row>
    <row r="371" spans="2:5" x14ac:dyDescent="0.3">
      <c r="B371" s="56">
        <v>309</v>
      </c>
      <c r="C371" s="33">
        <v>430.99985061195969</v>
      </c>
      <c r="D371" s="56">
        <f t="shared" si="6"/>
        <v>309</v>
      </c>
      <c r="E371" s="33">
        <v>65.247861182218983</v>
      </c>
    </row>
    <row r="372" spans="2:5" x14ac:dyDescent="0.3">
      <c r="B372" s="56">
        <v>310</v>
      </c>
      <c r="C372" s="33">
        <v>-104.87502035569352</v>
      </c>
      <c r="D372" s="56">
        <f t="shared" si="6"/>
        <v>310</v>
      </c>
      <c r="E372" s="33">
        <v>33.327878754060919</v>
      </c>
    </row>
    <row r="373" spans="2:5" x14ac:dyDescent="0.3">
      <c r="B373" s="56">
        <v>311</v>
      </c>
      <c r="C373" s="33">
        <v>-11.834642261651894</v>
      </c>
      <c r="D373" s="56">
        <f t="shared" si="6"/>
        <v>311</v>
      </c>
      <c r="E373" s="33">
        <v>14.39184077164353</v>
      </c>
    </row>
    <row r="374" spans="2:5" x14ac:dyDescent="0.3">
      <c r="B374" s="56">
        <v>312</v>
      </c>
      <c r="C374" s="33">
        <v>-281.89032053291885</v>
      </c>
      <c r="D374" s="56">
        <f t="shared" si="6"/>
        <v>312</v>
      </c>
      <c r="E374" s="33">
        <v>-72.697334289916171</v>
      </c>
    </row>
    <row r="375" spans="2:5" x14ac:dyDescent="0.3">
      <c r="B375" s="56">
        <v>313</v>
      </c>
      <c r="C375" s="33">
        <v>-240.5389414525026</v>
      </c>
      <c r="D375" s="56">
        <f t="shared" si="6"/>
        <v>313</v>
      </c>
      <c r="E375" s="33">
        <v>20.20025402801059</v>
      </c>
    </row>
    <row r="376" spans="2:5" x14ac:dyDescent="0.3">
      <c r="B376" s="56">
        <v>314</v>
      </c>
      <c r="C376" s="33">
        <v>-82.810277742214154</v>
      </c>
      <c r="D376" s="56">
        <f t="shared" si="6"/>
        <v>314</v>
      </c>
      <c r="E376" s="33">
        <v>-40.378306441020911</v>
      </c>
    </row>
    <row r="377" spans="2:5" x14ac:dyDescent="0.3">
      <c r="B377" s="56">
        <v>315</v>
      </c>
      <c r="C377" s="33">
        <v>180.25470160847783</v>
      </c>
      <c r="D377" s="56">
        <f t="shared" si="6"/>
        <v>315</v>
      </c>
      <c r="E377" s="33">
        <v>-283.25718935179202</v>
      </c>
    </row>
    <row r="378" spans="2:5" x14ac:dyDescent="0.3">
      <c r="B378" s="56">
        <v>316</v>
      </c>
      <c r="C378" s="33">
        <v>-13.131681336611791</v>
      </c>
      <c r="D378" s="56">
        <f t="shared" si="6"/>
        <v>316</v>
      </c>
      <c r="E378" s="33">
        <v>-139.6937600388093</v>
      </c>
    </row>
    <row r="379" spans="2:5" x14ac:dyDescent="0.3">
      <c r="B379" s="56">
        <v>317</v>
      </c>
      <c r="C379" s="33">
        <v>45.278433817095895</v>
      </c>
      <c r="D379" s="56">
        <f t="shared" si="6"/>
        <v>317</v>
      </c>
      <c r="E379" s="33">
        <v>-87.242403980308751</v>
      </c>
    </row>
    <row r="380" spans="2:5" x14ac:dyDescent="0.3">
      <c r="B380" s="56">
        <v>318</v>
      </c>
      <c r="C380" s="33">
        <v>102.13861039581292</v>
      </c>
      <c r="D380" s="56">
        <f t="shared" si="6"/>
        <v>318</v>
      </c>
      <c r="E380" s="33">
        <v>-251.42845162487234</v>
      </c>
    </row>
    <row r="381" spans="2:5" x14ac:dyDescent="0.3">
      <c r="B381" s="56">
        <v>319</v>
      </c>
      <c r="C381" s="33">
        <v>88.593629047619146</v>
      </c>
      <c r="D381" s="56">
        <f t="shared" si="6"/>
        <v>319</v>
      </c>
      <c r="E381" s="33">
        <v>-208.65280096423993</v>
      </c>
    </row>
    <row r="382" spans="2:5" x14ac:dyDescent="0.3">
      <c r="B382" s="56">
        <v>320</v>
      </c>
      <c r="C382" s="33">
        <v>-277.36515919027505</v>
      </c>
      <c r="D382" s="56">
        <f t="shared" si="6"/>
        <v>320</v>
      </c>
      <c r="E382" s="33">
        <v>-269.4188691111076</v>
      </c>
    </row>
    <row r="383" spans="2:5" x14ac:dyDescent="0.3">
      <c r="B383" s="56">
        <v>321</v>
      </c>
      <c r="C383" s="33">
        <v>-139.94149874632745</v>
      </c>
      <c r="D383" s="56">
        <f t="shared" si="6"/>
        <v>321</v>
      </c>
      <c r="E383" s="33">
        <v>-323.60636043613101</v>
      </c>
    </row>
    <row r="384" spans="2:5" x14ac:dyDescent="0.3">
      <c r="B384" s="56">
        <v>322</v>
      </c>
      <c r="C384" s="33">
        <v>-61.736490136790692</v>
      </c>
      <c r="D384" s="56">
        <f t="shared" si="6"/>
        <v>322</v>
      </c>
      <c r="E384" s="33">
        <v>-183.60859464613915</v>
      </c>
    </row>
    <row r="385" spans="2:5" x14ac:dyDescent="0.3">
      <c r="B385" s="56">
        <v>323</v>
      </c>
      <c r="C385" s="33">
        <v>-84.349601345820886</v>
      </c>
      <c r="D385" s="56">
        <f t="shared" si="6"/>
        <v>323</v>
      </c>
      <c r="E385" s="33">
        <v>-387.79122195471012</v>
      </c>
    </row>
    <row r="386" spans="2:5" x14ac:dyDescent="0.3">
      <c r="B386" s="56">
        <v>324</v>
      </c>
      <c r="C386" s="33">
        <v>-66.111092992351971</v>
      </c>
      <c r="D386" s="56">
        <f t="shared" si="6"/>
        <v>324</v>
      </c>
      <c r="E386" s="33">
        <v>-296.81495776501606</v>
      </c>
    </row>
    <row r="387" spans="2:5" x14ac:dyDescent="0.3">
      <c r="B387" s="56">
        <v>325</v>
      </c>
      <c r="C387" s="33">
        <v>-140.48773189833702</v>
      </c>
      <c r="D387" s="56">
        <f t="shared" si="6"/>
        <v>325</v>
      </c>
      <c r="E387" s="33">
        <v>-267.72306585051984</v>
      </c>
    </row>
    <row r="388" spans="2:5" x14ac:dyDescent="0.3">
      <c r="B388" s="56">
        <v>326</v>
      </c>
      <c r="C388" s="33">
        <v>-272.05496656135188</v>
      </c>
      <c r="D388" s="56">
        <f t="shared" si="6"/>
        <v>326</v>
      </c>
      <c r="E388" s="33">
        <v>108.09092215229541</v>
      </c>
    </row>
    <row r="389" spans="2:5" x14ac:dyDescent="0.3">
      <c r="B389" s="56">
        <v>327</v>
      </c>
      <c r="C389" s="33">
        <v>91.234424441182483</v>
      </c>
      <c r="D389" s="56">
        <f t="shared" si="6"/>
        <v>327</v>
      </c>
      <c r="E389" s="33">
        <v>-201.66196971344064</v>
      </c>
    </row>
    <row r="390" spans="2:5" x14ac:dyDescent="0.3">
      <c r="B390" s="56">
        <v>328</v>
      </c>
      <c r="C390" s="33">
        <v>-167.46840978928347</v>
      </c>
      <c r="D390" s="56">
        <f t="shared" si="6"/>
        <v>328</v>
      </c>
      <c r="E390" s="33">
        <v>7.6144150629821326</v>
      </c>
    </row>
    <row r="391" spans="2:5" x14ac:dyDescent="0.3">
      <c r="B391" s="56">
        <v>329</v>
      </c>
      <c r="C391" s="33">
        <v>-302.86597498043949</v>
      </c>
      <c r="D391" s="56">
        <f t="shared" si="6"/>
        <v>329</v>
      </c>
      <c r="E391" s="33">
        <v>102.06750079481586</v>
      </c>
    </row>
    <row r="392" spans="2:5" x14ac:dyDescent="0.3">
      <c r="B392" s="56">
        <v>330</v>
      </c>
      <c r="C392" s="33">
        <v>-102.21677629470372</v>
      </c>
      <c r="D392" s="56">
        <f t="shared" si="6"/>
        <v>330</v>
      </c>
      <c r="E392" s="33">
        <v>-105.16399319913131</v>
      </c>
    </row>
    <row r="393" spans="2:5" x14ac:dyDescent="0.3">
      <c r="B393" s="56">
        <v>331</v>
      </c>
      <c r="C393" s="33">
        <v>297.24994953885067</v>
      </c>
      <c r="D393" s="56">
        <f t="shared" si="6"/>
        <v>331</v>
      </c>
      <c r="E393" s="33">
        <v>-93.188782356822372</v>
      </c>
    </row>
    <row r="394" spans="2:5" x14ac:dyDescent="0.3">
      <c r="B394" s="56">
        <v>332</v>
      </c>
      <c r="C394" s="33">
        <v>81.075566971484506</v>
      </c>
      <c r="D394" s="56">
        <f t="shared" si="6"/>
        <v>332</v>
      </c>
      <c r="E394" s="33">
        <v>-176.25788523048124</v>
      </c>
    </row>
    <row r="395" spans="2:5" x14ac:dyDescent="0.3">
      <c r="B395" s="56">
        <v>333</v>
      </c>
      <c r="C395" s="33">
        <v>-506.76505725794726</v>
      </c>
      <c r="D395" s="56">
        <f t="shared" si="6"/>
        <v>333</v>
      </c>
      <c r="E395" s="33">
        <v>-110.94022427553045</v>
      </c>
    </row>
    <row r="396" spans="2:5" x14ac:dyDescent="0.3">
      <c r="B396" s="56">
        <v>334</v>
      </c>
      <c r="C396" s="33">
        <v>-392.62624747604167</v>
      </c>
      <c r="D396" s="56">
        <f t="shared" si="6"/>
        <v>334</v>
      </c>
      <c r="E396" s="33">
        <v>-157.24261840395826</v>
      </c>
    </row>
    <row r="397" spans="2:5" x14ac:dyDescent="0.3">
      <c r="B397" s="56">
        <v>335</v>
      </c>
      <c r="C397" s="33">
        <v>23.630592091049326</v>
      </c>
      <c r="D397" s="56">
        <f t="shared" si="6"/>
        <v>335</v>
      </c>
      <c r="E397" s="33">
        <v>-78.325133386053722</v>
      </c>
    </row>
    <row r="398" spans="2:5" x14ac:dyDescent="0.3">
      <c r="B398" s="56">
        <v>336</v>
      </c>
      <c r="C398" s="33">
        <v>8.6141068938597467</v>
      </c>
      <c r="D398" s="56">
        <f t="shared" si="6"/>
        <v>336</v>
      </c>
      <c r="E398" s="33">
        <v>-92.502465739927004</v>
      </c>
    </row>
    <row r="399" spans="2:5" x14ac:dyDescent="0.3">
      <c r="B399" s="56">
        <v>337</v>
      </c>
      <c r="C399" s="33">
        <v>165.22803294424068</v>
      </c>
      <c r="D399" s="56">
        <f t="shared" si="6"/>
        <v>337</v>
      </c>
      <c r="E399" s="33">
        <v>-312.24640741272265</v>
      </c>
    </row>
    <row r="400" spans="2:5" x14ac:dyDescent="0.3">
      <c r="B400" s="56">
        <v>338</v>
      </c>
      <c r="C400" s="33">
        <v>-18.282117906141991</v>
      </c>
      <c r="D400" s="56">
        <f t="shared" si="6"/>
        <v>338</v>
      </c>
      <c r="E400" s="33">
        <v>-36.505398813187455</v>
      </c>
    </row>
    <row r="401" spans="2:5" x14ac:dyDescent="0.3">
      <c r="B401" s="56">
        <v>339</v>
      </c>
      <c r="C401" s="33">
        <v>-60.746996570702919</v>
      </c>
      <c r="D401" s="56">
        <f t="shared" si="6"/>
        <v>339</v>
      </c>
      <c r="E401" s="33">
        <v>-170.97696796803223</v>
      </c>
    </row>
    <row r="402" spans="2:5" x14ac:dyDescent="0.3">
      <c r="B402" s="56">
        <v>340</v>
      </c>
      <c r="C402" s="33">
        <v>-38.708452474473624</v>
      </c>
      <c r="D402" s="56">
        <f t="shared" si="6"/>
        <v>340</v>
      </c>
      <c r="E402" s="33">
        <v>-241.20329486111001</v>
      </c>
    </row>
    <row r="403" spans="2:5" x14ac:dyDescent="0.3">
      <c r="B403" s="56">
        <v>341</v>
      </c>
      <c r="C403" s="33">
        <v>-26.633408711594818</v>
      </c>
      <c r="D403" s="56">
        <f t="shared" ref="D403:D466" si="7">B403</f>
        <v>341</v>
      </c>
      <c r="E403" s="33">
        <v>32.102998677208234</v>
      </c>
    </row>
    <row r="404" spans="2:5" x14ac:dyDescent="0.3">
      <c r="B404" s="56">
        <v>342</v>
      </c>
      <c r="C404" s="33">
        <v>-49.61468745015533</v>
      </c>
      <c r="D404" s="56">
        <f t="shared" si="7"/>
        <v>342</v>
      </c>
      <c r="E404" s="33">
        <v>-42.44322256566879</v>
      </c>
    </row>
    <row r="405" spans="2:5" x14ac:dyDescent="0.3">
      <c r="B405" s="56">
        <v>343</v>
      </c>
      <c r="C405" s="33">
        <v>-313.74277030686568</v>
      </c>
      <c r="D405" s="56">
        <f t="shared" si="7"/>
        <v>343</v>
      </c>
      <c r="E405" s="33">
        <v>-25.875716109301408</v>
      </c>
    </row>
    <row r="406" spans="2:5" x14ac:dyDescent="0.3">
      <c r="B406" s="56">
        <v>344</v>
      </c>
      <c r="C406" s="33">
        <v>286.08958853623119</v>
      </c>
      <c r="D406" s="56">
        <f t="shared" si="7"/>
        <v>344</v>
      </c>
      <c r="E406" s="33">
        <v>-56.190898513804953</v>
      </c>
    </row>
    <row r="407" spans="2:5" x14ac:dyDescent="0.3">
      <c r="B407" s="56">
        <v>345</v>
      </c>
      <c r="C407" s="33">
        <v>-419.57915098568077</v>
      </c>
      <c r="D407" s="56">
        <f t="shared" si="7"/>
        <v>345</v>
      </c>
      <c r="E407" s="33">
        <v>-217.89986915904467</v>
      </c>
    </row>
    <row r="408" spans="2:5" x14ac:dyDescent="0.3">
      <c r="B408" s="56">
        <v>346</v>
      </c>
      <c r="C408" s="33">
        <v>-214.27967625326013</v>
      </c>
      <c r="D408" s="56">
        <f t="shared" si="7"/>
        <v>346</v>
      </c>
      <c r="E408" s="33">
        <v>-243.92590705803175</v>
      </c>
    </row>
    <row r="409" spans="2:5" x14ac:dyDescent="0.3">
      <c r="B409" s="56">
        <v>347</v>
      </c>
      <c r="C409" s="33">
        <v>213.80228793649772</v>
      </c>
      <c r="D409" s="56">
        <f t="shared" si="7"/>
        <v>347</v>
      </c>
      <c r="E409" s="33">
        <v>-122.31340238742027</v>
      </c>
    </row>
    <row r="410" spans="2:5" x14ac:dyDescent="0.3">
      <c r="B410" s="56">
        <v>348</v>
      </c>
      <c r="C410" s="33">
        <v>-365.96386545988554</v>
      </c>
      <c r="D410" s="56">
        <f t="shared" si="7"/>
        <v>348</v>
      </c>
      <c r="E410" s="33">
        <v>-213.50161703723444</v>
      </c>
    </row>
    <row r="411" spans="2:5" x14ac:dyDescent="0.3">
      <c r="B411" s="56">
        <v>349</v>
      </c>
      <c r="C411" s="33">
        <v>-249.97358296091866</v>
      </c>
      <c r="D411" s="56">
        <f t="shared" si="7"/>
        <v>349</v>
      </c>
      <c r="E411" s="33">
        <v>-227.93124747010603</v>
      </c>
    </row>
    <row r="412" spans="2:5" x14ac:dyDescent="0.3">
      <c r="B412" s="56">
        <v>350</v>
      </c>
      <c r="C412" s="33">
        <v>-209.30278906527471</v>
      </c>
      <c r="D412" s="56">
        <f t="shared" si="7"/>
        <v>350</v>
      </c>
      <c r="E412" s="33">
        <v>-394.59187133404203</v>
      </c>
    </row>
    <row r="413" spans="2:5" x14ac:dyDescent="0.3">
      <c r="B413" s="56">
        <v>351</v>
      </c>
      <c r="C413" s="33">
        <v>-304.68696861274901</v>
      </c>
      <c r="D413" s="56">
        <f t="shared" si="7"/>
        <v>351</v>
      </c>
      <c r="E413" s="33">
        <v>-286.02352031791361</v>
      </c>
    </row>
    <row r="414" spans="2:5" x14ac:dyDescent="0.3">
      <c r="B414" s="56">
        <v>352</v>
      </c>
      <c r="C414" s="33">
        <v>189.15770865400603</v>
      </c>
      <c r="D414" s="56">
        <f t="shared" si="7"/>
        <v>352</v>
      </c>
      <c r="E414" s="33">
        <v>-146.92473008304657</v>
      </c>
    </row>
    <row r="415" spans="2:5" x14ac:dyDescent="0.3">
      <c r="B415" s="56">
        <v>353</v>
      </c>
      <c r="C415" s="33">
        <v>-167.86816738833789</v>
      </c>
      <c r="D415" s="56">
        <f t="shared" si="7"/>
        <v>353</v>
      </c>
      <c r="E415" s="33">
        <v>-163.63529689754426</v>
      </c>
    </row>
    <row r="416" spans="2:5" x14ac:dyDescent="0.3">
      <c r="B416" s="56">
        <v>354</v>
      </c>
      <c r="C416" s="33">
        <v>-285.70196414944019</v>
      </c>
      <c r="D416" s="56">
        <f t="shared" si="7"/>
        <v>354</v>
      </c>
      <c r="E416" s="33">
        <v>-119.36929806548846</v>
      </c>
    </row>
    <row r="417" spans="2:5" x14ac:dyDescent="0.3">
      <c r="B417" s="56">
        <v>355</v>
      </c>
      <c r="C417" s="33">
        <v>31.579879062323762</v>
      </c>
      <c r="D417" s="56">
        <f t="shared" si="7"/>
        <v>355</v>
      </c>
      <c r="E417" s="33">
        <v>19.579574307977182</v>
      </c>
    </row>
    <row r="418" spans="2:5" x14ac:dyDescent="0.3">
      <c r="B418" s="56">
        <v>356</v>
      </c>
      <c r="C418" s="33">
        <v>-127.28198868110965</v>
      </c>
      <c r="D418" s="56">
        <f t="shared" si="7"/>
        <v>356</v>
      </c>
      <c r="E418" s="33">
        <v>-28.829914962825313</v>
      </c>
    </row>
    <row r="419" spans="2:5" x14ac:dyDescent="0.3">
      <c r="B419" s="56">
        <v>357</v>
      </c>
      <c r="C419" s="33">
        <v>71.357681652787534</v>
      </c>
      <c r="D419" s="56">
        <f t="shared" si="7"/>
        <v>357</v>
      </c>
      <c r="E419" s="33">
        <v>-53.908647455507889</v>
      </c>
    </row>
    <row r="420" spans="2:5" x14ac:dyDescent="0.3">
      <c r="B420" s="56">
        <v>358</v>
      </c>
      <c r="C420" s="33">
        <v>-27.972077228860893</v>
      </c>
      <c r="D420" s="56">
        <f t="shared" si="7"/>
        <v>358</v>
      </c>
      <c r="E420" s="33">
        <v>-87.519968946474606</v>
      </c>
    </row>
    <row r="421" spans="2:5" x14ac:dyDescent="0.3">
      <c r="B421" s="56">
        <v>359</v>
      </c>
      <c r="C421" s="33">
        <v>-15.12798467480243</v>
      </c>
      <c r="D421" s="56">
        <f t="shared" si="7"/>
        <v>359</v>
      </c>
      <c r="E421" s="33">
        <v>-325.33464217302719</v>
      </c>
    </row>
    <row r="422" spans="2:5" x14ac:dyDescent="0.3">
      <c r="B422" s="56">
        <v>360</v>
      </c>
      <c r="C422" s="33">
        <v>-119.96142499195828</v>
      </c>
      <c r="D422" s="56">
        <f t="shared" si="7"/>
        <v>360</v>
      </c>
      <c r="E422" s="33">
        <v>16.756974217711445</v>
      </c>
    </row>
    <row r="423" spans="2:5" x14ac:dyDescent="0.3">
      <c r="B423" s="56">
        <v>361</v>
      </c>
      <c r="C423" s="33">
        <v>130.55810650513871</v>
      </c>
      <c r="D423" s="56">
        <f t="shared" si="7"/>
        <v>361</v>
      </c>
      <c r="E423" s="33">
        <v>172.80334421487666</v>
      </c>
    </row>
    <row r="424" spans="2:5" x14ac:dyDescent="0.3">
      <c r="B424" s="56">
        <v>362</v>
      </c>
      <c r="C424" s="33">
        <v>-208.99281761666811</v>
      </c>
      <c r="D424" s="56">
        <f t="shared" si="7"/>
        <v>362</v>
      </c>
      <c r="E424" s="33">
        <v>-135.13338222898591</v>
      </c>
    </row>
    <row r="425" spans="2:5" x14ac:dyDescent="0.3">
      <c r="B425" s="56">
        <v>363</v>
      </c>
      <c r="C425" s="33">
        <v>-93.072211324123302</v>
      </c>
      <c r="D425" s="56">
        <f t="shared" si="7"/>
        <v>363</v>
      </c>
      <c r="E425" s="33">
        <v>2.7129382639651567</v>
      </c>
    </row>
    <row r="426" spans="2:5" x14ac:dyDescent="0.3">
      <c r="B426" s="56">
        <v>364</v>
      </c>
      <c r="C426" s="33">
        <v>-144.82983233388305</v>
      </c>
      <c r="D426" s="56">
        <f t="shared" si="7"/>
        <v>364</v>
      </c>
      <c r="E426" s="33">
        <v>-206.43014726631432</v>
      </c>
    </row>
    <row r="427" spans="2:5" x14ac:dyDescent="0.3">
      <c r="B427" s="56">
        <v>365</v>
      </c>
      <c r="C427" s="33">
        <v>-435.23794646164635</v>
      </c>
      <c r="D427" s="56">
        <f t="shared" si="7"/>
        <v>365</v>
      </c>
      <c r="E427" s="33">
        <v>-14.181179743693519</v>
      </c>
    </row>
    <row r="428" spans="2:5" x14ac:dyDescent="0.3">
      <c r="B428" s="56">
        <v>366</v>
      </c>
      <c r="C428" s="33">
        <v>-263.36524906320614</v>
      </c>
      <c r="D428" s="56">
        <f t="shared" si="7"/>
        <v>366</v>
      </c>
      <c r="E428" s="33">
        <v>-46.32869923240807</v>
      </c>
    </row>
    <row r="429" spans="2:5" x14ac:dyDescent="0.3">
      <c r="B429" s="56">
        <v>367</v>
      </c>
      <c r="C429" s="33">
        <v>327.34801065534896</v>
      </c>
      <c r="D429" s="56">
        <f t="shared" si="7"/>
        <v>367</v>
      </c>
      <c r="E429" s="33">
        <v>-366.75854706963287</v>
      </c>
    </row>
    <row r="430" spans="2:5" x14ac:dyDescent="0.3">
      <c r="B430" s="56">
        <v>368</v>
      </c>
      <c r="C430" s="33">
        <v>-180.96888395129108</v>
      </c>
      <c r="D430" s="56">
        <f t="shared" si="7"/>
        <v>368</v>
      </c>
      <c r="E430" s="33">
        <v>12.082930598705644</v>
      </c>
    </row>
    <row r="431" spans="2:5" x14ac:dyDescent="0.3">
      <c r="B431" s="56">
        <v>369</v>
      </c>
      <c r="C431" s="33">
        <v>9.7535546019049555</v>
      </c>
      <c r="D431" s="56">
        <f t="shared" si="7"/>
        <v>369</v>
      </c>
      <c r="E431" s="33">
        <v>-132.81319512390058</v>
      </c>
    </row>
    <row r="432" spans="2:5" x14ac:dyDescent="0.3">
      <c r="B432" s="56">
        <v>370</v>
      </c>
      <c r="C432" s="33">
        <v>-64.996420868761646</v>
      </c>
      <c r="D432" s="56">
        <f t="shared" si="7"/>
        <v>370</v>
      </c>
      <c r="E432" s="33">
        <v>68.413509290448602</v>
      </c>
    </row>
    <row r="433" spans="2:5" x14ac:dyDescent="0.3">
      <c r="B433" s="56">
        <v>371</v>
      </c>
      <c r="C433" s="33">
        <v>189.34875438535303</v>
      </c>
      <c r="D433" s="56">
        <f t="shared" si="7"/>
        <v>371</v>
      </c>
      <c r="E433" s="33">
        <v>-336.84510319276797</v>
      </c>
    </row>
    <row r="434" spans="2:5" x14ac:dyDescent="0.3">
      <c r="B434" s="56">
        <v>372</v>
      </c>
      <c r="C434" s="33">
        <v>-93.820387156303838</v>
      </c>
      <c r="D434" s="56">
        <f t="shared" si="7"/>
        <v>372</v>
      </c>
      <c r="E434" s="33">
        <v>-286.5633303273944</v>
      </c>
    </row>
    <row r="435" spans="2:5" x14ac:dyDescent="0.3">
      <c r="B435" s="56">
        <v>373</v>
      </c>
      <c r="C435" s="33">
        <v>266.54775293558481</v>
      </c>
      <c r="D435" s="56">
        <f t="shared" si="7"/>
        <v>373</v>
      </c>
      <c r="E435" s="33">
        <v>-20.617781505700506</v>
      </c>
    </row>
    <row r="436" spans="2:5" x14ac:dyDescent="0.3">
      <c r="B436" s="56">
        <v>374</v>
      </c>
      <c r="C436" s="33">
        <v>-47.816814066319665</v>
      </c>
      <c r="D436" s="56">
        <f t="shared" si="7"/>
        <v>374</v>
      </c>
      <c r="E436" s="33">
        <v>-251.05809114442752</v>
      </c>
    </row>
    <row r="437" spans="2:5" x14ac:dyDescent="0.3">
      <c r="B437" s="56">
        <v>375</v>
      </c>
      <c r="C437" s="33">
        <v>88.221284218545208</v>
      </c>
      <c r="D437" s="56">
        <f t="shared" si="7"/>
        <v>375</v>
      </c>
      <c r="E437" s="33">
        <v>-138.16776397745639</v>
      </c>
    </row>
    <row r="438" spans="2:5" x14ac:dyDescent="0.3">
      <c r="B438" s="56">
        <v>376</v>
      </c>
      <c r="C438" s="33">
        <v>141.10561539482109</v>
      </c>
      <c r="D438" s="56">
        <f t="shared" si="7"/>
        <v>376</v>
      </c>
      <c r="E438" s="33">
        <v>-204.15953265135812</v>
      </c>
    </row>
    <row r="439" spans="2:5" x14ac:dyDescent="0.3">
      <c r="B439" s="56">
        <v>377</v>
      </c>
      <c r="C439" s="33">
        <v>-27.88607189404755</v>
      </c>
      <c r="D439" s="56">
        <f t="shared" si="7"/>
        <v>377</v>
      </c>
      <c r="E439" s="33">
        <v>-60.112404721432981</v>
      </c>
    </row>
    <row r="440" spans="2:5" x14ac:dyDescent="0.3">
      <c r="B440" s="56">
        <v>378</v>
      </c>
      <c r="C440" s="33">
        <v>5.1186509366981561</v>
      </c>
      <c r="D440" s="56">
        <f t="shared" si="7"/>
        <v>378</v>
      </c>
      <c r="E440" s="33">
        <v>-212.44425689367333</v>
      </c>
    </row>
    <row r="441" spans="2:5" x14ac:dyDescent="0.3">
      <c r="B441" s="56">
        <v>379</v>
      </c>
      <c r="C441" s="33">
        <v>-241.26339696744165</v>
      </c>
      <c r="D441" s="56">
        <f t="shared" si="7"/>
        <v>379</v>
      </c>
      <c r="E441" s="33">
        <v>-172.18557097164404</v>
      </c>
    </row>
    <row r="442" spans="2:5" x14ac:dyDescent="0.3">
      <c r="B442" s="56">
        <v>380</v>
      </c>
      <c r="C442" s="33">
        <v>65.184104651747376</v>
      </c>
      <c r="D442" s="56">
        <f t="shared" si="7"/>
        <v>380</v>
      </c>
      <c r="E442" s="33">
        <v>-104.05329807369141</v>
      </c>
    </row>
    <row r="443" spans="2:5" x14ac:dyDescent="0.3">
      <c r="B443" s="56">
        <v>381</v>
      </c>
      <c r="C443" s="33">
        <v>108.72470644818391</v>
      </c>
      <c r="D443" s="56">
        <f t="shared" si="7"/>
        <v>381</v>
      </c>
      <c r="E443" s="33">
        <v>-179.05590342142128</v>
      </c>
    </row>
    <row r="444" spans="2:5" x14ac:dyDescent="0.3">
      <c r="B444" s="56">
        <v>382</v>
      </c>
      <c r="C444" s="33">
        <v>-467.87966189599456</v>
      </c>
      <c r="D444" s="56">
        <f t="shared" si="7"/>
        <v>382</v>
      </c>
      <c r="E444" s="33">
        <v>-213.05395041425746</v>
      </c>
    </row>
    <row r="445" spans="2:5" x14ac:dyDescent="0.3">
      <c r="B445" s="56">
        <v>383</v>
      </c>
      <c r="C445" s="33">
        <v>-190.24748738497806</v>
      </c>
      <c r="D445" s="56">
        <f t="shared" si="7"/>
        <v>383</v>
      </c>
      <c r="E445" s="33">
        <v>-58.979360050607767</v>
      </c>
    </row>
    <row r="446" spans="2:5" x14ac:dyDescent="0.3">
      <c r="B446" s="56">
        <v>384</v>
      </c>
      <c r="C446" s="33">
        <v>28.250629012865417</v>
      </c>
      <c r="D446" s="56">
        <f t="shared" si="7"/>
        <v>384</v>
      </c>
      <c r="E446" s="33">
        <v>-150.59982694320601</v>
      </c>
    </row>
    <row r="447" spans="2:5" x14ac:dyDescent="0.3">
      <c r="B447" s="56">
        <v>385</v>
      </c>
      <c r="C447" s="33">
        <v>-289.11945594067771</v>
      </c>
      <c r="D447" s="56">
        <f t="shared" si="7"/>
        <v>385</v>
      </c>
      <c r="E447" s="33">
        <v>-44.441903390572534</v>
      </c>
    </row>
    <row r="448" spans="2:5" x14ac:dyDescent="0.3">
      <c r="B448" s="56">
        <v>386</v>
      </c>
      <c r="C448" s="33">
        <v>378.25413306887492</v>
      </c>
      <c r="D448" s="56">
        <f t="shared" si="7"/>
        <v>386</v>
      </c>
      <c r="E448" s="33">
        <v>-328.96121059747298</v>
      </c>
    </row>
    <row r="449" spans="2:5" x14ac:dyDescent="0.3">
      <c r="B449" s="56">
        <v>387</v>
      </c>
      <c r="C449" s="33">
        <v>-85.878317619896634</v>
      </c>
      <c r="D449" s="56">
        <f t="shared" si="7"/>
        <v>387</v>
      </c>
      <c r="E449" s="33">
        <v>-417.22999708829832</v>
      </c>
    </row>
    <row r="450" spans="2:5" x14ac:dyDescent="0.3">
      <c r="B450" s="56">
        <v>388</v>
      </c>
      <c r="C450" s="33">
        <v>282.59651934941184</v>
      </c>
      <c r="D450" s="56">
        <f t="shared" si="7"/>
        <v>388</v>
      </c>
      <c r="E450" s="33">
        <v>-194.86656126609523</v>
      </c>
    </row>
    <row r="451" spans="2:5" x14ac:dyDescent="0.3">
      <c r="B451" s="56">
        <v>389</v>
      </c>
      <c r="C451" s="33">
        <v>-98.855640470571601</v>
      </c>
      <c r="D451" s="56">
        <f t="shared" si="7"/>
        <v>389</v>
      </c>
      <c r="E451" s="33">
        <v>-249.80598153607804</v>
      </c>
    </row>
    <row r="452" spans="2:5" x14ac:dyDescent="0.3">
      <c r="B452" s="56">
        <v>390</v>
      </c>
      <c r="C452" s="33">
        <v>-121.92698741512997</v>
      </c>
      <c r="D452" s="56">
        <f t="shared" si="7"/>
        <v>390</v>
      </c>
      <c r="E452" s="33">
        <v>-299.53510165101528</v>
      </c>
    </row>
    <row r="453" spans="2:5" x14ac:dyDescent="0.3">
      <c r="B453" s="56">
        <v>391</v>
      </c>
      <c r="C453" s="33">
        <v>-147.28721059225296</v>
      </c>
      <c r="D453" s="56">
        <f t="shared" si="7"/>
        <v>391</v>
      </c>
      <c r="E453" s="33">
        <v>-143.87841761560617</v>
      </c>
    </row>
    <row r="454" spans="2:5" x14ac:dyDescent="0.3">
      <c r="B454" s="56">
        <v>392</v>
      </c>
      <c r="C454" s="33">
        <v>-107.70169796903393</v>
      </c>
      <c r="D454" s="56">
        <f t="shared" si="7"/>
        <v>392</v>
      </c>
      <c r="E454" s="33">
        <v>-132.24890650725285</v>
      </c>
    </row>
    <row r="455" spans="2:5" x14ac:dyDescent="0.3">
      <c r="B455" s="56">
        <v>393</v>
      </c>
      <c r="C455" s="33">
        <v>-287.5856517654563</v>
      </c>
      <c r="D455" s="56">
        <f t="shared" si="7"/>
        <v>393</v>
      </c>
      <c r="E455" s="33">
        <v>-107.17228581570212</v>
      </c>
    </row>
    <row r="456" spans="2:5" x14ac:dyDescent="0.3">
      <c r="B456" s="56">
        <v>394</v>
      </c>
      <c r="C456" s="33">
        <v>43.479763674270529</v>
      </c>
      <c r="D456" s="56">
        <f t="shared" si="7"/>
        <v>394</v>
      </c>
      <c r="E456" s="33">
        <v>-54.544541355206832</v>
      </c>
    </row>
    <row r="457" spans="2:5" x14ac:dyDescent="0.3">
      <c r="B457" s="56">
        <v>395</v>
      </c>
      <c r="C457" s="33">
        <v>-215.297341737355</v>
      </c>
      <c r="D457" s="56">
        <f t="shared" si="7"/>
        <v>395</v>
      </c>
      <c r="E457" s="33">
        <v>43.925536341971458</v>
      </c>
    </row>
    <row r="458" spans="2:5" x14ac:dyDescent="0.3">
      <c r="B458" s="56">
        <v>396</v>
      </c>
      <c r="C458" s="33">
        <v>-164.42727888533918</v>
      </c>
      <c r="D458" s="56">
        <f t="shared" si="7"/>
        <v>396</v>
      </c>
      <c r="E458" s="33">
        <v>-16.612955472543831</v>
      </c>
    </row>
    <row r="459" spans="2:5" x14ac:dyDescent="0.3">
      <c r="B459" s="56">
        <v>397</v>
      </c>
      <c r="C459" s="33">
        <v>-70.844359773821736</v>
      </c>
      <c r="D459" s="56">
        <f t="shared" si="7"/>
        <v>397</v>
      </c>
      <c r="E459" s="33">
        <v>-413.79001843504523</v>
      </c>
    </row>
    <row r="460" spans="2:5" x14ac:dyDescent="0.3">
      <c r="B460" s="56">
        <v>398</v>
      </c>
      <c r="C460" s="33">
        <v>-6.9399846338694804</v>
      </c>
      <c r="D460" s="56">
        <f t="shared" si="7"/>
        <v>398</v>
      </c>
      <c r="E460" s="33">
        <v>-87.100380827953472</v>
      </c>
    </row>
    <row r="461" spans="2:5" x14ac:dyDescent="0.3">
      <c r="B461" s="56">
        <v>399</v>
      </c>
      <c r="C461" s="33">
        <v>-150.73073591228905</v>
      </c>
      <c r="D461" s="56">
        <f t="shared" si="7"/>
        <v>399</v>
      </c>
      <c r="E461" s="33">
        <v>-71.67094549592494</v>
      </c>
    </row>
    <row r="462" spans="2:5" x14ac:dyDescent="0.3">
      <c r="B462" s="56">
        <v>400</v>
      </c>
      <c r="C462" s="33">
        <v>-186.1279679401585</v>
      </c>
      <c r="D462" s="56">
        <f t="shared" si="7"/>
        <v>400</v>
      </c>
      <c r="E462" s="33">
        <v>-269.3175483707044</v>
      </c>
    </row>
    <row r="463" spans="2:5" x14ac:dyDescent="0.3">
      <c r="B463" s="56">
        <v>401</v>
      </c>
      <c r="C463" s="33">
        <v>-179.87623706321688</v>
      </c>
      <c r="D463" s="56">
        <f t="shared" si="7"/>
        <v>401</v>
      </c>
      <c r="E463" s="33">
        <v>-192.09184154492505</v>
      </c>
    </row>
    <row r="464" spans="2:5" x14ac:dyDescent="0.3">
      <c r="B464" s="56">
        <v>402</v>
      </c>
      <c r="C464" s="33">
        <v>-148.16030344160978</v>
      </c>
      <c r="D464" s="56">
        <f t="shared" si="7"/>
        <v>402</v>
      </c>
      <c r="E464" s="33">
        <v>95.720342096646675</v>
      </c>
    </row>
    <row r="465" spans="2:5" x14ac:dyDescent="0.3">
      <c r="B465" s="56">
        <v>403</v>
      </c>
      <c r="C465" s="33">
        <v>-157.22388359996214</v>
      </c>
      <c r="D465" s="56">
        <f t="shared" si="7"/>
        <v>403</v>
      </c>
      <c r="E465" s="33">
        <v>-77.43730165392077</v>
      </c>
    </row>
    <row r="466" spans="2:5" x14ac:dyDescent="0.3">
      <c r="B466" s="56">
        <v>404</v>
      </c>
      <c r="C466" s="33">
        <v>-268.55436628868267</v>
      </c>
      <c r="D466" s="56">
        <f t="shared" si="7"/>
        <v>404</v>
      </c>
      <c r="E466" s="33">
        <v>-399.13255626406573</v>
      </c>
    </row>
    <row r="467" spans="2:5" x14ac:dyDescent="0.3">
      <c r="B467" s="56">
        <v>405</v>
      </c>
      <c r="C467" s="33">
        <v>-181.09905932980081</v>
      </c>
      <c r="D467" s="56">
        <f t="shared" ref="D467:D530" si="8">B467</f>
        <v>405</v>
      </c>
      <c r="E467" s="33">
        <v>-145.87966287454299</v>
      </c>
    </row>
    <row r="468" spans="2:5" x14ac:dyDescent="0.3">
      <c r="B468" s="56">
        <v>406</v>
      </c>
      <c r="C468" s="33">
        <v>-17.509719716687748</v>
      </c>
      <c r="D468" s="56">
        <f t="shared" si="8"/>
        <v>406</v>
      </c>
      <c r="E468" s="33">
        <v>-116.24881091953405</v>
      </c>
    </row>
    <row r="469" spans="2:5" x14ac:dyDescent="0.3">
      <c r="B469" s="56">
        <v>407</v>
      </c>
      <c r="C469" s="33">
        <v>-194.6962809547384</v>
      </c>
      <c r="D469" s="56">
        <f t="shared" si="8"/>
        <v>407</v>
      </c>
      <c r="E469" s="33">
        <v>-200.71876587483098</v>
      </c>
    </row>
    <row r="470" spans="2:5" x14ac:dyDescent="0.3">
      <c r="B470" s="56">
        <v>408</v>
      </c>
      <c r="C470" s="33">
        <v>-363.70085876598228</v>
      </c>
      <c r="D470" s="56">
        <f t="shared" si="8"/>
        <v>408</v>
      </c>
      <c r="E470" s="33">
        <v>-44.199610746468991</v>
      </c>
    </row>
    <row r="471" spans="2:5" x14ac:dyDescent="0.3">
      <c r="B471" s="56">
        <v>409</v>
      </c>
      <c r="C471" s="33">
        <v>-65.764945320768135</v>
      </c>
      <c r="D471" s="56">
        <f t="shared" si="8"/>
        <v>409</v>
      </c>
      <c r="E471" s="33">
        <v>82.53828600176098</v>
      </c>
    </row>
    <row r="472" spans="2:5" x14ac:dyDescent="0.3">
      <c r="B472" s="56">
        <v>410</v>
      </c>
      <c r="C472" s="33">
        <v>-39.368695071694255</v>
      </c>
      <c r="D472" s="56">
        <f t="shared" si="8"/>
        <v>410</v>
      </c>
      <c r="E472" s="33">
        <v>164.92508224789515</v>
      </c>
    </row>
    <row r="473" spans="2:5" x14ac:dyDescent="0.3">
      <c r="B473" s="56">
        <v>411</v>
      </c>
      <c r="C473" s="33">
        <v>66.843127600732217</v>
      </c>
      <c r="D473" s="56">
        <f t="shared" si="8"/>
        <v>411</v>
      </c>
      <c r="E473" s="33">
        <v>-153.12658822647091</v>
      </c>
    </row>
    <row r="474" spans="2:5" x14ac:dyDescent="0.3">
      <c r="B474" s="56">
        <v>412</v>
      </c>
      <c r="C474" s="33">
        <v>-76.964564208229703</v>
      </c>
      <c r="D474" s="56">
        <f t="shared" si="8"/>
        <v>412</v>
      </c>
      <c r="E474" s="33">
        <v>-353.54377249266236</v>
      </c>
    </row>
    <row r="475" spans="2:5" x14ac:dyDescent="0.3">
      <c r="B475" s="56">
        <v>413</v>
      </c>
      <c r="C475" s="33">
        <v>-202.23473760388086</v>
      </c>
      <c r="D475" s="56">
        <f t="shared" si="8"/>
        <v>413</v>
      </c>
      <c r="E475" s="33">
        <v>-161.40786525829867</v>
      </c>
    </row>
    <row r="476" spans="2:5" x14ac:dyDescent="0.3">
      <c r="B476" s="56">
        <v>414</v>
      </c>
      <c r="C476" s="33">
        <v>5.7309873889751408</v>
      </c>
      <c r="D476" s="56">
        <f t="shared" si="8"/>
        <v>414</v>
      </c>
      <c r="E476" s="33">
        <v>-238.97173568708629</v>
      </c>
    </row>
    <row r="477" spans="2:5" x14ac:dyDescent="0.3">
      <c r="B477" s="56">
        <v>415</v>
      </c>
      <c r="C477" s="33">
        <v>-195.999751117882</v>
      </c>
      <c r="D477" s="56">
        <f t="shared" si="8"/>
        <v>415</v>
      </c>
      <c r="E477" s="33">
        <v>-8.3444896186408073</v>
      </c>
    </row>
    <row r="478" spans="2:5" x14ac:dyDescent="0.3">
      <c r="B478" s="56">
        <v>416</v>
      </c>
      <c r="C478" s="33">
        <v>-69.053932431490296</v>
      </c>
      <c r="D478" s="56">
        <f t="shared" si="8"/>
        <v>416</v>
      </c>
      <c r="E478" s="33">
        <v>-229.63713602541583</v>
      </c>
    </row>
    <row r="479" spans="2:5" x14ac:dyDescent="0.3">
      <c r="B479" s="56">
        <v>417</v>
      </c>
      <c r="C479" s="33">
        <v>-189.97620881910385</v>
      </c>
      <c r="D479" s="56">
        <f t="shared" si="8"/>
        <v>417</v>
      </c>
      <c r="E479" s="33">
        <v>-258.83492904153991</v>
      </c>
    </row>
    <row r="480" spans="2:5" x14ac:dyDescent="0.3">
      <c r="B480" s="56">
        <v>418</v>
      </c>
      <c r="C480" s="33">
        <v>-137.24577040543966</v>
      </c>
      <c r="D480" s="56">
        <f t="shared" si="8"/>
        <v>418</v>
      </c>
      <c r="E480" s="33">
        <v>56.758460656987523</v>
      </c>
    </row>
    <row r="481" spans="2:5" x14ac:dyDescent="0.3">
      <c r="B481" s="56">
        <v>419</v>
      </c>
      <c r="C481" s="33">
        <v>-40.892738734152168</v>
      </c>
      <c r="D481" s="56">
        <f t="shared" si="8"/>
        <v>419</v>
      </c>
      <c r="E481" s="33">
        <v>-290.48829838749151</v>
      </c>
    </row>
    <row r="482" spans="2:5" x14ac:dyDescent="0.3">
      <c r="B482" s="56">
        <v>420</v>
      </c>
      <c r="C482" s="33">
        <v>0.46618439536570122</v>
      </c>
      <c r="D482" s="56">
        <f t="shared" si="8"/>
        <v>420</v>
      </c>
      <c r="E482" s="33">
        <v>-39.03921066067997</v>
      </c>
    </row>
    <row r="483" spans="2:5" x14ac:dyDescent="0.3">
      <c r="B483" s="56">
        <v>421</v>
      </c>
      <c r="C483" s="33">
        <v>-268.66085971047568</v>
      </c>
      <c r="D483" s="56">
        <f t="shared" si="8"/>
        <v>421</v>
      </c>
      <c r="E483" s="33">
        <v>-181.68152001381716</v>
      </c>
    </row>
    <row r="484" spans="2:5" x14ac:dyDescent="0.3">
      <c r="B484" s="56">
        <v>422</v>
      </c>
      <c r="C484" s="33">
        <v>-234.02151554884864</v>
      </c>
      <c r="D484" s="56">
        <f t="shared" si="8"/>
        <v>422</v>
      </c>
      <c r="E484" s="33">
        <v>-295.67428245662222</v>
      </c>
    </row>
    <row r="485" spans="2:5" x14ac:dyDescent="0.3">
      <c r="B485" s="56">
        <v>423</v>
      </c>
      <c r="C485" s="33">
        <v>46.722926656181848</v>
      </c>
      <c r="D485" s="56">
        <f t="shared" si="8"/>
        <v>423</v>
      </c>
      <c r="E485" s="33">
        <v>-147.53651538211378</v>
      </c>
    </row>
    <row r="486" spans="2:5" x14ac:dyDescent="0.3">
      <c r="B486" s="56">
        <v>424</v>
      </c>
      <c r="C486" s="33">
        <v>-272.91044976027291</v>
      </c>
      <c r="D486" s="56">
        <f t="shared" si="8"/>
        <v>424</v>
      </c>
      <c r="E486" s="33">
        <v>-26.278587202646378</v>
      </c>
    </row>
    <row r="487" spans="2:5" x14ac:dyDescent="0.3">
      <c r="B487" s="56">
        <v>425</v>
      </c>
      <c r="C487" s="33">
        <v>289.49471659593547</v>
      </c>
      <c r="D487" s="56">
        <f t="shared" si="8"/>
        <v>425</v>
      </c>
      <c r="E487" s="33">
        <v>-372.9665257480043</v>
      </c>
    </row>
    <row r="488" spans="2:5" x14ac:dyDescent="0.3">
      <c r="B488" s="56">
        <v>426</v>
      </c>
      <c r="C488" s="33">
        <v>-182.34689094138884</v>
      </c>
      <c r="D488" s="56">
        <f t="shared" si="8"/>
        <v>426</v>
      </c>
      <c r="E488" s="33">
        <v>144.15627296220299</v>
      </c>
    </row>
    <row r="489" spans="2:5" x14ac:dyDescent="0.3">
      <c r="B489" s="56">
        <v>427</v>
      </c>
      <c r="C489" s="33">
        <v>-271.73510714020483</v>
      </c>
      <c r="D489" s="56">
        <f t="shared" si="8"/>
        <v>427</v>
      </c>
      <c r="E489" s="33">
        <v>-78.472121380433578</v>
      </c>
    </row>
    <row r="490" spans="2:5" x14ac:dyDescent="0.3">
      <c r="B490" s="56">
        <v>428</v>
      </c>
      <c r="C490" s="33">
        <v>-85.609257336146584</v>
      </c>
      <c r="D490" s="56">
        <f t="shared" si="8"/>
        <v>428</v>
      </c>
      <c r="E490" s="33">
        <v>-371.84760534990761</v>
      </c>
    </row>
    <row r="491" spans="2:5" x14ac:dyDescent="0.3">
      <c r="B491" s="56">
        <v>429</v>
      </c>
      <c r="C491" s="33">
        <v>25.643200194960208</v>
      </c>
      <c r="D491" s="56">
        <f t="shared" si="8"/>
        <v>429</v>
      </c>
      <c r="E491" s="33">
        <v>-126.90632218012934</v>
      </c>
    </row>
    <row r="492" spans="2:5" x14ac:dyDescent="0.3">
      <c r="B492" s="56">
        <v>430</v>
      </c>
      <c r="C492" s="33">
        <v>-288.60717788703784</v>
      </c>
      <c r="D492" s="56">
        <f t="shared" si="8"/>
        <v>430</v>
      </c>
      <c r="E492" s="33">
        <v>-181.25289902106303</v>
      </c>
    </row>
    <row r="493" spans="2:5" x14ac:dyDescent="0.3">
      <c r="B493" s="56">
        <v>431</v>
      </c>
      <c r="C493" s="33">
        <v>-92.575328269551719</v>
      </c>
      <c r="D493" s="56">
        <f t="shared" si="8"/>
        <v>431</v>
      </c>
      <c r="E493" s="33">
        <v>-98.765680377521292</v>
      </c>
    </row>
    <row r="494" spans="2:5" x14ac:dyDescent="0.3">
      <c r="B494" s="56">
        <v>432</v>
      </c>
      <c r="C494" s="33">
        <v>-270.79381498130914</v>
      </c>
      <c r="D494" s="56">
        <f t="shared" si="8"/>
        <v>432</v>
      </c>
      <c r="E494" s="33">
        <v>5.7099296427444273</v>
      </c>
    </row>
    <row r="495" spans="2:5" x14ac:dyDescent="0.3">
      <c r="B495" s="56">
        <v>433</v>
      </c>
      <c r="C495" s="33">
        <v>-266.13130321217807</v>
      </c>
      <c r="D495" s="56">
        <f t="shared" si="8"/>
        <v>433</v>
      </c>
      <c r="E495" s="33">
        <v>-172.20712500043157</v>
      </c>
    </row>
    <row r="496" spans="2:5" x14ac:dyDescent="0.3">
      <c r="B496" s="56">
        <v>434</v>
      </c>
      <c r="C496" s="33">
        <v>-1.3015748115535786</v>
      </c>
      <c r="D496" s="56">
        <f t="shared" si="8"/>
        <v>434</v>
      </c>
      <c r="E496" s="33">
        <v>-48.324931733386833</v>
      </c>
    </row>
    <row r="497" spans="2:5" x14ac:dyDescent="0.3">
      <c r="B497" s="56">
        <v>435</v>
      </c>
      <c r="C497" s="33">
        <v>-183.86829383854649</v>
      </c>
      <c r="D497" s="56">
        <f t="shared" si="8"/>
        <v>435</v>
      </c>
      <c r="E497" s="33">
        <v>-178.92018387442678</v>
      </c>
    </row>
    <row r="498" spans="2:5" x14ac:dyDescent="0.3">
      <c r="B498" s="56">
        <v>436</v>
      </c>
      <c r="C498" s="33">
        <v>-165.26877302707308</v>
      </c>
      <c r="D498" s="56">
        <f t="shared" si="8"/>
        <v>436</v>
      </c>
      <c r="E498" s="33">
        <v>-235.23359019398805</v>
      </c>
    </row>
    <row r="499" spans="2:5" x14ac:dyDescent="0.3">
      <c r="B499" s="56">
        <v>437</v>
      </c>
      <c r="C499" s="33">
        <v>212.69637376474549</v>
      </c>
      <c r="D499" s="56">
        <f t="shared" si="8"/>
        <v>437</v>
      </c>
      <c r="E499" s="33">
        <v>-284.23262502256676</v>
      </c>
    </row>
    <row r="500" spans="2:5" x14ac:dyDescent="0.3">
      <c r="B500" s="56">
        <v>438</v>
      </c>
      <c r="C500" s="33">
        <v>54.180204673412874</v>
      </c>
      <c r="D500" s="56">
        <f t="shared" si="8"/>
        <v>438</v>
      </c>
      <c r="E500" s="33">
        <v>-235.66224513996949</v>
      </c>
    </row>
    <row r="501" spans="2:5" x14ac:dyDescent="0.3">
      <c r="B501" s="56">
        <v>439</v>
      </c>
      <c r="C501" s="33">
        <v>1.5585733672906805</v>
      </c>
      <c r="D501" s="56">
        <f t="shared" si="8"/>
        <v>439</v>
      </c>
      <c r="E501" s="33">
        <v>-152.70972127746765</v>
      </c>
    </row>
    <row r="502" spans="2:5" x14ac:dyDescent="0.3">
      <c r="B502" s="56">
        <v>440</v>
      </c>
      <c r="C502" s="33">
        <v>-96.200164012370578</v>
      </c>
      <c r="D502" s="56">
        <f t="shared" si="8"/>
        <v>440</v>
      </c>
      <c r="E502" s="33">
        <v>-147.75110550891529</v>
      </c>
    </row>
    <row r="503" spans="2:5" x14ac:dyDescent="0.3">
      <c r="B503" s="56">
        <v>441</v>
      </c>
      <c r="C503" s="33">
        <v>-250.12229786548846</v>
      </c>
      <c r="D503" s="56">
        <f t="shared" si="8"/>
        <v>441</v>
      </c>
      <c r="E503" s="33">
        <v>-149.31042578643491</v>
      </c>
    </row>
    <row r="504" spans="2:5" x14ac:dyDescent="0.3">
      <c r="B504" s="56">
        <v>442</v>
      </c>
      <c r="C504" s="33">
        <v>49.193356098197455</v>
      </c>
      <c r="D504" s="56">
        <f t="shared" si="8"/>
        <v>442</v>
      </c>
      <c r="E504" s="33">
        <v>-107.03319143611188</v>
      </c>
    </row>
    <row r="505" spans="2:5" x14ac:dyDescent="0.3">
      <c r="B505" s="56">
        <v>443</v>
      </c>
      <c r="C505" s="33">
        <v>208.47946399209474</v>
      </c>
      <c r="D505" s="56">
        <f t="shared" si="8"/>
        <v>443</v>
      </c>
      <c r="E505" s="33">
        <v>-289.64639247087905</v>
      </c>
    </row>
    <row r="506" spans="2:5" x14ac:dyDescent="0.3">
      <c r="B506" s="56">
        <v>444</v>
      </c>
      <c r="C506" s="33">
        <v>91.948989217559912</v>
      </c>
      <c r="D506" s="56">
        <f t="shared" si="8"/>
        <v>444</v>
      </c>
      <c r="E506" s="33">
        <v>-289.12091583594253</v>
      </c>
    </row>
    <row r="507" spans="2:5" x14ac:dyDescent="0.3">
      <c r="B507" s="56">
        <v>445</v>
      </c>
      <c r="C507" s="33">
        <v>-32.339013925131155</v>
      </c>
      <c r="D507" s="56">
        <f t="shared" si="8"/>
        <v>445</v>
      </c>
      <c r="E507" s="33">
        <v>-378.2520458042103</v>
      </c>
    </row>
    <row r="508" spans="2:5" x14ac:dyDescent="0.3">
      <c r="B508" s="56">
        <v>446</v>
      </c>
      <c r="C508" s="33">
        <v>-130.96857588916623</v>
      </c>
      <c r="D508" s="56">
        <f t="shared" si="8"/>
        <v>446</v>
      </c>
      <c r="E508" s="33">
        <v>-198.61067178911932</v>
      </c>
    </row>
    <row r="509" spans="2:5" x14ac:dyDescent="0.3">
      <c r="B509" s="56">
        <v>447</v>
      </c>
      <c r="C509" s="33">
        <v>-167.21095606929728</v>
      </c>
      <c r="D509" s="56">
        <f t="shared" si="8"/>
        <v>447</v>
      </c>
      <c r="E509" s="33">
        <v>-64.812203343779899</v>
      </c>
    </row>
    <row r="510" spans="2:5" x14ac:dyDescent="0.3">
      <c r="B510" s="56">
        <v>448</v>
      </c>
      <c r="C510" s="33">
        <v>197.02013590801297</v>
      </c>
      <c r="D510" s="56">
        <f t="shared" si="8"/>
        <v>448</v>
      </c>
      <c r="E510" s="33">
        <v>36.755254444215794</v>
      </c>
    </row>
    <row r="511" spans="2:5" x14ac:dyDescent="0.3">
      <c r="B511" s="56">
        <v>449</v>
      </c>
      <c r="C511" s="33">
        <v>-238.55898547596098</v>
      </c>
      <c r="D511" s="56">
        <f t="shared" si="8"/>
        <v>449</v>
      </c>
      <c r="E511" s="33">
        <v>-64.387731829928271</v>
      </c>
    </row>
    <row r="512" spans="2:5" x14ac:dyDescent="0.3">
      <c r="B512" s="56">
        <v>450</v>
      </c>
      <c r="C512" s="33">
        <v>-170.89373712295998</v>
      </c>
      <c r="D512" s="56">
        <f t="shared" si="8"/>
        <v>450</v>
      </c>
      <c r="E512" s="33">
        <v>-97.023629329875106</v>
      </c>
    </row>
    <row r="513" spans="2:5" x14ac:dyDescent="0.3">
      <c r="B513" s="56">
        <v>451</v>
      </c>
      <c r="C513" s="33">
        <v>-351.86798745700611</v>
      </c>
      <c r="D513" s="56">
        <f t="shared" si="8"/>
        <v>451</v>
      </c>
      <c r="E513" s="33">
        <v>-28.312413175092388</v>
      </c>
    </row>
    <row r="514" spans="2:5" x14ac:dyDescent="0.3">
      <c r="B514" s="56">
        <v>452</v>
      </c>
      <c r="C514" s="33">
        <v>102.03955930547374</v>
      </c>
      <c r="D514" s="56">
        <f t="shared" si="8"/>
        <v>452</v>
      </c>
      <c r="E514" s="33">
        <v>-169.89080115110738</v>
      </c>
    </row>
    <row r="515" spans="2:5" x14ac:dyDescent="0.3">
      <c r="B515" s="56">
        <v>453</v>
      </c>
      <c r="C515" s="33">
        <v>-166.80037542814162</v>
      </c>
      <c r="D515" s="56">
        <f t="shared" si="8"/>
        <v>453</v>
      </c>
      <c r="E515" s="33">
        <v>-349.80148569333494</v>
      </c>
    </row>
    <row r="516" spans="2:5" x14ac:dyDescent="0.3">
      <c r="B516" s="56">
        <v>454</v>
      </c>
      <c r="C516" s="33">
        <v>138.6694873620466</v>
      </c>
      <c r="D516" s="56">
        <f t="shared" si="8"/>
        <v>454</v>
      </c>
      <c r="E516" s="33">
        <v>-358.79827121272126</v>
      </c>
    </row>
    <row r="517" spans="2:5" x14ac:dyDescent="0.3">
      <c r="B517" s="56">
        <v>455</v>
      </c>
      <c r="C517" s="33">
        <v>55.7073460546668</v>
      </c>
      <c r="D517" s="56">
        <f t="shared" si="8"/>
        <v>455</v>
      </c>
      <c r="E517" s="33">
        <v>-154.21316349957874</v>
      </c>
    </row>
    <row r="518" spans="2:5" x14ac:dyDescent="0.3">
      <c r="B518" s="56">
        <v>456</v>
      </c>
      <c r="C518" s="33">
        <v>28.094636303873362</v>
      </c>
      <c r="D518" s="56">
        <f t="shared" si="8"/>
        <v>456</v>
      </c>
      <c r="E518" s="33">
        <v>-2.0227967440882821</v>
      </c>
    </row>
    <row r="519" spans="2:5" x14ac:dyDescent="0.3">
      <c r="B519" s="56">
        <v>457</v>
      </c>
      <c r="C519" s="33">
        <v>-294.66000988793655</v>
      </c>
      <c r="D519" s="56">
        <f t="shared" si="8"/>
        <v>457</v>
      </c>
      <c r="E519" s="33">
        <v>-223.73176706045336</v>
      </c>
    </row>
    <row r="520" spans="2:5" x14ac:dyDescent="0.3">
      <c r="B520" s="56">
        <v>458</v>
      </c>
      <c r="C520" s="33">
        <v>-73.648983350466025</v>
      </c>
      <c r="D520" s="56">
        <f t="shared" si="8"/>
        <v>458</v>
      </c>
      <c r="E520" s="33">
        <v>-172.64928810725121</v>
      </c>
    </row>
    <row r="521" spans="2:5" x14ac:dyDescent="0.3">
      <c r="B521" s="56">
        <v>459</v>
      </c>
      <c r="C521" s="33">
        <v>-54.427397454065243</v>
      </c>
      <c r="D521" s="56">
        <f t="shared" si="8"/>
        <v>459</v>
      </c>
      <c r="E521" s="33">
        <v>-175.13474431845418</v>
      </c>
    </row>
    <row r="522" spans="2:5" x14ac:dyDescent="0.3">
      <c r="B522" s="56">
        <v>460</v>
      </c>
      <c r="C522" s="33">
        <v>-126.35546937377578</v>
      </c>
      <c r="D522" s="56">
        <f t="shared" si="8"/>
        <v>460</v>
      </c>
      <c r="E522" s="33">
        <v>-82.076366027419851</v>
      </c>
    </row>
    <row r="523" spans="2:5" x14ac:dyDescent="0.3">
      <c r="B523" s="56">
        <v>461</v>
      </c>
      <c r="C523" s="33">
        <v>292.66900105595482</v>
      </c>
      <c r="D523" s="56">
        <f t="shared" si="8"/>
        <v>461</v>
      </c>
      <c r="E523" s="33">
        <v>-323.27961091249193</v>
      </c>
    </row>
    <row r="524" spans="2:5" x14ac:dyDescent="0.3">
      <c r="B524" s="56">
        <v>462</v>
      </c>
      <c r="C524" s="33">
        <v>40.73154754336494</v>
      </c>
      <c r="D524" s="56">
        <f t="shared" si="8"/>
        <v>462</v>
      </c>
      <c r="E524" s="33">
        <v>-195.11012375394469</v>
      </c>
    </row>
    <row r="525" spans="2:5" x14ac:dyDescent="0.3">
      <c r="B525" s="56">
        <v>463</v>
      </c>
      <c r="C525" s="33">
        <v>27.352546311230235</v>
      </c>
      <c r="D525" s="56">
        <f t="shared" si="8"/>
        <v>463</v>
      </c>
      <c r="E525" s="33">
        <v>-285.3405950636045</v>
      </c>
    </row>
    <row r="526" spans="2:5" x14ac:dyDescent="0.3">
      <c r="B526" s="56">
        <v>464</v>
      </c>
      <c r="C526" s="33">
        <v>-270.65119495695154</v>
      </c>
      <c r="D526" s="56">
        <f t="shared" si="8"/>
        <v>464</v>
      </c>
      <c r="E526" s="33">
        <v>-39.331982901645006</v>
      </c>
    </row>
    <row r="527" spans="2:5" x14ac:dyDescent="0.3">
      <c r="B527" s="56">
        <v>465</v>
      </c>
      <c r="C527" s="33">
        <v>-98.57462981527479</v>
      </c>
      <c r="D527" s="56">
        <f t="shared" si="8"/>
        <v>465</v>
      </c>
      <c r="E527" s="33">
        <v>-214.50805437795572</v>
      </c>
    </row>
    <row r="528" spans="2:5" x14ac:dyDescent="0.3">
      <c r="B528" s="56">
        <v>466</v>
      </c>
      <c r="C528" s="33">
        <v>-226.07874132695116</v>
      </c>
      <c r="D528" s="56">
        <f t="shared" si="8"/>
        <v>466</v>
      </c>
      <c r="E528" s="33">
        <v>-32.793792572827769</v>
      </c>
    </row>
    <row r="529" spans="2:5" x14ac:dyDescent="0.3">
      <c r="B529" s="56">
        <v>467</v>
      </c>
      <c r="C529" s="33">
        <v>57.04854918630766</v>
      </c>
      <c r="D529" s="56">
        <f t="shared" si="8"/>
        <v>467</v>
      </c>
      <c r="E529" s="33">
        <v>-123.77520591486876</v>
      </c>
    </row>
    <row r="530" spans="2:5" x14ac:dyDescent="0.3">
      <c r="B530" s="56">
        <v>468</v>
      </c>
      <c r="C530" s="33">
        <v>-130.78035605527776</v>
      </c>
      <c r="D530" s="56">
        <f t="shared" si="8"/>
        <v>468</v>
      </c>
      <c r="E530" s="33">
        <v>81.140770933483026</v>
      </c>
    </row>
    <row r="531" spans="2:5" x14ac:dyDescent="0.3">
      <c r="B531" s="56">
        <v>469</v>
      </c>
      <c r="C531" s="33">
        <v>-47.080468781691764</v>
      </c>
      <c r="D531" s="56">
        <f t="shared" ref="D531:D562" si="9">B531</f>
        <v>469</v>
      </c>
      <c r="E531" s="33">
        <v>-258.84738988901722</v>
      </c>
    </row>
    <row r="532" spans="2:5" x14ac:dyDescent="0.3">
      <c r="B532" s="56">
        <v>470</v>
      </c>
      <c r="C532" s="33">
        <v>-47.468739937194584</v>
      </c>
      <c r="D532" s="56">
        <f t="shared" si="9"/>
        <v>470</v>
      </c>
      <c r="E532" s="33">
        <v>104.69616136281917</v>
      </c>
    </row>
    <row r="533" spans="2:5" x14ac:dyDescent="0.3">
      <c r="B533" s="56">
        <v>471</v>
      </c>
      <c r="C533" s="33">
        <v>-189.01732193200385</v>
      </c>
      <c r="D533" s="56">
        <f t="shared" si="9"/>
        <v>471</v>
      </c>
      <c r="E533" s="33">
        <v>-94.695328186783328</v>
      </c>
    </row>
    <row r="534" spans="2:5" x14ac:dyDescent="0.3">
      <c r="B534" s="56">
        <v>472</v>
      </c>
      <c r="C534" s="33">
        <v>2.4465738192766402</v>
      </c>
      <c r="D534" s="56">
        <f t="shared" si="9"/>
        <v>472</v>
      </c>
      <c r="E534" s="33">
        <v>-260.55405922355368</v>
      </c>
    </row>
    <row r="535" spans="2:5" x14ac:dyDescent="0.3">
      <c r="B535" s="56">
        <v>473</v>
      </c>
      <c r="C535" s="33">
        <v>-153.68774658411795</v>
      </c>
      <c r="D535" s="56">
        <f t="shared" si="9"/>
        <v>473</v>
      </c>
      <c r="E535" s="33">
        <v>-43.021045151986328</v>
      </c>
    </row>
    <row r="536" spans="2:5" x14ac:dyDescent="0.3">
      <c r="B536" s="56">
        <v>474</v>
      </c>
      <c r="C536" s="33">
        <v>76.522109065052291</v>
      </c>
      <c r="D536" s="56">
        <f t="shared" si="9"/>
        <v>474</v>
      </c>
      <c r="E536" s="33">
        <v>-236.67887426624526</v>
      </c>
    </row>
    <row r="537" spans="2:5" x14ac:dyDescent="0.3">
      <c r="B537" s="56">
        <v>475</v>
      </c>
      <c r="C537" s="33">
        <v>-154.13709183283748</v>
      </c>
      <c r="D537" s="56">
        <f t="shared" si="9"/>
        <v>475</v>
      </c>
      <c r="E537" s="33">
        <v>69.497965688189765</v>
      </c>
    </row>
    <row r="538" spans="2:5" x14ac:dyDescent="0.3">
      <c r="B538" s="56">
        <v>476</v>
      </c>
      <c r="C538" s="33">
        <v>-3.059742168925073</v>
      </c>
      <c r="D538" s="56">
        <f t="shared" si="9"/>
        <v>476</v>
      </c>
      <c r="E538" s="33">
        <v>-178.94206672365266</v>
      </c>
    </row>
    <row r="539" spans="2:5" x14ac:dyDescent="0.3">
      <c r="B539" s="56">
        <v>477</v>
      </c>
      <c r="C539" s="33">
        <v>-24.583867369312777</v>
      </c>
      <c r="D539" s="56">
        <f t="shared" si="9"/>
        <v>477</v>
      </c>
      <c r="E539" s="33">
        <v>10.616283330800982</v>
      </c>
    </row>
    <row r="540" spans="2:5" x14ac:dyDescent="0.3">
      <c r="B540" s="56">
        <v>478</v>
      </c>
      <c r="C540" s="33">
        <v>-161.31476632447777</v>
      </c>
      <c r="D540" s="56">
        <f t="shared" si="9"/>
        <v>478</v>
      </c>
      <c r="E540" s="33">
        <v>-242.47936915735394</v>
      </c>
    </row>
    <row r="541" spans="2:5" x14ac:dyDescent="0.3">
      <c r="B541" s="56">
        <v>479</v>
      </c>
      <c r="C541" s="33">
        <v>-137.05621250270644</v>
      </c>
      <c r="D541" s="56">
        <f t="shared" si="9"/>
        <v>479</v>
      </c>
      <c r="E541" s="33">
        <v>267.15538182392413</v>
      </c>
    </row>
    <row r="542" spans="2:5" x14ac:dyDescent="0.3">
      <c r="B542" s="56">
        <v>480</v>
      </c>
      <c r="C542" s="33">
        <v>-134.03620897393705</v>
      </c>
      <c r="D542" s="56">
        <f t="shared" si="9"/>
        <v>480</v>
      </c>
      <c r="E542" s="33">
        <v>-295.39237351760181</v>
      </c>
    </row>
    <row r="543" spans="2:5" x14ac:dyDescent="0.3">
      <c r="B543" s="56">
        <v>481</v>
      </c>
      <c r="C543" s="33">
        <v>-0.11281531269385425</v>
      </c>
      <c r="D543" s="56">
        <f t="shared" si="9"/>
        <v>481</v>
      </c>
      <c r="E543" s="33">
        <v>-465.64176154127978</v>
      </c>
    </row>
    <row r="544" spans="2:5" x14ac:dyDescent="0.3">
      <c r="B544" s="56">
        <v>482</v>
      </c>
      <c r="C544" s="33">
        <v>151.99516156481508</v>
      </c>
      <c r="D544" s="56">
        <f t="shared" si="9"/>
        <v>482</v>
      </c>
      <c r="E544" s="33">
        <v>-224.72314637794733</v>
      </c>
    </row>
    <row r="545" spans="2:5" x14ac:dyDescent="0.3">
      <c r="B545" s="56">
        <v>483</v>
      </c>
      <c r="C545" s="33">
        <v>-54.712717319744655</v>
      </c>
      <c r="D545" s="56">
        <f t="shared" si="9"/>
        <v>483</v>
      </c>
      <c r="E545" s="33">
        <v>-175.23115443814544</v>
      </c>
    </row>
    <row r="546" spans="2:5" x14ac:dyDescent="0.3">
      <c r="B546" s="56">
        <v>484</v>
      </c>
      <c r="C546" s="33">
        <v>-153.88628837028884</v>
      </c>
      <c r="D546" s="56">
        <f t="shared" si="9"/>
        <v>484</v>
      </c>
      <c r="E546" s="33">
        <v>-3.4681435067748509</v>
      </c>
    </row>
    <row r="547" spans="2:5" x14ac:dyDescent="0.3">
      <c r="B547" s="56">
        <v>485</v>
      </c>
      <c r="C547" s="33">
        <v>-237.42144692422403</v>
      </c>
      <c r="D547" s="56">
        <f t="shared" si="9"/>
        <v>485</v>
      </c>
      <c r="E547" s="33">
        <v>-233.32169758703338</v>
      </c>
    </row>
    <row r="548" spans="2:5" x14ac:dyDescent="0.3">
      <c r="B548" s="56">
        <v>486</v>
      </c>
      <c r="C548" s="33">
        <v>-277.35698479828824</v>
      </c>
      <c r="D548" s="56">
        <f t="shared" si="9"/>
        <v>486</v>
      </c>
      <c r="E548" s="33">
        <v>-267.08671748232945</v>
      </c>
    </row>
    <row r="549" spans="2:5" x14ac:dyDescent="0.3">
      <c r="B549" s="56">
        <v>487</v>
      </c>
      <c r="C549" s="33">
        <v>-25.955901860110544</v>
      </c>
      <c r="D549" s="56">
        <f t="shared" si="9"/>
        <v>487</v>
      </c>
      <c r="E549" s="33">
        <v>-209.71283636708969</v>
      </c>
    </row>
    <row r="550" spans="2:5" x14ac:dyDescent="0.3">
      <c r="B550" s="56">
        <v>488</v>
      </c>
      <c r="C550" s="33">
        <v>-361.45824562568885</v>
      </c>
      <c r="D550" s="56">
        <f t="shared" si="9"/>
        <v>488</v>
      </c>
      <c r="E550" s="33">
        <v>-172.63711812005718</v>
      </c>
    </row>
    <row r="551" spans="2:5" x14ac:dyDescent="0.3">
      <c r="B551" s="56">
        <v>489</v>
      </c>
      <c r="C551" s="33">
        <v>25.561281080024266</v>
      </c>
      <c r="D551" s="56">
        <f t="shared" si="9"/>
        <v>489</v>
      </c>
      <c r="E551" s="33">
        <v>-173.33683231072973</v>
      </c>
    </row>
    <row r="552" spans="2:5" x14ac:dyDescent="0.3">
      <c r="B552" s="56">
        <v>490</v>
      </c>
      <c r="C552" s="33">
        <v>-321.31784869050711</v>
      </c>
      <c r="D552" s="56">
        <f t="shared" si="9"/>
        <v>490</v>
      </c>
      <c r="E552" s="33">
        <v>-100.2743277424444</v>
      </c>
    </row>
    <row r="553" spans="2:5" x14ac:dyDescent="0.3">
      <c r="B553" s="56">
        <v>491</v>
      </c>
      <c r="C553" s="33">
        <v>-22.887928767900469</v>
      </c>
      <c r="D553" s="56">
        <f t="shared" si="9"/>
        <v>491</v>
      </c>
      <c r="E553" s="33">
        <v>-219.20588649932529</v>
      </c>
    </row>
    <row r="554" spans="2:5" x14ac:dyDescent="0.3">
      <c r="B554" s="56">
        <v>492</v>
      </c>
      <c r="C554" s="33">
        <v>-132.02510170537124</v>
      </c>
      <c r="D554" s="56">
        <f t="shared" si="9"/>
        <v>492</v>
      </c>
      <c r="E554" s="33">
        <v>63.743089894958729</v>
      </c>
    </row>
    <row r="555" spans="2:5" x14ac:dyDescent="0.3">
      <c r="B555" s="56">
        <v>493</v>
      </c>
      <c r="C555" s="33">
        <v>42.616042431005567</v>
      </c>
      <c r="D555" s="56">
        <f t="shared" si="9"/>
        <v>493</v>
      </c>
      <c r="E555" s="33">
        <v>-264.60854772972004</v>
      </c>
    </row>
    <row r="556" spans="2:5" x14ac:dyDescent="0.3">
      <c r="B556" s="56">
        <v>494</v>
      </c>
      <c r="C556" s="33">
        <v>19.320664494780676</v>
      </c>
      <c r="D556" s="56">
        <f t="shared" si="9"/>
        <v>494</v>
      </c>
      <c r="E556" s="33">
        <v>-178.863780822699</v>
      </c>
    </row>
    <row r="557" spans="2:5" x14ac:dyDescent="0.3">
      <c r="B557" s="56">
        <v>495</v>
      </c>
      <c r="C557" s="33">
        <v>14.923956388272973</v>
      </c>
      <c r="D557" s="56">
        <f t="shared" si="9"/>
        <v>495</v>
      </c>
      <c r="E557" s="33">
        <v>-155.88860599803118</v>
      </c>
    </row>
    <row r="558" spans="2:5" x14ac:dyDescent="0.3">
      <c r="B558" s="56">
        <v>496</v>
      </c>
      <c r="C558" s="33">
        <v>-218.27660555838685</v>
      </c>
      <c r="D558" s="56">
        <f t="shared" si="9"/>
        <v>496</v>
      </c>
      <c r="E558" s="33">
        <v>-151.21905802344574</v>
      </c>
    </row>
    <row r="559" spans="2:5" x14ac:dyDescent="0.3">
      <c r="B559" s="56">
        <v>497</v>
      </c>
      <c r="C559" s="33">
        <v>-308.41565141734509</v>
      </c>
      <c r="D559" s="56">
        <f t="shared" si="9"/>
        <v>497</v>
      </c>
      <c r="E559" s="33">
        <v>-449.2631840906264</v>
      </c>
    </row>
    <row r="560" spans="2:5" x14ac:dyDescent="0.3">
      <c r="B560" s="56">
        <v>498</v>
      </c>
      <c r="C560" s="33">
        <v>-54.578965718399232</v>
      </c>
      <c r="D560" s="56">
        <f t="shared" si="9"/>
        <v>498</v>
      </c>
      <c r="E560" s="33">
        <v>-109.63222874769738</v>
      </c>
    </row>
    <row r="561" spans="2:5" x14ac:dyDescent="0.3">
      <c r="B561" s="56">
        <v>499</v>
      </c>
      <c r="C561" s="33">
        <v>-138.2018759776393</v>
      </c>
      <c r="D561" s="56">
        <f t="shared" si="9"/>
        <v>499</v>
      </c>
      <c r="E561" s="33">
        <v>-311.57773527634902</v>
      </c>
    </row>
    <row r="562" spans="2:5" x14ac:dyDescent="0.3">
      <c r="B562" s="56">
        <v>500</v>
      </c>
      <c r="C562" s="33">
        <v>441.89325849876752</v>
      </c>
      <c r="D562" s="56">
        <f t="shared" si="9"/>
        <v>500</v>
      </c>
      <c r="E562" s="33">
        <v>-307.74525699286414</v>
      </c>
    </row>
    <row r="563" spans="2:5" x14ac:dyDescent="0.3">
      <c r="B563" s="56"/>
      <c r="C563" s="56"/>
      <c r="D563" s="56"/>
    </row>
    <row r="564" spans="2:5" x14ac:dyDescent="0.3">
      <c r="B564" s="56"/>
      <c r="C564" s="56"/>
      <c r="D564" s="56"/>
    </row>
    <row r="565" spans="2:5" x14ac:dyDescent="0.3">
      <c r="B565" s="56"/>
      <c r="C565" s="56"/>
      <c r="D565" s="56"/>
    </row>
    <row r="566" spans="2:5" x14ac:dyDescent="0.3">
      <c r="B566" s="56"/>
      <c r="C566" s="56"/>
      <c r="D566" s="56"/>
    </row>
    <row r="567" spans="2:5" x14ac:dyDescent="0.3">
      <c r="B567" s="56"/>
      <c r="C567" s="56"/>
      <c r="D567" s="56"/>
    </row>
    <row r="568" spans="2:5" x14ac:dyDescent="0.3">
      <c r="B568" s="56"/>
      <c r="C568" s="56"/>
      <c r="D568" s="56"/>
    </row>
    <row r="569" spans="2:5" x14ac:dyDescent="0.3">
      <c r="B569" s="56"/>
      <c r="C569" s="56"/>
      <c r="D569" s="56"/>
    </row>
    <row r="570" spans="2:5" x14ac:dyDescent="0.3">
      <c r="B570" s="56"/>
      <c r="C570" s="56"/>
      <c r="D570" s="56"/>
    </row>
    <row r="571" spans="2:5" x14ac:dyDescent="0.3">
      <c r="B571" s="56"/>
      <c r="C571" s="56"/>
      <c r="D571" s="56"/>
    </row>
    <row r="572" spans="2:5" x14ac:dyDescent="0.3">
      <c r="B572" s="56"/>
      <c r="C572" s="56"/>
      <c r="D572" s="56"/>
    </row>
    <row r="573" spans="2:5" x14ac:dyDescent="0.3">
      <c r="B573" s="56"/>
      <c r="C573" s="56"/>
      <c r="D573" s="56"/>
    </row>
    <row r="574" spans="2:5" x14ac:dyDescent="0.3">
      <c r="B574" s="56"/>
      <c r="C574" s="56"/>
      <c r="D574" s="56"/>
    </row>
    <row r="575" spans="2:5" x14ac:dyDescent="0.3">
      <c r="B575" s="56"/>
      <c r="C575" s="56"/>
      <c r="D575" s="56"/>
    </row>
    <row r="576" spans="2:5" x14ac:dyDescent="0.3">
      <c r="B576" s="56"/>
      <c r="C576" s="56"/>
      <c r="D576" s="56"/>
    </row>
    <row r="577" spans="2:4" x14ac:dyDescent="0.3">
      <c r="B577" s="56"/>
      <c r="C577" s="56"/>
      <c r="D577" s="56"/>
    </row>
    <row r="578" spans="2:4" x14ac:dyDescent="0.3">
      <c r="B578" s="56"/>
      <c r="C578" s="56"/>
      <c r="D578" s="56"/>
    </row>
    <row r="579" spans="2:4" x14ac:dyDescent="0.3">
      <c r="B579" s="56"/>
      <c r="C579" s="56"/>
      <c r="D579" s="56"/>
    </row>
    <row r="580" spans="2:4" x14ac:dyDescent="0.3">
      <c r="B580" s="56"/>
      <c r="C580" s="56"/>
      <c r="D580" s="56"/>
    </row>
    <row r="581" spans="2:4" x14ac:dyDescent="0.3">
      <c r="B581" s="56"/>
      <c r="C581" s="56"/>
      <c r="D581" s="56"/>
    </row>
    <row r="582" spans="2:4" x14ac:dyDescent="0.3">
      <c r="B582" s="56"/>
      <c r="C582" s="56"/>
      <c r="D582" s="56"/>
    </row>
    <row r="583" spans="2:4" x14ac:dyDescent="0.3">
      <c r="B583" s="56"/>
      <c r="C583" s="56"/>
      <c r="D583" s="56"/>
    </row>
    <row r="584" spans="2:4" x14ac:dyDescent="0.3">
      <c r="B584" s="56"/>
      <c r="C584" s="56"/>
      <c r="D584" s="56"/>
    </row>
    <row r="585" spans="2:4" x14ac:dyDescent="0.3">
      <c r="B585" s="56"/>
      <c r="C585" s="56"/>
      <c r="D585" s="56"/>
    </row>
    <row r="586" spans="2:4" x14ac:dyDescent="0.3">
      <c r="B586" s="56"/>
      <c r="C586" s="56"/>
      <c r="D586" s="56"/>
    </row>
    <row r="587" spans="2:4" x14ac:dyDescent="0.3">
      <c r="B587" s="56"/>
      <c r="C587" s="56"/>
      <c r="D587" s="56"/>
    </row>
    <row r="588" spans="2:4" x14ac:dyDescent="0.3">
      <c r="B588" s="56"/>
      <c r="C588" s="56"/>
      <c r="D588" s="56"/>
    </row>
    <row r="589" spans="2:4" x14ac:dyDescent="0.3">
      <c r="B589" s="56"/>
      <c r="C589" s="56"/>
      <c r="D589" s="56"/>
    </row>
    <row r="590" spans="2:4" x14ac:dyDescent="0.3">
      <c r="B590" s="56"/>
      <c r="C590" s="56"/>
      <c r="D590" s="56"/>
    </row>
    <row r="591" spans="2:4" x14ac:dyDescent="0.3">
      <c r="B591" s="56"/>
      <c r="C591" s="56"/>
      <c r="D591" s="56"/>
    </row>
    <row r="592" spans="2:4" x14ac:dyDescent="0.3">
      <c r="B592" s="56"/>
      <c r="C592" s="56"/>
      <c r="D592" s="56"/>
    </row>
    <row r="593" spans="2:4" x14ac:dyDescent="0.3">
      <c r="B593" s="56"/>
      <c r="C593" s="56"/>
      <c r="D593" s="56"/>
    </row>
    <row r="594" spans="2:4" x14ac:dyDescent="0.3">
      <c r="B594" s="56"/>
      <c r="C594" s="56"/>
      <c r="D594" s="56"/>
    </row>
    <row r="595" spans="2:4" x14ac:dyDescent="0.3">
      <c r="B595" s="56"/>
      <c r="C595" s="56"/>
      <c r="D595" s="56"/>
    </row>
    <row r="596" spans="2:4" x14ac:dyDescent="0.3">
      <c r="B596" s="56"/>
      <c r="C596" s="56"/>
      <c r="D596" s="56"/>
    </row>
    <row r="597" spans="2:4" x14ac:dyDescent="0.3">
      <c r="B597" s="56"/>
      <c r="C597" s="56"/>
      <c r="D597" s="56"/>
    </row>
    <row r="598" spans="2:4" x14ac:dyDescent="0.3">
      <c r="B598" s="56"/>
      <c r="C598" s="56"/>
      <c r="D598" s="56"/>
    </row>
    <row r="599" spans="2:4" x14ac:dyDescent="0.3">
      <c r="B599" s="56"/>
      <c r="C599" s="56"/>
      <c r="D599" s="56"/>
    </row>
    <row r="600" spans="2:4" x14ac:dyDescent="0.3">
      <c r="B600" s="56"/>
      <c r="C600" s="56"/>
      <c r="D600" s="56"/>
    </row>
    <row r="601" spans="2:4" x14ac:dyDescent="0.3">
      <c r="B601" s="56"/>
      <c r="C601" s="56"/>
      <c r="D601" s="56"/>
    </row>
    <row r="602" spans="2:4" x14ac:dyDescent="0.3">
      <c r="B602" s="56"/>
      <c r="C602" s="56"/>
      <c r="D602" s="56"/>
    </row>
    <row r="603" spans="2:4" x14ac:dyDescent="0.3">
      <c r="B603" s="56"/>
      <c r="C603" s="56"/>
      <c r="D603" s="56"/>
    </row>
    <row r="604" spans="2:4" x14ac:dyDescent="0.3">
      <c r="B604" s="56"/>
      <c r="C604" s="56"/>
      <c r="D604" s="56"/>
    </row>
    <row r="605" spans="2:4" x14ac:dyDescent="0.3">
      <c r="B605" s="56"/>
      <c r="C605" s="56"/>
      <c r="D605" s="56"/>
    </row>
    <row r="606" spans="2:4" x14ac:dyDescent="0.3">
      <c r="B606" s="56"/>
      <c r="C606" s="56"/>
      <c r="D606" s="56"/>
    </row>
    <row r="607" spans="2:4" x14ac:dyDescent="0.3">
      <c r="B607" s="56"/>
      <c r="C607" s="56"/>
      <c r="D607" s="56"/>
    </row>
    <row r="608" spans="2:4" x14ac:dyDescent="0.3">
      <c r="B608" s="56"/>
      <c r="C608" s="56"/>
      <c r="D608" s="56"/>
    </row>
    <row r="609" spans="2:4" x14ac:dyDescent="0.3">
      <c r="B609" s="56"/>
      <c r="C609" s="56"/>
      <c r="D609" s="56"/>
    </row>
    <row r="610" spans="2:4" x14ac:dyDescent="0.3">
      <c r="B610" s="56"/>
      <c r="C610" s="56"/>
      <c r="D610" s="56"/>
    </row>
    <row r="611" spans="2:4" x14ac:dyDescent="0.3">
      <c r="B611" s="56"/>
      <c r="C611" s="56"/>
      <c r="D611" s="56"/>
    </row>
    <row r="612" spans="2:4" x14ac:dyDescent="0.3">
      <c r="B612" s="56"/>
      <c r="C612" s="56"/>
      <c r="D612" s="56"/>
    </row>
    <row r="613" spans="2:4" x14ac:dyDescent="0.3">
      <c r="B613" s="56"/>
      <c r="C613" s="56"/>
      <c r="D613" s="56"/>
    </row>
    <row r="614" spans="2:4" x14ac:dyDescent="0.3">
      <c r="B614" s="56"/>
      <c r="C614" s="56"/>
      <c r="D614" s="56"/>
    </row>
    <row r="615" spans="2:4" x14ac:dyDescent="0.3">
      <c r="B615" s="56"/>
      <c r="C615" s="56"/>
      <c r="D615" s="56"/>
    </row>
    <row r="616" spans="2:4" x14ac:dyDescent="0.3">
      <c r="B616" s="56"/>
      <c r="C616" s="56"/>
      <c r="D616" s="56"/>
    </row>
    <row r="617" spans="2:4" x14ac:dyDescent="0.3">
      <c r="B617" s="56"/>
      <c r="C617" s="56"/>
      <c r="D617" s="56"/>
    </row>
    <row r="618" spans="2:4" x14ac:dyDescent="0.3">
      <c r="B618" s="56"/>
      <c r="C618" s="56"/>
      <c r="D618" s="56"/>
    </row>
    <row r="619" spans="2:4" x14ac:dyDescent="0.3">
      <c r="B619" s="56"/>
      <c r="C619" s="56"/>
      <c r="D619" s="56"/>
    </row>
    <row r="620" spans="2:4" x14ac:dyDescent="0.3">
      <c r="B620" s="56"/>
      <c r="C620" s="56"/>
      <c r="D620" s="56"/>
    </row>
    <row r="621" spans="2:4" x14ac:dyDescent="0.3">
      <c r="B621" s="56"/>
      <c r="C621" s="56"/>
      <c r="D621" s="56"/>
    </row>
    <row r="622" spans="2:4" x14ac:dyDescent="0.3">
      <c r="B622" s="56"/>
      <c r="C622" s="56"/>
      <c r="D622" s="56"/>
    </row>
    <row r="623" spans="2:4" x14ac:dyDescent="0.3">
      <c r="B623" s="56"/>
      <c r="C623" s="56"/>
      <c r="D623" s="56"/>
    </row>
    <row r="624" spans="2:4" x14ac:dyDescent="0.3">
      <c r="B624" s="56"/>
      <c r="C624" s="56"/>
      <c r="D624" s="56"/>
    </row>
    <row r="625" spans="2:4" x14ac:dyDescent="0.3">
      <c r="B625" s="56"/>
      <c r="C625" s="56"/>
      <c r="D625" s="56"/>
    </row>
    <row r="626" spans="2:4" x14ac:dyDescent="0.3">
      <c r="B626" s="56"/>
      <c r="C626" s="56"/>
      <c r="D626" s="56"/>
    </row>
    <row r="627" spans="2:4" x14ac:dyDescent="0.3">
      <c r="B627" s="56"/>
      <c r="C627" s="56"/>
      <c r="D627" s="56"/>
    </row>
    <row r="628" spans="2:4" x14ac:dyDescent="0.3">
      <c r="B628" s="56"/>
      <c r="C628" s="56"/>
      <c r="D628" s="56"/>
    </row>
    <row r="629" spans="2:4" x14ac:dyDescent="0.3">
      <c r="B629" s="56"/>
      <c r="C629" s="56"/>
      <c r="D629" s="56"/>
    </row>
    <row r="630" spans="2:4" x14ac:dyDescent="0.3">
      <c r="B630" s="56"/>
      <c r="C630" s="56"/>
      <c r="D630" s="56"/>
    </row>
    <row r="631" spans="2:4" x14ac:dyDescent="0.3">
      <c r="B631" s="56"/>
      <c r="C631" s="56"/>
      <c r="D631" s="56"/>
    </row>
    <row r="632" spans="2:4" x14ac:dyDescent="0.3">
      <c r="B632" s="56"/>
      <c r="C632" s="56"/>
      <c r="D632" s="56"/>
    </row>
    <row r="633" spans="2:4" x14ac:dyDescent="0.3">
      <c r="B633" s="56"/>
      <c r="C633" s="56"/>
      <c r="D633" s="56"/>
    </row>
    <row r="634" spans="2:4" x14ac:dyDescent="0.3">
      <c r="B634" s="56"/>
      <c r="C634" s="56"/>
      <c r="D634" s="56"/>
    </row>
    <row r="635" spans="2:4" x14ac:dyDescent="0.3">
      <c r="B635" s="56"/>
      <c r="C635" s="56"/>
      <c r="D635" s="56"/>
    </row>
    <row r="636" spans="2:4" x14ac:dyDescent="0.3">
      <c r="B636" s="56"/>
      <c r="C636" s="56"/>
      <c r="D636" s="56"/>
    </row>
    <row r="637" spans="2:4" x14ac:dyDescent="0.3">
      <c r="B637" s="56"/>
      <c r="C637" s="56"/>
      <c r="D637" s="56"/>
    </row>
    <row r="638" spans="2:4" x14ac:dyDescent="0.3">
      <c r="B638" s="56"/>
      <c r="C638" s="56"/>
      <c r="D638" s="56"/>
    </row>
    <row r="639" spans="2:4" x14ac:dyDescent="0.3">
      <c r="B639" s="56"/>
      <c r="C639" s="56"/>
      <c r="D639" s="56"/>
    </row>
    <row r="640" spans="2:4" x14ac:dyDescent="0.3">
      <c r="B640" s="56"/>
      <c r="C640" s="56"/>
      <c r="D640" s="56"/>
    </row>
    <row r="641" spans="2:4" x14ac:dyDescent="0.3">
      <c r="B641" s="56"/>
      <c r="C641" s="56"/>
      <c r="D641" s="56"/>
    </row>
    <row r="642" spans="2:4" x14ac:dyDescent="0.3">
      <c r="B642" s="56"/>
      <c r="C642" s="56"/>
      <c r="D642" s="56"/>
    </row>
    <row r="643" spans="2:4" x14ac:dyDescent="0.3">
      <c r="B643" s="56"/>
      <c r="C643" s="56"/>
      <c r="D643" s="56"/>
    </row>
    <row r="644" spans="2:4" x14ac:dyDescent="0.3">
      <c r="B644" s="56"/>
      <c r="C644" s="56"/>
      <c r="D644" s="56"/>
    </row>
    <row r="645" spans="2:4" x14ac:dyDescent="0.3">
      <c r="B645" s="56"/>
      <c r="C645" s="56"/>
      <c r="D645" s="56"/>
    </row>
    <row r="646" spans="2:4" x14ac:dyDescent="0.3">
      <c r="B646" s="56"/>
      <c r="C646" s="56"/>
      <c r="D646" s="56"/>
    </row>
    <row r="647" spans="2:4" x14ac:dyDescent="0.3">
      <c r="B647" s="56"/>
      <c r="C647" s="56"/>
      <c r="D647" s="56"/>
    </row>
    <row r="648" spans="2:4" x14ac:dyDescent="0.3">
      <c r="B648" s="56"/>
      <c r="C648" s="56"/>
      <c r="D648" s="56"/>
    </row>
    <row r="649" spans="2:4" x14ac:dyDescent="0.3">
      <c r="B649" s="56"/>
      <c r="C649" s="56"/>
      <c r="D649" s="56"/>
    </row>
    <row r="650" spans="2:4" x14ac:dyDescent="0.3">
      <c r="B650" s="56"/>
      <c r="C650" s="56"/>
      <c r="D650" s="56"/>
    </row>
    <row r="651" spans="2:4" x14ac:dyDescent="0.3">
      <c r="B651" s="56"/>
      <c r="C651" s="56"/>
      <c r="D651" s="56"/>
    </row>
    <row r="652" spans="2:4" x14ac:dyDescent="0.3">
      <c r="B652" s="56"/>
      <c r="C652" s="56"/>
      <c r="D652" s="56"/>
    </row>
    <row r="653" spans="2:4" x14ac:dyDescent="0.3">
      <c r="B653" s="56"/>
      <c r="C653" s="56"/>
      <c r="D653" s="56"/>
    </row>
    <row r="654" spans="2:4" x14ac:dyDescent="0.3">
      <c r="B654" s="56"/>
      <c r="C654" s="56"/>
      <c r="D654" s="56"/>
    </row>
    <row r="655" spans="2:4" x14ac:dyDescent="0.3">
      <c r="B655" s="56"/>
      <c r="C655" s="56"/>
      <c r="D655" s="56"/>
    </row>
    <row r="656" spans="2:4" x14ac:dyDescent="0.3">
      <c r="B656" s="56"/>
      <c r="C656" s="56"/>
      <c r="D656" s="56"/>
    </row>
    <row r="657" spans="2:4" x14ac:dyDescent="0.3">
      <c r="B657" s="56"/>
      <c r="C657" s="56"/>
      <c r="D657" s="56"/>
    </row>
    <row r="658" spans="2:4" x14ac:dyDescent="0.3">
      <c r="B658" s="56"/>
      <c r="C658" s="56"/>
      <c r="D658" s="56"/>
    </row>
    <row r="659" spans="2:4" x14ac:dyDescent="0.3">
      <c r="B659" s="56"/>
      <c r="C659" s="56"/>
      <c r="D659" s="56"/>
    </row>
    <row r="660" spans="2:4" x14ac:dyDescent="0.3">
      <c r="B660" s="56"/>
      <c r="C660" s="56"/>
      <c r="D660" s="56"/>
    </row>
    <row r="661" spans="2:4" x14ac:dyDescent="0.3">
      <c r="B661" s="56"/>
      <c r="C661" s="56"/>
      <c r="D661" s="56"/>
    </row>
    <row r="662" spans="2:4" x14ac:dyDescent="0.3">
      <c r="B662" s="56"/>
      <c r="C662" s="56"/>
      <c r="D662" s="56"/>
    </row>
    <row r="663" spans="2:4" x14ac:dyDescent="0.3">
      <c r="B663" s="56"/>
      <c r="C663" s="56"/>
      <c r="D663" s="56"/>
    </row>
    <row r="664" spans="2:4" x14ac:dyDescent="0.3">
      <c r="B664" s="56"/>
      <c r="C664" s="56"/>
      <c r="D664" s="56"/>
    </row>
    <row r="665" spans="2:4" x14ac:dyDescent="0.3">
      <c r="B665" s="56"/>
      <c r="C665" s="56"/>
      <c r="D665" s="56"/>
    </row>
    <row r="666" spans="2:4" x14ac:dyDescent="0.3">
      <c r="B666" s="56"/>
      <c r="C666" s="56"/>
      <c r="D666" s="56"/>
    </row>
    <row r="667" spans="2:4" x14ac:dyDescent="0.3">
      <c r="B667" s="56"/>
      <c r="C667" s="56"/>
      <c r="D667" s="56"/>
    </row>
    <row r="668" spans="2:4" x14ac:dyDescent="0.3">
      <c r="B668" s="56"/>
      <c r="C668" s="56"/>
      <c r="D668" s="56"/>
    </row>
    <row r="669" spans="2:4" x14ac:dyDescent="0.3">
      <c r="B669" s="56"/>
      <c r="C669" s="56"/>
      <c r="D669" s="56"/>
    </row>
    <row r="670" spans="2:4" x14ac:dyDescent="0.3">
      <c r="B670" s="56"/>
      <c r="C670" s="56"/>
      <c r="D670" s="56"/>
    </row>
    <row r="671" spans="2:4" x14ac:dyDescent="0.3">
      <c r="B671" s="56"/>
      <c r="C671" s="56"/>
      <c r="D671" s="56"/>
    </row>
    <row r="672" spans="2:4" x14ac:dyDescent="0.3">
      <c r="B672" s="56"/>
      <c r="C672" s="56"/>
      <c r="D672" s="56"/>
    </row>
    <row r="673" spans="2:4" x14ac:dyDescent="0.3">
      <c r="B673" s="56"/>
      <c r="C673" s="56"/>
      <c r="D673" s="56"/>
    </row>
  </sheetData>
  <mergeCells count="88">
    <mergeCell ref="D13:E13"/>
    <mergeCell ref="D12:E12"/>
    <mergeCell ref="D6:E6"/>
    <mergeCell ref="D8:E8"/>
    <mergeCell ref="D9:E9"/>
    <mergeCell ref="D10:E10"/>
    <mergeCell ref="D11:E11"/>
    <mergeCell ref="D7:E7"/>
    <mergeCell ref="B45:E4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D23:E23"/>
    <mergeCell ref="D25:E25"/>
    <mergeCell ref="D27:E27"/>
    <mergeCell ref="D28:E28"/>
    <mergeCell ref="D22:E22"/>
    <mergeCell ref="D26:E26"/>
    <mergeCell ref="B62:C62"/>
    <mergeCell ref="B61:C61"/>
    <mergeCell ref="B60:C60"/>
    <mergeCell ref="B59:C59"/>
    <mergeCell ref="B58:C58"/>
    <mergeCell ref="D19:E19"/>
    <mergeCell ref="B17:C17"/>
    <mergeCell ref="B21:C21"/>
    <mergeCell ref="B57:C57"/>
    <mergeCell ref="B56:C56"/>
    <mergeCell ref="B46:C46"/>
    <mergeCell ref="B48:C48"/>
    <mergeCell ref="B49:C49"/>
    <mergeCell ref="B50:C50"/>
    <mergeCell ref="B52:C52"/>
    <mergeCell ref="B53:C53"/>
    <mergeCell ref="B51:C51"/>
    <mergeCell ref="B55:C55"/>
    <mergeCell ref="B54:C54"/>
    <mergeCell ref="B23:C23"/>
    <mergeCell ref="B22:C22"/>
    <mergeCell ref="B29:C29"/>
    <mergeCell ref="B33:C33"/>
    <mergeCell ref="B28:C28"/>
    <mergeCell ref="B30:C30"/>
    <mergeCell ref="B31:C31"/>
    <mergeCell ref="B32:C32"/>
    <mergeCell ref="B27:C27"/>
    <mergeCell ref="B1:E1"/>
    <mergeCell ref="B2:C2"/>
    <mergeCell ref="B3:C3"/>
    <mergeCell ref="B4:C4"/>
    <mergeCell ref="B5:C5"/>
    <mergeCell ref="D2:E2"/>
    <mergeCell ref="D3:E3"/>
    <mergeCell ref="D4:E4"/>
    <mergeCell ref="D5:E5"/>
    <mergeCell ref="B6:C6"/>
    <mergeCell ref="B7:C7"/>
    <mergeCell ref="B8:C8"/>
    <mergeCell ref="B16:C16"/>
    <mergeCell ref="B15:C15"/>
    <mergeCell ref="B14:C14"/>
    <mergeCell ref="B13:C13"/>
    <mergeCell ref="B12:C12"/>
    <mergeCell ref="B11:C11"/>
    <mergeCell ref="B10:C10"/>
    <mergeCell ref="B9:C9"/>
    <mergeCell ref="B47:C47"/>
    <mergeCell ref="D20:E20"/>
    <mergeCell ref="D21:E21"/>
    <mergeCell ref="D14:E14"/>
    <mergeCell ref="D16:E16"/>
    <mergeCell ref="D15:E15"/>
    <mergeCell ref="D18:E18"/>
    <mergeCell ref="D17:E17"/>
    <mergeCell ref="B19:C19"/>
    <mergeCell ref="B20:C20"/>
    <mergeCell ref="B25:C25"/>
    <mergeCell ref="A34:E34"/>
    <mergeCell ref="A35:E35"/>
    <mergeCell ref="B24:C24"/>
    <mergeCell ref="D24:E24"/>
    <mergeCell ref="B26:C26"/>
  </mergeCells>
  <pageMargins left="0.7" right="0.7" top="0.75" bottom="0.75" header="0.3" footer="0.3"/>
  <pageSetup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AD92"/>
  <sheetViews>
    <sheetView tabSelected="1" workbookViewId="0">
      <selection activeCell="D7" sqref="D7"/>
    </sheetView>
  </sheetViews>
  <sheetFormatPr defaultRowHeight="14.4" x14ac:dyDescent="0.3"/>
  <cols>
    <col min="1" max="1" width="21.33203125" customWidth="1"/>
    <col min="2" max="2" width="33.6640625" customWidth="1"/>
    <col min="3" max="3" width="11.109375" customWidth="1"/>
    <col min="4" max="4" width="13.88671875" customWidth="1"/>
    <col min="5" max="5" width="11.109375" customWidth="1"/>
    <col min="6" max="8" width="12.88671875" customWidth="1"/>
    <col min="9" max="9" width="13.6640625" bestFit="1" customWidth="1"/>
    <col min="10" max="10" width="17.5546875" customWidth="1"/>
    <col min="11" max="11" width="12.5546875" bestFit="1" customWidth="1"/>
    <col min="12" max="12" width="12.5546875" customWidth="1"/>
    <col min="13" max="13" width="12.44140625" customWidth="1"/>
    <col min="14" max="14" width="12.5546875" bestFit="1" customWidth="1"/>
    <col min="15" max="15" width="16" customWidth="1"/>
    <col min="16" max="16" width="16" style="99" customWidth="1"/>
    <col min="17" max="17" width="16" customWidth="1"/>
    <col min="18" max="18" width="16" style="101" customWidth="1"/>
    <col min="19" max="20" width="16.5546875" customWidth="1"/>
    <col min="21" max="21" width="12.5546875" bestFit="1" customWidth="1"/>
    <col min="25" max="25" width="10.109375" bestFit="1" customWidth="1"/>
    <col min="26" max="26" width="10.5546875" bestFit="1" customWidth="1"/>
    <col min="27" max="27" width="14.5546875" style="102" customWidth="1"/>
    <col min="28" max="28" width="17.33203125" customWidth="1"/>
    <col min="29" max="29" width="9" customWidth="1"/>
    <col min="30" max="30" width="9.5546875" bestFit="1" customWidth="1"/>
  </cols>
  <sheetData>
    <row r="1" spans="1:30" ht="15.6" x14ac:dyDescent="0.3">
      <c r="C1" s="124"/>
      <c r="D1" s="124"/>
      <c r="E1" s="124"/>
      <c r="F1" s="124"/>
      <c r="G1" s="124"/>
      <c r="H1" s="124"/>
      <c r="I1" s="124"/>
      <c r="J1" s="124"/>
      <c r="K1" s="124"/>
      <c r="L1" s="124"/>
      <c r="M1" s="124"/>
      <c r="N1" s="120" t="s">
        <v>140</v>
      </c>
      <c r="O1" s="120"/>
      <c r="P1" s="120"/>
      <c r="Q1" s="120"/>
      <c r="R1" s="120"/>
      <c r="S1" s="120"/>
      <c r="T1" s="120"/>
      <c r="U1" s="120" t="s">
        <v>138</v>
      </c>
      <c r="V1" s="120"/>
      <c r="W1" s="120"/>
      <c r="X1" s="120"/>
      <c r="Y1" s="120"/>
      <c r="Z1" s="120" t="s">
        <v>139</v>
      </c>
      <c r="AA1" s="120"/>
      <c r="AB1" s="120"/>
    </row>
    <row r="2" spans="1:30" ht="15.6" x14ac:dyDescent="0.3">
      <c r="A2" s="15" t="s">
        <v>19</v>
      </c>
      <c r="B2" s="2" t="s">
        <v>21</v>
      </c>
      <c r="C2" s="95" t="s">
        <v>105</v>
      </c>
      <c r="D2" s="95" t="s">
        <v>124</v>
      </c>
      <c r="E2" s="95" t="s">
        <v>30</v>
      </c>
      <c r="F2" s="95" t="s">
        <v>125</v>
      </c>
      <c r="G2" s="95" t="s">
        <v>141</v>
      </c>
      <c r="H2" s="95" t="s">
        <v>35</v>
      </c>
      <c r="I2" s="95" t="s">
        <v>36</v>
      </c>
      <c r="J2" s="94" t="s">
        <v>126</v>
      </c>
      <c r="K2" s="9" t="s">
        <v>37</v>
      </c>
      <c r="L2" s="9" t="s">
        <v>33</v>
      </c>
      <c r="M2" s="95" t="s">
        <v>45</v>
      </c>
      <c r="N2" s="95" t="s">
        <v>127</v>
      </c>
      <c r="O2" s="95" t="s">
        <v>128</v>
      </c>
      <c r="P2" s="99" t="s">
        <v>94</v>
      </c>
      <c r="Q2" s="95" t="s">
        <v>91</v>
      </c>
      <c r="R2" s="101" t="s">
        <v>95</v>
      </c>
      <c r="S2" s="2" t="s">
        <v>129</v>
      </c>
      <c r="T2" s="2" t="s">
        <v>130</v>
      </c>
      <c r="U2" s="95" t="s">
        <v>46</v>
      </c>
      <c r="V2" s="95" t="s">
        <v>131</v>
      </c>
      <c r="W2" s="95" t="s">
        <v>92</v>
      </c>
      <c r="X2" s="95" t="s">
        <v>132</v>
      </c>
      <c r="Y2" s="95" t="s">
        <v>133</v>
      </c>
      <c r="Z2" s="95" t="s">
        <v>134</v>
      </c>
      <c r="AA2" s="102" t="s">
        <v>102</v>
      </c>
      <c r="AB2" s="95" t="s">
        <v>135</v>
      </c>
      <c r="AC2" s="95" t="s">
        <v>136</v>
      </c>
      <c r="AD2" t="s">
        <v>137</v>
      </c>
    </row>
    <row r="3" spans="1:30" ht="15.6" x14ac:dyDescent="0.3">
      <c r="A3" s="15" t="s">
        <v>82</v>
      </c>
      <c r="B3" t="s">
        <v>107</v>
      </c>
      <c r="C3" s="85">
        <f>D3/SUM(D3:D4)</f>
        <v>0.4443954277550034</v>
      </c>
      <c r="D3" s="35">
        <f>L3/F3</f>
        <v>65609.668138328911</v>
      </c>
      <c r="E3" s="4">
        <f>[1]All!$H$12</f>
        <v>0.67</v>
      </c>
      <c r="F3" s="86">
        <f>[1]All!$G$12</f>
        <v>4.8</v>
      </c>
      <c r="G3" s="78">
        <f>M3/D3</f>
        <v>7.0436462426640478</v>
      </c>
      <c r="H3" s="84">
        <f>[1]All!$J$12</f>
        <v>5.7</v>
      </c>
      <c r="I3" s="84">
        <f>[1]All!$I$12</f>
        <v>0.44</v>
      </c>
      <c r="J3" s="64">
        <f>D3*F3</f>
        <v>314926.40706397878</v>
      </c>
      <c r="K3" s="21">
        <v>1</v>
      </c>
      <c r="L3" s="65">
        <f>([2]prod_herd_data!$J$8+[2]prod_herd_data!$K$8)*(1-[2]prod_herd_data!$J$3)*(C25)</f>
        <v>314926.40706397872</v>
      </c>
      <c r="M3" s="110">
        <f>SUM([2]prod_herd_data!$J$10:$K$10)*C25</f>
        <v>462131.2924649755</v>
      </c>
      <c r="N3" s="62">
        <f>Dairy_Income_Baseline!B28</f>
        <v>84.737089689012336</v>
      </c>
      <c r="O3" s="62">
        <f ca="1">Dairy_Income_Baseline!B60</f>
        <v>178.26920523192138</v>
      </c>
      <c r="P3" s="62">
        <f>(G3-F3)*(Dairy_Income_Baseline!B24)</f>
        <v>0.12039563149077043</v>
      </c>
      <c r="Q3" s="63">
        <f>P3*Dairy_Income_Baseline!L36</f>
        <v>44.606958098634109</v>
      </c>
      <c r="R3" s="63">
        <f>IF(P3&gt;0, P3*Dairy_Income_Roadmap!L19/12, 0)</f>
        <v>0.28092314014513103</v>
      </c>
      <c r="S3" s="68">
        <f>G3*I3*N3</f>
        <v>262.6175566970112</v>
      </c>
      <c r="T3" s="60">
        <f ca="1">F3*O3*I3</f>
        <v>376.50456144981791</v>
      </c>
      <c r="U3" s="83">
        <f>N3*(M3*K3)/(D3)</f>
        <v>596.85808340229812</v>
      </c>
      <c r="V3" s="83">
        <f>[1]All!$E$12*[3]Sheet1!$B$9</f>
        <v>1757.2440469077476</v>
      </c>
      <c r="W3" s="83">
        <f>[1]All!$F$12</f>
        <v>86</v>
      </c>
      <c r="X3" s="59">
        <f>U3+V3</f>
        <v>2354.1021303100456</v>
      </c>
      <c r="Y3" s="96">
        <f>V3+S3-Q3-R3</f>
        <v>1974.9737223659795</v>
      </c>
      <c r="Z3" s="37">
        <f>SQRT(C3*(1-C3)/N35)</f>
        <v>2.9433727613268908E-2</v>
      </c>
      <c r="AA3" s="113">
        <f>D3*S3</f>
        <v>17230250.742189683</v>
      </c>
      <c r="AB3" s="59">
        <f>Y3*D3</f>
        <v>129577370.50635205</v>
      </c>
      <c r="AC3" s="22"/>
    </row>
    <row r="4" spans="1:30" ht="15.6" x14ac:dyDescent="0.3">
      <c r="A4" s="16"/>
      <c r="B4" t="s">
        <v>108</v>
      </c>
      <c r="C4" s="85">
        <f>1-C3</f>
        <v>0.5556045722449966</v>
      </c>
      <c r="D4" s="35">
        <f>L4/F4</f>
        <v>82028.367810366151</v>
      </c>
      <c r="E4" s="4">
        <v>0.27</v>
      </c>
      <c r="F4" s="86">
        <f>[1]All!$G$13</f>
        <v>2.6601940000000002</v>
      </c>
      <c r="G4" s="78">
        <f>M4/D4</f>
        <v>3.8141720088080677</v>
      </c>
      <c r="H4" s="84">
        <f>[1]All!$J$13</f>
        <v>5.4</v>
      </c>
      <c r="I4" s="84">
        <f>[1]All!$I$13</f>
        <v>0.55710000000000004</v>
      </c>
      <c r="J4" s="64">
        <f>D4*F4</f>
        <v>218211.37187892917</v>
      </c>
      <c r="K4" s="21">
        <v>1</v>
      </c>
      <c r="L4" s="65">
        <f>([2]prod_herd_data!$J$8+[2]prod_herd_data!$K$8)*([2]prod_herd_data!$J$3)*(1-C23)</f>
        <v>218211.3718789292</v>
      </c>
      <c r="M4" s="65">
        <f>SUM([2]prod_herd_data!$J$9:$K$9)*(1-C24)</f>
        <v>312870.30443051131</v>
      </c>
      <c r="N4" s="62">
        <f>Dairy_Income_Baseline!D28</f>
        <v>585.73698241090847</v>
      </c>
      <c r="O4" s="62">
        <f ca="1">Dairy_Income_Baseline!E60</f>
        <v>132.65444874538497</v>
      </c>
      <c r="P4" s="62">
        <f>(G4-F4)*(Dairy_Income_Baseline!B24)</f>
        <v>6.1923269566748887E-2</v>
      </c>
      <c r="Q4" s="63">
        <f>P4*Dairy_Income_Baseline!L38</f>
        <v>30.361004885281496</v>
      </c>
      <c r="R4" s="63">
        <f>IF(P4&gt;0, P4*Dairy_Income_Roadmap!L19/12, 0)</f>
        <v>0.14448762898908074</v>
      </c>
      <c r="S4" s="60">
        <f>G4*I4*N4</f>
        <v>1244.6180029395962</v>
      </c>
      <c r="T4" s="60">
        <f ca="1">F4*O4*I4</f>
        <v>196.59310738142241</v>
      </c>
      <c r="U4" s="83">
        <f>N4*(M4*K4)/(D4)</f>
        <v>2234.1016028353906</v>
      </c>
      <c r="V4" s="83">
        <f>[1]All!$E$13*[3]Sheet1!$B$9</f>
        <v>1778.1411883175087</v>
      </c>
      <c r="W4" s="83">
        <f>[1]All!$F$13</f>
        <v>80</v>
      </c>
      <c r="X4" s="59">
        <f>U4+V4</f>
        <v>4012.2427911528994</v>
      </c>
      <c r="Y4" s="112">
        <f>V4+S4-Q4-R4</f>
        <v>2992.2536987428343</v>
      </c>
      <c r="Z4" s="37">
        <f>SQRT(C4*(1-C4)/N35)</f>
        <v>2.9433727613268908E-2</v>
      </c>
      <c r="AA4" s="113">
        <f>D4*S4</f>
        <v>102093983.32853258</v>
      </c>
      <c r="AB4" s="69">
        <f>Y4*D4</f>
        <v>245449686.98240578</v>
      </c>
      <c r="AC4" s="22"/>
      <c r="AD4" s="21">
        <f ca="1">MC_Baseline!H19</f>
        <v>10.052312988830117</v>
      </c>
    </row>
    <row r="5" spans="1:30" ht="15.6" x14ac:dyDescent="0.3">
      <c r="A5" s="16"/>
      <c r="C5" s="38"/>
      <c r="D5" s="35"/>
      <c r="E5" s="4"/>
      <c r="F5" s="86"/>
      <c r="G5" s="4"/>
      <c r="H5" s="4"/>
      <c r="J5" s="64"/>
      <c r="K5" s="21"/>
      <c r="L5" s="13"/>
      <c r="M5" s="66"/>
      <c r="N5" s="62"/>
      <c r="O5" s="62"/>
      <c r="P5" s="62"/>
      <c r="Q5" s="100"/>
      <c r="R5" s="100"/>
      <c r="S5" s="60"/>
      <c r="T5" s="60"/>
      <c r="U5" s="59"/>
      <c r="V5" s="59"/>
      <c r="W5" s="59"/>
      <c r="X5" s="59"/>
      <c r="Y5" s="97"/>
      <c r="Z5" s="37"/>
      <c r="AA5" s="113"/>
      <c r="AB5" s="59"/>
      <c r="AC5" s="1"/>
      <c r="AD5" s="21"/>
    </row>
    <row r="6" spans="1:30" ht="15.6" x14ac:dyDescent="0.3">
      <c r="A6" s="15" t="s">
        <v>109</v>
      </c>
      <c r="B6" t="s">
        <v>106</v>
      </c>
      <c r="C6" s="76">
        <f>D6/SUM(D6:D8)</f>
        <v>6.6659314163250508E-2</v>
      </c>
      <c r="D6" s="77">
        <f>D3*C30</f>
        <v>9841.4502207493369</v>
      </c>
      <c r="E6" s="78">
        <f>E4</f>
        <v>0.27</v>
      </c>
      <c r="F6" s="77">
        <f>J6*(1/D6)</f>
        <v>1.2251856561396255</v>
      </c>
      <c r="G6" s="79"/>
      <c r="H6" s="78">
        <f>H3</f>
        <v>5.7</v>
      </c>
      <c r="I6" s="27">
        <f>I3</f>
        <v>0.44</v>
      </c>
      <c r="J6" s="80">
        <f>M6*K6</f>
        <v>12057.60364607424</v>
      </c>
      <c r="K6" s="81">
        <f>C26</f>
        <v>0.05</v>
      </c>
      <c r="L6" s="12"/>
      <c r="M6" s="66">
        <f>([2]prod_herd_data!J25*[2]prod_herd_data!J31+[2]prod_herd_data!K25*[2]prod_herd_data!K31)*(1-C24)</f>
        <v>241152.07292148477</v>
      </c>
      <c r="N6" s="62">
        <f>Dairy_Income_Roadmap!C27</f>
        <v>1495.1172015495711</v>
      </c>
      <c r="O6" s="62">
        <f ca="1">Dairy_Income_Roadmap!C55</f>
        <v>77.743543925111254</v>
      </c>
      <c r="P6" s="62">
        <f>(F6*(Dairy_Income_Roadmap!C22 + Dairy_Income_Baseline!B24)  -   F3*Dairy_Income_Baseline!B24)</f>
        <v>0.15705628993927817</v>
      </c>
      <c r="Q6" s="63">
        <f>(P6*(Dairy_Income_Roadmap!C19))</f>
        <v>74.317546538515671</v>
      </c>
      <c r="R6" s="63">
        <f>IF(P6&gt;0, P6*Dairy_Income_Roadmap!L19/12, 0)</f>
        <v>0.36646467652498238</v>
      </c>
      <c r="S6" s="60">
        <f>F6*I6*N6</f>
        <v>805.99030581790691</v>
      </c>
      <c r="T6" s="60">
        <f ca="1">F6*O6*I6</f>
        <v>41.910120944783181</v>
      </c>
      <c r="U6" s="59">
        <f>U3</f>
        <v>596.85808340229812</v>
      </c>
      <c r="V6" s="59">
        <f>V3-Q6-R6</f>
        <v>1682.5600356927068</v>
      </c>
      <c r="W6" s="59">
        <f>W3</f>
        <v>86</v>
      </c>
      <c r="X6" s="59">
        <f>U6+V6</f>
        <v>2279.4181190950048</v>
      </c>
      <c r="Y6" s="97">
        <f>V6+S6</f>
        <v>2488.5503415106136</v>
      </c>
      <c r="Z6" s="37">
        <f>Z3</f>
        <v>2.9433727613268908E-2</v>
      </c>
      <c r="AA6" s="113">
        <f>D6*S6</f>
        <v>7932113.4731134661</v>
      </c>
      <c r="AB6" s="67">
        <f>Y6*D6</f>
        <v>24490944.307805467</v>
      </c>
      <c r="AC6" s="1"/>
      <c r="AD6" s="21"/>
    </row>
    <row r="7" spans="1:30" ht="15.6" x14ac:dyDescent="0.3">
      <c r="A7" s="15"/>
      <c r="B7" t="s">
        <v>107</v>
      </c>
      <c r="C7" s="76">
        <f>D7/SUM(D6:D8)</f>
        <v>0.37773611359175291</v>
      </c>
      <c r="D7" s="77">
        <f>D3-D6</f>
        <v>55768.217917579575</v>
      </c>
      <c r="E7" s="78">
        <f>E3</f>
        <v>0.67</v>
      </c>
      <c r="F7" s="77">
        <f>J7*(1/D7)</f>
        <v>5.2215390286849646</v>
      </c>
      <c r="G7" s="79"/>
      <c r="H7" s="78">
        <f>H3</f>
        <v>5.7</v>
      </c>
      <c r="I7" s="27">
        <f>I3</f>
        <v>0.44</v>
      </c>
      <c r="J7" s="80">
        <f>M7*K7</f>
        <v>291195.92641684989</v>
      </c>
      <c r="K7" s="81">
        <v>1</v>
      </c>
      <c r="L7" s="12"/>
      <c r="M7" s="66">
        <f>([2]prod_herd_data!J26*[2]prod_herd_data!J31+[2]prod_herd_data!K26*[2]prod_herd_data!K31)*C25</f>
        <v>291195.92641684989</v>
      </c>
      <c r="N7" s="62">
        <f>Dairy_Income_Roadmap!E27</f>
        <v>340.3171855089804</v>
      </c>
      <c r="O7" s="62">
        <f ca="1">Dairy_Income_Roadmap!E55</f>
        <v>26.763925699025812</v>
      </c>
      <c r="P7" s="62">
        <f>(F7*(Dairy_Income_Roadmap!E22 + Dairy_Income_Baseline!B24)  -   F3*Dairy_Income_Baseline!B24)</f>
        <v>1.0547462411083355</v>
      </c>
      <c r="Q7" s="63">
        <f>(P7*(Dairy_Income_Roadmap!E19))</f>
        <v>499.09591580317607</v>
      </c>
      <c r="R7" s="63">
        <f>IF(P7&gt;0, P7*Dairy_Income_Roadmap!L19/12, 0)</f>
        <v>2.4610745625861159</v>
      </c>
      <c r="S7" s="60">
        <f>F7*I7*N7</f>
        <v>781.87096515763949</v>
      </c>
      <c r="T7" s="60">
        <f ca="1">F7*O7*I7</f>
        <v>61.489508343246627</v>
      </c>
      <c r="U7" s="59">
        <f t="shared" ref="U7:W8" si="0">U3</f>
        <v>596.85808340229812</v>
      </c>
      <c r="V7" s="59">
        <f>V3-Q7-R7</f>
        <v>1255.6870565419854</v>
      </c>
      <c r="W7" s="59">
        <f t="shared" si="0"/>
        <v>86</v>
      </c>
      <c r="X7" s="59">
        <f>U7+V7</f>
        <v>1852.5451399442836</v>
      </c>
      <c r="Y7" s="97">
        <f>V7+S7</f>
        <v>2037.558021699625</v>
      </c>
      <c r="Z7" s="37">
        <f>Z3</f>
        <v>2.9433727613268908E-2</v>
      </c>
      <c r="AA7" s="113">
        <f>D7*S7</f>
        <v>43603550.368339509</v>
      </c>
      <c r="AB7" s="59">
        <f>Y7*D7</f>
        <v>113630979.77385701</v>
      </c>
      <c r="AC7" s="1"/>
      <c r="AD7" s="21"/>
    </row>
    <row r="8" spans="1:30" ht="15.6" x14ac:dyDescent="0.3">
      <c r="A8" s="16"/>
      <c r="B8" t="s">
        <v>108</v>
      </c>
      <c r="C8" s="76">
        <f>D8/SUM(D6:D8)</f>
        <v>0.5556045722449966</v>
      </c>
      <c r="D8" s="77">
        <f>D4</f>
        <v>82028.367810366151</v>
      </c>
      <c r="E8" s="78">
        <f>E4</f>
        <v>0.27</v>
      </c>
      <c r="F8" s="77">
        <f>J8*(1/D8)</f>
        <v>2.7928688012546221</v>
      </c>
      <c r="G8" s="79"/>
      <c r="H8" s="78">
        <f>H4</f>
        <v>5.4</v>
      </c>
      <c r="I8" s="27">
        <f>I4</f>
        <v>0.55710000000000004</v>
      </c>
      <c r="J8" s="80">
        <f t="shared" ref="J8" si="1">M8*K8</f>
        <v>229094.46927541052</v>
      </c>
      <c r="K8" s="81">
        <f>K4*(1-C26)</f>
        <v>0.95</v>
      </c>
      <c r="L8" s="12"/>
      <c r="M8" s="66">
        <f>([2]prod_herd_data!J25*[2]prod_herd_data!J31+[2]prod_herd_data!K25*[2]prod_herd_data!K31)*(1-C24)</f>
        <v>241152.07292148477</v>
      </c>
      <c r="N8" s="62">
        <f>Dairy_Income_Roadmap!G27</f>
        <v>1662.110376985115</v>
      </c>
      <c r="O8" s="62">
        <f ca="1">Dairy_Income_Roadmap!G55</f>
        <v>72.290182306762318</v>
      </c>
      <c r="P8" s="62">
        <f>(F8*(Dairy_Income_Roadmap!G22 + Dairy_Income_Baseline!D24)  -   F5*Dairy_Income_Baseline!D24)</f>
        <v>0.92376754193251132</v>
      </c>
      <c r="Q8" s="63">
        <f>(P8*(Dairy_Income_Roadmap!G19))</f>
        <v>578.45437685600098</v>
      </c>
      <c r="R8" s="63">
        <f>IF(P8&gt;0, P8*Dairy_Income_Roadmap!L19/12, 0)</f>
        <v>2.1554575978425263</v>
      </c>
      <c r="S8" s="60">
        <f>F8*I8*N8</f>
        <v>2586.0895180022831</v>
      </c>
      <c r="T8" s="60">
        <f ca="1">F8*O8*I8</f>
        <v>112.47681580395208</v>
      </c>
      <c r="U8" s="59">
        <f t="shared" si="0"/>
        <v>2234.1016028353906</v>
      </c>
      <c r="V8" s="59">
        <f>V4-Q8-R8</f>
        <v>1197.5313538636651</v>
      </c>
      <c r="W8" s="59">
        <f>W4</f>
        <v>80</v>
      </c>
      <c r="X8" s="59">
        <f>U8+V8</f>
        <v>3431.6329566990557</v>
      </c>
      <c r="Y8" s="97">
        <f t="shared" ref="Y8:Y20" si="2">V8+S8</f>
        <v>3783.6208718659482</v>
      </c>
      <c r="Z8" s="37">
        <f>Z4</f>
        <v>2.9433727613268908E-2</v>
      </c>
      <c r="AA8" s="113">
        <f>D8*S8</f>
        <v>212132702.17322379</v>
      </c>
      <c r="AB8" s="59">
        <f>Y8*D8</f>
        <v>310364244.53239828</v>
      </c>
      <c r="AC8" s="92">
        <f>-1+SUM(AB6:AB8)/SUM(AB3:AB4)</f>
        <v>0.19587682984048427</v>
      </c>
      <c r="AD8" s="21">
        <f ca="1">MC_High_ambition!I20</f>
        <v>9.5688216266663062</v>
      </c>
    </row>
    <row r="9" spans="1:30" ht="15.6" x14ac:dyDescent="0.3">
      <c r="A9" s="16"/>
      <c r="C9" s="76"/>
      <c r="D9" s="77"/>
      <c r="E9" s="78"/>
      <c r="F9" s="77"/>
      <c r="G9" s="79"/>
      <c r="H9" s="27"/>
      <c r="I9" s="27"/>
      <c r="J9" s="80"/>
      <c r="K9" s="81"/>
      <c r="L9" s="12"/>
      <c r="M9" s="66"/>
      <c r="N9" s="62"/>
      <c r="O9" s="62"/>
      <c r="P9" s="62"/>
      <c r="Q9" s="63"/>
      <c r="R9" s="63"/>
      <c r="S9" s="60"/>
      <c r="T9" s="60"/>
      <c r="U9" s="59"/>
      <c r="V9" s="59"/>
      <c r="W9" s="59"/>
      <c r="X9" s="59"/>
      <c r="Y9" s="97"/>
      <c r="Z9" s="37"/>
      <c r="AA9" s="113"/>
      <c r="AB9" s="59"/>
      <c r="AC9" s="92"/>
      <c r="AD9" s="21"/>
    </row>
    <row r="10" spans="1:30" ht="15.6" x14ac:dyDescent="0.3">
      <c r="A10" s="15" t="s">
        <v>110</v>
      </c>
      <c r="B10" t="str">
        <f>B6</f>
        <v>New-improved</v>
      </c>
      <c r="C10" s="76">
        <f>D10/SUM(D10:D12)</f>
        <v>3.7773611359175292E-2</v>
      </c>
      <c r="D10" s="77">
        <f>D3*C31</f>
        <v>5576.8217917579577</v>
      </c>
      <c r="E10" s="78">
        <f>E6</f>
        <v>0.27</v>
      </c>
      <c r="F10" s="77">
        <f>J10*(1/D10)</f>
        <v>1.2820105372710859</v>
      </c>
      <c r="G10" s="79"/>
      <c r="H10" s="78">
        <f>H6</f>
        <v>5.7</v>
      </c>
      <c r="I10" s="27">
        <f>I6</f>
        <v>0.44</v>
      </c>
      <c r="J10" s="80">
        <f>M10*K10</f>
        <v>7149.5443015167193</v>
      </c>
      <c r="K10" s="81">
        <f>C27</f>
        <v>0.03</v>
      </c>
      <c r="L10" s="12"/>
      <c r="M10" s="66">
        <f>([2]prod_herd_data!J34*[2]prod_herd_data!J40+[2]prod_herd_data!K34*[2]prod_herd_data!K40)*(1-C24)</f>
        <v>238318.14338389065</v>
      </c>
      <c r="N10" s="62">
        <f>Dairy_Income_Roadmap!C27</f>
        <v>1495.1172015495711</v>
      </c>
      <c r="O10" s="62">
        <f ca="1">Dairy_Income_Roadmap!C55</f>
        <v>77.743543925111254</v>
      </c>
      <c r="P10" s="62">
        <f>(F10*(Dairy_Income_Roadmap!C22+Dairy_Income_Baseline!B24)-F3*Dairy_Income_Baseline!B24)</f>
        <v>0.17628698141528126</v>
      </c>
      <c r="Q10" s="63">
        <f>(P10*(Dairy_Income_Roadmap!C19))</f>
        <v>83.417327319586278</v>
      </c>
      <c r="R10" s="63">
        <f>IF(P10&gt;0, P10*Dairy_Income_Roadmap!L19/12, 0)</f>
        <v>0.41133628996898963</v>
      </c>
      <c r="S10" s="60">
        <f>F10*I10*N10</f>
        <v>843.37264301039568</v>
      </c>
      <c r="T10" s="60">
        <f ca="1">F10*O10*I10</f>
        <v>43.85393870738767</v>
      </c>
      <c r="U10" s="59">
        <f t="shared" ref="U10:W12" si="3">U6</f>
        <v>596.85808340229812</v>
      </c>
      <c r="V10" s="59">
        <f>V3-Q10-R10</f>
        <v>1673.4153832981922</v>
      </c>
      <c r="W10" s="59">
        <f>W6</f>
        <v>86</v>
      </c>
      <c r="X10" s="59">
        <f>U10+V10</f>
        <v>2270.2734667004902</v>
      </c>
      <c r="Y10" s="97">
        <f t="shared" si="2"/>
        <v>2516.7880263085881</v>
      </c>
      <c r="Z10" s="37">
        <f>Z6</f>
        <v>2.9433727613268908E-2</v>
      </c>
      <c r="AA10" s="113">
        <f>D10*S10</f>
        <v>4703338.9341128794</v>
      </c>
      <c r="AB10" s="59">
        <f>Y10*D10</f>
        <v>14035678.310353234</v>
      </c>
      <c r="AC10" s="92"/>
      <c r="AD10" s="21"/>
    </row>
    <row r="11" spans="1:30" ht="15.6" x14ac:dyDescent="0.3">
      <c r="A11" s="17"/>
      <c r="B11" s="107" t="str">
        <f t="shared" ref="B11:B20" si="4">B7</f>
        <v>Local-only</v>
      </c>
      <c r="C11" s="76">
        <f>D11/SUM(D10:D12)</f>
        <v>0.40662181639582812</v>
      </c>
      <c r="D11" s="77">
        <f>D3*(1-C31)</f>
        <v>60032.846346570957</v>
      </c>
      <c r="E11" s="78">
        <f>E7</f>
        <v>0.67</v>
      </c>
      <c r="F11" s="77">
        <f>J11*(1/D11)</f>
        <v>5.677991189887404</v>
      </c>
      <c r="G11" s="79"/>
      <c r="H11" s="78">
        <f t="shared" ref="H11:H20" si="5">H7</f>
        <v>5.7</v>
      </c>
      <c r="I11" s="27">
        <f>I6</f>
        <v>0.44</v>
      </c>
      <c r="J11" s="80">
        <f>M11*K11</f>
        <v>340865.97265969415</v>
      </c>
      <c r="K11" s="81">
        <v>1</v>
      </c>
      <c r="L11" s="12"/>
      <c r="M11" s="66">
        <f>([2]prod_herd_data!J35*[2]prod_herd_data!J40+[2]prod_herd_data!K35*[2]prod_herd_data!K40)*C25</f>
        <v>340865.97265969415</v>
      </c>
      <c r="N11" s="62">
        <f>Dairy_Income_Roadmap!E27</f>
        <v>340.3171855089804</v>
      </c>
      <c r="O11" s="62">
        <f ca="1">Dairy_Income_Roadmap!E55</f>
        <v>26.763925699025812</v>
      </c>
      <c r="P11" s="62">
        <f>(F11*(Dairy_Income_Roadmap!E22 + Dairy_Income_Baseline!B24)  -   F3*Dairy_Income_Baseline!B24)</f>
        <v>1.169465331666258</v>
      </c>
      <c r="Q11" s="63">
        <f>(P11*(Dairy_Income_Roadmap!E19))</f>
        <v>553.37990121178859</v>
      </c>
      <c r="R11" s="63">
        <f>IF(P11&gt;0, P11*Dairy_Income_Roadmap!L19/12, 0)</f>
        <v>2.7287524405546022</v>
      </c>
      <c r="S11" s="60">
        <f>F11*I11*N11</f>
        <v>850.21991167839792</v>
      </c>
      <c r="T11" s="60">
        <f ca="1">F11*O11*I11</f>
        <v>66.864747103382641</v>
      </c>
      <c r="U11" s="59">
        <f t="shared" si="3"/>
        <v>596.85808340229812</v>
      </c>
      <c r="V11" s="59">
        <f>V3-Q11-R11</f>
        <v>1201.1353932554043</v>
      </c>
      <c r="W11" s="59">
        <f t="shared" si="3"/>
        <v>86</v>
      </c>
      <c r="X11" s="59">
        <f>U11+V11</f>
        <v>1797.9934766577026</v>
      </c>
      <c r="Y11" s="97">
        <f t="shared" si="2"/>
        <v>2051.3553049338025</v>
      </c>
      <c r="Z11" s="37">
        <f>Z3</f>
        <v>2.9433727613268908E-2</v>
      </c>
      <c r="AA11" s="113">
        <f>D11*S11</f>
        <v>51041121.31858439</v>
      </c>
      <c r="AB11" s="59">
        <f>Y11*D11</f>
        <v>123148697.82331418</v>
      </c>
      <c r="AC11" s="92"/>
      <c r="AD11" s="21"/>
    </row>
    <row r="12" spans="1:30" ht="15.6" x14ac:dyDescent="0.3">
      <c r="A12" s="15"/>
      <c r="B12" s="107" t="str">
        <f t="shared" si="4"/>
        <v>Extant-improved</v>
      </c>
      <c r="C12" s="76">
        <f>D12/SUM(D10:D12)</f>
        <v>0.5556045722449966</v>
      </c>
      <c r="D12" s="77">
        <f>D8</f>
        <v>82028.367810366151</v>
      </c>
      <c r="E12" s="78">
        <f>E8</f>
        <v>0.27</v>
      </c>
      <c r="F12" s="77">
        <f>J12*(1/D12)</f>
        <v>2.818154319695735</v>
      </c>
      <c r="G12" s="79"/>
      <c r="H12" s="78">
        <f t="shared" si="5"/>
        <v>5.4</v>
      </c>
      <c r="I12" s="27">
        <f>I8</f>
        <v>0.55710000000000004</v>
      </c>
      <c r="J12" s="80">
        <f t="shared" ref="J12" si="6">M12*K12</f>
        <v>231168.59908237393</v>
      </c>
      <c r="K12" s="81">
        <f>K4*(1-C27)</f>
        <v>0.97</v>
      </c>
      <c r="L12" s="12"/>
      <c r="M12" s="66">
        <f>M10</f>
        <v>238318.14338389065</v>
      </c>
      <c r="N12" s="62">
        <f>Dairy_Income_Roadmap!G27</f>
        <v>1662.110376985115</v>
      </c>
      <c r="O12" s="62">
        <f ca="1">Dairy_Income_Roadmap!G55</f>
        <v>72.290182306762318</v>
      </c>
      <c r="P12" s="62">
        <f>(F12*(Dairy_Income_Roadmap!G22 + Dairy_Income_Baseline!D24)  -   F4*Dairy_Income_Baseline!D24)</f>
        <v>0.5005134564407645</v>
      </c>
      <c r="Q12" s="63">
        <f>(P12*(Dairy_Income_Roadmap!G19))</f>
        <v>313.41672705646732</v>
      </c>
      <c r="R12" s="63">
        <f>IF(P12&gt;0, P12*Dairy_Income_Roadmap!L19/12, 0)</f>
        <v>1.1678647316951172</v>
      </c>
      <c r="S12" s="60">
        <f>F12*I12*N12</f>
        <v>2609.502939416293</v>
      </c>
      <c r="T12" s="60">
        <f ca="1">F12*O12*I12</f>
        <v>113.49513596239663</v>
      </c>
      <c r="U12" s="59">
        <f t="shared" si="3"/>
        <v>2234.1016028353906</v>
      </c>
      <c r="V12" s="59">
        <f>V4-Q12-R12</f>
        <v>1463.5565965293463</v>
      </c>
      <c r="W12" s="59">
        <f t="shared" si="3"/>
        <v>80</v>
      </c>
      <c r="X12" s="59">
        <f>U12+V12</f>
        <v>3697.6581993647369</v>
      </c>
      <c r="Y12" s="97">
        <f t="shared" si="2"/>
        <v>4073.0595359456393</v>
      </c>
      <c r="Z12" s="37">
        <f>Z8</f>
        <v>2.9433727613268908E-2</v>
      </c>
      <c r="AA12" s="113">
        <f>D12*S12</f>
        <v>214053266.91667131</v>
      </c>
      <c r="AB12" s="59">
        <f>Y12*D12</f>
        <v>334106425.72806817</v>
      </c>
      <c r="AC12" s="92">
        <f>-1+SUM(AB10:AB12)/SUM(AB3:AB4)</f>
        <v>0.2566847976718678</v>
      </c>
      <c r="AD12" s="21">
        <f ca="1">MC_Middle_road!I20</f>
        <v>7.6885065421440464</v>
      </c>
    </row>
    <row r="13" spans="1:30" ht="15.6" x14ac:dyDescent="0.3">
      <c r="A13" s="15"/>
      <c r="B13" s="107"/>
      <c r="C13" s="76"/>
      <c r="D13" s="77"/>
      <c r="E13" s="78"/>
      <c r="F13" s="77"/>
      <c r="G13" s="79"/>
      <c r="H13" s="78"/>
      <c r="I13" s="27"/>
      <c r="J13" s="80"/>
      <c r="K13" s="81"/>
      <c r="L13" s="12"/>
      <c r="M13" s="66"/>
      <c r="N13" s="62"/>
      <c r="O13" s="62"/>
      <c r="P13" s="62"/>
      <c r="Q13" s="63"/>
      <c r="R13" s="63"/>
      <c r="S13" s="60"/>
      <c r="T13" s="60"/>
      <c r="U13" s="59"/>
      <c r="V13" s="59"/>
      <c r="W13" s="59"/>
      <c r="X13" s="59"/>
      <c r="Y13" s="97"/>
      <c r="Z13" s="37"/>
      <c r="AA13" s="113"/>
      <c r="AB13" s="59"/>
      <c r="AC13" s="92"/>
      <c r="AD13" s="21"/>
    </row>
    <row r="14" spans="1:30" ht="15.6" x14ac:dyDescent="0.3">
      <c r="A14" s="15" t="s">
        <v>111</v>
      </c>
      <c r="B14" s="107" t="str">
        <f t="shared" si="4"/>
        <v>New-improved</v>
      </c>
      <c r="C14" s="76">
        <f>D14/SUM(D14:D16)</f>
        <v>8.8879085551000683E-3</v>
      </c>
      <c r="D14" s="77">
        <f>D3*C32</f>
        <v>1312.1933627665783</v>
      </c>
      <c r="E14" s="78">
        <f>E10</f>
        <v>0.27</v>
      </c>
      <c r="F14" s="77">
        <f>J14*(1/D14)</f>
        <v>1.9644155201899163</v>
      </c>
      <c r="G14" s="79"/>
      <c r="H14" s="78">
        <f t="shared" si="5"/>
        <v>5.7</v>
      </c>
      <c r="I14" s="27">
        <f>I11</f>
        <v>0.44</v>
      </c>
      <c r="J14" s="80">
        <f>M14*K14</f>
        <v>2577.6930073088633</v>
      </c>
      <c r="K14" s="81">
        <f>C28</f>
        <v>0.01</v>
      </c>
      <c r="L14" s="12"/>
      <c r="M14" s="66">
        <f>([2]prod_herd_data!J43*[2]prod_herd_data!J49+[2]prod_herd_data!K43*[2]prod_herd_data!K49)*(1-C24)</f>
        <v>257769.30073088632</v>
      </c>
      <c r="N14" s="62">
        <f>Dairy_Income_Roadmap!C27</f>
        <v>1495.1172015495711</v>
      </c>
      <c r="O14" s="62">
        <f ca="1">Dairy_Income_Roadmap!C55</f>
        <v>77.743543925111254</v>
      </c>
      <c r="P14" s="62">
        <f>(F14*(Dairy_Income_Roadmap!C22+ Dairy_Income_Baseline!B24)  -   F3*Dairy_Income_Baseline!B24)</f>
        <v>0.40722665831209254</v>
      </c>
      <c r="Q14" s="63">
        <f>(P14*(Dairy_Income_Roadmap!C19))</f>
        <v>192.6957916969387</v>
      </c>
      <c r="R14" s="63">
        <f>IF(P14&gt;0, P14*Dairy_Income_Roadmap!L19/12, 0)</f>
        <v>0.95019553606154927</v>
      </c>
      <c r="S14" s="60">
        <f>F14*I14*N14</f>
        <v>1292.2938314998328</v>
      </c>
      <c r="T14" s="60">
        <f ca="1">F14*O14*I14</f>
        <v>67.197074683664212</v>
      </c>
      <c r="U14" s="59">
        <f t="shared" ref="U14:U16" si="7">U10</f>
        <v>596.85808340229812</v>
      </c>
      <c r="V14" s="59">
        <f>V3-Q14-R14</f>
        <v>1563.5980596747474</v>
      </c>
      <c r="W14" s="59">
        <f t="shared" ref="W14:W20" si="8">W10</f>
        <v>86</v>
      </c>
      <c r="X14" s="59">
        <f>U14+V14</f>
        <v>2160.4561430770455</v>
      </c>
      <c r="Y14" s="97">
        <f t="shared" si="2"/>
        <v>2855.8918911745805</v>
      </c>
      <c r="Z14" s="37">
        <f>Z10</f>
        <v>2.9433727613268908E-2</v>
      </c>
      <c r="AA14" s="113">
        <f>D14*S14</f>
        <v>1695739.3884382714</v>
      </c>
      <c r="AB14" s="59">
        <f>Y14*D14</f>
        <v>3747482.3843781757</v>
      </c>
      <c r="AC14" s="92"/>
      <c r="AD14" s="21"/>
    </row>
    <row r="15" spans="1:30" ht="15.6" x14ac:dyDescent="0.3">
      <c r="A15" s="15"/>
      <c r="B15" s="107" t="str">
        <f t="shared" si="4"/>
        <v>Local-only</v>
      </c>
      <c r="C15" s="76">
        <f>D15/SUM(D14:D16)</f>
        <v>0.43550751919990333</v>
      </c>
      <c r="D15" s="77">
        <f>D3*(1-C32)</f>
        <v>64297.474775562332</v>
      </c>
      <c r="E15" s="78">
        <f>E11</f>
        <v>0.67</v>
      </c>
      <c r="F15" s="77">
        <f>J15*(1/D15)</f>
        <v>6.7135715843459556</v>
      </c>
      <c r="G15" s="79"/>
      <c r="H15" s="78">
        <f t="shared" si="5"/>
        <v>5.7</v>
      </c>
      <c r="I15" s="27">
        <f>I3</f>
        <v>0.44</v>
      </c>
      <c r="J15" s="80">
        <f>M15*K15</f>
        <v>431665.6995984161</v>
      </c>
      <c r="K15" s="81">
        <v>1</v>
      </c>
      <c r="L15" s="12"/>
      <c r="M15" s="66">
        <f>([2]prod_herd_data!J44*[2]prod_herd_data!J49+[2]prod_herd_data!K44*[2]prod_herd_data!K49)*C25</f>
        <v>431665.6995984161</v>
      </c>
      <c r="N15" s="62">
        <f>Dairy_Income_Roadmap!E27</f>
        <v>340.3171855089804</v>
      </c>
      <c r="O15" s="62">
        <f ca="1">Dairy_Income_Roadmap!E55</f>
        <v>26.763925699025812</v>
      </c>
      <c r="P15" s="62">
        <f>(F15*(Dairy_Income_Roadmap!E22 + Dairy_Income_Baseline!B24)  -   F3*Dairy_Income_Baseline!B24)</f>
        <v>1.4297354128483484</v>
      </c>
      <c r="Q15" s="63">
        <f>(P15*(Dairy_Income_Roadmap!E19))</f>
        <v>676.53723466409156</v>
      </c>
      <c r="R15" s="63">
        <f>IF(P15&gt;0, P15*Dairy_Income_Roadmap!L19/12, 0)</f>
        <v>3.3360492966461464</v>
      </c>
      <c r="S15" s="60">
        <f>F15*I15*N15</f>
        <v>1005.2872659709801</v>
      </c>
      <c r="T15" s="60">
        <f ca="1">F15*O15*I15</f>
        <v>79.05987366575151</v>
      </c>
      <c r="U15" s="59">
        <f t="shared" si="7"/>
        <v>596.85808340229812</v>
      </c>
      <c r="V15" s="59">
        <f>V3-Q15-R15</f>
        <v>1077.3707629470098</v>
      </c>
      <c r="W15" s="59">
        <f t="shared" si="8"/>
        <v>86</v>
      </c>
      <c r="X15" s="59">
        <f>U15+V15</f>
        <v>1674.2288463493078</v>
      </c>
      <c r="Y15" s="97">
        <f t="shared" si="2"/>
        <v>2082.6580289179901</v>
      </c>
      <c r="Z15" s="37">
        <f>Z11</f>
        <v>2.9433727613268908E-2</v>
      </c>
      <c r="AA15" s="113">
        <f>D15*S15</f>
        <v>64637432.625963114</v>
      </c>
      <c r="AB15" s="59">
        <f>Y15*D15</f>
        <v>133909652.08047684</v>
      </c>
      <c r="AC15" s="92"/>
      <c r="AD15" s="21"/>
    </row>
    <row r="16" spans="1:30" ht="15.6" x14ac:dyDescent="0.3">
      <c r="A16" s="16"/>
      <c r="B16" s="107" t="str">
        <f t="shared" si="4"/>
        <v>Extant-improved</v>
      </c>
      <c r="C16" s="76">
        <f>D16/SUM(D14:D16)</f>
        <v>0.5556045722449966</v>
      </c>
      <c r="D16" s="77">
        <f>D12</f>
        <v>82028.367810366151</v>
      </c>
      <c r="E16" s="78">
        <f>E12</f>
        <v>0.27</v>
      </c>
      <c r="F16" s="77">
        <f>J16*(1/D16)</f>
        <v>3.1110165243508381</v>
      </c>
      <c r="G16" s="79"/>
      <c r="H16" s="78">
        <f t="shared" si="5"/>
        <v>5.4</v>
      </c>
      <c r="I16" s="27">
        <f>I12</f>
        <v>0.55710000000000004</v>
      </c>
      <c r="J16" s="80">
        <f>M16*K16</f>
        <v>255191.60772357744</v>
      </c>
      <c r="K16" s="81">
        <f>K4*(1-C28)</f>
        <v>0.99</v>
      </c>
      <c r="L16" s="12"/>
      <c r="M16" s="66">
        <f>M14</f>
        <v>257769.30073088632</v>
      </c>
      <c r="N16" s="62">
        <f>Dairy_Income_Roadmap!G27</f>
        <v>1662.110376985115</v>
      </c>
      <c r="O16" s="62">
        <f ca="1">Dairy_Income_Roadmap!G55</f>
        <v>72.290182306762318</v>
      </c>
      <c r="P16" s="62">
        <f>(F16*(Dairy_Income_Roadmap!G22 + Dairy_Income_Baseline!D24)  -   F4*Dairy_Income_Baseline!D24)</f>
        <v>0.59738037650433817</v>
      </c>
      <c r="Q16" s="63">
        <f>(P16*(Dairy_Income_Roadmap!G19))</f>
        <v>374.07386355437234</v>
      </c>
      <c r="R16" s="63">
        <f>IF(P16&gt;0, P16*Dairy_Income_Roadmap!L19/12, 0)</f>
        <v>1.3938875451767891</v>
      </c>
      <c r="S16" s="60">
        <f>F16*I16*N16</f>
        <v>2880.6821216741109</v>
      </c>
      <c r="T16" s="60">
        <f ca="1">F16*O16*I16</f>
        <v>125.28953469467288</v>
      </c>
      <c r="U16" s="59">
        <f t="shared" si="7"/>
        <v>2234.1016028353906</v>
      </c>
      <c r="V16" s="59">
        <f>V4-Q16-R16</f>
        <v>1402.6734372179596</v>
      </c>
      <c r="W16" s="59">
        <f t="shared" si="8"/>
        <v>80</v>
      </c>
      <c r="X16" s="59">
        <f>U16+V16</f>
        <v>3636.7750400533505</v>
      </c>
      <c r="Y16" s="97">
        <f t="shared" si="2"/>
        <v>4283.3555588920708</v>
      </c>
      <c r="Z16" s="37">
        <f>Z12</f>
        <v>2.9433727613268908E-2</v>
      </c>
      <c r="AA16" s="113">
        <f>D16*S16</f>
        <v>236297652.62142992</v>
      </c>
      <c r="AB16" s="59">
        <f>Y16*D16</f>
        <v>351356665.24737525</v>
      </c>
      <c r="AC16" s="92">
        <f>-1+SUM(AB14:AB16)/SUM(AB3:AB4)</f>
        <v>0.30394271545830898</v>
      </c>
      <c r="AD16" s="21">
        <f ca="1">MC_Status_quo!I20</f>
        <v>8.8144223407076652</v>
      </c>
    </row>
    <row r="17" spans="1:30" ht="15.6" x14ac:dyDescent="0.3">
      <c r="A17" s="16"/>
      <c r="B17" s="107"/>
      <c r="C17" s="76"/>
      <c r="D17" s="77"/>
      <c r="E17" s="78"/>
      <c r="F17" s="77"/>
      <c r="G17" s="79"/>
      <c r="H17" s="78"/>
      <c r="I17" s="27"/>
      <c r="J17" s="80"/>
      <c r="K17" s="81"/>
      <c r="L17" s="12"/>
      <c r="M17" s="66"/>
      <c r="N17" s="62"/>
      <c r="O17" s="62"/>
      <c r="P17" s="62"/>
      <c r="Q17" s="63"/>
      <c r="R17" s="63"/>
      <c r="S17" s="60"/>
      <c r="T17" s="60"/>
      <c r="U17" s="59"/>
      <c r="V17" s="59"/>
      <c r="W17" s="59"/>
      <c r="X17" s="59"/>
      <c r="Y17" s="97"/>
      <c r="Z17" s="37"/>
      <c r="AA17" s="113"/>
      <c r="AB17" s="59"/>
      <c r="AC17" s="92"/>
      <c r="AD17" s="21"/>
    </row>
    <row r="18" spans="1:30" ht="15.6" x14ac:dyDescent="0.3">
      <c r="A18" s="15" t="s">
        <v>112</v>
      </c>
      <c r="B18" s="107" t="str">
        <f t="shared" si="4"/>
        <v>New-improved</v>
      </c>
      <c r="C18" s="76">
        <f>D18/SUM(D18:D20)</f>
        <v>6.6659314163250508E-2</v>
      </c>
      <c r="D18" s="77">
        <f>D3*C33</f>
        <v>9841.4502207493369</v>
      </c>
      <c r="E18" s="78">
        <f>E14</f>
        <v>0.27</v>
      </c>
      <c r="F18" s="77">
        <f>J18*(1/D18)</f>
        <v>1.5512206563708677</v>
      </c>
      <c r="G18" s="79"/>
      <c r="H18" s="78">
        <f t="shared" si="5"/>
        <v>5.7</v>
      </c>
      <c r="I18" s="27">
        <f>I14</f>
        <v>0.44</v>
      </c>
      <c r="J18" s="80">
        <f>M18*K18</f>
        <v>15266.260871072009</v>
      </c>
      <c r="K18" s="81">
        <f>C29</f>
        <v>0.05</v>
      </c>
      <c r="L18" s="12"/>
      <c r="M18" s="66">
        <f>([2]prod_herd_data!J58*[2]prod_herd_data!J52+[2]prod_herd_data!K58*[2]prod_herd_data!K52)*(1-C24)</f>
        <v>305325.21742144017</v>
      </c>
      <c r="N18" s="62">
        <f>Dairy_Income_Roadmap!C27</f>
        <v>1495.1172015495711</v>
      </c>
      <c r="O18" s="62">
        <f ca="1">Dairy_Income_Roadmap!C55</f>
        <v>77.743543925111254</v>
      </c>
      <c r="P18" s="62">
        <f>(F18*(Dairy_Income_Roadmap!C22 + Dairy_Income_Baseline!B24)  -   F3*Dairy_Income_Baseline!B24)</f>
        <v>0.26739314194818403</v>
      </c>
      <c r="Q18" s="63">
        <f>(P18*(Dairy_Income_Roadmap!C19))</f>
        <v>126.52789823633996</v>
      </c>
      <c r="R18" s="63">
        <f>IF(P18&gt;0, P18*Dairy_Income_Roadmap!L19/12, 0)</f>
        <v>0.62391733121242943</v>
      </c>
      <c r="S18" s="60">
        <f>F18*I18*N18</f>
        <v>1020.4729421652041</v>
      </c>
      <c r="T18" s="60">
        <f ca="1">F18*O18*I18</f>
        <v>53.062852143887724</v>
      </c>
      <c r="U18" s="59">
        <f t="shared" ref="U18:U20" si="9">U14</f>
        <v>596.85808340229812</v>
      </c>
      <c r="V18" s="59">
        <f>V3-Q18-R18</f>
        <v>1630.0922313401952</v>
      </c>
      <c r="W18" s="59">
        <f t="shared" si="8"/>
        <v>86</v>
      </c>
      <c r="X18" s="59">
        <f>U18+V18</f>
        <v>2226.9503147424934</v>
      </c>
      <c r="Y18" s="97">
        <f t="shared" si="2"/>
        <v>2650.5651735053993</v>
      </c>
      <c r="Z18" s="37">
        <f>Z14</f>
        <v>2.9433727613268908E-2</v>
      </c>
      <c r="AA18" s="113">
        <f>D18*S18</f>
        <v>10042933.661940474</v>
      </c>
      <c r="AB18" s="59">
        <f>Y18*D18</f>
        <v>26085405.211905219</v>
      </c>
      <c r="AC18" s="92"/>
      <c r="AD18" s="21"/>
    </row>
    <row r="19" spans="1:30" ht="15.6" x14ac:dyDescent="0.3">
      <c r="A19" s="15"/>
      <c r="B19" s="107" t="str">
        <f t="shared" si="4"/>
        <v>Local-only</v>
      </c>
      <c r="C19" s="76">
        <f>D19/SUM(D18:D20)</f>
        <v>0.37773611359175291</v>
      </c>
      <c r="D19" s="77">
        <f>D3*(1-C33)</f>
        <v>55768.217917579575</v>
      </c>
      <c r="E19" s="78">
        <f>E15</f>
        <v>0.67</v>
      </c>
      <c r="F19" s="77">
        <f>J19*(1/D19)</f>
        <v>6.6110463820347922</v>
      </c>
      <c r="G19" s="79"/>
      <c r="H19" s="78">
        <f t="shared" si="5"/>
        <v>5.7</v>
      </c>
      <c r="I19" s="27">
        <f>I15</f>
        <v>0.44</v>
      </c>
      <c r="J19" s="80">
        <f t="shared" ref="J19" si="10">M19*K19</f>
        <v>368686.27529654233</v>
      </c>
      <c r="K19" s="81">
        <v>1</v>
      </c>
      <c r="L19" s="12"/>
      <c r="M19" s="66">
        <f>([2]prod_herd_data!J58*[2]prod_herd_data!J53+[2]prod_herd_data!K58*[2]prod_herd_data!K53)*C25</f>
        <v>368686.27529654233</v>
      </c>
      <c r="N19" s="62">
        <f>Dairy_Income_Roadmap!E27</f>
        <v>340.3171855089804</v>
      </c>
      <c r="O19" s="62">
        <f ca="1">Dairy_Income_Roadmap!E55</f>
        <v>26.763925699025812</v>
      </c>
      <c r="P19" s="62">
        <f>(F19*(Dairy_Income_Roadmap!E22 + Dairy_Income_Baseline!B24)  -   F3*Dairy_Income_Baseline!B24)</f>
        <v>1.4039679853540412</v>
      </c>
      <c r="Q19" s="63">
        <f>(P19*(Dairy_Income_Roadmap!E19))</f>
        <v>664.34433240766884</v>
      </c>
      <c r="R19" s="63">
        <f>IF(P19&gt;0, P19*Dairy_Income_Roadmap!L19/12, 0)</f>
        <v>3.2759252991594292</v>
      </c>
      <c r="S19" s="60">
        <f>F19*I19*N19</f>
        <v>989.93518712149955</v>
      </c>
      <c r="T19" s="60">
        <f ca="1">F19*O19*I19</f>
        <v>77.85252383110074</v>
      </c>
      <c r="U19" s="59">
        <f t="shared" si="9"/>
        <v>596.85808340229812</v>
      </c>
      <c r="V19" s="59">
        <f>V3-Q19-R19</f>
        <v>1089.6237892009194</v>
      </c>
      <c r="W19" s="59">
        <f t="shared" si="8"/>
        <v>86</v>
      </c>
      <c r="X19" s="59">
        <f>U19+V19</f>
        <v>1686.4818726032177</v>
      </c>
      <c r="Y19" s="97">
        <f t="shared" si="2"/>
        <v>2079.5589763224189</v>
      </c>
      <c r="Z19" s="37">
        <f>Z15</f>
        <v>2.9433727613268908E-2</v>
      </c>
      <c r="AA19" s="113">
        <f>D19*S19</f>
        <v>55206921.2396717</v>
      </c>
      <c r="AB19" s="59">
        <f>Y19*D19</f>
        <v>115973298.16400737</v>
      </c>
      <c r="AC19" s="92"/>
      <c r="AD19" s="21"/>
    </row>
    <row r="20" spans="1:30" ht="15.6" x14ac:dyDescent="0.3">
      <c r="A20" s="17"/>
      <c r="B20" s="107" t="str">
        <f t="shared" si="4"/>
        <v>Extant-improved</v>
      </c>
      <c r="C20" s="76">
        <f>D20/SUM(D18:D20)</f>
        <v>0.5556045722449966</v>
      </c>
      <c r="D20" s="77">
        <f>D16</f>
        <v>82028.367810366151</v>
      </c>
      <c r="E20" s="78">
        <f>E16</f>
        <v>0.27</v>
      </c>
      <c r="F20" s="77">
        <f>J20*(1/D20)</f>
        <v>3.5360810448030473</v>
      </c>
      <c r="G20" s="79"/>
      <c r="H20" s="78">
        <f t="shared" si="5"/>
        <v>5.4</v>
      </c>
      <c r="I20" s="27">
        <f>I16</f>
        <v>0.55710000000000004</v>
      </c>
      <c r="J20" s="80">
        <f>M20*K20</f>
        <v>290058.95655036817</v>
      </c>
      <c r="K20" s="81">
        <f>K4*(1-C29)</f>
        <v>0.95</v>
      </c>
      <c r="L20" s="12"/>
      <c r="M20" s="66">
        <f>M18</f>
        <v>305325.21742144017</v>
      </c>
      <c r="N20" s="62">
        <f>Dairy_Income_Roadmap!G27</f>
        <v>1662.110376985115</v>
      </c>
      <c r="O20" s="62">
        <f ca="1">Dairy_Income_Roadmap!G55</f>
        <v>72.290182306762318</v>
      </c>
      <c r="P20" s="62">
        <f>(F20*(Dairy_Income_Roadmap!G22+ Dairy_Income_Baseline!D24)  -   F4*Dairy_Income_Baseline!D24)</f>
        <v>0.73797445204575518</v>
      </c>
      <c r="Q20" s="63">
        <f>(P20*(Dairy_Income_Roadmap!G19))</f>
        <v>462.11252551777085</v>
      </c>
      <c r="R20" s="63">
        <f>IF(P20&gt;0, P20*Dairy_Income_Roadmap!L19/12, 0)</f>
        <v>1.7219403881067621</v>
      </c>
      <c r="S20" s="60">
        <f>F20*I20*N20</f>
        <v>3274.2755838239673</v>
      </c>
      <c r="T20" s="60">
        <f ca="1">F20*O20*I20</f>
        <v>142.4080988571645</v>
      </c>
      <c r="U20" s="59">
        <f t="shared" si="9"/>
        <v>2234.1016028353906</v>
      </c>
      <c r="V20" s="59">
        <f>V4-Q20-R20</f>
        <v>1314.3067224116312</v>
      </c>
      <c r="W20" s="59">
        <f t="shared" si="8"/>
        <v>80</v>
      </c>
      <c r="X20" s="59">
        <f>U20+V20</f>
        <v>3548.4083252470218</v>
      </c>
      <c r="Y20" s="97">
        <f t="shared" si="2"/>
        <v>4588.5823062355985</v>
      </c>
      <c r="Z20" s="37">
        <f>Z16</f>
        <v>2.9433727613268908E-2</v>
      </c>
      <c r="AA20" s="113">
        <f>D20*S20</f>
        <v>268583481.90241373</v>
      </c>
      <c r="AB20" s="59">
        <f>Y20*D20</f>
        <v>376393917.14403182</v>
      </c>
      <c r="AC20" s="92">
        <f>-1+SUM(AB18:AB20)/SUM(AB3:AB4)</f>
        <v>0.38244057373243279</v>
      </c>
      <c r="AD20" s="21">
        <f ca="1">MC_High_ambition_plus!I20</f>
        <v>14.720777177689751</v>
      </c>
    </row>
    <row r="21" spans="1:30" x14ac:dyDescent="0.3">
      <c r="M21" s="88" t="s">
        <v>85</v>
      </c>
      <c r="N21" s="89">
        <f>([2]prod_herd_data!J8+[2]prod_herd_data!K8)</f>
        <v>996179.17784934677</v>
      </c>
    </row>
    <row r="22" spans="1:30" ht="15.6" x14ac:dyDescent="0.3">
      <c r="A22" s="111" t="s">
        <v>51</v>
      </c>
      <c r="B22" s="74"/>
      <c r="C22" s="74"/>
      <c r="D22" s="74" t="s">
        <v>115</v>
      </c>
      <c r="E22" s="74"/>
      <c r="F22" s="74"/>
    </row>
    <row r="23" spans="1:30" x14ac:dyDescent="0.3">
      <c r="A23" s="93" t="s">
        <v>113</v>
      </c>
      <c r="B23" s="74"/>
      <c r="C23" s="74">
        <f>532194/(250800+532194)</f>
        <v>0.67969103211518866</v>
      </c>
      <c r="D23" s="74"/>
      <c r="E23" s="74"/>
      <c r="F23" s="74"/>
    </row>
    <row r="24" spans="1:30" x14ac:dyDescent="0.3">
      <c r="A24" s="93" t="s">
        <v>114</v>
      </c>
      <c r="B24" s="74"/>
      <c r="C24" s="74">
        <f>9226165/(9226165+3518000)</f>
        <v>0.723952098862499</v>
      </c>
      <c r="D24" s="74"/>
      <c r="E24" s="74"/>
      <c r="F24" s="74"/>
    </row>
    <row r="25" spans="1:30" x14ac:dyDescent="0.3">
      <c r="A25" s="93" t="s">
        <v>34</v>
      </c>
      <c r="B25" s="74"/>
      <c r="C25" s="74">
        <f>1-0</f>
        <v>1</v>
      </c>
      <c r="D25" s="74"/>
      <c r="E25" s="74"/>
      <c r="F25" s="74"/>
    </row>
    <row r="26" spans="1:30" x14ac:dyDescent="0.3">
      <c r="A26" s="108" t="s">
        <v>89</v>
      </c>
      <c r="B26" s="74" t="str">
        <f>A6</f>
        <v>High ambition</v>
      </c>
      <c r="C26" s="74">
        <f>0.05</f>
        <v>0.05</v>
      </c>
      <c r="D26" s="74"/>
      <c r="E26" s="74"/>
      <c r="F26" s="74"/>
      <c r="O26" s="2" t="s">
        <v>84</v>
      </c>
      <c r="P26" s="2"/>
    </row>
    <row r="27" spans="1:30" x14ac:dyDescent="0.3">
      <c r="A27" s="108"/>
      <c r="B27" s="74" t="str">
        <f>A10</f>
        <v>Middle road</v>
      </c>
      <c r="C27" s="74">
        <f>0.5*(C26-C28)+C28</f>
        <v>0.03</v>
      </c>
      <c r="D27" s="74"/>
      <c r="E27" s="74"/>
      <c r="F27" s="74"/>
      <c r="O27" s="82" t="s">
        <v>20</v>
      </c>
      <c r="P27" s="82"/>
      <c r="Q27" s="18"/>
      <c r="R27" s="18"/>
      <c r="S27" s="8"/>
      <c r="T27" s="8"/>
    </row>
    <row r="28" spans="1:30" x14ac:dyDescent="0.3">
      <c r="A28" s="108"/>
      <c r="B28" s="74" t="str">
        <f>A14</f>
        <v>Status quo</v>
      </c>
      <c r="C28" s="74">
        <f>0.01</f>
        <v>0.01</v>
      </c>
      <c r="D28" s="74"/>
      <c r="E28" s="74"/>
      <c r="F28" s="74"/>
      <c r="M28" s="18"/>
      <c r="O28" s="74" t="s">
        <v>24</v>
      </c>
      <c r="P28" s="74"/>
      <c r="Q28" s="23"/>
      <c r="R28" s="23"/>
    </row>
    <row r="29" spans="1:30" x14ac:dyDescent="0.3">
      <c r="A29" s="108"/>
      <c r="B29" s="74" t="str">
        <f>A18</f>
        <v>High ambition ++</v>
      </c>
      <c r="C29" s="74">
        <f>C26</f>
        <v>0.05</v>
      </c>
      <c r="D29" s="74"/>
      <c r="E29" s="74"/>
      <c r="F29" s="74"/>
      <c r="M29" s="18"/>
      <c r="O29" s="87" t="s">
        <v>14</v>
      </c>
      <c r="P29" s="87"/>
      <c r="Q29" s="23"/>
      <c r="R29" s="23"/>
    </row>
    <row r="30" spans="1:30" x14ac:dyDescent="0.3">
      <c r="A30" s="109" t="s">
        <v>96</v>
      </c>
      <c r="B30" s="74" t="str">
        <f>A6</f>
        <v>High ambition</v>
      </c>
      <c r="C30" s="75">
        <f>0.15</f>
        <v>0.15</v>
      </c>
      <c r="D30" s="75">
        <f>(C6+C8)/SUM(C6,C7,C8)</f>
        <v>0.62226388640824715</v>
      </c>
      <c r="E30" s="44"/>
      <c r="F30" s="75"/>
      <c r="M30" s="23"/>
      <c r="O30" s="19"/>
      <c r="P30" s="19"/>
      <c r="Q30" s="19"/>
      <c r="R30" s="19"/>
    </row>
    <row r="31" spans="1:30" x14ac:dyDescent="0.3">
      <c r="A31" s="109"/>
      <c r="B31" s="74" t="str">
        <f>B27</f>
        <v>Middle road</v>
      </c>
      <c r="C31" s="75">
        <f>C32+(C30-C32)*0.5</f>
        <v>8.5000000000000006E-2</v>
      </c>
      <c r="D31" s="75">
        <f>(C10+C12)/SUM(C10,C11,C12)</f>
        <v>0.59337818360417194</v>
      </c>
      <c r="E31" s="44"/>
      <c r="F31" s="74"/>
      <c r="M31" s="19"/>
      <c r="O31" s="24"/>
      <c r="P31" s="24"/>
      <c r="Q31" s="24"/>
      <c r="R31" s="24"/>
    </row>
    <row r="32" spans="1:30" x14ac:dyDescent="0.3">
      <c r="A32" s="109"/>
      <c r="B32" s="74" t="str">
        <f>B28</f>
        <v>Status quo</v>
      </c>
      <c r="C32" s="75">
        <f>0.02</f>
        <v>0.02</v>
      </c>
      <c r="D32" s="75">
        <f>(C14+C16)/SUM(C14,C15,C16)</f>
        <v>0.56449248080009662</v>
      </c>
      <c r="E32" s="44"/>
      <c r="F32" s="74"/>
      <c r="M32" s="19"/>
      <c r="O32" s="24"/>
      <c r="P32" s="24"/>
      <c r="Q32" s="24"/>
      <c r="R32" s="24"/>
    </row>
    <row r="33" spans="1:18" x14ac:dyDescent="0.3">
      <c r="A33" s="74"/>
      <c r="B33" s="74" t="str">
        <f>B29</f>
        <v>High ambition ++</v>
      </c>
      <c r="C33" s="75">
        <f>C30</f>
        <v>0.15</v>
      </c>
      <c r="D33" s="75">
        <f>(C18+C20)/SUM(C18,C19,C20)</f>
        <v>0.62226388640824715</v>
      </c>
      <c r="E33" s="44"/>
      <c r="F33" s="74"/>
      <c r="M33" s="24"/>
      <c r="O33" s="25"/>
      <c r="P33" s="25"/>
      <c r="Q33" s="25"/>
      <c r="R33" s="25"/>
    </row>
    <row r="34" spans="1:18" x14ac:dyDescent="0.3">
      <c r="B34" s="54"/>
      <c r="C34" s="54"/>
      <c r="D34" s="54"/>
      <c r="E34" s="54"/>
      <c r="F34" s="54"/>
      <c r="M34" s="25"/>
      <c r="O34" s="26"/>
      <c r="P34" s="26"/>
      <c r="Q34" s="26"/>
      <c r="R34" s="26"/>
    </row>
    <row r="35" spans="1:18" x14ac:dyDescent="0.3">
      <c r="M35" s="26"/>
      <c r="N35" s="18">
        <f>[1]All!$B$12</f>
        <v>285</v>
      </c>
      <c r="O35" s="18" t="s">
        <v>22</v>
      </c>
      <c r="P35" s="18"/>
      <c r="Q35" s="18"/>
      <c r="R35" s="18"/>
    </row>
    <row r="37" spans="1:18" x14ac:dyDescent="0.3">
      <c r="E37" s="37"/>
      <c r="F37" s="37"/>
      <c r="G37" s="37"/>
      <c r="H37" s="37"/>
      <c r="I37" s="37"/>
    </row>
    <row r="38" spans="1:18" ht="15.6" x14ac:dyDescent="0.3">
      <c r="E38" s="37"/>
      <c r="F38" s="37"/>
      <c r="G38" s="37"/>
      <c r="H38" s="37"/>
      <c r="I38" s="37"/>
      <c r="N38" s="40"/>
    </row>
    <row r="39" spans="1:18" x14ac:dyDescent="0.3">
      <c r="E39" s="37"/>
      <c r="F39" s="37"/>
      <c r="G39" s="37"/>
      <c r="H39" s="37"/>
      <c r="I39" s="37"/>
    </row>
    <row r="41" spans="1:18" x14ac:dyDescent="0.3">
      <c r="E41" s="33"/>
      <c r="F41" s="33"/>
      <c r="G41" s="33"/>
      <c r="H41" s="33"/>
      <c r="I41" s="33"/>
    </row>
    <row r="42" spans="1:18" x14ac:dyDescent="0.3">
      <c r="E42" s="33"/>
      <c r="F42" s="33"/>
      <c r="G42" s="33"/>
      <c r="H42" s="33"/>
      <c r="I42" s="33"/>
    </row>
    <row r="43" spans="1:18" x14ac:dyDescent="0.3">
      <c r="E43" s="33"/>
      <c r="F43" s="33"/>
      <c r="G43" s="33"/>
      <c r="H43" s="33"/>
      <c r="I43" s="33"/>
    </row>
    <row r="45" spans="1:18" x14ac:dyDescent="0.3">
      <c r="H45" s="37"/>
    </row>
    <row r="49" spans="4:10" x14ac:dyDescent="0.3">
      <c r="H49" s="37"/>
    </row>
    <row r="52" spans="4:10" x14ac:dyDescent="0.3">
      <c r="D52" s="36"/>
      <c r="E52" s="36"/>
      <c r="F52" s="36"/>
      <c r="G52" s="36"/>
      <c r="H52" s="36"/>
    </row>
    <row r="53" spans="4:10" x14ac:dyDescent="0.3">
      <c r="D53" s="36"/>
      <c r="E53" s="36"/>
      <c r="F53" s="36"/>
      <c r="G53" s="36"/>
      <c r="H53" s="36"/>
    </row>
    <row r="54" spans="4:10" x14ac:dyDescent="0.3">
      <c r="D54" s="36"/>
      <c r="E54" s="36"/>
      <c r="F54" s="36"/>
      <c r="G54" s="36"/>
      <c r="H54" s="36"/>
    </row>
    <row r="56" spans="4:10" x14ac:dyDescent="0.3">
      <c r="F56" s="36"/>
      <c r="G56" s="36"/>
    </row>
    <row r="57" spans="4:10" x14ac:dyDescent="0.3">
      <c r="D57" s="35"/>
      <c r="E57" s="35"/>
      <c r="F57" s="35"/>
      <c r="G57" s="35"/>
      <c r="H57" s="35"/>
    </row>
    <row r="58" spans="4:10" x14ac:dyDescent="0.3">
      <c r="D58" s="35"/>
      <c r="E58" s="35"/>
      <c r="F58" s="35"/>
      <c r="G58" s="35"/>
      <c r="H58" s="35"/>
    </row>
    <row r="59" spans="4:10" x14ac:dyDescent="0.3">
      <c r="D59" s="35"/>
      <c r="E59" s="35"/>
      <c r="F59" s="35"/>
      <c r="G59" s="35"/>
      <c r="H59" s="35"/>
    </row>
    <row r="60" spans="4:10" x14ac:dyDescent="0.3">
      <c r="F60" s="36"/>
      <c r="G60" s="36"/>
    </row>
    <row r="64" spans="4:10" x14ac:dyDescent="0.3">
      <c r="F64" s="36"/>
      <c r="G64" s="36"/>
      <c r="H64" s="33"/>
      <c r="I64" s="33"/>
      <c r="J64" s="33"/>
    </row>
    <row r="65" spans="4:10" x14ac:dyDescent="0.3">
      <c r="H65" s="33"/>
      <c r="I65" s="33"/>
      <c r="J65" s="33"/>
    </row>
    <row r="66" spans="4:10" x14ac:dyDescent="0.3">
      <c r="H66" s="33"/>
      <c r="I66" s="33"/>
      <c r="J66" s="33"/>
    </row>
    <row r="72" spans="4:10" x14ac:dyDescent="0.3">
      <c r="D72" s="6"/>
      <c r="E72" s="6"/>
      <c r="F72" s="6"/>
      <c r="G72" s="6"/>
      <c r="H72" s="6"/>
    </row>
    <row r="73" spans="4:10" x14ac:dyDescent="0.3">
      <c r="D73" s="6"/>
      <c r="E73" s="6"/>
      <c r="F73" s="6"/>
      <c r="G73" s="6"/>
      <c r="H73" s="6"/>
    </row>
    <row r="74" spans="4:10" x14ac:dyDescent="0.3">
      <c r="D74" s="6"/>
      <c r="E74" s="6"/>
      <c r="F74" s="6"/>
      <c r="G74" s="6"/>
      <c r="H74" s="6"/>
    </row>
    <row r="75" spans="4:10" x14ac:dyDescent="0.3">
      <c r="F75" s="6"/>
      <c r="G75" s="6"/>
    </row>
    <row r="79" spans="4:10" x14ac:dyDescent="0.3">
      <c r="F79" s="6"/>
      <c r="G79" s="6"/>
    </row>
    <row r="81" spans="3:9" x14ac:dyDescent="0.3">
      <c r="C81" s="13"/>
      <c r="D81" s="13"/>
      <c r="E81" s="3"/>
      <c r="F81" s="3"/>
      <c r="G81" s="3"/>
      <c r="H81" s="34"/>
      <c r="I81" s="3"/>
    </row>
    <row r="82" spans="3:9" x14ac:dyDescent="0.3">
      <c r="C82" s="13"/>
      <c r="D82" s="13"/>
      <c r="E82" s="3"/>
      <c r="F82" s="3"/>
      <c r="G82" s="3"/>
      <c r="H82" s="30"/>
      <c r="I82" s="3"/>
    </row>
    <row r="83" spans="3:9" x14ac:dyDescent="0.3">
      <c r="C83" s="13"/>
      <c r="D83" s="13"/>
      <c r="E83" s="3"/>
      <c r="F83" s="3"/>
      <c r="G83" s="3"/>
      <c r="H83" s="3"/>
      <c r="I83" s="3"/>
    </row>
    <row r="84" spans="3:9" x14ac:dyDescent="0.3">
      <c r="H84" s="3"/>
    </row>
    <row r="85" spans="3:9" x14ac:dyDescent="0.3">
      <c r="E85" s="35"/>
      <c r="F85" s="35"/>
      <c r="G85" s="35"/>
      <c r="H85" s="35"/>
      <c r="I85" s="35"/>
    </row>
    <row r="86" spans="3:9" x14ac:dyDescent="0.3">
      <c r="E86" s="35"/>
      <c r="F86" s="35"/>
      <c r="G86" s="35"/>
      <c r="H86" s="35"/>
      <c r="I86" s="35"/>
    </row>
    <row r="87" spans="3:9" x14ac:dyDescent="0.3">
      <c r="C87" s="33"/>
      <c r="D87" s="33"/>
      <c r="E87" s="35"/>
      <c r="F87" s="35"/>
      <c r="G87" s="35"/>
      <c r="H87" s="35"/>
      <c r="I87" s="35"/>
    </row>
    <row r="88" spans="3:9" x14ac:dyDescent="0.3">
      <c r="C88" s="33"/>
      <c r="D88" s="33"/>
    </row>
    <row r="89" spans="3:9" x14ac:dyDescent="0.3">
      <c r="C89" s="33"/>
      <c r="D89" s="33"/>
      <c r="E89" s="33"/>
    </row>
    <row r="92" spans="3:9" x14ac:dyDescent="0.3">
      <c r="H92" s="3"/>
    </row>
  </sheetData>
  <mergeCells count="4">
    <mergeCell ref="N1:T1"/>
    <mergeCell ref="U1:Y1"/>
    <mergeCell ref="Z1:AB1"/>
    <mergeCell ref="C1:M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88EDE-12DA-4CAF-943A-CB3A50FD7EE1}">
  <dimension ref="A1:H128"/>
  <sheetViews>
    <sheetView workbookViewId="0">
      <selection activeCell="B3" sqref="B3"/>
    </sheetView>
  </sheetViews>
  <sheetFormatPr defaultRowHeight="14.4" x14ac:dyDescent="0.3"/>
  <cols>
    <col min="1" max="1" width="37" customWidth="1"/>
    <col min="2" max="2" width="12.77734375" customWidth="1"/>
    <col min="3" max="3" width="14" customWidth="1"/>
    <col min="5" max="5" width="19.77734375" bestFit="1" customWidth="1"/>
    <col min="6" max="6" width="8.88671875" customWidth="1"/>
    <col min="7" max="7" width="31.5546875" customWidth="1"/>
  </cols>
  <sheetData>
    <row r="1" spans="1:7" x14ac:dyDescent="0.3">
      <c r="B1" s="115" t="s">
        <v>107</v>
      </c>
      <c r="C1" s="115" t="s">
        <v>108</v>
      </c>
      <c r="E1" s="2" t="s">
        <v>38</v>
      </c>
      <c r="F1" s="2"/>
      <c r="G1" s="2"/>
    </row>
    <row r="2" spans="1:7" x14ac:dyDescent="0.3">
      <c r="A2" s="116" t="s">
        <v>117</v>
      </c>
      <c r="B2" s="33">
        <f>Mappings!N3</f>
        <v>84.737089689012336</v>
      </c>
      <c r="C2" s="33">
        <f>Mappings!N4</f>
        <v>585.73698241090847</v>
      </c>
      <c r="D2" s="33"/>
      <c r="E2" s="33"/>
      <c r="F2" s="33"/>
      <c r="G2" s="33"/>
    </row>
    <row r="3" spans="1:7" x14ac:dyDescent="0.3">
      <c r="A3" s="116" t="s">
        <v>118</v>
      </c>
      <c r="B3" s="33">
        <f ca="1">_xlfn.NORM.INV(RAND(),Mappings!N3,Mappings!O3)</f>
        <v>293.34413898573484</v>
      </c>
      <c r="C3" s="33">
        <f ca="1">_xlfn.NORM.INV(RAND(),Mappings!N4,Mappings!O4)</f>
        <v>776.58809065600849</v>
      </c>
      <c r="D3" s="33"/>
      <c r="E3" s="33"/>
      <c r="F3" s="33"/>
      <c r="G3" s="33"/>
    </row>
    <row r="4" spans="1:7" x14ac:dyDescent="0.3">
      <c r="A4" s="116" t="s">
        <v>119</v>
      </c>
      <c r="B4" s="33">
        <f>Mappings!F3*Mappings!I3</f>
        <v>2.1120000000000001</v>
      </c>
      <c r="C4" s="33">
        <f>Mappings!F4*Mappings!I4</f>
        <v>1.4819940774000002</v>
      </c>
      <c r="D4" s="33"/>
      <c r="E4" s="33"/>
      <c r="F4" s="33"/>
      <c r="G4" s="33"/>
    </row>
    <row r="5" spans="1:7" x14ac:dyDescent="0.3">
      <c r="A5" s="116" t="s">
        <v>39</v>
      </c>
      <c r="B5" s="33">
        <f ca="1">_xlfn.NORM.INV(RAND(),B4,B4*Mappings!E3)*0+B4</f>
        <v>2.1120000000000001</v>
      </c>
      <c r="C5" s="33">
        <f ca="1">_xlfn.NORM.INV(RAND(),C4,C4*Mappings!E4)*0+C4</f>
        <v>1.4819940774000002</v>
      </c>
      <c r="D5" s="33"/>
      <c r="E5" s="33"/>
      <c r="F5" s="33"/>
      <c r="G5" s="33"/>
    </row>
    <row r="6" spans="1:7" x14ac:dyDescent="0.3">
      <c r="A6" s="116" t="s">
        <v>120</v>
      </c>
      <c r="B6" s="33">
        <f>Mappings!V3</f>
        <v>1757.2440469077476</v>
      </c>
      <c r="C6" s="33">
        <f>Mappings!V4</f>
        <v>1778.1411883175087</v>
      </c>
      <c r="D6" s="33"/>
      <c r="E6" s="33"/>
      <c r="F6" s="33"/>
      <c r="G6" s="33"/>
    </row>
    <row r="7" spans="1:7" x14ac:dyDescent="0.3">
      <c r="A7" s="116" t="s">
        <v>121</v>
      </c>
      <c r="B7" s="33">
        <f ca="1">_xlfn.NORM.INV(RAND(),B6,Mappings!W3*B6/100)*0+B6</f>
        <v>1757.2440469077476</v>
      </c>
      <c r="C7" s="33">
        <f ca="1">_xlfn.NORM.INV(RAND(),C6,Mappings!W4*C6/100)*0+C6</f>
        <v>1778.1411883175087</v>
      </c>
      <c r="D7" s="33"/>
      <c r="E7" s="33"/>
      <c r="F7" s="33"/>
      <c r="G7" s="33"/>
    </row>
    <row r="8" spans="1:7" s="102" customFormat="1" x14ac:dyDescent="0.3">
      <c r="A8" s="116" t="s">
        <v>101</v>
      </c>
      <c r="B8" s="33">
        <f>Mappings!Q3</f>
        <v>44.606958098634109</v>
      </c>
      <c r="C8" s="33">
        <f>Mappings!Q4</f>
        <v>30.361004885281496</v>
      </c>
      <c r="D8" s="33"/>
      <c r="E8" s="33"/>
      <c r="F8" s="33"/>
      <c r="G8" s="33"/>
    </row>
    <row r="9" spans="1:7" s="102" customFormat="1" x14ac:dyDescent="0.3">
      <c r="A9" s="116" t="s">
        <v>122</v>
      </c>
      <c r="B9" s="33">
        <f ca="1">IF(B8&gt;0,_xlfn.NORM.INV(RAND(),B8,B8*Dairy_Income_Roadmap!L38),_xlfn.NORM.INV(RAND(),ABS(B8),ABS(B8)*Dairy_Income_Roadmap!L38))</f>
        <v>6.5123785237858982</v>
      </c>
      <c r="C9" s="33">
        <f ca="1">IF(C8&gt;0,_xlfn.NORM.INV(RAND(),C8,C8*Dairy_Income_Roadmap!L38),_xlfn.NORM.INV(RAND(),ABS(C8),ABS(C8)*Dairy_Income_Roadmap!L38))</f>
        <v>35.080169237641655</v>
      </c>
      <c r="D9" s="33"/>
      <c r="E9" s="33"/>
      <c r="F9" s="33"/>
      <c r="G9" s="33"/>
    </row>
    <row r="10" spans="1:7" x14ac:dyDescent="0.3">
      <c r="A10" s="116" t="s">
        <v>40</v>
      </c>
      <c r="B10" s="33">
        <f>Mappings!D3</f>
        <v>65609.668138328911</v>
      </c>
      <c r="C10" s="33">
        <f>Mappings!D4</f>
        <v>82028.367810366151</v>
      </c>
      <c r="D10" s="33"/>
      <c r="E10" s="33"/>
      <c r="F10" s="33"/>
      <c r="G10" s="33"/>
    </row>
    <row r="11" spans="1:7" x14ac:dyDescent="0.3">
      <c r="A11" s="116" t="s">
        <v>123</v>
      </c>
      <c r="B11" s="33">
        <f>Mappings!Z3*B10</f>
        <v>1931.137100780541</v>
      </c>
      <c r="C11" s="33">
        <f>Mappings!Z4*C10</f>
        <v>2414.4006346913525</v>
      </c>
      <c r="D11" s="33"/>
      <c r="E11" s="33"/>
      <c r="F11" s="33"/>
      <c r="G11" s="33"/>
    </row>
    <row r="12" spans="1:7" x14ac:dyDescent="0.3">
      <c r="A12" s="116"/>
      <c r="B12" s="33"/>
      <c r="C12" s="33"/>
      <c r="D12" s="33"/>
      <c r="E12" s="33"/>
      <c r="F12" s="33"/>
      <c r="G12" s="33"/>
    </row>
    <row r="13" spans="1:7" x14ac:dyDescent="0.3">
      <c r="A13" s="116" t="s">
        <v>41</v>
      </c>
      <c r="B13" s="33">
        <f ca="1">B3*B5</f>
        <v>619.54282153787199</v>
      </c>
      <c r="C13" s="33">
        <f ca="1">C3*C5</f>
        <v>1150.8989509315791</v>
      </c>
      <c r="D13" s="33"/>
      <c r="E13" s="33"/>
      <c r="F13" s="33"/>
      <c r="G13" s="33"/>
    </row>
    <row r="14" spans="1:7" x14ac:dyDescent="0.3">
      <c r="A14" s="116" t="s">
        <v>42</v>
      </c>
      <c r="B14" s="33">
        <f ca="1">IF(B8&gt;0,B7-B9,    B7 +B9)</f>
        <v>1750.7316683839617</v>
      </c>
      <c r="C14" s="33">
        <f ca="1">C7-IF(C8&gt;0,C9,(-1)*C9)</f>
        <v>1743.061019079867</v>
      </c>
      <c r="D14" s="33"/>
      <c r="E14" s="33"/>
      <c r="F14" s="33"/>
      <c r="G14" s="33"/>
    </row>
    <row r="15" spans="1:7" x14ac:dyDescent="0.3">
      <c r="A15" s="116" t="s">
        <v>40</v>
      </c>
      <c r="B15" s="33">
        <f ca="1">_xlfn.NORM.INV(RAND(),B10,B11)</f>
        <v>65219.828512182095</v>
      </c>
      <c r="C15" s="33">
        <f t="shared" ref="C15" ca="1" si="0">_xlfn.NORM.INV(RAND(),C10,C11)</f>
        <v>81203.9790209739</v>
      </c>
      <c r="D15" s="33"/>
      <c r="E15" s="33"/>
      <c r="F15" s="33"/>
      <c r="G15" s="33"/>
    </row>
    <row r="16" spans="1:7" x14ac:dyDescent="0.3">
      <c r="A16" s="116"/>
      <c r="B16" s="33"/>
      <c r="C16" s="33"/>
      <c r="D16" s="33"/>
      <c r="E16" s="33"/>
      <c r="F16" s="33"/>
      <c r="G16" s="33"/>
    </row>
    <row r="17" spans="1:8" x14ac:dyDescent="0.3">
      <c r="A17" s="116" t="s">
        <v>43</v>
      </c>
      <c r="B17" s="33">
        <f ca="1">(B13+B14)*B15</f>
        <v>154588895.75950187</v>
      </c>
      <c r="C17" s="33">
        <f ca="1">(C13+C14)*C15</f>
        <v>235001064.69234771</v>
      </c>
      <c r="D17" s="33"/>
      <c r="E17" s="33">
        <f ca="1">B17+C17</f>
        <v>389589960.45184958</v>
      </c>
      <c r="F17" s="33"/>
      <c r="G17" s="33"/>
    </row>
    <row r="18" spans="1:8" x14ac:dyDescent="0.3">
      <c r="A18" s="116" t="s">
        <v>53</v>
      </c>
      <c r="B18" s="33" t="s">
        <v>48</v>
      </c>
      <c r="C18" s="33" t="s">
        <v>48</v>
      </c>
      <c r="D18" s="33"/>
      <c r="E18" s="33">
        <f ca="1">STDEVA(E21:E128)</f>
        <v>34078441.054688446</v>
      </c>
      <c r="F18" s="33"/>
      <c r="G18" s="129" t="s">
        <v>52</v>
      </c>
    </row>
    <row r="19" spans="1:8" x14ac:dyDescent="0.3">
      <c r="A19" s="116" t="s">
        <v>44</v>
      </c>
      <c r="B19" s="33" t="s">
        <v>48</v>
      </c>
      <c r="C19" s="33" t="s">
        <v>48</v>
      </c>
      <c r="D19" s="33"/>
      <c r="E19" s="33">
        <f ca="1">AVERAGE(E21:E128)</f>
        <v>339010942.97954679</v>
      </c>
      <c r="F19" s="33"/>
      <c r="G19" s="129"/>
      <c r="H19" s="98">
        <f ca="1">100*E18/E19</f>
        <v>10.052312988830117</v>
      </c>
    </row>
    <row r="21" spans="1:8" x14ac:dyDescent="0.3">
      <c r="D21">
        <v>1</v>
      </c>
      <c r="E21">
        <f ca="1">E17</f>
        <v>389589960.45184958</v>
      </c>
    </row>
    <row r="22" spans="1:8" x14ac:dyDescent="0.3">
      <c r="D22">
        <v>2</v>
      </c>
      <c r="E22">
        <f t="dataTable" ref="E22:E128" dt2D="0" dtr="0" r1="E20" ca="1"/>
        <v>354456300.19351959</v>
      </c>
    </row>
    <row r="23" spans="1:8" x14ac:dyDescent="0.3">
      <c r="D23">
        <v>3</v>
      </c>
      <c r="E23">
        <v>288544544.4146595</v>
      </c>
    </row>
    <row r="24" spans="1:8" x14ac:dyDescent="0.3">
      <c r="D24">
        <v>4</v>
      </c>
      <c r="E24">
        <v>354341997.16704035</v>
      </c>
    </row>
    <row r="25" spans="1:8" x14ac:dyDescent="0.3">
      <c r="D25">
        <v>5</v>
      </c>
      <c r="E25">
        <v>328628544.4276191</v>
      </c>
    </row>
    <row r="26" spans="1:8" x14ac:dyDescent="0.3">
      <c r="D26">
        <v>6</v>
      </c>
      <c r="E26">
        <v>341154414.49808609</v>
      </c>
    </row>
    <row r="27" spans="1:8" x14ac:dyDescent="0.3">
      <c r="D27">
        <v>7</v>
      </c>
      <c r="E27">
        <v>320781488.17724049</v>
      </c>
    </row>
    <row r="28" spans="1:8" x14ac:dyDescent="0.3">
      <c r="D28">
        <v>8</v>
      </c>
      <c r="E28">
        <v>326485226.77812773</v>
      </c>
    </row>
    <row r="29" spans="1:8" x14ac:dyDescent="0.3">
      <c r="D29">
        <v>9</v>
      </c>
      <c r="E29">
        <v>387714010.65406448</v>
      </c>
    </row>
    <row r="30" spans="1:8" x14ac:dyDescent="0.3">
      <c r="D30">
        <v>10</v>
      </c>
      <c r="E30">
        <v>327359711.6116035</v>
      </c>
    </row>
    <row r="31" spans="1:8" x14ac:dyDescent="0.3">
      <c r="D31">
        <v>11</v>
      </c>
      <c r="E31">
        <v>355827816.48831987</v>
      </c>
    </row>
    <row r="32" spans="1:8" x14ac:dyDescent="0.3">
      <c r="D32">
        <v>12</v>
      </c>
      <c r="E32">
        <v>316331048.47305548</v>
      </c>
    </row>
    <row r="33" spans="4:5" x14ac:dyDescent="0.3">
      <c r="D33">
        <v>13</v>
      </c>
      <c r="E33">
        <v>306947461.83823526</v>
      </c>
    </row>
    <row r="34" spans="4:5" x14ac:dyDescent="0.3">
      <c r="D34">
        <v>14</v>
      </c>
      <c r="E34">
        <v>396017208.55119419</v>
      </c>
    </row>
    <row r="35" spans="4:5" x14ac:dyDescent="0.3">
      <c r="D35">
        <v>15</v>
      </c>
      <c r="E35">
        <v>306999214.29211497</v>
      </c>
    </row>
    <row r="36" spans="4:5" x14ac:dyDescent="0.3">
      <c r="D36">
        <v>16</v>
      </c>
      <c r="E36">
        <v>335396726.96323311</v>
      </c>
    </row>
    <row r="37" spans="4:5" x14ac:dyDescent="0.3">
      <c r="D37">
        <v>17</v>
      </c>
      <c r="E37">
        <v>285612661.968849</v>
      </c>
    </row>
    <row r="38" spans="4:5" x14ac:dyDescent="0.3">
      <c r="D38">
        <v>18</v>
      </c>
      <c r="E38">
        <v>294473023.64809567</v>
      </c>
    </row>
    <row r="39" spans="4:5" x14ac:dyDescent="0.3">
      <c r="D39">
        <v>19</v>
      </c>
      <c r="E39">
        <v>395846303.37335062</v>
      </c>
    </row>
    <row r="40" spans="4:5" x14ac:dyDescent="0.3">
      <c r="D40">
        <v>20</v>
      </c>
      <c r="E40">
        <v>293832055.1402033</v>
      </c>
    </row>
    <row r="41" spans="4:5" x14ac:dyDescent="0.3">
      <c r="D41">
        <v>21</v>
      </c>
      <c r="E41">
        <v>411034270.09531152</v>
      </c>
    </row>
    <row r="42" spans="4:5" x14ac:dyDescent="0.3">
      <c r="D42">
        <v>22</v>
      </c>
      <c r="E42">
        <v>340693435.8502242</v>
      </c>
    </row>
    <row r="43" spans="4:5" x14ac:dyDescent="0.3">
      <c r="D43">
        <v>23</v>
      </c>
      <c r="E43">
        <v>276454807.24561912</v>
      </c>
    </row>
    <row r="44" spans="4:5" x14ac:dyDescent="0.3">
      <c r="D44">
        <v>24</v>
      </c>
      <c r="E44">
        <v>381261088.95157725</v>
      </c>
    </row>
    <row r="45" spans="4:5" x14ac:dyDescent="0.3">
      <c r="D45">
        <v>25</v>
      </c>
      <c r="E45">
        <v>318726244.17462862</v>
      </c>
    </row>
    <row r="46" spans="4:5" x14ac:dyDescent="0.3">
      <c r="D46">
        <v>26</v>
      </c>
      <c r="E46">
        <v>326961563.87046111</v>
      </c>
    </row>
    <row r="47" spans="4:5" x14ac:dyDescent="0.3">
      <c r="D47">
        <v>27</v>
      </c>
      <c r="E47">
        <v>287481540.19451016</v>
      </c>
    </row>
    <row r="48" spans="4:5" x14ac:dyDescent="0.3">
      <c r="D48">
        <v>28</v>
      </c>
      <c r="E48">
        <v>355151678.96401155</v>
      </c>
    </row>
    <row r="49" spans="4:5" x14ac:dyDescent="0.3">
      <c r="D49">
        <v>29</v>
      </c>
      <c r="E49">
        <v>353689409.93035781</v>
      </c>
    </row>
    <row r="50" spans="4:5" x14ac:dyDescent="0.3">
      <c r="D50">
        <v>30</v>
      </c>
      <c r="E50">
        <v>327287433.59900993</v>
      </c>
    </row>
    <row r="51" spans="4:5" x14ac:dyDescent="0.3">
      <c r="D51">
        <v>31</v>
      </c>
      <c r="E51">
        <v>315125201.85972428</v>
      </c>
    </row>
    <row r="52" spans="4:5" x14ac:dyDescent="0.3">
      <c r="D52">
        <v>32</v>
      </c>
      <c r="E52">
        <v>369219210.31105149</v>
      </c>
    </row>
    <row r="53" spans="4:5" x14ac:dyDescent="0.3">
      <c r="D53">
        <v>33</v>
      </c>
      <c r="E53">
        <v>285806333.47457874</v>
      </c>
    </row>
    <row r="54" spans="4:5" x14ac:dyDescent="0.3">
      <c r="D54">
        <v>34</v>
      </c>
      <c r="E54">
        <v>378481254.77838933</v>
      </c>
    </row>
    <row r="55" spans="4:5" x14ac:dyDescent="0.3">
      <c r="D55">
        <v>35</v>
      </c>
      <c r="E55">
        <v>309633606.42528498</v>
      </c>
    </row>
    <row r="56" spans="4:5" x14ac:dyDescent="0.3">
      <c r="D56">
        <v>36</v>
      </c>
      <c r="E56">
        <v>291285747.58741975</v>
      </c>
    </row>
    <row r="57" spans="4:5" x14ac:dyDescent="0.3">
      <c r="D57">
        <v>37</v>
      </c>
      <c r="E57">
        <v>361726618.68878269</v>
      </c>
    </row>
    <row r="58" spans="4:5" x14ac:dyDescent="0.3">
      <c r="D58">
        <v>38</v>
      </c>
      <c r="E58">
        <v>309303182.01912373</v>
      </c>
    </row>
    <row r="59" spans="4:5" x14ac:dyDescent="0.3">
      <c r="D59">
        <v>39</v>
      </c>
      <c r="E59">
        <v>325610250.15429235</v>
      </c>
    </row>
    <row r="60" spans="4:5" x14ac:dyDescent="0.3">
      <c r="D60">
        <v>40</v>
      </c>
      <c r="E60">
        <v>362319829.18103677</v>
      </c>
    </row>
    <row r="61" spans="4:5" x14ac:dyDescent="0.3">
      <c r="D61">
        <v>41</v>
      </c>
      <c r="E61">
        <v>352168937.31516105</v>
      </c>
    </row>
    <row r="62" spans="4:5" x14ac:dyDescent="0.3">
      <c r="D62">
        <v>42</v>
      </c>
      <c r="E62">
        <v>333999523.52780551</v>
      </c>
    </row>
    <row r="63" spans="4:5" x14ac:dyDescent="0.3">
      <c r="D63">
        <v>43</v>
      </c>
      <c r="E63">
        <v>355264144.14531845</v>
      </c>
    </row>
    <row r="64" spans="4:5" x14ac:dyDescent="0.3">
      <c r="D64">
        <v>44</v>
      </c>
      <c r="E64">
        <v>370174356.19410741</v>
      </c>
    </row>
    <row r="65" spans="4:5" x14ac:dyDescent="0.3">
      <c r="D65">
        <v>45</v>
      </c>
      <c r="E65">
        <v>350061153.78585184</v>
      </c>
    </row>
    <row r="66" spans="4:5" x14ac:dyDescent="0.3">
      <c r="D66">
        <v>46</v>
      </c>
      <c r="E66">
        <v>360983750.68045914</v>
      </c>
    </row>
    <row r="67" spans="4:5" x14ac:dyDescent="0.3">
      <c r="D67">
        <v>47</v>
      </c>
      <c r="E67">
        <v>404556302.59055376</v>
      </c>
    </row>
    <row r="68" spans="4:5" x14ac:dyDescent="0.3">
      <c r="D68">
        <v>48</v>
      </c>
      <c r="E68">
        <v>330358696.92678916</v>
      </c>
    </row>
    <row r="69" spans="4:5" x14ac:dyDescent="0.3">
      <c r="D69">
        <v>49</v>
      </c>
      <c r="E69">
        <v>322226982.23641944</v>
      </c>
    </row>
    <row r="70" spans="4:5" x14ac:dyDescent="0.3">
      <c r="D70">
        <v>50</v>
      </c>
      <c r="E70">
        <v>364023673.10466671</v>
      </c>
    </row>
    <row r="71" spans="4:5" x14ac:dyDescent="0.3">
      <c r="D71">
        <v>51</v>
      </c>
      <c r="E71">
        <v>293147735.40161937</v>
      </c>
    </row>
    <row r="72" spans="4:5" x14ac:dyDescent="0.3">
      <c r="D72">
        <v>52</v>
      </c>
      <c r="E72">
        <v>357140601.95844305</v>
      </c>
    </row>
    <row r="73" spans="4:5" x14ac:dyDescent="0.3">
      <c r="D73">
        <v>53</v>
      </c>
      <c r="E73">
        <v>344303264.63268071</v>
      </c>
    </row>
    <row r="74" spans="4:5" x14ac:dyDescent="0.3">
      <c r="D74">
        <v>54</v>
      </c>
      <c r="E74">
        <v>350733879.03315604</v>
      </c>
    </row>
    <row r="75" spans="4:5" x14ac:dyDescent="0.3">
      <c r="D75">
        <v>55</v>
      </c>
      <c r="E75">
        <v>347789257.30981153</v>
      </c>
    </row>
    <row r="76" spans="4:5" x14ac:dyDescent="0.3">
      <c r="D76">
        <v>56</v>
      </c>
      <c r="E76">
        <v>409174824.37130654</v>
      </c>
    </row>
    <row r="77" spans="4:5" x14ac:dyDescent="0.3">
      <c r="D77">
        <v>57</v>
      </c>
      <c r="E77">
        <v>299462321.57836604</v>
      </c>
    </row>
    <row r="78" spans="4:5" x14ac:dyDescent="0.3">
      <c r="D78">
        <v>58</v>
      </c>
      <c r="E78">
        <v>339682944.14993292</v>
      </c>
    </row>
    <row r="79" spans="4:5" x14ac:dyDescent="0.3">
      <c r="D79">
        <v>59</v>
      </c>
      <c r="E79">
        <v>400873327.12198597</v>
      </c>
    </row>
    <row r="80" spans="4:5" x14ac:dyDescent="0.3">
      <c r="D80">
        <v>60</v>
      </c>
      <c r="E80">
        <v>386800870.5399791</v>
      </c>
    </row>
    <row r="81" spans="4:5" x14ac:dyDescent="0.3">
      <c r="D81">
        <v>61</v>
      </c>
      <c r="E81">
        <v>325916432.06131101</v>
      </c>
    </row>
    <row r="82" spans="4:5" x14ac:dyDescent="0.3">
      <c r="D82">
        <v>62</v>
      </c>
      <c r="E82">
        <v>344823850.20987993</v>
      </c>
    </row>
    <row r="83" spans="4:5" x14ac:dyDescent="0.3">
      <c r="D83">
        <v>63</v>
      </c>
      <c r="E83">
        <v>347328316.38186258</v>
      </c>
    </row>
    <row r="84" spans="4:5" x14ac:dyDescent="0.3">
      <c r="D84">
        <v>64</v>
      </c>
      <c r="E84">
        <v>325291857.77973509</v>
      </c>
    </row>
    <row r="85" spans="4:5" x14ac:dyDescent="0.3">
      <c r="D85">
        <v>65</v>
      </c>
      <c r="E85">
        <v>341140718.99724936</v>
      </c>
    </row>
    <row r="86" spans="4:5" x14ac:dyDescent="0.3">
      <c r="D86">
        <v>66</v>
      </c>
      <c r="E86">
        <v>270605235.54411334</v>
      </c>
    </row>
    <row r="87" spans="4:5" x14ac:dyDescent="0.3">
      <c r="D87">
        <v>67</v>
      </c>
      <c r="E87">
        <v>359252279.86703944</v>
      </c>
    </row>
    <row r="88" spans="4:5" x14ac:dyDescent="0.3">
      <c r="D88">
        <v>68</v>
      </c>
      <c r="E88">
        <v>329497887.62370944</v>
      </c>
    </row>
    <row r="89" spans="4:5" x14ac:dyDescent="0.3">
      <c r="D89">
        <v>69</v>
      </c>
      <c r="E89">
        <v>358514077.98083651</v>
      </c>
    </row>
    <row r="90" spans="4:5" x14ac:dyDescent="0.3">
      <c r="D90">
        <v>70</v>
      </c>
      <c r="E90">
        <v>283651139.90043306</v>
      </c>
    </row>
    <row r="91" spans="4:5" x14ac:dyDescent="0.3">
      <c r="D91">
        <v>71</v>
      </c>
      <c r="E91">
        <v>387010167.85866225</v>
      </c>
    </row>
    <row r="92" spans="4:5" x14ac:dyDescent="0.3">
      <c r="D92">
        <v>72</v>
      </c>
      <c r="E92">
        <v>368890911.08389914</v>
      </c>
    </row>
    <row r="93" spans="4:5" x14ac:dyDescent="0.3">
      <c r="D93">
        <v>73</v>
      </c>
      <c r="E93">
        <v>290632032.49219942</v>
      </c>
    </row>
    <row r="94" spans="4:5" x14ac:dyDescent="0.3">
      <c r="D94">
        <v>74</v>
      </c>
      <c r="E94">
        <v>356463497.85222238</v>
      </c>
    </row>
    <row r="95" spans="4:5" x14ac:dyDescent="0.3">
      <c r="D95">
        <v>75</v>
      </c>
      <c r="E95">
        <v>327656343.87036914</v>
      </c>
    </row>
    <row r="96" spans="4:5" x14ac:dyDescent="0.3">
      <c r="D96">
        <v>76</v>
      </c>
      <c r="E96">
        <v>284808712.1292699</v>
      </c>
    </row>
    <row r="97" spans="4:5" x14ac:dyDescent="0.3">
      <c r="D97">
        <v>77</v>
      </c>
      <c r="E97">
        <v>337084093.86557734</v>
      </c>
    </row>
    <row r="98" spans="4:5" x14ac:dyDescent="0.3">
      <c r="D98">
        <v>78</v>
      </c>
      <c r="E98">
        <v>381722345.71002012</v>
      </c>
    </row>
    <row r="99" spans="4:5" x14ac:dyDescent="0.3">
      <c r="D99">
        <v>79</v>
      </c>
      <c r="E99">
        <v>337201337.10031933</v>
      </c>
    </row>
    <row r="100" spans="4:5" x14ac:dyDescent="0.3">
      <c r="D100">
        <v>80</v>
      </c>
      <c r="E100">
        <v>302681950.76534188</v>
      </c>
    </row>
    <row r="101" spans="4:5" x14ac:dyDescent="0.3">
      <c r="D101">
        <v>81</v>
      </c>
      <c r="E101">
        <v>294710338.28377271</v>
      </c>
    </row>
    <row r="102" spans="4:5" x14ac:dyDescent="0.3">
      <c r="D102">
        <v>82</v>
      </c>
      <c r="E102">
        <v>346981635.68299085</v>
      </c>
    </row>
    <row r="103" spans="4:5" x14ac:dyDescent="0.3">
      <c r="D103">
        <v>83</v>
      </c>
      <c r="E103">
        <v>312816809.62801635</v>
      </c>
    </row>
    <row r="104" spans="4:5" x14ac:dyDescent="0.3">
      <c r="D104">
        <v>84</v>
      </c>
      <c r="E104">
        <v>346068212.3299123</v>
      </c>
    </row>
    <row r="105" spans="4:5" x14ac:dyDescent="0.3">
      <c r="D105">
        <v>85</v>
      </c>
      <c r="E105">
        <v>400803801.8206327</v>
      </c>
    </row>
    <row r="106" spans="4:5" x14ac:dyDescent="0.3">
      <c r="D106">
        <v>86</v>
      </c>
      <c r="E106">
        <v>302565267.05260819</v>
      </c>
    </row>
    <row r="107" spans="4:5" x14ac:dyDescent="0.3">
      <c r="D107">
        <v>87</v>
      </c>
      <c r="E107">
        <v>290336083.39846057</v>
      </c>
    </row>
    <row r="108" spans="4:5" x14ac:dyDescent="0.3">
      <c r="D108">
        <v>88</v>
      </c>
      <c r="E108">
        <v>310426339.02767342</v>
      </c>
    </row>
    <row r="109" spans="4:5" x14ac:dyDescent="0.3">
      <c r="D109">
        <v>89</v>
      </c>
      <c r="E109">
        <v>347310389.08096701</v>
      </c>
    </row>
    <row r="110" spans="4:5" x14ac:dyDescent="0.3">
      <c r="D110">
        <v>90</v>
      </c>
      <c r="E110">
        <v>358290869.68290097</v>
      </c>
    </row>
    <row r="111" spans="4:5" x14ac:dyDescent="0.3">
      <c r="D111">
        <v>91</v>
      </c>
      <c r="E111">
        <v>274683754.90084529</v>
      </c>
    </row>
    <row r="112" spans="4:5" x14ac:dyDescent="0.3">
      <c r="D112">
        <v>92</v>
      </c>
      <c r="E112">
        <v>344975310.57766479</v>
      </c>
    </row>
    <row r="113" spans="4:5" x14ac:dyDescent="0.3">
      <c r="D113">
        <v>93</v>
      </c>
      <c r="E113">
        <v>342374413.871795</v>
      </c>
    </row>
    <row r="114" spans="4:5" x14ac:dyDescent="0.3">
      <c r="D114">
        <v>94</v>
      </c>
      <c r="E114">
        <v>374756826.67017418</v>
      </c>
    </row>
    <row r="115" spans="4:5" x14ac:dyDescent="0.3">
      <c r="D115">
        <v>95</v>
      </c>
      <c r="E115">
        <v>340875954.84883773</v>
      </c>
    </row>
    <row r="116" spans="4:5" x14ac:dyDescent="0.3">
      <c r="D116">
        <v>96</v>
      </c>
      <c r="E116">
        <v>364679482.18006039</v>
      </c>
    </row>
    <row r="117" spans="4:5" x14ac:dyDescent="0.3">
      <c r="D117">
        <v>97</v>
      </c>
      <c r="E117">
        <v>323867673.59677172</v>
      </c>
    </row>
    <row r="118" spans="4:5" x14ac:dyDescent="0.3">
      <c r="D118">
        <v>98</v>
      </c>
      <c r="E118">
        <v>339709273.81836188</v>
      </c>
    </row>
    <row r="119" spans="4:5" x14ac:dyDescent="0.3">
      <c r="D119">
        <v>99</v>
      </c>
      <c r="E119">
        <v>380201249.30520415</v>
      </c>
    </row>
    <row r="120" spans="4:5" x14ac:dyDescent="0.3">
      <c r="D120">
        <v>100</v>
      </c>
      <c r="E120">
        <v>351208173.02740633</v>
      </c>
    </row>
    <row r="121" spans="4:5" x14ac:dyDescent="0.3">
      <c r="D121">
        <v>101</v>
      </c>
      <c r="E121">
        <v>372098868.22422838</v>
      </c>
    </row>
    <row r="122" spans="4:5" x14ac:dyDescent="0.3">
      <c r="D122">
        <v>102</v>
      </c>
      <c r="E122">
        <v>279908804.09024066</v>
      </c>
    </row>
    <row r="123" spans="4:5" x14ac:dyDescent="0.3">
      <c r="D123">
        <v>103</v>
      </c>
      <c r="E123">
        <v>347962071.68916392</v>
      </c>
    </row>
    <row r="124" spans="4:5" x14ac:dyDescent="0.3">
      <c r="D124">
        <v>104</v>
      </c>
      <c r="E124">
        <v>364480703.7554996</v>
      </c>
    </row>
    <row r="125" spans="4:5" x14ac:dyDescent="0.3">
      <c r="D125">
        <v>105</v>
      </c>
      <c r="E125">
        <v>373585526.79040325</v>
      </c>
    </row>
    <row r="126" spans="4:5" x14ac:dyDescent="0.3">
      <c r="D126">
        <v>106</v>
      </c>
      <c r="E126">
        <v>376619109.58169389</v>
      </c>
    </row>
    <row r="127" spans="4:5" x14ac:dyDescent="0.3">
      <c r="D127">
        <v>107</v>
      </c>
      <c r="E127">
        <v>293985284.72924912</v>
      </c>
    </row>
    <row r="128" spans="4:5" x14ac:dyDescent="0.3">
      <c r="D128">
        <v>108</v>
      </c>
      <c r="E128">
        <v>330207452.00119674</v>
      </c>
    </row>
  </sheetData>
  <mergeCells count="1">
    <mergeCell ref="G18:G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C0FEF-0B26-4A97-91EA-CB94DB3C88D0}">
  <dimension ref="A1:I129"/>
  <sheetViews>
    <sheetView workbookViewId="0">
      <selection activeCell="B8" sqref="B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0" customWidth="1"/>
  </cols>
  <sheetData>
    <row r="1" spans="1:8" ht="18" customHeight="1" x14ac:dyDescent="0.3">
      <c r="B1" s="31" t="str">
        <f>Mappings!B6</f>
        <v>New-improved</v>
      </c>
      <c r="C1" s="45" t="str">
        <f>Mappings!B7</f>
        <v>Local-only</v>
      </c>
      <c r="D1" s="45" t="str">
        <f>Mappings!B8</f>
        <v>Extant-improved</v>
      </c>
      <c r="F1" s="2" t="s">
        <v>116</v>
      </c>
      <c r="G1" s="2"/>
      <c r="H1" s="2"/>
    </row>
    <row r="3" spans="1:8" x14ac:dyDescent="0.3">
      <c r="A3" t="str">
        <f>MC_Baseline!A2</f>
        <v>Income per cow (USD/yr)</v>
      </c>
      <c r="B3" s="33">
        <f>Mappings!N6</f>
        <v>1495.1172015495711</v>
      </c>
      <c r="C3" s="33">
        <f>Mappings!N7</f>
        <v>340.3171855089804</v>
      </c>
      <c r="D3" s="33">
        <f>Mappings!N8</f>
        <v>1662.110376985115</v>
      </c>
    </row>
    <row r="4" spans="1:8" x14ac:dyDescent="0.3">
      <c r="A4" s="116" t="str">
        <f>MC_Baseline!A3</f>
        <v>Random value income per cow (USD/yr)</v>
      </c>
      <c r="B4" s="33">
        <f ca="1">_xlfn.NORM.INV(RAND(),Mappings!N6,Mappings!O6)</f>
        <v>1537.8164842562426</v>
      </c>
      <c r="C4" s="33">
        <f ca="1">_xlfn.NORM.INV(RAND(),Mappings!N7,Mappings!O7)</f>
        <v>349.11720124929388</v>
      </c>
      <c r="D4" s="33">
        <f ca="1">_xlfn.NORM.INV(RAND(),Mappings!N8,Mappings!O8)</f>
        <v>1602.4447140826719</v>
      </c>
    </row>
    <row r="5" spans="1:8" x14ac:dyDescent="0.3">
      <c r="A5" s="116" t="str">
        <f>MC_Baseline!A4</f>
        <v>Cows per household (head)</v>
      </c>
      <c r="B5" s="33">
        <f>Mappings!F6*Mappings!I6</f>
        <v>0.53908168870143525</v>
      </c>
      <c r="C5" s="33">
        <f>Mappings!F7*Mappings!I7</f>
        <v>2.2974771726213845</v>
      </c>
      <c r="D5" s="33">
        <f>Mappings!F8*Mappings!I8</f>
        <v>1.5559072091789501</v>
      </c>
    </row>
    <row r="6" spans="1:8" x14ac:dyDescent="0.3">
      <c r="A6" s="116" t="str">
        <f>MC_Baseline!A5</f>
        <v>Random value cows per household (head)</v>
      </c>
      <c r="B6" s="33">
        <f ca="1">_xlfn.NORM.INV(RAND(),B5,B5*Mappings!E4)*0+B5</f>
        <v>0.53908168870143525</v>
      </c>
      <c r="C6" s="33">
        <f ca="1">_xlfn.NORM.INV(RAND(),C5,C5*Mappings!E3)*0+C5</f>
        <v>2.2974771726213845</v>
      </c>
      <c r="D6" s="33">
        <f ca="1">_xlfn.NORM.INV(RAND(),D5,D5*Mappings!E4)*0+D5</f>
        <v>1.5559072091789501</v>
      </c>
    </row>
    <row r="7" spans="1:8" x14ac:dyDescent="0.3">
      <c r="A7" s="116" t="str">
        <f>MC_Baseline!A6</f>
        <v>Non-dairy income (USD/yr)</v>
      </c>
      <c r="B7" s="33">
        <f>Mappings!V6</f>
        <v>1682.5600356927068</v>
      </c>
      <c r="C7" s="33">
        <f>Mappings!V7</f>
        <v>1255.6870565419854</v>
      </c>
      <c r="D7" s="33">
        <f>Mappings!V8</f>
        <v>1197.5313538636651</v>
      </c>
    </row>
    <row r="8" spans="1:8" x14ac:dyDescent="0.3">
      <c r="A8" s="116" t="str">
        <f>MC_Baseline!A7</f>
        <v>Random value non dairy income (USD/yr)</v>
      </c>
      <c r="B8" s="33">
        <f ca="1">_xlfn.NORM.INV(RAND(), B7, B7 * 25/100)*0+B7</f>
        <v>1682.5600356927068</v>
      </c>
      <c r="C8" s="33">
        <f ca="1">_xlfn.NORM.INV(RAND(), C7, C7* 25/100)*0+C7</f>
        <v>1255.6870565419854</v>
      </c>
      <c r="D8" s="33">
        <f ca="1">_xlfn.NORM.INV(RAND(), D7, D7* 25/100)*0+D7</f>
        <v>1197.5313538636651</v>
      </c>
    </row>
    <row r="9" spans="1:8" s="102" customFormat="1" x14ac:dyDescent="0.3">
      <c r="A9" s="116" t="str">
        <f>MC_Baseline!A8</f>
        <v>Reduction in non-dairy income through crop area change</v>
      </c>
      <c r="B9" s="33">
        <f>Mappings!Q6</f>
        <v>74.317546538515671</v>
      </c>
      <c r="C9" s="33">
        <f>Mappings!Q7</f>
        <v>499.09591580317607</v>
      </c>
      <c r="D9" s="33">
        <f>Mappings!Q8</f>
        <v>578.45437685600098</v>
      </c>
    </row>
    <row r="10" spans="1:8" s="102" customFormat="1" x14ac:dyDescent="0.3">
      <c r="A10" s="116" t="str">
        <f>MC_Baseline!A9</f>
        <v>Random value reduction/increase in non-dairy income (USD/yr)</v>
      </c>
      <c r="B10" s="33">
        <f ca="1">IF(B9&gt;0,_xlfn.NORM.INV(RAND(),B9,B9*Dairy_Income_Roadmap!L36),_xlfn.NORM.INV(RAND(),ABS(B9),ABS(B9)*Dairy_Income_Roadmap!L36))</f>
        <v>90.62138886338775</v>
      </c>
      <c r="C10" s="33">
        <f ca="1">IF(C9&gt;0,_xlfn.NORM.INV(RAND(),C9,C9*Dairy_Income_Roadmap!L36),_xlfn.NORM.INV(RAND(),ABS(C9),ABS(C9)*Dairy_Income_Roadmap!L36))</f>
        <v>849.02532773601024</v>
      </c>
      <c r="D10" s="33">
        <f ca="1">IF(D9&gt;0,_xlfn.NORM.INV(RAND(),D9,D9*Dairy_Income_Roadmap!L38),_xlfn.NORM.INV(RAND(),ABS(D9),ABS(D9)*Dairy_Income_Roadmap!L38))</f>
        <v>568.80188111295331</v>
      </c>
    </row>
    <row r="11" spans="1:8" x14ac:dyDescent="0.3">
      <c r="A11" s="116" t="str">
        <f>MC_Baseline!A10</f>
        <v>Quantity households</v>
      </c>
      <c r="B11" s="33">
        <f>Mappings!D6</f>
        <v>9841.4502207493369</v>
      </c>
      <c r="C11" s="33">
        <f>Mappings!D7</f>
        <v>55768.217917579575</v>
      </c>
      <c r="D11" s="33">
        <f>Mappings!D8</f>
        <v>82028.367810366151</v>
      </c>
    </row>
    <row r="12" spans="1:8" x14ac:dyDescent="0.3">
      <c r="A12" s="116" t="str">
        <f>MC_Baseline!A11</f>
        <v>SE quantity households</v>
      </c>
      <c r="B12" s="33">
        <f>Mappings!Z6*B11</f>
        <v>289.67056511708114</v>
      </c>
      <c r="C12" s="33">
        <f>Mappings!Z7*C11</f>
        <v>1641.4665356634598</v>
      </c>
      <c r="D12" s="33">
        <f>Mappings!Z8*D11</f>
        <v>2414.4006346913525</v>
      </c>
    </row>
    <row r="13" spans="1:8" x14ac:dyDescent="0.3">
      <c r="A13" s="116"/>
      <c r="B13" s="33"/>
      <c r="C13" s="33"/>
      <c r="D13" s="33"/>
    </row>
    <row r="14" spans="1:8" x14ac:dyDescent="0.3">
      <c r="A14" s="116" t="str">
        <f>MC_Baseline!A13</f>
        <v>Dairy Income (USD/household/year)</v>
      </c>
      <c r="B14" s="33">
        <f ca="1">B4*B6</f>
        <v>829.00870724575941</v>
      </c>
      <c r="C14" s="33">
        <f ca="1">C4*C6</f>
        <v>802.08880043971863</v>
      </c>
      <c r="D14" s="33">
        <f ca="1">D4*D6</f>
        <v>2493.2552829519309</v>
      </c>
    </row>
    <row r="15" spans="1:8" x14ac:dyDescent="0.3">
      <c r="A15" s="116" t="str">
        <f>MC_Baseline!A14</f>
        <v>Non dairy income (USD/household/year)</v>
      </c>
      <c r="B15" s="33">
        <f ca="1">B8-IF(B9&gt;0,B8-B10,B8+B10)</f>
        <v>90.621388863387665</v>
      </c>
      <c r="C15" s="33">
        <f t="shared" ref="C15:D15" ca="1" si="0">C8-IF(C9&gt;0,C8-C10,C8+C10)</f>
        <v>849.02532773601024</v>
      </c>
      <c r="D15" s="33">
        <f t="shared" ca="1" si="0"/>
        <v>568.80188111295331</v>
      </c>
    </row>
    <row r="16" spans="1:8" x14ac:dyDescent="0.3">
      <c r="A16" s="116" t="str">
        <f>MC_Baseline!A15</f>
        <v>Quantity households</v>
      </c>
      <c r="B16" s="33">
        <f ca="1">_xlfn.NORM.INV(RAND(),B11,B12)</f>
        <v>9799.774366272828</v>
      </c>
      <c r="C16" s="33">
        <f ca="1">_xlfn.NORM.INV(RAND(),C11,C12)</f>
        <v>53426.254325870235</v>
      </c>
      <c r="D16" s="33">
        <f t="shared" ref="D16" ca="1" si="1">_xlfn.NORM.INV(RAND(),D11,D12)</f>
        <v>87124.065356457795</v>
      </c>
    </row>
    <row r="17" spans="1:9" x14ac:dyDescent="0.3">
      <c r="A17" s="116"/>
      <c r="B17" s="33"/>
      <c r="C17" s="33"/>
      <c r="D17" s="33"/>
    </row>
    <row r="18" spans="1:9" x14ac:dyDescent="0.3">
      <c r="A18" s="116" t="str">
        <f>MC_Baseline!A17</f>
        <v>Estimated population income (USD/yr)</v>
      </c>
      <c r="B18" s="42">
        <f ca="1">(B14+B15)*B16</f>
        <v>9012167.4423034359</v>
      </c>
      <c r="C18" s="42">
        <f ca="1">(C14+C15)*C16</f>
        <v>88212843.33295399</v>
      </c>
      <c r="D18" s="42">
        <f ca="1">(D14+D15)*D16</f>
        <v>266778868.48719877</v>
      </c>
      <c r="F18" s="4">
        <f ca="1">B18+C18+D18</f>
        <v>364003879.26245618</v>
      </c>
      <c r="G18" s="4"/>
      <c r="H18" s="4"/>
    </row>
    <row r="19" spans="1:9" x14ac:dyDescent="0.3">
      <c r="A19" s="116" t="str">
        <f>MC_Baseline!A18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32629439.057796907</v>
      </c>
      <c r="H19" s="129" t="s">
        <v>52</v>
      </c>
    </row>
    <row r="20" spans="1:9" x14ac:dyDescent="0.3">
      <c r="A20" s="116" t="str">
        <f>MC_Baseline!A19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340997463.75107968</v>
      </c>
      <c r="G20" s="4"/>
      <c r="H20" s="129"/>
      <c r="I20" s="46">
        <f ca="1">100*F19/F20</f>
        <v>9.5688216266663062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364003879.26245618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303750294.30778879</v>
      </c>
      <c r="G23" s="4"/>
      <c r="H23" s="4"/>
    </row>
    <row r="24" spans="1:9" x14ac:dyDescent="0.3">
      <c r="E24">
        <v>3</v>
      </c>
      <c r="F24" s="35">
        <v>327541263.35645932</v>
      </c>
      <c r="G24" s="4"/>
      <c r="H24" s="4"/>
    </row>
    <row r="25" spans="1:9" x14ac:dyDescent="0.3">
      <c r="E25">
        <v>4</v>
      </c>
      <c r="F25" s="35">
        <v>345335656.8602857</v>
      </c>
      <c r="G25" s="4"/>
      <c r="H25" s="4"/>
    </row>
    <row r="26" spans="1:9" x14ac:dyDescent="0.3">
      <c r="E26">
        <v>5</v>
      </c>
      <c r="F26" s="35">
        <v>297827570.82922804</v>
      </c>
      <c r="G26" s="4"/>
      <c r="H26" s="4"/>
    </row>
    <row r="27" spans="1:9" x14ac:dyDescent="0.3">
      <c r="E27">
        <v>6</v>
      </c>
      <c r="F27" s="35">
        <v>330451451.71039873</v>
      </c>
      <c r="G27" s="4"/>
      <c r="H27" s="4"/>
    </row>
    <row r="28" spans="1:9" x14ac:dyDescent="0.3">
      <c r="E28">
        <v>7</v>
      </c>
      <c r="F28" s="35">
        <v>347280643.72447789</v>
      </c>
      <c r="G28" s="4"/>
      <c r="H28" s="4"/>
    </row>
    <row r="29" spans="1:9" x14ac:dyDescent="0.3">
      <c r="E29">
        <v>8</v>
      </c>
      <c r="F29" s="35">
        <v>318631779.43489152</v>
      </c>
      <c r="G29" s="4"/>
      <c r="H29" s="4"/>
    </row>
    <row r="30" spans="1:9" x14ac:dyDescent="0.3">
      <c r="E30">
        <v>9</v>
      </c>
      <c r="F30" s="35">
        <v>326537588.37304735</v>
      </c>
      <c r="G30" s="4"/>
      <c r="H30" s="4"/>
    </row>
    <row r="31" spans="1:9" x14ac:dyDescent="0.3">
      <c r="E31">
        <v>10</v>
      </c>
      <c r="F31" s="35">
        <v>357650598.35389763</v>
      </c>
      <c r="G31" s="4"/>
      <c r="H31" s="4"/>
    </row>
    <row r="32" spans="1:9" x14ac:dyDescent="0.3">
      <c r="E32">
        <v>11</v>
      </c>
      <c r="F32" s="35">
        <v>363476575.09446198</v>
      </c>
      <c r="G32" s="4"/>
      <c r="H32" s="4"/>
    </row>
    <row r="33" spans="5:8" x14ac:dyDescent="0.3">
      <c r="E33">
        <v>12</v>
      </c>
      <c r="F33" s="35">
        <v>338337514.10292953</v>
      </c>
      <c r="G33" s="4"/>
      <c r="H33" s="4"/>
    </row>
    <row r="34" spans="5:8" x14ac:dyDescent="0.3">
      <c r="E34">
        <v>13</v>
      </c>
      <c r="F34" s="35">
        <v>342037389.98488194</v>
      </c>
      <c r="G34" s="4"/>
      <c r="H34" s="4"/>
    </row>
    <row r="35" spans="5:8" x14ac:dyDescent="0.3">
      <c r="E35">
        <v>14</v>
      </c>
      <c r="F35" s="35">
        <v>362715833.2523905</v>
      </c>
      <c r="G35" s="4"/>
      <c r="H35" s="4"/>
    </row>
    <row r="36" spans="5:8" x14ac:dyDescent="0.3">
      <c r="E36">
        <v>15</v>
      </c>
      <c r="F36" s="35">
        <v>354034384.15389371</v>
      </c>
      <c r="G36" s="4"/>
      <c r="H36" s="4"/>
    </row>
    <row r="37" spans="5:8" x14ac:dyDescent="0.3">
      <c r="E37">
        <v>16</v>
      </c>
      <c r="F37" s="35">
        <v>407983902.98277229</v>
      </c>
      <c r="G37" s="4"/>
      <c r="H37" s="4"/>
    </row>
    <row r="38" spans="5:8" x14ac:dyDescent="0.3">
      <c r="E38">
        <v>17</v>
      </c>
      <c r="F38" s="35">
        <v>339700066.08753043</v>
      </c>
      <c r="G38" s="4"/>
      <c r="H38" s="4"/>
    </row>
    <row r="39" spans="5:8" x14ac:dyDescent="0.3">
      <c r="E39">
        <v>18</v>
      </c>
      <c r="F39" s="35">
        <v>373983407.94399285</v>
      </c>
      <c r="G39" s="4"/>
      <c r="H39" s="4"/>
    </row>
    <row r="40" spans="5:8" x14ac:dyDescent="0.3">
      <c r="E40">
        <v>19</v>
      </c>
      <c r="F40" s="35">
        <v>347164512.27139771</v>
      </c>
      <c r="G40" s="4"/>
      <c r="H40" s="4"/>
    </row>
    <row r="41" spans="5:8" x14ac:dyDescent="0.3">
      <c r="E41">
        <v>20</v>
      </c>
      <c r="F41" s="35">
        <v>371037713.4869374</v>
      </c>
      <c r="G41" s="4"/>
      <c r="H41" s="4"/>
    </row>
    <row r="42" spans="5:8" x14ac:dyDescent="0.3">
      <c r="E42">
        <v>21</v>
      </c>
      <c r="F42" s="35">
        <v>381972048.42027938</v>
      </c>
      <c r="G42" s="4"/>
      <c r="H42" s="4"/>
    </row>
    <row r="43" spans="5:8" x14ac:dyDescent="0.3">
      <c r="E43">
        <v>22</v>
      </c>
      <c r="F43" s="35">
        <v>333463298.35063291</v>
      </c>
      <c r="G43" s="4"/>
      <c r="H43" s="4"/>
    </row>
    <row r="44" spans="5:8" x14ac:dyDescent="0.3">
      <c r="E44">
        <v>23</v>
      </c>
      <c r="F44" s="35">
        <v>372305394.56548667</v>
      </c>
      <c r="G44" s="4"/>
      <c r="H44" s="4"/>
    </row>
    <row r="45" spans="5:8" x14ac:dyDescent="0.3">
      <c r="E45">
        <v>24</v>
      </c>
      <c r="F45" s="35">
        <v>366237075.28457952</v>
      </c>
      <c r="G45" s="4"/>
      <c r="H45" s="4"/>
    </row>
    <row r="46" spans="5:8" x14ac:dyDescent="0.3">
      <c r="E46">
        <v>25</v>
      </c>
      <c r="F46" s="35">
        <v>356223006.06211066</v>
      </c>
      <c r="G46" s="4"/>
      <c r="H46" s="4"/>
    </row>
    <row r="47" spans="5:8" x14ac:dyDescent="0.3">
      <c r="E47">
        <v>26</v>
      </c>
      <c r="F47" s="35">
        <v>324369193.92664486</v>
      </c>
      <c r="G47" s="4"/>
      <c r="H47" s="4"/>
    </row>
    <row r="48" spans="5:8" x14ac:dyDescent="0.3">
      <c r="E48">
        <v>27</v>
      </c>
      <c r="F48" s="35">
        <v>333023304.04183531</v>
      </c>
      <c r="G48" s="4"/>
      <c r="H48" s="4"/>
    </row>
    <row r="49" spans="5:8" x14ac:dyDescent="0.3">
      <c r="E49">
        <v>28</v>
      </c>
      <c r="F49" s="35">
        <v>311283428.44939423</v>
      </c>
      <c r="G49" s="4"/>
      <c r="H49" s="4"/>
    </row>
    <row r="50" spans="5:8" x14ac:dyDescent="0.3">
      <c r="E50">
        <v>29</v>
      </c>
      <c r="F50" s="35">
        <v>301468014.14370346</v>
      </c>
      <c r="G50" s="4"/>
      <c r="H50" s="4"/>
    </row>
    <row r="51" spans="5:8" x14ac:dyDescent="0.3">
      <c r="E51">
        <v>30</v>
      </c>
      <c r="F51" s="35">
        <v>409475198.01230454</v>
      </c>
      <c r="G51" s="4"/>
      <c r="H51" s="4"/>
    </row>
    <row r="52" spans="5:8" x14ac:dyDescent="0.3">
      <c r="E52">
        <v>31</v>
      </c>
      <c r="F52" s="35">
        <v>307331829.7574755</v>
      </c>
      <c r="G52" s="4"/>
      <c r="H52" s="4"/>
    </row>
    <row r="53" spans="5:8" x14ac:dyDescent="0.3">
      <c r="E53">
        <v>32</v>
      </c>
      <c r="F53" s="35">
        <v>351405482.03647876</v>
      </c>
      <c r="G53" s="4"/>
      <c r="H53" s="4"/>
    </row>
    <row r="54" spans="5:8" x14ac:dyDescent="0.3">
      <c r="E54">
        <v>33</v>
      </c>
      <c r="F54" s="35">
        <v>355298127.88857025</v>
      </c>
      <c r="G54" s="4"/>
      <c r="H54" s="4"/>
    </row>
    <row r="55" spans="5:8" x14ac:dyDescent="0.3">
      <c r="E55">
        <v>34</v>
      </c>
      <c r="F55" s="35">
        <v>319478200.48950952</v>
      </c>
      <c r="G55" s="4"/>
      <c r="H55" s="4"/>
    </row>
    <row r="56" spans="5:8" x14ac:dyDescent="0.3">
      <c r="E56">
        <v>35</v>
      </c>
      <c r="F56" s="35">
        <v>349416234.53706503</v>
      </c>
      <c r="G56" s="4"/>
      <c r="H56" s="4"/>
    </row>
    <row r="57" spans="5:8" x14ac:dyDescent="0.3">
      <c r="E57">
        <v>36</v>
      </c>
      <c r="F57" s="35">
        <v>333418687.0831545</v>
      </c>
      <c r="G57" s="4"/>
      <c r="H57" s="4"/>
    </row>
    <row r="58" spans="5:8" x14ac:dyDescent="0.3">
      <c r="E58">
        <v>37</v>
      </c>
      <c r="F58" s="35">
        <v>305741054.17759055</v>
      </c>
      <c r="G58" s="4"/>
      <c r="H58" s="4"/>
    </row>
    <row r="59" spans="5:8" x14ac:dyDescent="0.3">
      <c r="E59">
        <v>38</v>
      </c>
      <c r="F59" s="35">
        <v>291422951.42668235</v>
      </c>
      <c r="G59" s="4"/>
      <c r="H59" s="4"/>
    </row>
    <row r="60" spans="5:8" x14ac:dyDescent="0.3">
      <c r="E60">
        <v>39</v>
      </c>
      <c r="F60" s="35">
        <v>370385816.79300517</v>
      </c>
      <c r="G60" s="4"/>
      <c r="H60" s="4"/>
    </row>
    <row r="61" spans="5:8" x14ac:dyDescent="0.3">
      <c r="E61">
        <v>40</v>
      </c>
      <c r="F61" s="35">
        <v>334119387.90514433</v>
      </c>
      <c r="G61" s="4"/>
      <c r="H61" s="4"/>
    </row>
    <row r="62" spans="5:8" x14ac:dyDescent="0.3">
      <c r="E62">
        <v>41</v>
      </c>
      <c r="F62" s="35">
        <v>298727822.66466981</v>
      </c>
      <c r="G62" s="4"/>
      <c r="H62" s="4"/>
    </row>
    <row r="63" spans="5:8" x14ac:dyDescent="0.3">
      <c r="E63">
        <v>42</v>
      </c>
      <c r="F63" s="35">
        <v>326129157.88267499</v>
      </c>
      <c r="G63" s="4"/>
      <c r="H63" s="4"/>
    </row>
    <row r="64" spans="5:8" x14ac:dyDescent="0.3">
      <c r="E64">
        <v>43</v>
      </c>
      <c r="F64" s="35">
        <v>305615818.44137895</v>
      </c>
      <c r="G64" s="4"/>
      <c r="H64" s="4"/>
    </row>
    <row r="65" spans="5:8" x14ac:dyDescent="0.3">
      <c r="E65">
        <v>44</v>
      </c>
      <c r="F65" s="35">
        <v>338571345.95331353</v>
      </c>
      <c r="G65" s="4"/>
      <c r="H65" s="4"/>
    </row>
    <row r="66" spans="5:8" x14ac:dyDescent="0.3">
      <c r="E66">
        <v>45</v>
      </c>
      <c r="F66" s="35">
        <v>323332191.40559417</v>
      </c>
      <c r="G66" s="4"/>
      <c r="H66" s="4"/>
    </row>
    <row r="67" spans="5:8" x14ac:dyDescent="0.3">
      <c r="E67">
        <v>46</v>
      </c>
      <c r="F67" s="35">
        <v>335162811.724648</v>
      </c>
      <c r="G67" s="4"/>
      <c r="H67" s="4"/>
    </row>
    <row r="68" spans="5:8" x14ac:dyDescent="0.3">
      <c r="E68">
        <v>47</v>
      </c>
      <c r="F68" s="35">
        <v>351401687.55577976</v>
      </c>
      <c r="G68" s="4"/>
      <c r="H68" s="4"/>
    </row>
    <row r="69" spans="5:8" x14ac:dyDescent="0.3">
      <c r="E69">
        <v>48</v>
      </c>
      <c r="F69" s="35">
        <v>361113621.58163643</v>
      </c>
      <c r="G69" s="4"/>
      <c r="H69" s="4"/>
    </row>
    <row r="70" spans="5:8" x14ac:dyDescent="0.3">
      <c r="E70">
        <v>49</v>
      </c>
      <c r="F70" s="35">
        <v>336395448.44637364</v>
      </c>
      <c r="G70" s="4"/>
      <c r="H70" s="4"/>
    </row>
    <row r="71" spans="5:8" x14ac:dyDescent="0.3">
      <c r="E71">
        <v>50</v>
      </c>
      <c r="F71" s="35">
        <v>308873786.17392504</v>
      </c>
      <c r="G71" s="4"/>
      <c r="H71" s="4"/>
    </row>
    <row r="72" spans="5:8" x14ac:dyDescent="0.3">
      <c r="E72">
        <v>51</v>
      </c>
      <c r="F72" s="35">
        <v>356627150.68417537</v>
      </c>
      <c r="G72" s="4"/>
      <c r="H72" s="4"/>
    </row>
    <row r="73" spans="5:8" x14ac:dyDescent="0.3">
      <c r="E73">
        <v>52</v>
      </c>
      <c r="F73" s="35">
        <v>346209753.90299922</v>
      </c>
      <c r="G73" s="4"/>
      <c r="H73" s="4"/>
    </row>
    <row r="74" spans="5:8" x14ac:dyDescent="0.3">
      <c r="E74">
        <v>53</v>
      </c>
      <c r="F74" s="35">
        <v>388761212.41736138</v>
      </c>
      <c r="G74" s="4"/>
      <c r="H74" s="4"/>
    </row>
    <row r="75" spans="5:8" x14ac:dyDescent="0.3">
      <c r="E75">
        <v>54</v>
      </c>
      <c r="F75" s="35">
        <v>345326065.80843931</v>
      </c>
      <c r="G75" s="4"/>
      <c r="H75" s="4"/>
    </row>
    <row r="76" spans="5:8" x14ac:dyDescent="0.3">
      <c r="E76">
        <v>55</v>
      </c>
      <c r="F76" s="35">
        <v>362525760.96176243</v>
      </c>
      <c r="G76" s="4"/>
      <c r="H76" s="4"/>
    </row>
    <row r="77" spans="5:8" x14ac:dyDescent="0.3">
      <c r="E77">
        <v>56</v>
      </c>
      <c r="F77" s="35">
        <v>313521993.2094025</v>
      </c>
      <c r="G77" s="4"/>
      <c r="H77" s="4"/>
    </row>
    <row r="78" spans="5:8" x14ac:dyDescent="0.3">
      <c r="E78">
        <v>57</v>
      </c>
      <c r="F78" s="35">
        <v>404312781.97774649</v>
      </c>
      <c r="G78" s="4"/>
      <c r="H78" s="4"/>
    </row>
    <row r="79" spans="5:8" x14ac:dyDescent="0.3">
      <c r="E79">
        <v>58</v>
      </c>
      <c r="F79" s="35">
        <v>336019044.35008347</v>
      </c>
      <c r="G79" s="4"/>
      <c r="H79" s="4"/>
    </row>
    <row r="80" spans="5:8" x14ac:dyDescent="0.3">
      <c r="E80">
        <v>59</v>
      </c>
      <c r="F80" s="35">
        <v>339400286.6132946</v>
      </c>
      <c r="G80" s="4"/>
      <c r="H80" s="4"/>
    </row>
    <row r="81" spans="5:8" x14ac:dyDescent="0.3">
      <c r="E81">
        <v>60</v>
      </c>
      <c r="F81" s="35">
        <v>279098154.36524701</v>
      </c>
      <c r="G81" s="4"/>
      <c r="H81" s="4"/>
    </row>
    <row r="82" spans="5:8" x14ac:dyDescent="0.3">
      <c r="E82">
        <v>61</v>
      </c>
      <c r="F82" s="35">
        <v>330978610.53025818</v>
      </c>
      <c r="G82" s="4"/>
      <c r="H82" s="4"/>
    </row>
    <row r="83" spans="5:8" x14ac:dyDescent="0.3">
      <c r="E83">
        <v>62</v>
      </c>
      <c r="F83" s="35">
        <v>358261715.93102694</v>
      </c>
      <c r="G83" s="4"/>
      <c r="H83" s="4"/>
    </row>
    <row r="84" spans="5:8" x14ac:dyDescent="0.3">
      <c r="E84">
        <v>63</v>
      </c>
      <c r="F84" s="35">
        <v>340733177.61256051</v>
      </c>
      <c r="G84" s="4"/>
      <c r="H84" s="4"/>
    </row>
    <row r="85" spans="5:8" x14ac:dyDescent="0.3">
      <c r="E85">
        <v>64</v>
      </c>
      <c r="F85" s="35">
        <v>376221851.26434135</v>
      </c>
      <c r="G85" s="4"/>
      <c r="H85" s="4"/>
    </row>
    <row r="86" spans="5:8" x14ac:dyDescent="0.3">
      <c r="E86">
        <v>65</v>
      </c>
      <c r="F86" s="35">
        <v>369139030.66538411</v>
      </c>
      <c r="G86" s="4"/>
      <c r="H86" s="4"/>
    </row>
    <row r="87" spans="5:8" x14ac:dyDescent="0.3">
      <c r="E87">
        <v>66</v>
      </c>
      <c r="F87" s="35">
        <v>372224336.85651141</v>
      </c>
      <c r="G87" s="4"/>
      <c r="H87" s="4"/>
    </row>
    <row r="88" spans="5:8" x14ac:dyDescent="0.3">
      <c r="E88">
        <v>67</v>
      </c>
      <c r="F88" s="35">
        <v>291170230.84802592</v>
      </c>
      <c r="G88" s="4"/>
      <c r="H88" s="4"/>
    </row>
    <row r="89" spans="5:8" x14ac:dyDescent="0.3">
      <c r="E89">
        <v>68</v>
      </c>
      <c r="F89" s="35">
        <v>313222290.5026902</v>
      </c>
      <c r="G89" s="4"/>
      <c r="H89" s="4"/>
    </row>
    <row r="90" spans="5:8" x14ac:dyDescent="0.3">
      <c r="E90">
        <v>69</v>
      </c>
      <c r="F90" s="35">
        <v>328373544.9908666</v>
      </c>
      <c r="G90" s="4"/>
      <c r="H90" s="4"/>
    </row>
    <row r="91" spans="5:8" x14ac:dyDescent="0.3">
      <c r="E91">
        <v>70</v>
      </c>
      <c r="F91" s="35">
        <v>351290164.06624055</v>
      </c>
      <c r="G91" s="4"/>
      <c r="H91" s="4"/>
    </row>
    <row r="92" spans="5:8" x14ac:dyDescent="0.3">
      <c r="E92">
        <v>71</v>
      </c>
      <c r="F92" s="35">
        <v>330510507.57296401</v>
      </c>
      <c r="G92" s="4"/>
      <c r="H92" s="4"/>
    </row>
    <row r="93" spans="5:8" x14ac:dyDescent="0.3">
      <c r="E93">
        <v>72</v>
      </c>
      <c r="F93" s="35">
        <v>326520184.43100947</v>
      </c>
      <c r="G93" s="4"/>
      <c r="H93" s="4"/>
    </row>
    <row r="94" spans="5:8" x14ac:dyDescent="0.3">
      <c r="E94">
        <v>73</v>
      </c>
      <c r="F94" s="35">
        <v>326024151.16664994</v>
      </c>
      <c r="G94" s="4"/>
      <c r="H94" s="4"/>
    </row>
    <row r="95" spans="5:8" x14ac:dyDescent="0.3">
      <c r="E95">
        <v>74</v>
      </c>
      <c r="F95" s="35">
        <v>352183563.10666758</v>
      </c>
      <c r="G95" s="4"/>
      <c r="H95" s="4"/>
    </row>
    <row r="96" spans="5:8" x14ac:dyDescent="0.3">
      <c r="E96">
        <v>75</v>
      </c>
      <c r="F96" s="35">
        <v>349615263.64860064</v>
      </c>
      <c r="G96" s="4"/>
      <c r="H96" s="4"/>
    </row>
    <row r="97" spans="5:8" x14ac:dyDescent="0.3">
      <c r="E97">
        <v>76</v>
      </c>
      <c r="F97" s="35">
        <v>333215272.84714514</v>
      </c>
      <c r="G97" s="4"/>
      <c r="H97" s="4"/>
    </row>
    <row r="98" spans="5:8" x14ac:dyDescent="0.3">
      <c r="E98">
        <v>77</v>
      </c>
      <c r="F98" s="35">
        <v>346441903.82023126</v>
      </c>
      <c r="G98" s="4"/>
      <c r="H98" s="4"/>
    </row>
    <row r="99" spans="5:8" x14ac:dyDescent="0.3">
      <c r="E99">
        <v>78</v>
      </c>
      <c r="F99" s="35">
        <v>282941440.30354857</v>
      </c>
      <c r="G99" s="4"/>
      <c r="H99" s="4"/>
    </row>
    <row r="100" spans="5:8" x14ac:dyDescent="0.3">
      <c r="E100">
        <v>79</v>
      </c>
      <c r="F100" s="35">
        <v>356595804.68151224</v>
      </c>
      <c r="G100" s="4"/>
      <c r="H100" s="4"/>
    </row>
    <row r="101" spans="5:8" x14ac:dyDescent="0.3">
      <c r="E101">
        <v>80</v>
      </c>
      <c r="F101" s="35">
        <v>350485716.83102393</v>
      </c>
      <c r="G101" s="4"/>
      <c r="H101" s="4"/>
    </row>
    <row r="102" spans="5:8" x14ac:dyDescent="0.3">
      <c r="E102">
        <v>81</v>
      </c>
      <c r="F102" s="35">
        <v>313866254.1521014</v>
      </c>
      <c r="G102" s="4"/>
      <c r="H102" s="4"/>
    </row>
    <row r="103" spans="5:8" x14ac:dyDescent="0.3">
      <c r="E103">
        <v>82</v>
      </c>
      <c r="F103" s="35">
        <v>351969296.62934673</v>
      </c>
      <c r="G103" s="4"/>
      <c r="H103" s="4"/>
    </row>
    <row r="104" spans="5:8" x14ac:dyDescent="0.3">
      <c r="E104">
        <v>83</v>
      </c>
      <c r="F104" s="35">
        <v>458110772.70462942</v>
      </c>
      <c r="G104" s="4"/>
      <c r="H104" s="4"/>
    </row>
    <row r="105" spans="5:8" x14ac:dyDescent="0.3">
      <c r="E105">
        <v>84</v>
      </c>
      <c r="F105" s="35">
        <v>303696410.87866092</v>
      </c>
      <c r="G105" s="4"/>
      <c r="H105" s="4"/>
    </row>
    <row r="106" spans="5:8" x14ac:dyDescent="0.3">
      <c r="E106">
        <v>85</v>
      </c>
      <c r="F106" s="35">
        <v>294805975.96066868</v>
      </c>
      <c r="G106" s="4"/>
      <c r="H106" s="4"/>
    </row>
    <row r="107" spans="5:8" x14ac:dyDescent="0.3">
      <c r="E107">
        <v>86</v>
      </c>
      <c r="F107" s="35">
        <v>401255660.75819021</v>
      </c>
      <c r="G107" s="4"/>
      <c r="H107" s="4"/>
    </row>
    <row r="108" spans="5:8" x14ac:dyDescent="0.3">
      <c r="E108">
        <v>87</v>
      </c>
      <c r="F108" s="35">
        <v>337453369.32473689</v>
      </c>
      <c r="G108" s="4"/>
      <c r="H108" s="4"/>
    </row>
    <row r="109" spans="5:8" x14ac:dyDescent="0.3">
      <c r="E109">
        <v>88</v>
      </c>
      <c r="F109" s="35">
        <v>287674603.69830352</v>
      </c>
      <c r="G109" s="4"/>
      <c r="H109" s="4"/>
    </row>
    <row r="110" spans="5:8" x14ac:dyDescent="0.3">
      <c r="E110">
        <v>89</v>
      </c>
      <c r="F110" s="35">
        <v>300424946.18111938</v>
      </c>
      <c r="G110" s="4"/>
      <c r="H110" s="4"/>
    </row>
    <row r="111" spans="5:8" x14ac:dyDescent="0.3">
      <c r="E111">
        <v>90</v>
      </c>
      <c r="F111" s="35">
        <v>363891121.70653671</v>
      </c>
      <c r="G111" s="4"/>
      <c r="H111" s="4"/>
    </row>
    <row r="112" spans="5:8" x14ac:dyDescent="0.3">
      <c r="E112">
        <v>91</v>
      </c>
      <c r="F112" s="35">
        <v>296105193.63548118</v>
      </c>
      <c r="G112" s="4"/>
      <c r="H112" s="4"/>
    </row>
    <row r="113" spans="5:8" x14ac:dyDescent="0.3">
      <c r="E113">
        <v>92</v>
      </c>
      <c r="F113" s="35">
        <v>373183283.18299383</v>
      </c>
      <c r="G113" s="4"/>
      <c r="H113" s="4"/>
    </row>
    <row r="114" spans="5:8" x14ac:dyDescent="0.3">
      <c r="E114">
        <v>93</v>
      </c>
      <c r="F114" s="35">
        <v>296193423.2852596</v>
      </c>
      <c r="G114" s="4"/>
      <c r="H114" s="4"/>
    </row>
    <row r="115" spans="5:8" x14ac:dyDescent="0.3">
      <c r="E115">
        <v>94</v>
      </c>
      <c r="F115" s="35">
        <v>406909357.62365556</v>
      </c>
      <c r="G115" s="4"/>
      <c r="H115" s="4"/>
    </row>
    <row r="116" spans="5:8" x14ac:dyDescent="0.3">
      <c r="E116">
        <v>95</v>
      </c>
      <c r="F116" s="35">
        <v>383323193.9634167</v>
      </c>
      <c r="G116" s="4"/>
      <c r="H116" s="4"/>
    </row>
    <row r="117" spans="5:8" x14ac:dyDescent="0.3">
      <c r="E117">
        <v>96</v>
      </c>
      <c r="F117" s="35">
        <v>397251356.13759136</v>
      </c>
      <c r="G117" s="4"/>
      <c r="H117" s="4"/>
    </row>
    <row r="118" spans="5:8" x14ac:dyDescent="0.3">
      <c r="E118">
        <v>97</v>
      </c>
      <c r="F118" s="35">
        <v>295947370.80138552</v>
      </c>
      <c r="G118" s="4"/>
      <c r="H118" s="4"/>
    </row>
    <row r="119" spans="5:8" x14ac:dyDescent="0.3">
      <c r="E119">
        <v>98</v>
      </c>
      <c r="F119" s="35">
        <v>325310685.90708905</v>
      </c>
      <c r="G119" s="4"/>
      <c r="H119" s="4"/>
    </row>
    <row r="120" spans="5:8" x14ac:dyDescent="0.3">
      <c r="E120">
        <v>99</v>
      </c>
      <c r="F120" s="35">
        <v>331513465.91916388</v>
      </c>
      <c r="G120" s="4"/>
      <c r="H120" s="4"/>
    </row>
    <row r="121" spans="5:8" x14ac:dyDescent="0.3">
      <c r="E121">
        <v>100</v>
      </c>
      <c r="F121" s="35">
        <v>353583963.2893728</v>
      </c>
      <c r="G121" s="4"/>
      <c r="H121" s="4"/>
    </row>
    <row r="122" spans="5:8" x14ac:dyDescent="0.3">
      <c r="E122">
        <v>101</v>
      </c>
      <c r="F122" s="35">
        <v>337672993.89010102</v>
      </c>
      <c r="G122" s="4"/>
      <c r="H122" s="4"/>
    </row>
    <row r="123" spans="5:8" x14ac:dyDescent="0.3">
      <c r="E123">
        <v>102</v>
      </c>
      <c r="F123" s="35">
        <v>294616849.00367665</v>
      </c>
      <c r="G123" s="4"/>
      <c r="H123" s="4"/>
    </row>
    <row r="124" spans="5:8" x14ac:dyDescent="0.3">
      <c r="E124">
        <v>103</v>
      </c>
      <c r="F124" s="35">
        <v>385654462.73267889</v>
      </c>
      <c r="G124" s="4"/>
      <c r="H124" s="4"/>
    </row>
    <row r="125" spans="5:8" x14ac:dyDescent="0.3">
      <c r="E125">
        <v>104</v>
      </c>
      <c r="F125" s="35">
        <v>372465163.94621485</v>
      </c>
      <c r="G125" s="4"/>
      <c r="H125" s="4"/>
    </row>
    <row r="126" spans="5:8" x14ac:dyDescent="0.3">
      <c r="E126">
        <v>105</v>
      </c>
      <c r="F126" s="35">
        <v>290135733.00262994</v>
      </c>
      <c r="G126" s="4"/>
      <c r="H126" s="4"/>
    </row>
    <row r="127" spans="5:8" x14ac:dyDescent="0.3">
      <c r="E127">
        <v>106</v>
      </c>
      <c r="F127" s="35">
        <v>383790174.628703</v>
      </c>
      <c r="G127" s="4"/>
      <c r="H127" s="4"/>
    </row>
    <row r="128" spans="5:8" x14ac:dyDescent="0.3">
      <c r="E128">
        <v>107</v>
      </c>
      <c r="F128" s="35">
        <v>306982099.35192144</v>
      </c>
      <c r="G128" s="4"/>
      <c r="H128" s="4"/>
    </row>
    <row r="129" spans="5:8" x14ac:dyDescent="0.3">
      <c r="E129">
        <v>108</v>
      </c>
      <c r="F129" s="35">
        <v>313344486.09745479</v>
      </c>
      <c r="G129" s="4"/>
      <c r="H129" s="4"/>
    </row>
  </sheetData>
  <mergeCells count="1"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9"/>
  <sheetViews>
    <sheetView workbookViewId="0">
      <selection activeCell="A22" sqref="A22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17.44140625" customWidth="1"/>
    <col min="6" max="6" width="16.109375" bestFit="1" customWidth="1"/>
    <col min="7" max="7" width="16.109375" customWidth="1"/>
    <col min="8" max="8" width="31.10937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Mappings!N10</f>
        <v>1495.1172015495711</v>
      </c>
      <c r="C3" s="21">
        <f>Mappings!N11</f>
        <v>340.3171855089804</v>
      </c>
      <c r="D3" s="41">
        <f>Mappings!N12</f>
        <v>1662.110376985115</v>
      </c>
    </row>
    <row r="4" spans="1:8" x14ac:dyDescent="0.3">
      <c r="A4" t="str">
        <f>MC_High_ambition!A4</f>
        <v>Random value income per cow (USD/yr)</v>
      </c>
      <c r="B4" s="21">
        <f ca="1">_xlfn.NORM.INV(RAND(),Mappings!N10,Mappings!O10)</f>
        <v>1427.9010955236974</v>
      </c>
      <c r="C4" s="21">
        <f ca="1">_xlfn.NORM.INV(RAND(),Mappings!N11,Mappings!O11)</f>
        <v>303.292326420503</v>
      </c>
      <c r="D4" s="21">
        <f ca="1">_xlfn.NORM.INV(RAND(),Mappings!N12,Mappings!O12)</f>
        <v>1610.7453141423127</v>
      </c>
    </row>
    <row r="5" spans="1:8" x14ac:dyDescent="0.3">
      <c r="A5" t="str">
        <f>MC_High_ambition!A5</f>
        <v>Cows per household (head)</v>
      </c>
      <c r="B5" s="21">
        <f>Mappings!F10*Mappings!I10</f>
        <v>0.56408463639927786</v>
      </c>
      <c r="C5" s="21">
        <f>Mappings!F11*Mappings!I11</f>
        <v>2.4983161235504578</v>
      </c>
      <c r="D5" s="21">
        <f>Mappings!F12*Mappings!I12</f>
        <v>1.5699937715024941</v>
      </c>
    </row>
    <row r="6" spans="1:8" x14ac:dyDescent="0.3">
      <c r="A6" t="str">
        <f>MC_High_ambition!A6</f>
        <v>Random value cows per household (head)</v>
      </c>
      <c r="B6" s="21">
        <f ca="1">_xlfn.NORM.INV(RAND(),B5,B5*Mappings!E4)*0+B5</f>
        <v>0.56408463639927786</v>
      </c>
      <c r="C6" s="21">
        <f ca="1">_xlfn.NORM.INV(RAND(),C5,C5*Mappings!E3)*0+C5</f>
        <v>2.4983161235504578</v>
      </c>
      <c r="D6" s="21">
        <f ca="1">_xlfn.NORM.INV(RAND(),D5,D5*Mappings!E4)*0+D5</f>
        <v>1.5699937715024941</v>
      </c>
    </row>
    <row r="7" spans="1:8" x14ac:dyDescent="0.3">
      <c r="A7" t="str">
        <f>MC_High_ambition!A7</f>
        <v>Non-dairy income (USD/yr)</v>
      </c>
      <c r="B7" s="21">
        <f>Mappings!V10</f>
        <v>1673.4153832981922</v>
      </c>
      <c r="C7" s="21">
        <f>Mappings!V11</f>
        <v>1201.1353932554043</v>
      </c>
      <c r="D7" s="21">
        <f>Mappings!V12</f>
        <v>1463.5565965293463</v>
      </c>
    </row>
    <row r="8" spans="1:8" x14ac:dyDescent="0.3">
      <c r="A8" t="str">
        <f>MC_High_ambition!A8</f>
        <v>Random value non dairy income (USD/yr)</v>
      </c>
      <c r="B8" s="21">
        <f ca="1">_xlfn.NORM.INV(RAND(), B7, B7 * 25/100)*0+B7</f>
        <v>1673.4153832981922</v>
      </c>
      <c r="C8" s="21">
        <f ca="1">_xlfn.NORM.INV(RAND(), C7, C7* 25/100)*0+C7</f>
        <v>1201.1353932554043</v>
      </c>
      <c r="D8" s="21">
        <f ca="1">_xlfn.NORM.INV(RAND(), D7, D7* 25/100)*0+D7</f>
        <v>1463.5565965293463</v>
      </c>
    </row>
    <row r="9" spans="1:8" s="102" customFormat="1" x14ac:dyDescent="0.3">
      <c r="A9" s="102" t="str">
        <f>MC_Baseline!A8</f>
        <v>Reduction in non-dairy income through crop area change</v>
      </c>
      <c r="B9" s="21">
        <f>Mappings!Q10</f>
        <v>83.417327319586278</v>
      </c>
      <c r="C9" s="21">
        <f>Mappings!Q11</f>
        <v>553.37990121178859</v>
      </c>
      <c r="D9" s="21">
        <f>Mappings!Q12</f>
        <v>313.41672705646732</v>
      </c>
    </row>
    <row r="10" spans="1:8" s="102" customFormat="1" x14ac:dyDescent="0.3">
      <c r="A10" s="102" t="str">
        <f>MC_Baseline!A9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-32.566759199750592</v>
      </c>
      <c r="C10" s="21">
        <f ca="1">IF(C9&gt;0,_xlfn.NORM.INV(RAND(),C9,C9*Dairy_Income_Roadmap!L36),_xlfn.NORM.INV(RAND(),ABS(C9),ABS(C9)*Dairy_Income_Roadmap!L36))</f>
        <v>-99.224454444484081</v>
      </c>
      <c r="D10" s="21">
        <f ca="1">IF(D9&gt;0,_xlfn.NORM.INV(RAND(),D9,D9*Dairy_Income_Roadmap!L38),_xlfn.NORM.INV(RAND(),ABS(D9),ABS(D9)*Dairy_Income_Roadmap!L38))</f>
        <v>363.07418388519454</v>
      </c>
    </row>
    <row r="11" spans="1:8" x14ac:dyDescent="0.3">
      <c r="A11" t="str">
        <f>MC_High_ambition!A11</f>
        <v>Quantity households</v>
      </c>
      <c r="B11" s="21">
        <f>Mappings!D10</f>
        <v>5576.8217917579577</v>
      </c>
      <c r="C11" s="4">
        <f>Mappings!D11</f>
        <v>60032.846346570957</v>
      </c>
      <c r="D11" s="4">
        <f>Mappings!D12</f>
        <v>82028.367810366151</v>
      </c>
    </row>
    <row r="12" spans="1:8" x14ac:dyDescent="0.3">
      <c r="A12" t="str">
        <f>MC_High_ambition!A12</f>
        <v>SE quantity households</v>
      </c>
      <c r="B12" s="21">
        <f>Mappings!Z10*B11</f>
        <v>164.14665356634598</v>
      </c>
      <c r="C12" s="21">
        <f>Mappings!Z11*C11</f>
        <v>1766.990447214195</v>
      </c>
      <c r="D12" s="4">
        <f>Mappings!Z12*D11</f>
        <v>2414.4006346913525</v>
      </c>
    </row>
    <row r="13" spans="1:8" x14ac:dyDescent="0.3">
      <c r="B13" s="21"/>
    </row>
    <row r="14" spans="1:8" x14ac:dyDescent="0.3">
      <c r="A14" t="str">
        <f>MC_High_ambition!A14</f>
        <v>Dairy Income (USD/household/year)</v>
      </c>
      <c r="B14" s="21">
        <f ca="1">B4*B6</f>
        <v>805.4570702826154</v>
      </c>
      <c r="C14" s="21">
        <f ca="1">C4*C6</f>
        <v>757.72010924547112</v>
      </c>
      <c r="D14" s="21">
        <f ca="1">D4*D6</f>
        <v>2528.8601106802594</v>
      </c>
    </row>
    <row r="15" spans="1:8" x14ac:dyDescent="0.3">
      <c r="A15" t="str">
        <f>MC_High_ambition!A15</f>
        <v>Non dairy income (USD/household/year)</v>
      </c>
      <c r="B15" s="21">
        <f ca="1">B8-IF(B9&gt;0,B8-B10,B8+B10)</f>
        <v>-32.56675919975055</v>
      </c>
      <c r="C15" s="21">
        <f t="shared" ref="C15:D15" ca="1" si="0">C8-IF(C9&gt;0,C8-C10,C8+C10)</f>
        <v>-99.224454444484081</v>
      </c>
      <c r="D15" s="21">
        <f t="shared" ca="1" si="0"/>
        <v>363.07418388519454</v>
      </c>
    </row>
    <row r="16" spans="1:8" x14ac:dyDescent="0.3">
      <c r="A16" t="str">
        <f>MC_High_ambition!A16</f>
        <v>Quantity households</v>
      </c>
      <c r="B16" s="21">
        <f ca="1">_xlfn.NORM.INV(RAND(),B11,B12)</f>
        <v>5557.2848748503075</v>
      </c>
      <c r="C16" s="21">
        <f ca="1">_xlfn.NORM.INV(RAND(),C11,C12)</f>
        <v>57515.260453861025</v>
      </c>
      <c r="D16" s="21">
        <f t="shared" ref="D16" ca="1" si="1">_xlfn.NORM.INV(RAND(),D11,D12)</f>
        <v>82511.586694725571</v>
      </c>
    </row>
    <row r="17" spans="1:9" x14ac:dyDescent="0.3">
      <c r="A17" s="116"/>
    </row>
    <row r="18" spans="1:9" x14ac:dyDescent="0.3">
      <c r="A18" s="116" t="str">
        <f>MC_High_ambition!A18</f>
        <v>Estimated population income (USD/yr)</v>
      </c>
      <c r="B18" s="10">
        <f ca="1">(B14+B15)*B16</f>
        <v>4295171.6356991539</v>
      </c>
      <c r="C18" s="10">
        <f ca="1">(C14+C15)*C16</f>
        <v>37873549.093614534</v>
      </c>
      <c r="D18" s="10">
        <f ca="1">(D14+D15)*D16</f>
        <v>238618087.26148748</v>
      </c>
      <c r="F18" s="4">
        <f ca="1">B18+C18+D18</f>
        <v>280786807.99080116</v>
      </c>
    </row>
    <row r="19" spans="1:9" x14ac:dyDescent="0.3">
      <c r="A19" s="116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25176641.042597171</v>
      </c>
      <c r="H19" s="129" t="s">
        <v>52</v>
      </c>
    </row>
    <row r="20" spans="1:9" x14ac:dyDescent="0.3">
      <c r="A20" s="116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327458146.84026158</v>
      </c>
      <c r="G20" s="4"/>
      <c r="H20" s="129"/>
      <c r="I20" s="46">
        <f ca="1">100*F19/F20</f>
        <v>7.6885065421440464</v>
      </c>
    </row>
    <row r="21" spans="1:9" x14ac:dyDescent="0.3">
      <c r="F21" s="4"/>
      <c r="G21" s="4"/>
      <c r="H21" s="4"/>
    </row>
    <row r="22" spans="1:9" x14ac:dyDescent="0.3">
      <c r="B22" s="4"/>
      <c r="E22">
        <v>1</v>
      </c>
      <c r="F22" s="35">
        <f ca="1">F18</f>
        <v>280786807.99080116</v>
      </c>
      <c r="G22" s="4"/>
      <c r="H22" s="4"/>
      <c r="I22" s="129"/>
    </row>
    <row r="23" spans="1:9" x14ac:dyDescent="0.3">
      <c r="E23">
        <v>2</v>
      </c>
      <c r="F23" s="35">
        <f t="dataTable" ref="F23:F129" dt2D="0" dtr="0" r1="F21" ca="1"/>
        <v>342521961.08412123</v>
      </c>
      <c r="G23" s="4"/>
      <c r="H23" s="4"/>
      <c r="I23" s="129"/>
    </row>
    <row r="24" spans="1:9" x14ac:dyDescent="0.3">
      <c r="E24">
        <v>3</v>
      </c>
      <c r="F24" s="35">
        <v>319542105.10172248</v>
      </c>
      <c r="G24" s="4"/>
      <c r="H24" s="4"/>
    </row>
    <row r="25" spans="1:9" x14ac:dyDescent="0.3">
      <c r="E25">
        <v>4</v>
      </c>
      <c r="F25" s="35">
        <v>320089033.88170052</v>
      </c>
      <c r="G25" s="4"/>
      <c r="H25" s="4"/>
    </row>
    <row r="26" spans="1:9" x14ac:dyDescent="0.3">
      <c r="E26">
        <v>5</v>
      </c>
      <c r="F26" s="35">
        <v>338057959.29241115</v>
      </c>
      <c r="G26" s="4"/>
      <c r="H26" s="4"/>
    </row>
    <row r="27" spans="1:9" x14ac:dyDescent="0.3">
      <c r="E27">
        <v>6</v>
      </c>
      <c r="F27" s="35">
        <v>308259689.1781351</v>
      </c>
      <c r="G27" s="4"/>
      <c r="H27" s="4"/>
    </row>
    <row r="28" spans="1:9" x14ac:dyDescent="0.3">
      <c r="E28">
        <v>7</v>
      </c>
      <c r="F28" s="35">
        <v>320612064.98309004</v>
      </c>
      <c r="G28" s="4"/>
      <c r="H28" s="4"/>
    </row>
    <row r="29" spans="1:9" x14ac:dyDescent="0.3">
      <c r="E29">
        <v>8</v>
      </c>
      <c r="F29" s="35">
        <v>357686214.32200629</v>
      </c>
      <c r="G29" s="4"/>
      <c r="H29" s="4"/>
    </row>
    <row r="30" spans="1:9" x14ac:dyDescent="0.3">
      <c r="E30">
        <v>9</v>
      </c>
      <c r="F30" s="35">
        <v>345568113.25820678</v>
      </c>
      <c r="G30" s="4"/>
      <c r="H30" s="4"/>
    </row>
    <row r="31" spans="1:9" x14ac:dyDescent="0.3">
      <c r="E31">
        <v>10</v>
      </c>
      <c r="F31" s="35">
        <v>331542115.583992</v>
      </c>
      <c r="G31" s="4"/>
      <c r="H31" s="4"/>
    </row>
    <row r="32" spans="1:9" x14ac:dyDescent="0.3">
      <c r="E32">
        <v>11</v>
      </c>
      <c r="F32" s="35">
        <v>375795937.18502444</v>
      </c>
      <c r="G32" s="4"/>
      <c r="H32" s="4"/>
    </row>
    <row r="33" spans="5:8" x14ac:dyDescent="0.3">
      <c r="E33">
        <v>12</v>
      </c>
      <c r="F33" s="35">
        <v>336235509.45695269</v>
      </c>
      <c r="G33" s="4"/>
      <c r="H33" s="4"/>
    </row>
    <row r="34" spans="5:8" x14ac:dyDescent="0.3">
      <c r="E34">
        <v>13</v>
      </c>
      <c r="F34" s="35">
        <v>332230050.86144578</v>
      </c>
      <c r="G34" s="4"/>
      <c r="H34" s="4"/>
    </row>
    <row r="35" spans="5:8" x14ac:dyDescent="0.3">
      <c r="E35">
        <v>14</v>
      </c>
      <c r="F35" s="35">
        <v>350184451.18593156</v>
      </c>
      <c r="G35" s="4"/>
      <c r="H35" s="4"/>
    </row>
    <row r="36" spans="5:8" x14ac:dyDescent="0.3">
      <c r="E36">
        <v>15</v>
      </c>
      <c r="F36" s="35">
        <v>330481031.23381031</v>
      </c>
      <c r="G36" s="4"/>
      <c r="H36" s="4"/>
    </row>
    <row r="37" spans="5:8" x14ac:dyDescent="0.3">
      <c r="E37">
        <v>16</v>
      </c>
      <c r="F37" s="35">
        <v>329470033.01923561</v>
      </c>
      <c r="G37" s="4"/>
      <c r="H37" s="4"/>
    </row>
    <row r="38" spans="5:8" x14ac:dyDescent="0.3">
      <c r="E38">
        <v>17</v>
      </c>
      <c r="F38" s="35">
        <v>293658662.48261678</v>
      </c>
      <c r="G38" s="4"/>
      <c r="H38" s="4"/>
    </row>
    <row r="39" spans="5:8" x14ac:dyDescent="0.3">
      <c r="E39">
        <v>18</v>
      </c>
      <c r="F39" s="35">
        <v>367089278.4122386</v>
      </c>
      <c r="G39" s="4"/>
      <c r="H39" s="4"/>
    </row>
    <row r="40" spans="5:8" x14ac:dyDescent="0.3">
      <c r="E40">
        <v>19</v>
      </c>
      <c r="F40" s="35">
        <v>361475836.6293453</v>
      </c>
      <c r="G40" s="4"/>
      <c r="H40" s="4"/>
    </row>
    <row r="41" spans="5:8" x14ac:dyDescent="0.3">
      <c r="E41">
        <v>20</v>
      </c>
      <c r="F41" s="35">
        <v>308232543.22642344</v>
      </c>
      <c r="G41" s="4"/>
      <c r="H41" s="4"/>
    </row>
    <row r="42" spans="5:8" x14ac:dyDescent="0.3">
      <c r="E42">
        <v>21</v>
      </c>
      <c r="F42" s="35">
        <v>307237074.81287295</v>
      </c>
      <c r="G42" s="4"/>
      <c r="H42" s="4"/>
    </row>
    <row r="43" spans="5:8" x14ac:dyDescent="0.3">
      <c r="E43">
        <v>22</v>
      </c>
      <c r="F43" s="35">
        <v>298102727.6044693</v>
      </c>
      <c r="G43" s="4"/>
      <c r="H43" s="4"/>
    </row>
    <row r="44" spans="5:8" x14ac:dyDescent="0.3">
      <c r="E44">
        <v>23</v>
      </c>
      <c r="F44" s="35">
        <v>332341184.15230215</v>
      </c>
      <c r="G44" s="4"/>
      <c r="H44" s="4"/>
    </row>
    <row r="45" spans="5:8" x14ac:dyDescent="0.3">
      <c r="E45">
        <v>24</v>
      </c>
      <c r="F45" s="35">
        <v>349089403.06073201</v>
      </c>
      <c r="G45" s="4"/>
      <c r="H45" s="4"/>
    </row>
    <row r="46" spans="5:8" x14ac:dyDescent="0.3">
      <c r="E46">
        <v>25</v>
      </c>
      <c r="F46" s="35">
        <v>302114256.77114618</v>
      </c>
      <c r="G46" s="4"/>
      <c r="H46" s="4"/>
    </row>
    <row r="47" spans="5:8" x14ac:dyDescent="0.3">
      <c r="E47">
        <v>26</v>
      </c>
      <c r="F47" s="35">
        <v>325042395.56519717</v>
      </c>
      <c r="G47" s="4"/>
      <c r="H47" s="4"/>
    </row>
    <row r="48" spans="5:8" x14ac:dyDescent="0.3">
      <c r="E48">
        <v>27</v>
      </c>
      <c r="F48" s="35">
        <v>345604917.47144568</v>
      </c>
      <c r="G48" s="4"/>
      <c r="H48" s="4"/>
    </row>
    <row r="49" spans="5:8" x14ac:dyDescent="0.3">
      <c r="E49">
        <v>28</v>
      </c>
      <c r="F49" s="35">
        <v>328941697.69462609</v>
      </c>
      <c r="G49" s="4"/>
      <c r="H49" s="4"/>
    </row>
    <row r="50" spans="5:8" x14ac:dyDescent="0.3">
      <c r="E50">
        <v>29</v>
      </c>
      <c r="F50" s="35">
        <v>379792852.42864352</v>
      </c>
      <c r="G50" s="4"/>
      <c r="H50" s="4"/>
    </row>
    <row r="51" spans="5:8" x14ac:dyDescent="0.3">
      <c r="E51">
        <v>30</v>
      </c>
      <c r="F51" s="35">
        <v>395509284.81600714</v>
      </c>
      <c r="G51" s="4"/>
      <c r="H51" s="4"/>
    </row>
    <row r="52" spans="5:8" x14ac:dyDescent="0.3">
      <c r="E52">
        <v>31</v>
      </c>
      <c r="F52" s="35">
        <v>294842534.22220898</v>
      </c>
      <c r="G52" s="4"/>
      <c r="H52" s="4"/>
    </row>
    <row r="53" spans="5:8" x14ac:dyDescent="0.3">
      <c r="E53">
        <v>32</v>
      </c>
      <c r="F53" s="35">
        <v>324416556.57261717</v>
      </c>
      <c r="G53" s="4"/>
      <c r="H53" s="4"/>
    </row>
    <row r="54" spans="5:8" x14ac:dyDescent="0.3">
      <c r="E54">
        <v>33</v>
      </c>
      <c r="F54" s="35">
        <v>305690235.62864196</v>
      </c>
      <c r="G54" s="4"/>
      <c r="H54" s="4"/>
    </row>
    <row r="55" spans="5:8" x14ac:dyDescent="0.3">
      <c r="E55">
        <v>34</v>
      </c>
      <c r="F55" s="35">
        <v>321939609.38987339</v>
      </c>
      <c r="G55" s="4"/>
      <c r="H55" s="4"/>
    </row>
    <row r="56" spans="5:8" x14ac:dyDescent="0.3">
      <c r="E56">
        <v>35</v>
      </c>
      <c r="F56" s="35">
        <v>350586592.82000291</v>
      </c>
      <c r="G56" s="4"/>
      <c r="H56" s="4"/>
    </row>
    <row r="57" spans="5:8" x14ac:dyDescent="0.3">
      <c r="E57">
        <v>36</v>
      </c>
      <c r="F57" s="35">
        <v>317449276.66000462</v>
      </c>
      <c r="G57" s="4"/>
      <c r="H57" s="4"/>
    </row>
    <row r="58" spans="5:8" x14ac:dyDescent="0.3">
      <c r="E58">
        <v>37</v>
      </c>
      <c r="F58" s="35">
        <v>361034815.67509234</v>
      </c>
      <c r="G58" s="4"/>
      <c r="H58" s="4"/>
    </row>
    <row r="59" spans="5:8" x14ac:dyDescent="0.3">
      <c r="E59">
        <v>38</v>
      </c>
      <c r="F59" s="35">
        <v>329227120.2199958</v>
      </c>
      <c r="G59" s="4"/>
      <c r="H59" s="4"/>
    </row>
    <row r="60" spans="5:8" x14ac:dyDescent="0.3">
      <c r="E60">
        <v>39</v>
      </c>
      <c r="F60" s="35">
        <v>343811264.07065296</v>
      </c>
      <c r="G60" s="4"/>
      <c r="H60" s="4"/>
    </row>
    <row r="61" spans="5:8" x14ac:dyDescent="0.3">
      <c r="E61">
        <v>40</v>
      </c>
      <c r="F61" s="35">
        <v>310281956.51701736</v>
      </c>
      <c r="G61" s="4"/>
      <c r="H61" s="4"/>
    </row>
    <row r="62" spans="5:8" x14ac:dyDescent="0.3">
      <c r="E62">
        <v>41</v>
      </c>
      <c r="F62" s="35">
        <v>347725983.19731832</v>
      </c>
      <c r="G62" s="4"/>
      <c r="H62" s="4"/>
    </row>
    <row r="63" spans="5:8" x14ac:dyDescent="0.3">
      <c r="E63">
        <v>42</v>
      </c>
      <c r="F63" s="35">
        <v>282548509.43693781</v>
      </c>
      <c r="G63" s="4"/>
      <c r="H63" s="4"/>
    </row>
    <row r="64" spans="5:8" x14ac:dyDescent="0.3">
      <c r="E64">
        <v>43</v>
      </c>
      <c r="F64" s="35">
        <v>342459684.44271076</v>
      </c>
      <c r="G64" s="4"/>
      <c r="H64" s="4"/>
    </row>
    <row r="65" spans="5:8" x14ac:dyDescent="0.3">
      <c r="E65">
        <v>44</v>
      </c>
      <c r="F65" s="35">
        <v>311116012.70020968</v>
      </c>
      <c r="G65" s="4"/>
      <c r="H65" s="4"/>
    </row>
    <row r="66" spans="5:8" x14ac:dyDescent="0.3">
      <c r="E66">
        <v>45</v>
      </c>
      <c r="F66" s="35">
        <v>322437489.58084071</v>
      </c>
      <c r="G66" s="4"/>
      <c r="H66" s="4"/>
    </row>
    <row r="67" spans="5:8" x14ac:dyDescent="0.3">
      <c r="E67">
        <v>46</v>
      </c>
      <c r="F67" s="35">
        <v>318813536.28351778</v>
      </c>
      <c r="G67" s="4"/>
      <c r="H67" s="4"/>
    </row>
    <row r="68" spans="5:8" x14ac:dyDescent="0.3">
      <c r="E68">
        <v>47</v>
      </c>
      <c r="F68" s="35">
        <v>321148227.3011381</v>
      </c>
      <c r="G68" s="4"/>
      <c r="H68" s="4"/>
    </row>
    <row r="69" spans="5:8" x14ac:dyDescent="0.3">
      <c r="E69">
        <v>48</v>
      </c>
      <c r="F69" s="35">
        <v>348889431.2030617</v>
      </c>
      <c r="G69" s="4"/>
      <c r="H69" s="4"/>
    </row>
    <row r="70" spans="5:8" x14ac:dyDescent="0.3">
      <c r="E70">
        <v>49</v>
      </c>
      <c r="F70" s="35">
        <v>320945948.7697826</v>
      </c>
      <c r="G70" s="4"/>
      <c r="H70" s="4"/>
    </row>
    <row r="71" spans="5:8" x14ac:dyDescent="0.3">
      <c r="E71">
        <v>50</v>
      </c>
      <c r="F71" s="35">
        <v>318212637.60842037</v>
      </c>
      <c r="G71" s="4"/>
      <c r="H71" s="4"/>
    </row>
    <row r="72" spans="5:8" x14ac:dyDescent="0.3">
      <c r="E72">
        <v>51</v>
      </c>
      <c r="F72" s="35">
        <v>341265696.60766488</v>
      </c>
      <c r="G72" s="4"/>
      <c r="H72" s="4"/>
    </row>
    <row r="73" spans="5:8" x14ac:dyDescent="0.3">
      <c r="E73">
        <v>52</v>
      </c>
      <c r="F73" s="35">
        <v>340913902.96554536</v>
      </c>
      <c r="G73" s="4"/>
      <c r="H73" s="4"/>
    </row>
    <row r="74" spans="5:8" x14ac:dyDescent="0.3">
      <c r="E74">
        <v>53</v>
      </c>
      <c r="F74" s="35">
        <v>333074813.21483672</v>
      </c>
      <c r="G74" s="4"/>
      <c r="H74" s="4"/>
    </row>
    <row r="75" spans="5:8" x14ac:dyDescent="0.3">
      <c r="E75">
        <v>54</v>
      </c>
      <c r="F75" s="35">
        <v>328888226.45788682</v>
      </c>
      <c r="G75" s="4"/>
      <c r="H75" s="4"/>
    </row>
    <row r="76" spans="5:8" x14ac:dyDescent="0.3">
      <c r="E76">
        <v>55</v>
      </c>
      <c r="F76" s="35">
        <v>328819011.61731875</v>
      </c>
      <c r="G76" s="4"/>
      <c r="H76" s="4"/>
    </row>
    <row r="77" spans="5:8" x14ac:dyDescent="0.3">
      <c r="E77">
        <v>56</v>
      </c>
      <c r="F77" s="35">
        <v>344328576.81043619</v>
      </c>
      <c r="G77" s="4"/>
      <c r="H77" s="4"/>
    </row>
    <row r="78" spans="5:8" x14ac:dyDescent="0.3">
      <c r="E78">
        <v>57</v>
      </c>
      <c r="F78" s="35">
        <v>301462124.38123798</v>
      </c>
      <c r="G78" s="4"/>
      <c r="H78" s="4"/>
    </row>
    <row r="79" spans="5:8" x14ac:dyDescent="0.3">
      <c r="E79">
        <v>58</v>
      </c>
      <c r="F79" s="35">
        <v>283946885.82881027</v>
      </c>
      <c r="G79" s="4"/>
      <c r="H79" s="4"/>
    </row>
    <row r="80" spans="5:8" x14ac:dyDescent="0.3">
      <c r="E80">
        <v>59</v>
      </c>
      <c r="F80" s="35">
        <v>319477310.02647251</v>
      </c>
      <c r="G80" s="4"/>
      <c r="H80" s="4"/>
    </row>
    <row r="81" spans="5:8" x14ac:dyDescent="0.3">
      <c r="E81">
        <v>60</v>
      </c>
      <c r="F81" s="35">
        <v>336500237.55748314</v>
      </c>
      <c r="G81" s="4"/>
      <c r="H81" s="4"/>
    </row>
    <row r="82" spans="5:8" x14ac:dyDescent="0.3">
      <c r="E82">
        <v>61</v>
      </c>
      <c r="F82" s="35">
        <v>298458089.97215402</v>
      </c>
      <c r="G82" s="4"/>
      <c r="H82" s="4"/>
    </row>
    <row r="83" spans="5:8" x14ac:dyDescent="0.3">
      <c r="E83">
        <v>62</v>
      </c>
      <c r="F83" s="35">
        <v>296784212.0769493</v>
      </c>
      <c r="G83" s="4"/>
      <c r="H83" s="4"/>
    </row>
    <row r="84" spans="5:8" x14ac:dyDescent="0.3">
      <c r="E84">
        <v>63</v>
      </c>
      <c r="F84" s="35">
        <v>325216368.20963925</v>
      </c>
      <c r="G84" s="4"/>
      <c r="H84" s="4"/>
    </row>
    <row r="85" spans="5:8" x14ac:dyDescent="0.3">
      <c r="E85">
        <v>64</v>
      </c>
      <c r="F85" s="35">
        <v>365982834.1973002</v>
      </c>
      <c r="G85" s="4"/>
      <c r="H85" s="4"/>
    </row>
    <row r="86" spans="5:8" x14ac:dyDescent="0.3">
      <c r="E86">
        <v>65</v>
      </c>
      <c r="F86" s="35">
        <v>322978487.2264598</v>
      </c>
      <c r="G86" s="4"/>
      <c r="H86" s="4"/>
    </row>
    <row r="87" spans="5:8" x14ac:dyDescent="0.3">
      <c r="E87">
        <v>66</v>
      </c>
      <c r="F87" s="35">
        <v>316853593.36005902</v>
      </c>
      <c r="G87" s="4"/>
      <c r="H87" s="4"/>
    </row>
    <row r="88" spans="5:8" x14ac:dyDescent="0.3">
      <c r="E88">
        <v>67</v>
      </c>
      <c r="F88" s="35">
        <v>314690443.44223881</v>
      </c>
      <c r="G88" s="4"/>
      <c r="H88" s="4"/>
    </row>
    <row r="89" spans="5:8" x14ac:dyDescent="0.3">
      <c r="E89">
        <v>68</v>
      </c>
      <c r="F89" s="35">
        <v>367675860.58898556</v>
      </c>
      <c r="G89" s="4"/>
      <c r="H89" s="4"/>
    </row>
    <row r="90" spans="5:8" x14ac:dyDescent="0.3">
      <c r="E90">
        <v>69</v>
      </c>
      <c r="F90" s="35">
        <v>305306495.9125002</v>
      </c>
      <c r="G90" s="4"/>
      <c r="H90" s="4"/>
    </row>
    <row r="91" spans="5:8" x14ac:dyDescent="0.3">
      <c r="E91">
        <v>70</v>
      </c>
      <c r="F91" s="35">
        <v>313596364.35898793</v>
      </c>
      <c r="G91" s="4"/>
      <c r="H91" s="4"/>
    </row>
    <row r="92" spans="5:8" x14ac:dyDescent="0.3">
      <c r="E92">
        <v>71</v>
      </c>
      <c r="F92" s="35">
        <v>300769504.84526241</v>
      </c>
      <c r="G92" s="4"/>
      <c r="H92" s="4"/>
    </row>
    <row r="93" spans="5:8" x14ac:dyDescent="0.3">
      <c r="E93">
        <v>72</v>
      </c>
      <c r="F93" s="35">
        <v>293270788.50102526</v>
      </c>
      <c r="G93" s="4"/>
      <c r="H93" s="4"/>
    </row>
    <row r="94" spans="5:8" x14ac:dyDescent="0.3">
      <c r="E94">
        <v>73</v>
      </c>
      <c r="F94" s="35">
        <v>350752938.65068281</v>
      </c>
      <c r="G94" s="4"/>
      <c r="H94" s="4"/>
    </row>
    <row r="95" spans="5:8" x14ac:dyDescent="0.3">
      <c r="E95">
        <v>74</v>
      </c>
      <c r="F95" s="35">
        <v>295643842.33980942</v>
      </c>
      <c r="G95" s="4"/>
      <c r="H95" s="4"/>
    </row>
    <row r="96" spans="5:8" x14ac:dyDescent="0.3">
      <c r="E96">
        <v>75</v>
      </c>
      <c r="F96" s="35">
        <v>317895053.35982287</v>
      </c>
      <c r="G96" s="4"/>
      <c r="H96" s="4"/>
    </row>
    <row r="97" spans="5:8" x14ac:dyDescent="0.3">
      <c r="E97">
        <v>76</v>
      </c>
      <c r="F97" s="35">
        <v>312422269.9782899</v>
      </c>
      <c r="G97" s="4"/>
      <c r="H97" s="4"/>
    </row>
    <row r="98" spans="5:8" x14ac:dyDescent="0.3">
      <c r="E98">
        <v>77</v>
      </c>
      <c r="F98" s="35">
        <v>292827645.35779649</v>
      </c>
      <c r="G98" s="4"/>
      <c r="H98" s="4"/>
    </row>
    <row r="99" spans="5:8" x14ac:dyDescent="0.3">
      <c r="E99">
        <v>78</v>
      </c>
      <c r="F99" s="35">
        <v>324337922.57108587</v>
      </c>
      <c r="G99" s="4"/>
      <c r="H99" s="4"/>
    </row>
    <row r="100" spans="5:8" x14ac:dyDescent="0.3">
      <c r="E100">
        <v>79</v>
      </c>
      <c r="F100" s="35">
        <v>357475553.81455207</v>
      </c>
      <c r="G100" s="4"/>
      <c r="H100" s="4"/>
    </row>
    <row r="101" spans="5:8" x14ac:dyDescent="0.3">
      <c r="E101">
        <v>80</v>
      </c>
      <c r="F101" s="35">
        <v>324943970.65902859</v>
      </c>
      <c r="G101" s="4"/>
      <c r="H101" s="4"/>
    </row>
    <row r="102" spans="5:8" x14ac:dyDescent="0.3">
      <c r="E102">
        <v>81</v>
      </c>
      <c r="F102" s="35">
        <v>347924888.7970221</v>
      </c>
      <c r="G102" s="4"/>
      <c r="H102" s="4"/>
    </row>
    <row r="103" spans="5:8" x14ac:dyDescent="0.3">
      <c r="E103">
        <v>82</v>
      </c>
      <c r="F103" s="35">
        <v>328996094.6983822</v>
      </c>
      <c r="G103" s="4"/>
      <c r="H103" s="4"/>
    </row>
    <row r="104" spans="5:8" x14ac:dyDescent="0.3">
      <c r="E104">
        <v>83</v>
      </c>
      <c r="F104" s="35">
        <v>325318534.06876087</v>
      </c>
      <c r="G104" s="4"/>
      <c r="H104" s="4"/>
    </row>
    <row r="105" spans="5:8" x14ac:dyDescent="0.3">
      <c r="E105">
        <v>84</v>
      </c>
      <c r="F105" s="35">
        <v>314144823.80213249</v>
      </c>
      <c r="G105" s="4"/>
      <c r="H105" s="4"/>
    </row>
    <row r="106" spans="5:8" x14ac:dyDescent="0.3">
      <c r="E106">
        <v>85</v>
      </c>
      <c r="F106" s="35">
        <v>316936400.56608456</v>
      </c>
      <c r="G106" s="4"/>
      <c r="H106" s="4"/>
    </row>
    <row r="107" spans="5:8" x14ac:dyDescent="0.3">
      <c r="E107">
        <v>86</v>
      </c>
      <c r="F107" s="35">
        <v>344725213.2391578</v>
      </c>
      <c r="G107" s="4"/>
      <c r="H107" s="4"/>
    </row>
    <row r="108" spans="5:8" x14ac:dyDescent="0.3">
      <c r="E108">
        <v>87</v>
      </c>
      <c r="F108" s="35">
        <v>363515358.35281706</v>
      </c>
      <c r="G108" s="4"/>
      <c r="H108" s="4"/>
    </row>
    <row r="109" spans="5:8" x14ac:dyDescent="0.3">
      <c r="E109">
        <v>88</v>
      </c>
      <c r="F109" s="35">
        <v>326275071.54528069</v>
      </c>
      <c r="G109" s="4"/>
      <c r="H109" s="4"/>
    </row>
    <row r="110" spans="5:8" x14ac:dyDescent="0.3">
      <c r="E110">
        <v>89</v>
      </c>
      <c r="F110" s="35">
        <v>345314663.48053932</v>
      </c>
      <c r="G110" s="4"/>
      <c r="H110" s="4"/>
    </row>
    <row r="111" spans="5:8" x14ac:dyDescent="0.3">
      <c r="E111">
        <v>90</v>
      </c>
      <c r="F111" s="35">
        <v>290844251.0351885</v>
      </c>
      <c r="G111" s="4"/>
      <c r="H111" s="4"/>
    </row>
    <row r="112" spans="5:8" x14ac:dyDescent="0.3">
      <c r="E112">
        <v>91</v>
      </c>
      <c r="F112" s="35">
        <v>343829229.58054113</v>
      </c>
      <c r="G112" s="4"/>
      <c r="H112" s="4"/>
    </row>
    <row r="113" spans="5:8" x14ac:dyDescent="0.3">
      <c r="E113">
        <v>92</v>
      </c>
      <c r="F113" s="35">
        <v>323240870.03347594</v>
      </c>
      <c r="G113" s="4"/>
      <c r="H113" s="4"/>
    </row>
    <row r="114" spans="5:8" x14ac:dyDescent="0.3">
      <c r="E114">
        <v>93</v>
      </c>
      <c r="F114" s="35">
        <v>264035570.98299742</v>
      </c>
      <c r="G114" s="4"/>
      <c r="H114" s="4"/>
    </row>
    <row r="115" spans="5:8" x14ac:dyDescent="0.3">
      <c r="E115">
        <v>94</v>
      </c>
      <c r="F115" s="35">
        <v>332004163.41443056</v>
      </c>
      <c r="G115" s="4"/>
      <c r="H115" s="4"/>
    </row>
    <row r="116" spans="5:8" x14ac:dyDescent="0.3">
      <c r="E116">
        <v>95</v>
      </c>
      <c r="F116" s="35">
        <v>368948115.96934521</v>
      </c>
      <c r="G116" s="4"/>
      <c r="H116" s="4"/>
    </row>
    <row r="117" spans="5:8" x14ac:dyDescent="0.3">
      <c r="E117">
        <v>96</v>
      </c>
      <c r="F117" s="35">
        <v>360324900.60800707</v>
      </c>
      <c r="G117" s="4"/>
      <c r="H117" s="4"/>
    </row>
    <row r="118" spans="5:8" x14ac:dyDescent="0.3">
      <c r="E118">
        <v>97</v>
      </c>
      <c r="F118" s="35">
        <v>368284153.91078901</v>
      </c>
      <c r="G118" s="4"/>
      <c r="H118" s="4"/>
    </row>
    <row r="119" spans="5:8" x14ac:dyDescent="0.3">
      <c r="E119">
        <v>98</v>
      </c>
      <c r="F119" s="35">
        <v>282763167.2241087</v>
      </c>
      <c r="G119" s="4"/>
      <c r="H119" s="4"/>
    </row>
    <row r="120" spans="5:8" x14ac:dyDescent="0.3">
      <c r="E120">
        <v>99</v>
      </c>
      <c r="F120" s="35">
        <v>293313572.34755892</v>
      </c>
      <c r="G120" s="4"/>
      <c r="H120" s="4"/>
    </row>
    <row r="121" spans="5:8" x14ac:dyDescent="0.3">
      <c r="E121">
        <v>100</v>
      </c>
      <c r="F121" s="35">
        <v>333929242.35816514</v>
      </c>
      <c r="G121" s="4"/>
      <c r="H121" s="4"/>
    </row>
    <row r="122" spans="5:8" x14ac:dyDescent="0.3">
      <c r="E122">
        <v>101</v>
      </c>
      <c r="F122" s="35">
        <v>323663825.68039</v>
      </c>
      <c r="G122" s="4"/>
      <c r="H122" s="4"/>
    </row>
    <row r="123" spans="5:8" x14ac:dyDescent="0.3">
      <c r="E123">
        <v>102</v>
      </c>
      <c r="F123" s="35">
        <v>350006614.14478815</v>
      </c>
      <c r="G123" s="4"/>
      <c r="H123" s="4"/>
    </row>
    <row r="124" spans="5:8" x14ac:dyDescent="0.3">
      <c r="E124">
        <v>103</v>
      </c>
      <c r="F124" s="35">
        <v>335686595.94942081</v>
      </c>
      <c r="G124" s="4"/>
      <c r="H124" s="4"/>
    </row>
    <row r="125" spans="5:8" x14ac:dyDescent="0.3">
      <c r="E125">
        <v>104</v>
      </c>
      <c r="F125" s="35">
        <v>270382696.53325093</v>
      </c>
      <c r="G125" s="4"/>
      <c r="H125" s="4"/>
    </row>
    <row r="126" spans="5:8" x14ac:dyDescent="0.3">
      <c r="E126">
        <v>105</v>
      </c>
      <c r="F126" s="35">
        <v>310725571.42957538</v>
      </c>
      <c r="G126" s="4"/>
      <c r="H126" s="4"/>
    </row>
    <row r="127" spans="5:8" x14ac:dyDescent="0.3">
      <c r="E127">
        <v>106</v>
      </c>
      <c r="F127" s="35">
        <v>317936076.31821442</v>
      </c>
      <c r="G127" s="4"/>
      <c r="H127" s="4"/>
    </row>
    <row r="128" spans="5:8" x14ac:dyDescent="0.3">
      <c r="E128">
        <v>107</v>
      </c>
      <c r="F128" s="35">
        <v>334430146.78505141</v>
      </c>
      <c r="G128" s="4"/>
      <c r="H128" s="4"/>
    </row>
    <row r="129" spans="5:8" x14ac:dyDescent="0.3">
      <c r="E129">
        <v>108</v>
      </c>
      <c r="F129" s="35">
        <v>384548405.95575488</v>
      </c>
      <c r="G129" s="4"/>
      <c r="H129" s="4"/>
    </row>
  </sheetData>
  <mergeCells count="2">
    <mergeCell ref="I22:I23"/>
    <mergeCell ref="H19:H20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J129"/>
  <sheetViews>
    <sheetView workbookViewId="0">
      <selection activeCell="C8" sqref="C8"/>
    </sheetView>
  </sheetViews>
  <sheetFormatPr defaultRowHeight="14.4" x14ac:dyDescent="0.3"/>
  <cols>
    <col min="1" max="1" width="48.21875" customWidth="1"/>
    <col min="2" max="2" width="20.33203125" customWidth="1"/>
    <col min="3" max="3" width="18.21875" customWidth="1"/>
    <col min="4" max="4" width="20.33203125" customWidth="1"/>
    <col min="6" max="7" width="18.6640625" customWidth="1"/>
    <col min="8" max="8" width="32.554687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Mappings!N14</f>
        <v>1495.1172015495711</v>
      </c>
      <c r="C3" s="21">
        <f>Mappings!N15</f>
        <v>340.3171855089804</v>
      </c>
      <c r="D3" s="41">
        <f>Mappings!N16</f>
        <v>1662.110376985115</v>
      </c>
    </row>
    <row r="4" spans="1:8" x14ac:dyDescent="0.3">
      <c r="A4" s="116" t="str">
        <f>MC_High_ambition!A4</f>
        <v>Random value income per cow (USD/yr)</v>
      </c>
      <c r="B4" s="21">
        <f ca="1">_xlfn.NORM.INV(RAND(),Mappings!N14,Mappings!O14)</f>
        <v>1391.6419297497205</v>
      </c>
      <c r="C4" s="21">
        <f ca="1">_xlfn.NORM.INV(RAND(),Mappings!N15,Mappings!O15)</f>
        <v>343.78287027029296</v>
      </c>
      <c r="D4" s="21">
        <f ca="1">_xlfn.NORM.INV(RAND(),Mappings!N16,Mappings!O16)</f>
        <v>1776.6320642903495</v>
      </c>
    </row>
    <row r="5" spans="1:8" x14ac:dyDescent="0.3">
      <c r="A5" s="116" t="str">
        <f>MC_High_ambition!A5</f>
        <v>Cows per household (head)</v>
      </c>
      <c r="B5" s="21">
        <f>Mappings!F14*Mappings!I14</f>
        <v>0.86434282888356317</v>
      </c>
      <c r="C5" s="21">
        <f>Mappings!F15*Mappings!I15</f>
        <v>2.9539714971122204</v>
      </c>
      <c r="D5" s="21">
        <f>Mappings!F16*Mappings!I16</f>
        <v>1.733147305715852</v>
      </c>
    </row>
    <row r="6" spans="1:8" x14ac:dyDescent="0.3">
      <c r="A6" s="116" t="str">
        <f>MC_High_ambition!A6</f>
        <v>Random value cows per household (head)</v>
      </c>
      <c r="B6" s="21">
        <f ca="1">_xlfn.NORM.INV(RAND(),B5,B5*Mappings!E4)*0+B5</f>
        <v>0.86434282888356317</v>
      </c>
      <c r="C6" s="21">
        <f ca="1">_xlfn.NORM.INV(RAND(),C5,C5*Mappings!E3)*0+C5</f>
        <v>2.9539714971122204</v>
      </c>
      <c r="D6" s="21">
        <f ca="1">_xlfn.NORM.INV(RAND(),D5,D5*Mappings!E4)*0+D5</f>
        <v>1.733147305715852</v>
      </c>
    </row>
    <row r="7" spans="1:8" x14ac:dyDescent="0.3">
      <c r="A7" s="116" t="str">
        <f>MC_High_ambition!A7</f>
        <v>Non-dairy income (USD/yr)</v>
      </c>
      <c r="B7" s="21">
        <f>Mappings!V14</f>
        <v>1563.5980596747474</v>
      </c>
      <c r="C7" s="21">
        <f>Mappings!V15</f>
        <v>1077.3707629470098</v>
      </c>
      <c r="D7" s="21">
        <f>Mappings!V16</f>
        <v>1402.6734372179596</v>
      </c>
    </row>
    <row r="8" spans="1:8" x14ac:dyDescent="0.3">
      <c r="A8" s="116" t="str">
        <f>MC_High_ambition!A8</f>
        <v>Random value non dairy income (USD/yr)</v>
      </c>
      <c r="B8" s="21">
        <f ca="1">_xlfn.NORM.INV(RAND(), B7, B7 * 25/100)*0+B7</f>
        <v>1563.5980596747474</v>
      </c>
      <c r="C8" s="21">
        <f ca="1">_xlfn.NORM.INV(RAND(), C7, C7* 25/100)*0+C7</f>
        <v>1077.3707629470098</v>
      </c>
      <c r="D8" s="21">
        <f ca="1">_xlfn.NORM.INV(RAND(), D7, D7* 25/100)*0+D7</f>
        <v>1402.6734372179596</v>
      </c>
    </row>
    <row r="9" spans="1:8" s="102" customFormat="1" x14ac:dyDescent="0.3">
      <c r="A9" s="116" t="str">
        <f>MC_High_ambition!A9</f>
        <v>Reduction in non-dairy income through crop area change</v>
      </c>
      <c r="B9" s="21">
        <f>Mappings!Q14</f>
        <v>192.6957916969387</v>
      </c>
      <c r="C9" s="21">
        <f>Mappings!Q15</f>
        <v>676.53723466409156</v>
      </c>
      <c r="D9" s="21">
        <f>Mappings!Q16</f>
        <v>374.07386355437234</v>
      </c>
    </row>
    <row r="10" spans="1:8" s="102" customFormat="1" x14ac:dyDescent="0.3">
      <c r="A10" s="116" t="str">
        <f>MC_High_ambition!A10</f>
        <v>Random value reduction/increase in non-dairy income (USD/yr)</v>
      </c>
      <c r="B10" s="21">
        <f ca="1">IF(B9&gt;0,_xlfn.NORM.INV(RAND(),B9,B9*Dairy_Income_Roadmap!L36),_xlfn.NORM.INV(RAND(),ABS(B9),ABS(B9)*Dairy_Income_Roadmap!L36))</f>
        <v>302.77269732884685</v>
      </c>
      <c r="C10" s="21">
        <f ca="1">IF(C9&gt;0,_xlfn.NORM.INV(RAND(),C9,C9*Dairy_Income_Roadmap!L36),_xlfn.NORM.INV(RAND(),ABS(C9),ABS(C9)*Dairy_Income_Roadmap!L36))</f>
        <v>849.93720312383766</v>
      </c>
      <c r="D10" s="21">
        <f ca="1">IF(D9&gt;0,_xlfn.NORM.INV(RAND(),D9,D9*Dairy_Income_Roadmap!L38),_xlfn.NORM.INV(RAND(),ABS(D9),ABS(D9)*Dairy_Income_Roadmap!L38))</f>
        <v>423.30527340449044</v>
      </c>
    </row>
    <row r="11" spans="1:8" x14ac:dyDescent="0.3">
      <c r="A11" s="116" t="str">
        <f>MC_High_ambition!A11</f>
        <v>Quantity households</v>
      </c>
      <c r="B11" s="21">
        <f>Mappings!D14</f>
        <v>1312.1933627665783</v>
      </c>
      <c r="C11" s="4">
        <f>Mappings!D15</f>
        <v>64297.474775562332</v>
      </c>
      <c r="D11" s="4">
        <f>Mappings!D16</f>
        <v>82028.367810366151</v>
      </c>
    </row>
    <row r="12" spans="1:8" x14ac:dyDescent="0.3">
      <c r="A12" s="116" t="str">
        <f>MC_High_ambition!A12</f>
        <v>SE quantity households</v>
      </c>
      <c r="B12" s="21">
        <f>Mappings!Z14*Mappings!D14</f>
        <v>38.622742015610818</v>
      </c>
      <c r="C12" s="21">
        <f>Mappings!Z15*Mappings!D15</f>
        <v>1892.51435876493</v>
      </c>
      <c r="D12" s="4">
        <f>Mappings!Z16*Mappings!D16</f>
        <v>2414.4006346913525</v>
      </c>
    </row>
    <row r="13" spans="1:8" x14ac:dyDescent="0.3">
      <c r="A13" s="116"/>
      <c r="B13" s="21"/>
    </row>
    <row r="14" spans="1:8" x14ac:dyDescent="0.3">
      <c r="A14" s="116" t="str">
        <f>MC_High_ambition!A14</f>
        <v>Dairy Income (USD/household/year)</v>
      </c>
      <c r="B14" s="21">
        <f ca="1">B4*B6</f>
        <v>1202.8557223528544</v>
      </c>
      <c r="C14" s="21">
        <f ca="1">C4*C6</f>
        <v>1015.5247999738735</v>
      </c>
      <c r="D14" s="21">
        <f ca="1">D4*D6</f>
        <v>3079.1650754732113</v>
      </c>
    </row>
    <row r="15" spans="1:8" x14ac:dyDescent="0.3">
      <c r="A15" s="116" t="str">
        <f>MC_High_ambition!A15</f>
        <v>Non dairy income (USD/household/year)</v>
      </c>
      <c r="B15" s="21">
        <f ca="1">B8-IF(B9&gt;0,B8-B10,B8+B10)</f>
        <v>302.77269732884679</v>
      </c>
      <c r="C15" s="21">
        <f t="shared" ref="C15:D15" ca="1" si="0">C8-IF(C9&gt;0,C8-C10,C8+C10)</f>
        <v>849.93720312383766</v>
      </c>
      <c r="D15" s="21">
        <f t="shared" ca="1" si="0"/>
        <v>423.30527340449044</v>
      </c>
    </row>
    <row r="16" spans="1:8" x14ac:dyDescent="0.3">
      <c r="A16" s="116" t="str">
        <f>MC_High_ambition!A16</f>
        <v>Quantity households</v>
      </c>
      <c r="B16" s="21">
        <f ca="1">_xlfn.NORM.INV(RAND(),B11,B12)</f>
        <v>1265.5453591232413</v>
      </c>
      <c r="C16" s="21">
        <f ca="1">_xlfn.NORM.INV(RAND(),C11,C12)</f>
        <v>65673.991949326548</v>
      </c>
      <c r="D16" s="21">
        <f t="shared" ref="D16" ca="1" si="1">_xlfn.NORM.INV(RAND(),D11,D12)</f>
        <v>84425.603739568935</v>
      </c>
    </row>
    <row r="17" spans="1:10" x14ac:dyDescent="0.3">
      <c r="A17" s="116"/>
    </row>
    <row r="18" spans="1:10" x14ac:dyDescent="0.3">
      <c r="A18" s="116" t="str">
        <f>MC_High_ambition!A18</f>
        <v>Estimated population income (USD/yr)</v>
      </c>
      <c r="B18" s="10">
        <f ca="1">(B14+B15)*B16</f>
        <v>1905441.0590922367</v>
      </c>
      <c r="C18" s="10">
        <f ca="1">(C14+C15)*C16</f>
        <v>122512336.57321367</v>
      </c>
      <c r="D18" s="10">
        <f ca="1">(D14+D15)*D16</f>
        <v>295698173.78393859</v>
      </c>
      <c r="F18">
        <f ca="1">B18+C18+D18</f>
        <v>420115951.41624451</v>
      </c>
    </row>
    <row r="19" spans="1:10" x14ac:dyDescent="0.3">
      <c r="A19" s="116" t="str">
        <f>MC_High_ambition!A19</f>
        <v>SE population income (USD/yr)</v>
      </c>
      <c r="B19" t="s">
        <v>48</v>
      </c>
      <c r="C19" t="s">
        <v>48</v>
      </c>
      <c r="D19" t="s">
        <v>48</v>
      </c>
      <c r="F19">
        <f ca="1">STDEV(F22:F129)</f>
        <v>32792939.029753629</v>
      </c>
    </row>
    <row r="20" spans="1:10" x14ac:dyDescent="0.3">
      <c r="A20" s="116" t="str">
        <f>MC_High_ambition!A20</f>
        <v>Mean population income (USD/yr)</v>
      </c>
      <c r="B20" s="4" t="s">
        <v>48</v>
      </c>
      <c r="C20" s="4" t="s">
        <v>48</v>
      </c>
      <c r="D20" s="4" t="s">
        <v>48</v>
      </c>
      <c r="E20" s="4"/>
      <c r="F20" s="4">
        <f ca="1">AVERAGE(F22:F129)</f>
        <v>372037301.61993635</v>
      </c>
      <c r="G20" s="4"/>
      <c r="H20" s="130" t="s">
        <v>52</v>
      </c>
      <c r="I20" s="46">
        <f ca="1">100*F19/F20</f>
        <v>8.8144223407076652</v>
      </c>
    </row>
    <row r="21" spans="1:10" x14ac:dyDescent="0.3">
      <c r="F21" s="4"/>
      <c r="G21" s="4"/>
      <c r="H21" s="130"/>
    </row>
    <row r="22" spans="1:10" x14ac:dyDescent="0.3">
      <c r="B22" s="4"/>
      <c r="E22">
        <v>1</v>
      </c>
      <c r="F22" s="35">
        <f ca="1">F18</f>
        <v>420115951.41624451</v>
      </c>
      <c r="G22" s="4"/>
      <c r="H22" s="4"/>
    </row>
    <row r="23" spans="1:10" x14ac:dyDescent="0.3">
      <c r="E23">
        <v>2</v>
      </c>
      <c r="F23" s="35">
        <f t="dataTable" ref="F23:F129" dt2D="0" dtr="0" r1="F21" ca="1"/>
        <v>372736715.98061055</v>
      </c>
      <c r="G23" s="4"/>
      <c r="H23" s="4"/>
      <c r="I23" s="129"/>
    </row>
    <row r="24" spans="1:10" x14ac:dyDescent="0.3">
      <c r="E24">
        <v>3</v>
      </c>
      <c r="F24" s="35">
        <v>357485783.93032038</v>
      </c>
      <c r="G24" s="4"/>
      <c r="H24" s="4"/>
      <c r="I24" s="129"/>
      <c r="J24" s="46"/>
    </row>
    <row r="25" spans="1:10" x14ac:dyDescent="0.3">
      <c r="E25">
        <v>4</v>
      </c>
      <c r="F25" s="35">
        <v>318738464.87480772</v>
      </c>
      <c r="G25" s="4"/>
      <c r="H25" s="4"/>
    </row>
    <row r="26" spans="1:10" x14ac:dyDescent="0.3">
      <c r="E26">
        <v>5</v>
      </c>
      <c r="F26" s="35">
        <v>340516115.69944644</v>
      </c>
      <c r="G26" s="4"/>
      <c r="H26" s="4"/>
    </row>
    <row r="27" spans="1:10" x14ac:dyDescent="0.3">
      <c r="E27">
        <v>6</v>
      </c>
      <c r="F27" s="35">
        <v>377354239.8710655</v>
      </c>
      <c r="G27" s="4"/>
      <c r="H27" s="4"/>
    </row>
    <row r="28" spans="1:10" x14ac:dyDescent="0.3">
      <c r="E28">
        <v>7</v>
      </c>
      <c r="F28" s="35">
        <v>403109411.76966763</v>
      </c>
      <c r="G28" s="4"/>
      <c r="H28" s="4"/>
    </row>
    <row r="29" spans="1:10" x14ac:dyDescent="0.3">
      <c r="E29">
        <v>8</v>
      </c>
      <c r="F29" s="35">
        <v>347649605.03748876</v>
      </c>
      <c r="G29" s="4"/>
      <c r="H29" s="4"/>
    </row>
    <row r="30" spans="1:10" x14ac:dyDescent="0.3">
      <c r="E30">
        <v>9</v>
      </c>
      <c r="F30" s="35">
        <v>422645107.25388348</v>
      </c>
      <c r="G30" s="4"/>
      <c r="H30" s="4"/>
    </row>
    <row r="31" spans="1:10" x14ac:dyDescent="0.3">
      <c r="E31">
        <v>10</v>
      </c>
      <c r="F31" s="35">
        <v>426653284.1899839</v>
      </c>
      <c r="G31" s="4"/>
      <c r="H31" s="4"/>
    </row>
    <row r="32" spans="1:10" x14ac:dyDescent="0.3">
      <c r="E32">
        <v>11</v>
      </c>
      <c r="F32" s="35">
        <v>373654922.02802324</v>
      </c>
      <c r="G32" s="4"/>
      <c r="H32" s="4"/>
    </row>
    <row r="33" spans="5:8" x14ac:dyDescent="0.3">
      <c r="E33">
        <v>12</v>
      </c>
      <c r="F33" s="35">
        <v>364462306.85125577</v>
      </c>
      <c r="G33" s="4"/>
      <c r="H33" s="4"/>
    </row>
    <row r="34" spans="5:8" x14ac:dyDescent="0.3">
      <c r="E34">
        <v>13</v>
      </c>
      <c r="F34" s="35">
        <v>373566252.42926848</v>
      </c>
      <c r="G34" s="4"/>
      <c r="H34" s="4"/>
    </row>
    <row r="35" spans="5:8" x14ac:dyDescent="0.3">
      <c r="E35">
        <v>14</v>
      </c>
      <c r="F35" s="35">
        <v>349799912.87693954</v>
      </c>
      <c r="G35" s="4"/>
      <c r="H35" s="4"/>
    </row>
    <row r="36" spans="5:8" x14ac:dyDescent="0.3">
      <c r="E36">
        <v>15</v>
      </c>
      <c r="F36" s="35">
        <v>413734388.79484189</v>
      </c>
      <c r="G36" s="4"/>
      <c r="H36" s="4"/>
    </row>
    <row r="37" spans="5:8" x14ac:dyDescent="0.3">
      <c r="E37">
        <v>16</v>
      </c>
      <c r="F37" s="35">
        <v>432010580.02084851</v>
      </c>
      <c r="G37" s="4"/>
      <c r="H37" s="4"/>
    </row>
    <row r="38" spans="5:8" x14ac:dyDescent="0.3">
      <c r="E38">
        <v>17</v>
      </c>
      <c r="F38" s="35">
        <v>388032630.61719894</v>
      </c>
      <c r="G38" s="4"/>
      <c r="H38" s="4"/>
    </row>
    <row r="39" spans="5:8" x14ac:dyDescent="0.3">
      <c r="E39">
        <v>18</v>
      </c>
      <c r="F39" s="35">
        <v>375308661.93960273</v>
      </c>
      <c r="G39" s="4"/>
      <c r="H39" s="4"/>
    </row>
    <row r="40" spans="5:8" x14ac:dyDescent="0.3">
      <c r="E40">
        <v>19</v>
      </c>
      <c r="F40" s="35">
        <v>376839888.10676754</v>
      </c>
      <c r="G40" s="4"/>
      <c r="H40" s="4"/>
    </row>
    <row r="41" spans="5:8" x14ac:dyDescent="0.3">
      <c r="E41">
        <v>20</v>
      </c>
      <c r="F41" s="35">
        <v>364856457.25996494</v>
      </c>
      <c r="G41" s="4"/>
      <c r="H41" s="4"/>
    </row>
    <row r="42" spans="5:8" x14ac:dyDescent="0.3">
      <c r="E42">
        <v>21</v>
      </c>
      <c r="F42" s="35">
        <v>345079885.89378572</v>
      </c>
      <c r="G42" s="4"/>
      <c r="H42" s="4"/>
    </row>
    <row r="43" spans="5:8" x14ac:dyDescent="0.3">
      <c r="E43">
        <v>22</v>
      </c>
      <c r="F43" s="35">
        <v>367735092.93826431</v>
      </c>
      <c r="G43" s="4"/>
      <c r="H43" s="4"/>
    </row>
    <row r="44" spans="5:8" x14ac:dyDescent="0.3">
      <c r="E44">
        <v>23</v>
      </c>
      <c r="F44" s="35">
        <v>353890698.40782183</v>
      </c>
      <c r="G44" s="4"/>
      <c r="H44" s="4"/>
    </row>
    <row r="45" spans="5:8" x14ac:dyDescent="0.3">
      <c r="E45">
        <v>24</v>
      </c>
      <c r="F45" s="35">
        <v>413204669.254821</v>
      </c>
      <c r="G45" s="4"/>
      <c r="H45" s="4"/>
    </row>
    <row r="46" spans="5:8" x14ac:dyDescent="0.3">
      <c r="E46">
        <v>25</v>
      </c>
      <c r="F46" s="35">
        <v>452258660.97584695</v>
      </c>
      <c r="G46" s="4"/>
      <c r="H46" s="4"/>
    </row>
    <row r="47" spans="5:8" x14ac:dyDescent="0.3">
      <c r="E47">
        <v>26</v>
      </c>
      <c r="F47" s="35">
        <v>371213497.60436982</v>
      </c>
      <c r="G47" s="4"/>
      <c r="H47" s="4"/>
    </row>
    <row r="48" spans="5:8" x14ac:dyDescent="0.3">
      <c r="E48">
        <v>27</v>
      </c>
      <c r="F48" s="35">
        <v>388382400.30901021</v>
      </c>
      <c r="G48" s="4"/>
      <c r="H48" s="4"/>
    </row>
    <row r="49" spans="5:8" x14ac:dyDescent="0.3">
      <c r="E49">
        <v>28</v>
      </c>
      <c r="F49" s="35">
        <v>337044338.29646128</v>
      </c>
      <c r="G49" s="4"/>
      <c r="H49" s="4"/>
    </row>
    <row r="50" spans="5:8" x14ac:dyDescent="0.3">
      <c r="E50">
        <v>29</v>
      </c>
      <c r="F50" s="35">
        <v>381491096.8066892</v>
      </c>
      <c r="G50" s="4"/>
      <c r="H50" s="4"/>
    </row>
    <row r="51" spans="5:8" x14ac:dyDescent="0.3">
      <c r="E51">
        <v>30</v>
      </c>
      <c r="F51" s="35">
        <v>356382540.8566556</v>
      </c>
      <c r="G51" s="4"/>
      <c r="H51" s="4"/>
    </row>
    <row r="52" spans="5:8" x14ac:dyDescent="0.3">
      <c r="E52">
        <v>31</v>
      </c>
      <c r="F52" s="35">
        <v>380728006.55246639</v>
      </c>
      <c r="G52" s="4"/>
      <c r="H52" s="4"/>
    </row>
    <row r="53" spans="5:8" x14ac:dyDescent="0.3">
      <c r="E53">
        <v>32</v>
      </c>
      <c r="F53" s="35">
        <v>365412720.3145768</v>
      </c>
      <c r="G53" s="4"/>
      <c r="H53" s="4"/>
    </row>
    <row r="54" spans="5:8" x14ac:dyDescent="0.3">
      <c r="E54">
        <v>33</v>
      </c>
      <c r="F54" s="35">
        <v>396083276.5383755</v>
      </c>
      <c r="G54" s="4"/>
      <c r="H54" s="4"/>
    </row>
    <row r="55" spans="5:8" x14ac:dyDescent="0.3">
      <c r="E55">
        <v>34</v>
      </c>
      <c r="F55" s="35">
        <v>381720128.68333304</v>
      </c>
      <c r="G55" s="4"/>
      <c r="H55" s="4"/>
    </row>
    <row r="56" spans="5:8" x14ac:dyDescent="0.3">
      <c r="E56">
        <v>35</v>
      </c>
      <c r="F56" s="35">
        <v>386297802.69592011</v>
      </c>
      <c r="G56" s="4"/>
      <c r="H56" s="4"/>
    </row>
    <row r="57" spans="5:8" x14ac:dyDescent="0.3">
      <c r="E57">
        <v>36</v>
      </c>
      <c r="F57" s="35">
        <v>393494167.54404217</v>
      </c>
      <c r="G57" s="4"/>
      <c r="H57" s="4"/>
    </row>
    <row r="58" spans="5:8" x14ac:dyDescent="0.3">
      <c r="E58">
        <v>37</v>
      </c>
      <c r="F58" s="35">
        <v>357190248.02059984</v>
      </c>
      <c r="G58" s="4"/>
      <c r="H58" s="4"/>
    </row>
    <row r="59" spans="5:8" x14ac:dyDescent="0.3">
      <c r="E59">
        <v>38</v>
      </c>
      <c r="F59" s="35">
        <v>348519459.09288275</v>
      </c>
      <c r="G59" s="4"/>
      <c r="H59" s="4"/>
    </row>
    <row r="60" spans="5:8" x14ac:dyDescent="0.3">
      <c r="E60">
        <v>39</v>
      </c>
      <c r="F60" s="35">
        <v>376370440.85947734</v>
      </c>
      <c r="G60" s="4"/>
      <c r="H60" s="4"/>
    </row>
    <row r="61" spans="5:8" x14ac:dyDescent="0.3">
      <c r="E61">
        <v>40</v>
      </c>
      <c r="F61" s="35">
        <v>352101718.79393935</v>
      </c>
      <c r="G61" s="4"/>
      <c r="H61" s="4"/>
    </row>
    <row r="62" spans="5:8" x14ac:dyDescent="0.3">
      <c r="E62">
        <v>41</v>
      </c>
      <c r="F62" s="35">
        <v>387121223.63028193</v>
      </c>
      <c r="G62" s="4"/>
      <c r="H62" s="4"/>
    </row>
    <row r="63" spans="5:8" x14ac:dyDescent="0.3">
      <c r="E63">
        <v>42</v>
      </c>
      <c r="F63" s="35">
        <v>287037605.05220848</v>
      </c>
      <c r="G63" s="4"/>
      <c r="H63" s="4"/>
    </row>
    <row r="64" spans="5:8" x14ac:dyDescent="0.3">
      <c r="E64">
        <v>43</v>
      </c>
      <c r="F64" s="35">
        <v>347839675.64657134</v>
      </c>
      <c r="G64" s="4"/>
      <c r="H64" s="4"/>
    </row>
    <row r="65" spans="5:8" x14ac:dyDescent="0.3">
      <c r="E65">
        <v>44</v>
      </c>
      <c r="F65" s="35">
        <v>362842893.02979004</v>
      </c>
      <c r="G65" s="4"/>
      <c r="H65" s="4"/>
    </row>
    <row r="66" spans="5:8" x14ac:dyDescent="0.3">
      <c r="E66">
        <v>45</v>
      </c>
      <c r="F66" s="35">
        <v>368562994.27106482</v>
      </c>
      <c r="G66" s="4"/>
      <c r="H66" s="4"/>
    </row>
    <row r="67" spans="5:8" x14ac:dyDescent="0.3">
      <c r="E67">
        <v>46</v>
      </c>
      <c r="F67" s="35">
        <v>345841020.63511598</v>
      </c>
      <c r="G67" s="4"/>
      <c r="H67" s="4"/>
    </row>
    <row r="68" spans="5:8" x14ac:dyDescent="0.3">
      <c r="E68">
        <v>47</v>
      </c>
      <c r="F68" s="35">
        <v>350673159.99875998</v>
      </c>
      <c r="G68" s="4"/>
      <c r="H68" s="4"/>
    </row>
    <row r="69" spans="5:8" x14ac:dyDescent="0.3">
      <c r="E69">
        <v>48</v>
      </c>
      <c r="F69" s="35">
        <v>322354376.7389617</v>
      </c>
      <c r="G69" s="4"/>
      <c r="H69" s="4"/>
    </row>
    <row r="70" spans="5:8" x14ac:dyDescent="0.3">
      <c r="E70">
        <v>49</v>
      </c>
      <c r="F70" s="35">
        <v>329682013.11142302</v>
      </c>
      <c r="G70" s="4"/>
      <c r="H70" s="4"/>
    </row>
    <row r="71" spans="5:8" x14ac:dyDescent="0.3">
      <c r="E71">
        <v>50</v>
      </c>
      <c r="F71" s="35">
        <v>421685914.90035063</v>
      </c>
      <c r="G71" s="4"/>
      <c r="H71" s="4"/>
    </row>
    <row r="72" spans="5:8" x14ac:dyDescent="0.3">
      <c r="E72">
        <v>51</v>
      </c>
      <c r="F72" s="35">
        <v>323599948.19852555</v>
      </c>
      <c r="G72" s="4"/>
      <c r="H72" s="4"/>
    </row>
    <row r="73" spans="5:8" x14ac:dyDescent="0.3">
      <c r="E73">
        <v>52</v>
      </c>
      <c r="F73" s="35">
        <v>378236444.95619047</v>
      </c>
      <c r="G73" s="4"/>
      <c r="H73" s="4"/>
    </row>
    <row r="74" spans="5:8" x14ac:dyDescent="0.3">
      <c r="E74">
        <v>53</v>
      </c>
      <c r="F74" s="35">
        <v>321251522.75715959</v>
      </c>
      <c r="G74" s="4"/>
      <c r="H74" s="4"/>
    </row>
    <row r="75" spans="5:8" x14ac:dyDescent="0.3">
      <c r="E75">
        <v>54</v>
      </c>
      <c r="F75" s="35">
        <v>349631713.93942225</v>
      </c>
      <c r="G75" s="4"/>
      <c r="H75" s="4"/>
    </row>
    <row r="76" spans="5:8" x14ac:dyDescent="0.3">
      <c r="E76">
        <v>55</v>
      </c>
      <c r="F76" s="35">
        <v>379252506.73847699</v>
      </c>
      <c r="G76" s="4"/>
      <c r="H76" s="4"/>
    </row>
    <row r="77" spans="5:8" x14ac:dyDescent="0.3">
      <c r="E77">
        <v>56</v>
      </c>
      <c r="F77" s="35">
        <v>346718649.61274529</v>
      </c>
      <c r="G77" s="4"/>
      <c r="H77" s="4"/>
    </row>
    <row r="78" spans="5:8" x14ac:dyDescent="0.3">
      <c r="E78">
        <v>57</v>
      </c>
      <c r="F78" s="35">
        <v>417878994.59675109</v>
      </c>
      <c r="G78" s="4"/>
      <c r="H78" s="4"/>
    </row>
    <row r="79" spans="5:8" x14ac:dyDescent="0.3">
      <c r="E79">
        <v>58</v>
      </c>
      <c r="F79" s="35">
        <v>314725255.03437251</v>
      </c>
      <c r="G79" s="4"/>
      <c r="H79" s="4"/>
    </row>
    <row r="80" spans="5:8" x14ac:dyDescent="0.3">
      <c r="E80">
        <v>59</v>
      </c>
      <c r="F80" s="35">
        <v>366478185.34884435</v>
      </c>
      <c r="G80" s="4"/>
      <c r="H80" s="4"/>
    </row>
    <row r="81" spans="5:8" x14ac:dyDescent="0.3">
      <c r="E81">
        <v>60</v>
      </c>
      <c r="F81" s="35">
        <v>414582817.43544304</v>
      </c>
      <c r="G81" s="4"/>
      <c r="H81" s="4"/>
    </row>
    <row r="82" spans="5:8" x14ac:dyDescent="0.3">
      <c r="E82">
        <v>61</v>
      </c>
      <c r="F82" s="35">
        <v>394367405.30434692</v>
      </c>
      <c r="G82" s="4"/>
      <c r="H82" s="4"/>
    </row>
    <row r="83" spans="5:8" x14ac:dyDescent="0.3">
      <c r="E83">
        <v>62</v>
      </c>
      <c r="F83" s="35">
        <v>347966478.09932578</v>
      </c>
      <c r="G83" s="4"/>
      <c r="H83" s="4"/>
    </row>
    <row r="84" spans="5:8" x14ac:dyDescent="0.3">
      <c r="E84">
        <v>63</v>
      </c>
      <c r="F84" s="35">
        <v>428226641.64839292</v>
      </c>
      <c r="G84" s="4"/>
      <c r="H84" s="4"/>
    </row>
    <row r="85" spans="5:8" x14ac:dyDescent="0.3">
      <c r="E85">
        <v>64</v>
      </c>
      <c r="F85" s="35">
        <v>416840321.37389922</v>
      </c>
      <c r="G85" s="4"/>
      <c r="H85" s="4"/>
    </row>
    <row r="86" spans="5:8" x14ac:dyDescent="0.3">
      <c r="E86">
        <v>65</v>
      </c>
      <c r="F86" s="35">
        <v>344819292.2281034</v>
      </c>
      <c r="G86" s="4"/>
      <c r="H86" s="4"/>
    </row>
    <row r="87" spans="5:8" x14ac:dyDescent="0.3">
      <c r="E87">
        <v>66</v>
      </c>
      <c r="F87" s="35">
        <v>384167844.41028225</v>
      </c>
      <c r="G87" s="4"/>
      <c r="H87" s="4"/>
    </row>
    <row r="88" spans="5:8" x14ac:dyDescent="0.3">
      <c r="E88">
        <v>67</v>
      </c>
      <c r="F88" s="35">
        <v>395559219.37696707</v>
      </c>
      <c r="G88" s="4"/>
      <c r="H88" s="4"/>
    </row>
    <row r="89" spans="5:8" x14ac:dyDescent="0.3">
      <c r="E89">
        <v>68</v>
      </c>
      <c r="F89" s="35">
        <v>370758759.75471723</v>
      </c>
      <c r="G89" s="4"/>
      <c r="H89" s="4"/>
    </row>
    <row r="90" spans="5:8" x14ac:dyDescent="0.3">
      <c r="E90">
        <v>69</v>
      </c>
      <c r="F90" s="35">
        <v>382380450.75332206</v>
      </c>
      <c r="G90" s="4"/>
      <c r="H90" s="4"/>
    </row>
    <row r="91" spans="5:8" x14ac:dyDescent="0.3">
      <c r="E91">
        <v>70</v>
      </c>
      <c r="F91" s="35">
        <v>407162242.34488863</v>
      </c>
      <c r="G91" s="4"/>
      <c r="H91" s="4"/>
    </row>
    <row r="92" spans="5:8" x14ac:dyDescent="0.3">
      <c r="E92">
        <v>71</v>
      </c>
      <c r="F92" s="35">
        <v>399299789.6043098</v>
      </c>
      <c r="G92" s="4"/>
      <c r="H92" s="4"/>
    </row>
    <row r="93" spans="5:8" x14ac:dyDescent="0.3">
      <c r="E93">
        <v>72</v>
      </c>
      <c r="F93" s="35">
        <v>409803797.48922622</v>
      </c>
      <c r="G93" s="4"/>
      <c r="H93" s="4"/>
    </row>
    <row r="94" spans="5:8" x14ac:dyDescent="0.3">
      <c r="E94">
        <v>73</v>
      </c>
      <c r="F94" s="35">
        <v>411148667.34546959</v>
      </c>
      <c r="G94" s="4"/>
      <c r="H94" s="4"/>
    </row>
    <row r="95" spans="5:8" x14ac:dyDescent="0.3">
      <c r="E95">
        <v>74</v>
      </c>
      <c r="F95" s="35">
        <v>385337386.68247169</v>
      </c>
      <c r="G95" s="4"/>
      <c r="H95" s="4"/>
    </row>
    <row r="96" spans="5:8" x14ac:dyDescent="0.3">
      <c r="E96">
        <v>75</v>
      </c>
      <c r="F96" s="35">
        <v>392078388.29934776</v>
      </c>
      <c r="G96" s="4"/>
      <c r="H96" s="4"/>
    </row>
    <row r="97" spans="5:8" x14ac:dyDescent="0.3">
      <c r="E97">
        <v>76</v>
      </c>
      <c r="F97" s="35">
        <v>395661074.67999542</v>
      </c>
      <c r="G97" s="4"/>
      <c r="H97" s="4"/>
    </row>
    <row r="98" spans="5:8" x14ac:dyDescent="0.3">
      <c r="E98">
        <v>77</v>
      </c>
      <c r="F98" s="35">
        <v>384741715.38636029</v>
      </c>
      <c r="G98" s="4"/>
      <c r="H98" s="4"/>
    </row>
    <row r="99" spans="5:8" x14ac:dyDescent="0.3">
      <c r="E99">
        <v>78</v>
      </c>
      <c r="F99" s="35">
        <v>355496821.91783339</v>
      </c>
      <c r="G99" s="4"/>
      <c r="H99" s="4"/>
    </row>
    <row r="100" spans="5:8" x14ac:dyDescent="0.3">
      <c r="E100">
        <v>79</v>
      </c>
      <c r="F100" s="35">
        <v>325315687.59235477</v>
      </c>
      <c r="G100" s="4"/>
      <c r="H100" s="4"/>
    </row>
    <row r="101" spans="5:8" x14ac:dyDescent="0.3">
      <c r="E101">
        <v>80</v>
      </c>
      <c r="F101" s="35">
        <v>358571864.07835448</v>
      </c>
      <c r="G101" s="4"/>
      <c r="H101" s="4"/>
    </row>
    <row r="102" spans="5:8" x14ac:dyDescent="0.3">
      <c r="E102">
        <v>81</v>
      </c>
      <c r="F102" s="35">
        <v>362453253.53732073</v>
      </c>
      <c r="G102" s="4"/>
      <c r="H102" s="4"/>
    </row>
    <row r="103" spans="5:8" x14ac:dyDescent="0.3">
      <c r="E103">
        <v>82</v>
      </c>
      <c r="F103" s="35">
        <v>383392401.58431655</v>
      </c>
      <c r="G103" s="4"/>
      <c r="H103" s="4"/>
    </row>
    <row r="104" spans="5:8" x14ac:dyDescent="0.3">
      <c r="E104">
        <v>83</v>
      </c>
      <c r="F104" s="35">
        <v>392115338.67789274</v>
      </c>
      <c r="G104" s="4"/>
      <c r="H104" s="4"/>
    </row>
    <row r="105" spans="5:8" x14ac:dyDescent="0.3">
      <c r="E105">
        <v>84</v>
      </c>
      <c r="F105" s="35">
        <v>335732899.22920018</v>
      </c>
      <c r="G105" s="4"/>
      <c r="H105" s="4"/>
    </row>
    <row r="106" spans="5:8" x14ac:dyDescent="0.3">
      <c r="E106">
        <v>85</v>
      </c>
      <c r="F106" s="35">
        <v>417383940.31790483</v>
      </c>
      <c r="G106" s="4"/>
      <c r="H106" s="4"/>
    </row>
    <row r="107" spans="5:8" x14ac:dyDescent="0.3">
      <c r="E107">
        <v>86</v>
      </c>
      <c r="F107" s="35">
        <v>359988457.29223019</v>
      </c>
      <c r="G107" s="4"/>
      <c r="H107" s="4"/>
    </row>
    <row r="108" spans="5:8" x14ac:dyDescent="0.3">
      <c r="E108">
        <v>87</v>
      </c>
      <c r="F108" s="35">
        <v>328968816.30355465</v>
      </c>
      <c r="G108" s="4"/>
      <c r="H108" s="4"/>
    </row>
    <row r="109" spans="5:8" x14ac:dyDescent="0.3">
      <c r="E109">
        <v>88</v>
      </c>
      <c r="F109" s="35">
        <v>331144615.69139302</v>
      </c>
      <c r="G109" s="4"/>
      <c r="H109" s="4"/>
    </row>
    <row r="110" spans="5:8" x14ac:dyDescent="0.3">
      <c r="E110">
        <v>89</v>
      </c>
      <c r="F110" s="35">
        <v>335260109.23682106</v>
      </c>
      <c r="G110" s="4"/>
      <c r="H110" s="4"/>
    </row>
    <row r="111" spans="5:8" x14ac:dyDescent="0.3">
      <c r="E111">
        <v>90</v>
      </c>
      <c r="F111" s="35">
        <v>369571704.31169641</v>
      </c>
      <c r="G111" s="4"/>
      <c r="H111" s="4"/>
    </row>
    <row r="112" spans="5:8" x14ac:dyDescent="0.3">
      <c r="E112">
        <v>91</v>
      </c>
      <c r="F112" s="35">
        <v>409877818.70352697</v>
      </c>
      <c r="G112" s="4"/>
      <c r="H112" s="4"/>
    </row>
    <row r="113" spans="5:8" x14ac:dyDescent="0.3">
      <c r="E113">
        <v>92</v>
      </c>
      <c r="F113" s="35">
        <v>260040217.58485126</v>
      </c>
      <c r="G113" s="4"/>
      <c r="H113" s="4"/>
    </row>
    <row r="114" spans="5:8" x14ac:dyDescent="0.3">
      <c r="E114">
        <v>93</v>
      </c>
      <c r="F114" s="35">
        <v>406172328.46083713</v>
      </c>
      <c r="G114" s="4"/>
      <c r="H114" s="4"/>
    </row>
    <row r="115" spans="5:8" x14ac:dyDescent="0.3">
      <c r="E115">
        <v>94</v>
      </c>
      <c r="F115" s="35">
        <v>357525900.93532789</v>
      </c>
      <c r="G115" s="4"/>
      <c r="H115" s="4"/>
    </row>
    <row r="116" spans="5:8" x14ac:dyDescent="0.3">
      <c r="E116">
        <v>95</v>
      </c>
      <c r="F116" s="35">
        <v>342990854.69147837</v>
      </c>
      <c r="G116" s="4"/>
      <c r="H116" s="4"/>
    </row>
    <row r="117" spans="5:8" x14ac:dyDescent="0.3">
      <c r="E117">
        <v>96</v>
      </c>
      <c r="F117" s="35">
        <v>406857298.66007483</v>
      </c>
      <c r="G117" s="4"/>
      <c r="H117" s="4"/>
    </row>
    <row r="118" spans="5:8" x14ac:dyDescent="0.3">
      <c r="E118">
        <v>97</v>
      </c>
      <c r="F118" s="35">
        <v>369644166.429829</v>
      </c>
      <c r="G118" s="4"/>
      <c r="H118" s="4"/>
    </row>
    <row r="119" spans="5:8" x14ac:dyDescent="0.3">
      <c r="E119">
        <v>98</v>
      </c>
      <c r="F119" s="35">
        <v>436172605.93814933</v>
      </c>
      <c r="G119" s="4"/>
      <c r="H119" s="4"/>
    </row>
    <row r="120" spans="5:8" x14ac:dyDescent="0.3">
      <c r="E120">
        <v>99</v>
      </c>
      <c r="F120" s="35">
        <v>364999749.40505546</v>
      </c>
      <c r="G120" s="4"/>
      <c r="H120" s="4"/>
    </row>
    <row r="121" spans="5:8" x14ac:dyDescent="0.3">
      <c r="E121">
        <v>100</v>
      </c>
      <c r="F121" s="35">
        <v>336981084.29432738</v>
      </c>
      <c r="G121" s="4"/>
      <c r="H121" s="4"/>
    </row>
    <row r="122" spans="5:8" x14ac:dyDescent="0.3">
      <c r="E122">
        <v>101</v>
      </c>
      <c r="F122" s="35">
        <v>329337819.51938438</v>
      </c>
      <c r="G122" s="4"/>
      <c r="H122" s="4"/>
    </row>
    <row r="123" spans="5:8" x14ac:dyDescent="0.3">
      <c r="E123">
        <v>102</v>
      </c>
      <c r="F123" s="35">
        <v>364901462.40017354</v>
      </c>
      <c r="G123" s="4"/>
      <c r="H123" s="4"/>
    </row>
    <row r="124" spans="5:8" x14ac:dyDescent="0.3">
      <c r="E124">
        <v>103</v>
      </c>
      <c r="F124" s="35">
        <v>382646150.57768989</v>
      </c>
      <c r="G124" s="4"/>
      <c r="H124" s="4"/>
    </row>
    <row r="125" spans="5:8" x14ac:dyDescent="0.3">
      <c r="E125">
        <v>104</v>
      </c>
      <c r="F125" s="35">
        <v>402494266.36000925</v>
      </c>
      <c r="G125" s="4"/>
      <c r="H125" s="4"/>
    </row>
    <row r="126" spans="5:8" x14ac:dyDescent="0.3">
      <c r="E126">
        <v>105</v>
      </c>
      <c r="F126" s="35">
        <v>379987259.11800677</v>
      </c>
      <c r="G126" s="4"/>
      <c r="H126" s="4"/>
    </row>
    <row r="127" spans="5:8" x14ac:dyDescent="0.3">
      <c r="E127">
        <v>106</v>
      </c>
      <c r="F127" s="35">
        <v>343963372.81706727</v>
      </c>
      <c r="G127" s="4"/>
      <c r="H127" s="4"/>
    </row>
    <row r="128" spans="5:8" x14ac:dyDescent="0.3">
      <c r="E128">
        <v>107</v>
      </c>
      <c r="F128" s="35">
        <v>371395135.58561927</v>
      </c>
      <c r="G128" s="4"/>
      <c r="H128" s="4"/>
    </row>
    <row r="129" spans="5:8" x14ac:dyDescent="0.3">
      <c r="E129">
        <v>108</v>
      </c>
      <c r="F129" s="35">
        <v>368457251.89938962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9"/>
  <sheetViews>
    <sheetView workbookViewId="0">
      <selection activeCell="D8" sqref="D8"/>
    </sheetView>
  </sheetViews>
  <sheetFormatPr defaultRowHeight="14.4" x14ac:dyDescent="0.3"/>
  <cols>
    <col min="1" max="1" width="48.21875" customWidth="1"/>
    <col min="2" max="2" width="20.33203125" customWidth="1"/>
    <col min="3" max="3" width="21" customWidth="1"/>
    <col min="4" max="4" width="22.5546875" customWidth="1"/>
    <col min="6" max="7" width="18.6640625" customWidth="1"/>
    <col min="8" max="8" width="30.33203125" customWidth="1"/>
  </cols>
  <sheetData>
    <row r="1" spans="1:8" ht="18" customHeight="1" x14ac:dyDescent="0.3">
      <c r="B1" s="31" t="str">
        <f>Mappings!B6</f>
        <v>New-improved</v>
      </c>
      <c r="C1" s="115" t="str">
        <f>Mappings!B7</f>
        <v>Local-only</v>
      </c>
      <c r="D1" s="11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3">
      <c r="A3" t="str">
        <f>MC_High_ambition!A3</f>
        <v>Income per cow (USD/yr)</v>
      </c>
      <c r="B3" s="21">
        <f>Mappings!N18</f>
        <v>1495.1172015495711</v>
      </c>
      <c r="C3" s="21">
        <f>Mappings!N19</f>
        <v>340.3171855089804</v>
      </c>
      <c r="D3" s="41">
        <f>Mappings!N20</f>
        <v>1662.110376985115</v>
      </c>
    </row>
    <row r="4" spans="1:8" x14ac:dyDescent="0.3">
      <c r="A4" s="116" t="str">
        <f>MC_High_ambition!A4</f>
        <v>Random value income per cow (USD/yr)</v>
      </c>
      <c r="B4" s="21">
        <f ca="1">_xlfn.NORM.INV(RAND(),Mappings!N18,Mappings!O18)</f>
        <v>1620.0104413083934</v>
      </c>
      <c r="C4" s="21">
        <f ca="1">_xlfn.NORM.INV(RAND(),Mappings!N19,Mappings!O19)</f>
        <v>417.97883371982999</v>
      </c>
      <c r="D4" s="21">
        <f ca="1">_xlfn.NORM.INV(RAND(),Mappings!N20,Mappings!O20)</f>
        <v>1746.9320954248408</v>
      </c>
    </row>
    <row r="5" spans="1:8" x14ac:dyDescent="0.3">
      <c r="A5" s="116" t="str">
        <f>MC_High_ambition!A5</f>
        <v>Cows per household (head)</v>
      </c>
      <c r="B5" s="21">
        <f>Mappings!F18*Mappings!I18</f>
        <v>0.68253708880318176</v>
      </c>
      <c r="C5" s="21">
        <f>Mappings!F19*Mappings!I19</f>
        <v>2.9088604080953084</v>
      </c>
      <c r="D5" s="21">
        <f>Mappings!F20*Mappings!I20</f>
        <v>1.9699507500597777</v>
      </c>
    </row>
    <row r="6" spans="1:8" x14ac:dyDescent="0.3">
      <c r="A6" s="116" t="str">
        <f>MC_High_ambition!A6</f>
        <v>Random value cows per household (head)</v>
      </c>
      <c r="B6" s="21">
        <f ca="1">_xlfn.NORM.INV(RAND(),B5,B5*Mappings!E4)*0+B5</f>
        <v>0.68253708880318176</v>
      </c>
      <c r="C6" s="21">
        <f ca="1">_xlfn.NORM.INV(RAND(),C5,C5*Mappings!E3)*0+C5</f>
        <v>2.9088604080953084</v>
      </c>
      <c r="D6" s="21">
        <f ca="1">_xlfn.NORM.INV(RAND(),D5,D5*Mappings!E4)*0+D5</f>
        <v>1.9699507500597777</v>
      </c>
    </row>
    <row r="7" spans="1:8" x14ac:dyDescent="0.3">
      <c r="A7" s="116" t="str">
        <f>MC_High_ambition!A7</f>
        <v>Non-dairy income (USD/yr)</v>
      </c>
      <c r="B7" s="21">
        <f>Mappings!V18</f>
        <v>1630.0922313401952</v>
      </c>
      <c r="C7" s="21">
        <f>Mappings!V19</f>
        <v>1089.6237892009194</v>
      </c>
      <c r="D7" s="21">
        <f>Mappings!V20</f>
        <v>1314.3067224116312</v>
      </c>
    </row>
    <row r="8" spans="1:8" x14ac:dyDescent="0.3">
      <c r="A8" s="116" t="str">
        <f>MC_High_ambition!A8</f>
        <v>Random value non dairy income (USD/yr)</v>
      </c>
      <c r="B8" s="21">
        <f ca="1">_xlfn.NORM.INV(RAND(), B7, B7 * 25/100)*0+B7</f>
        <v>1630.0922313401952</v>
      </c>
      <c r="C8" s="21">
        <f ca="1">_xlfn.NORM.INV(RAND(), C7, C7* 25/100)*0+C7</f>
        <v>1089.6237892009194</v>
      </c>
      <c r="D8" s="21">
        <f ca="1">_xlfn.NORM.INV(RAND(), D7, D7* 25/100)*0+D7</f>
        <v>1314.3067224116312</v>
      </c>
    </row>
    <row r="9" spans="1:8" s="102" customFormat="1" x14ac:dyDescent="0.3">
      <c r="A9" s="116" t="str">
        <f>MC_High_ambition!A9</f>
        <v>Reduction in non-dairy income through crop area change</v>
      </c>
      <c r="B9" s="21">
        <f>Mappings!Q18</f>
        <v>126.52789823633996</v>
      </c>
      <c r="C9" s="21">
        <f>Mappings!Q19</f>
        <v>664.34433240766884</v>
      </c>
      <c r="D9" s="21">
        <f>Mappings!Q20</f>
        <v>462.11252551777085</v>
      </c>
    </row>
    <row r="10" spans="1:8" s="102" customFormat="1" x14ac:dyDescent="0.3">
      <c r="A10" s="116" t="str">
        <f>MC_High_ambition!A10</f>
        <v>Random value reduction/increase in non-dairy income (USD/yr)</v>
      </c>
      <c r="B10" s="21">
        <f ca="1">IF(B9&gt;=0,_xlfn.NORM.INV(RAND(),B9,B9*[6]Dairy_Income_Roadmap!L36),_xlfn.NORM.INV(RAND(),ABS(B9),ABS(B9)*[6]Dairy_Income_Roadmap!L36))</f>
        <v>-40.138135610025913</v>
      </c>
      <c r="C10" s="21">
        <f ca="1">IF(C9&gt;0,_xlfn.NORM.INV(RAND(),C9,C9*[6]Dairy_Income_Roadmap!L36),_xlfn.NORM.INV(RAND(),ABS(C9),ABS(C9)*[6]Dairy_Income_Roadmap!L36))</f>
        <v>1419.1439138082019</v>
      </c>
      <c r="D10" s="21">
        <f ca="1">IF(D9&gt;0,_xlfn.NORM.INV(RAND(),D9,D9*[6]Dairy_Income_Roadmap!L38),_xlfn.NORM.INV(RAND(),ABS(D9),ABS(D9)*[6]Dairy_Income_Roadmap!L38))</f>
        <v>1585.6974851903312</v>
      </c>
    </row>
    <row r="11" spans="1:8" x14ac:dyDescent="0.3">
      <c r="A11" s="116" t="str">
        <f>MC_High_ambition!A11</f>
        <v>Quantity households</v>
      </c>
      <c r="B11" s="21">
        <f>Mappings!D18</f>
        <v>9841.4502207493369</v>
      </c>
      <c r="C11" s="4">
        <f>Mappings!D19</f>
        <v>55768.217917579575</v>
      </c>
      <c r="D11" s="4">
        <f>Mappings!D20</f>
        <v>82028.367810366151</v>
      </c>
    </row>
    <row r="12" spans="1:8" x14ac:dyDescent="0.3">
      <c r="A12" s="116" t="str">
        <f>MC_High_ambition!A12</f>
        <v>SE quantity households</v>
      </c>
      <c r="B12" s="21">
        <f>Mappings!Z18*Mappings!D18</f>
        <v>289.67056511708114</v>
      </c>
      <c r="C12" s="21">
        <f>Mappings!Z19*Mappings!D19</f>
        <v>1641.4665356634598</v>
      </c>
      <c r="D12" s="4">
        <f>Mappings!Z20*Mappings!D20</f>
        <v>2414.4006346913525</v>
      </c>
    </row>
    <row r="13" spans="1:8" x14ac:dyDescent="0.3">
      <c r="A13" s="116"/>
      <c r="B13" s="21"/>
    </row>
    <row r="14" spans="1:8" x14ac:dyDescent="0.3">
      <c r="A14" s="116" t="str">
        <f>MC_High_ambition!A14</f>
        <v>Dairy Income (USD/household/year)</v>
      </c>
      <c r="B14" s="21">
        <f ca="1">B4*B6</f>
        <v>1105.7172104413885</v>
      </c>
      <c r="C14" s="21">
        <f ca="1">C4*C6</f>
        <v>1215.8420808294657</v>
      </c>
      <c r="D14" s="21">
        <f ca="1">D4*D6</f>
        <v>3441.3701916856644</v>
      </c>
    </row>
    <row r="15" spans="1:8" x14ac:dyDescent="0.3">
      <c r="A15" s="116" t="str">
        <f>MC_High_ambition!A15</f>
        <v>Non dairy income (USD/household/year)</v>
      </c>
      <c r="B15" s="21">
        <f ca="1">B8-IF(B9&gt;0,B8-B10,B8+B10)</f>
        <v>-40.138135610025984</v>
      </c>
      <c r="C15" s="21">
        <f t="shared" ref="C15:D15" ca="1" si="0">C8-IF(C9&gt;0,C8-C10,C8+C10)</f>
        <v>1419.1439138082019</v>
      </c>
      <c r="D15" s="21">
        <f t="shared" ca="1" si="0"/>
        <v>1585.6974851903312</v>
      </c>
    </row>
    <row r="16" spans="1:8" x14ac:dyDescent="0.3">
      <c r="A16" s="116" t="str">
        <f>MC_High_ambition!A16</f>
        <v>Quantity households</v>
      </c>
      <c r="B16" s="21">
        <f ca="1">_xlfn.NORM.INV(RAND(),B11,B12)</f>
        <v>10050.873889419461</v>
      </c>
      <c r="C16" s="21">
        <f ca="1">_xlfn.NORM.INV(RAND(),C11,C12)</f>
        <v>56405.855983500944</v>
      </c>
      <c r="D16" s="21">
        <f t="shared" ref="D16" ca="1" si="1">_xlfn.NORM.INV(RAND(),D11,D12)</f>
        <v>80576.71574069999</v>
      </c>
    </row>
    <row r="17" spans="1:9" x14ac:dyDescent="0.3">
      <c r="A17" s="116"/>
    </row>
    <row r="18" spans="1:9" x14ac:dyDescent="0.3">
      <c r="A18" s="116" t="str">
        <f>MC_High_ambition!A18</f>
        <v>Estimated population income (USD/yr)</v>
      </c>
      <c r="B18" s="4">
        <f ca="1">(B14+B15)*B16</f>
        <v>10710000.900334287</v>
      </c>
      <c r="C18" s="4">
        <f t="shared" ref="C18:D18" ca="1" si="2">(C14+C15)*C16</f>
        <v>148628640.53207424</v>
      </c>
      <c r="D18" s="4">
        <f t="shared" ca="1" si="2"/>
        <v>405064603.20889819</v>
      </c>
      <c r="E18" s="4"/>
      <c r="F18" s="4">
        <f ca="1">SUM(B18:D18)</f>
        <v>564403244.64130676</v>
      </c>
      <c r="G18" s="4"/>
      <c r="H18" s="47"/>
      <c r="I18" s="46"/>
    </row>
    <row r="19" spans="1:9" x14ac:dyDescent="0.3">
      <c r="A19" s="116" t="str">
        <f>MC_High_ambition!A19</f>
        <v>SE population income (USD/yr)</v>
      </c>
      <c r="B19" s="4"/>
      <c r="C19" s="4"/>
      <c r="D19" s="4"/>
      <c r="E19" s="4"/>
      <c r="F19" s="4">
        <f ca="1">STDEV(F22:F129)</f>
        <v>59811229.615826048</v>
      </c>
      <c r="G19" s="4"/>
      <c r="H19" s="47"/>
      <c r="I19" s="46"/>
    </row>
    <row r="20" spans="1:9" x14ac:dyDescent="0.3">
      <c r="A20" s="116" t="str">
        <f>MC_High_ambition!A20</f>
        <v>Mean population income (USD/yr)</v>
      </c>
      <c r="B20" s="4"/>
      <c r="C20" s="4"/>
      <c r="D20" s="4"/>
      <c r="E20" s="4"/>
      <c r="F20" s="4">
        <f ca="1">AVERAGE(F22:F129)</f>
        <v>406304836.31308317</v>
      </c>
      <c r="G20" s="4"/>
      <c r="H20" s="130" t="s">
        <v>52</v>
      </c>
      <c r="I20" s="46">
        <f ca="1">100*F19/F20</f>
        <v>14.720777177689751</v>
      </c>
    </row>
    <row r="21" spans="1:9" x14ac:dyDescent="0.3">
      <c r="F21" s="4"/>
      <c r="G21" s="4"/>
      <c r="H21" s="130"/>
    </row>
    <row r="22" spans="1:9" x14ac:dyDescent="0.3">
      <c r="B22" s="4"/>
      <c r="E22">
        <v>1</v>
      </c>
      <c r="F22" s="35">
        <f ca="1">F18</f>
        <v>564403244.64130676</v>
      </c>
      <c r="G22" s="4"/>
      <c r="H22" s="4"/>
    </row>
    <row r="23" spans="1:9" x14ac:dyDescent="0.3">
      <c r="E23">
        <v>2</v>
      </c>
      <c r="F23" s="35">
        <f t="dataTable" ref="F23:F129" dt2D="0" dtr="0" r1="F21" ca="1"/>
        <v>369993144.77414435</v>
      </c>
      <c r="G23" s="4"/>
      <c r="H23" s="4"/>
      <c r="I23" s="130"/>
    </row>
    <row r="24" spans="1:9" x14ac:dyDescent="0.3">
      <c r="E24">
        <v>3</v>
      </c>
      <c r="F24" s="35">
        <v>498510247.74708319</v>
      </c>
      <c r="G24" s="4"/>
      <c r="H24" s="4"/>
      <c r="I24" s="130"/>
    </row>
    <row r="25" spans="1:9" x14ac:dyDescent="0.3">
      <c r="E25">
        <v>4</v>
      </c>
      <c r="F25" s="35">
        <v>350043101.85820663</v>
      </c>
      <c r="G25" s="4"/>
      <c r="H25" s="4"/>
    </row>
    <row r="26" spans="1:9" x14ac:dyDescent="0.3">
      <c r="E26">
        <v>5</v>
      </c>
      <c r="F26" s="35">
        <v>408039126.51177156</v>
      </c>
      <c r="G26" s="4"/>
      <c r="H26" s="4"/>
    </row>
    <row r="27" spans="1:9" x14ac:dyDescent="0.3">
      <c r="E27">
        <v>6</v>
      </c>
      <c r="F27" s="35">
        <v>450924188.48385584</v>
      </c>
      <c r="G27" s="4"/>
      <c r="H27" s="4"/>
    </row>
    <row r="28" spans="1:9" x14ac:dyDescent="0.3">
      <c r="E28">
        <v>7</v>
      </c>
      <c r="F28" s="35">
        <v>458412834.1729899</v>
      </c>
      <c r="G28" s="4"/>
      <c r="H28" s="4"/>
    </row>
    <row r="29" spans="1:9" x14ac:dyDescent="0.3">
      <c r="E29">
        <v>8</v>
      </c>
      <c r="F29" s="35">
        <v>447646308.14899588</v>
      </c>
      <c r="G29" s="4"/>
      <c r="H29" s="4"/>
    </row>
    <row r="30" spans="1:9" x14ac:dyDescent="0.3">
      <c r="E30">
        <v>9</v>
      </c>
      <c r="F30" s="35">
        <v>344767446.33506024</v>
      </c>
      <c r="G30" s="4"/>
      <c r="H30" s="4"/>
    </row>
    <row r="31" spans="1:9" x14ac:dyDescent="0.3">
      <c r="E31">
        <v>10</v>
      </c>
      <c r="F31" s="35">
        <v>496803393.39793241</v>
      </c>
      <c r="G31" s="4"/>
      <c r="H31" s="4"/>
    </row>
    <row r="32" spans="1:9" x14ac:dyDescent="0.3">
      <c r="E32">
        <v>11</v>
      </c>
      <c r="F32" s="35">
        <v>418202292.38885015</v>
      </c>
      <c r="G32" s="4"/>
      <c r="H32" s="4"/>
    </row>
    <row r="33" spans="5:8" x14ac:dyDescent="0.3">
      <c r="E33">
        <v>12</v>
      </c>
      <c r="F33" s="35">
        <v>423695377.9407019</v>
      </c>
      <c r="G33" s="4"/>
      <c r="H33" s="4"/>
    </row>
    <row r="34" spans="5:8" x14ac:dyDescent="0.3">
      <c r="E34">
        <v>13</v>
      </c>
      <c r="F34" s="35">
        <v>340467766.8385427</v>
      </c>
      <c r="G34" s="4"/>
      <c r="H34" s="4"/>
    </row>
    <row r="35" spans="5:8" x14ac:dyDescent="0.3">
      <c r="E35">
        <v>14</v>
      </c>
      <c r="F35" s="35">
        <v>495362290.30080485</v>
      </c>
      <c r="G35" s="4"/>
      <c r="H35" s="4"/>
    </row>
    <row r="36" spans="5:8" x14ac:dyDescent="0.3">
      <c r="E36">
        <v>15</v>
      </c>
      <c r="F36" s="35">
        <v>415172705.2262398</v>
      </c>
      <c r="G36" s="4"/>
      <c r="H36" s="4"/>
    </row>
    <row r="37" spans="5:8" x14ac:dyDescent="0.3">
      <c r="E37">
        <v>16</v>
      </c>
      <c r="F37" s="35">
        <v>345426462.9014219</v>
      </c>
      <c r="G37" s="4"/>
      <c r="H37" s="4"/>
    </row>
    <row r="38" spans="5:8" x14ac:dyDescent="0.3">
      <c r="E38">
        <v>17</v>
      </c>
      <c r="F38" s="35">
        <v>334545072.8598668</v>
      </c>
      <c r="G38" s="4"/>
      <c r="H38" s="4"/>
    </row>
    <row r="39" spans="5:8" x14ac:dyDescent="0.3">
      <c r="E39">
        <v>18</v>
      </c>
      <c r="F39" s="35">
        <v>361867322.0278095</v>
      </c>
      <c r="G39" s="4"/>
      <c r="H39" s="4"/>
    </row>
    <row r="40" spans="5:8" x14ac:dyDescent="0.3">
      <c r="E40">
        <v>19</v>
      </c>
      <c r="F40" s="35">
        <v>458194775.15660292</v>
      </c>
      <c r="G40" s="4"/>
      <c r="H40" s="4"/>
    </row>
    <row r="41" spans="5:8" x14ac:dyDescent="0.3">
      <c r="E41">
        <v>20</v>
      </c>
      <c r="F41" s="35">
        <v>442687007.81473607</v>
      </c>
      <c r="G41" s="4"/>
      <c r="H41" s="4"/>
    </row>
    <row r="42" spans="5:8" x14ac:dyDescent="0.3">
      <c r="E42">
        <v>21</v>
      </c>
      <c r="F42" s="35">
        <v>536082935.96807277</v>
      </c>
      <c r="G42" s="4"/>
      <c r="H42" s="4"/>
    </row>
    <row r="43" spans="5:8" x14ac:dyDescent="0.3">
      <c r="E43">
        <v>22</v>
      </c>
      <c r="F43" s="35">
        <v>387766430.00436455</v>
      </c>
      <c r="G43" s="4"/>
      <c r="H43" s="4"/>
    </row>
    <row r="44" spans="5:8" x14ac:dyDescent="0.3">
      <c r="E44">
        <v>23</v>
      </c>
      <c r="F44" s="35">
        <v>482325954.0494749</v>
      </c>
      <c r="G44" s="4"/>
      <c r="H44" s="4"/>
    </row>
    <row r="45" spans="5:8" x14ac:dyDescent="0.3">
      <c r="E45">
        <v>24</v>
      </c>
      <c r="F45" s="35">
        <v>393419981.29589742</v>
      </c>
      <c r="G45" s="4"/>
      <c r="H45" s="4"/>
    </row>
    <row r="46" spans="5:8" x14ac:dyDescent="0.3">
      <c r="E46">
        <v>25</v>
      </c>
      <c r="F46" s="35">
        <v>348697663.18092376</v>
      </c>
      <c r="G46" s="4"/>
      <c r="H46" s="4"/>
    </row>
    <row r="47" spans="5:8" x14ac:dyDescent="0.3">
      <c r="E47">
        <v>26</v>
      </c>
      <c r="F47" s="35">
        <v>404606439.74605584</v>
      </c>
      <c r="G47" s="4"/>
      <c r="H47" s="4"/>
    </row>
    <row r="48" spans="5:8" x14ac:dyDescent="0.3">
      <c r="E48">
        <v>27</v>
      </c>
      <c r="F48" s="35">
        <v>469508917.40016055</v>
      </c>
      <c r="G48" s="4"/>
      <c r="H48" s="4"/>
    </row>
    <row r="49" spans="5:8" x14ac:dyDescent="0.3">
      <c r="E49">
        <v>28</v>
      </c>
      <c r="F49" s="35">
        <v>405754096.55003572</v>
      </c>
      <c r="G49" s="4"/>
      <c r="H49" s="4"/>
    </row>
    <row r="50" spans="5:8" x14ac:dyDescent="0.3">
      <c r="E50">
        <v>29</v>
      </c>
      <c r="F50" s="35">
        <v>407106055.42513585</v>
      </c>
      <c r="G50" s="4"/>
      <c r="H50" s="4"/>
    </row>
    <row r="51" spans="5:8" x14ac:dyDescent="0.3">
      <c r="E51">
        <v>30</v>
      </c>
      <c r="F51" s="35">
        <v>386194366.93376231</v>
      </c>
      <c r="G51" s="4"/>
      <c r="H51" s="4"/>
    </row>
    <row r="52" spans="5:8" x14ac:dyDescent="0.3">
      <c r="E52">
        <v>31</v>
      </c>
      <c r="F52" s="35">
        <v>395665767.1289562</v>
      </c>
      <c r="G52" s="4"/>
      <c r="H52" s="4"/>
    </row>
    <row r="53" spans="5:8" x14ac:dyDescent="0.3">
      <c r="E53">
        <v>32</v>
      </c>
      <c r="F53" s="35">
        <v>548035577.11943066</v>
      </c>
      <c r="G53" s="4"/>
      <c r="H53" s="4"/>
    </row>
    <row r="54" spans="5:8" x14ac:dyDescent="0.3">
      <c r="E54">
        <v>33</v>
      </c>
      <c r="F54" s="35">
        <v>471986836.62444627</v>
      </c>
      <c r="G54" s="4"/>
      <c r="H54" s="4"/>
    </row>
    <row r="55" spans="5:8" x14ac:dyDescent="0.3">
      <c r="E55">
        <v>34</v>
      </c>
      <c r="F55" s="35">
        <v>381571929.24961984</v>
      </c>
      <c r="G55" s="4"/>
      <c r="H55" s="4"/>
    </row>
    <row r="56" spans="5:8" x14ac:dyDescent="0.3">
      <c r="E56">
        <v>35</v>
      </c>
      <c r="F56" s="35">
        <v>452708493.57995772</v>
      </c>
      <c r="G56" s="4"/>
      <c r="H56" s="4"/>
    </row>
    <row r="57" spans="5:8" x14ac:dyDescent="0.3">
      <c r="E57">
        <v>36</v>
      </c>
      <c r="F57" s="35">
        <v>341315264.75251842</v>
      </c>
      <c r="G57" s="4"/>
      <c r="H57" s="4"/>
    </row>
    <row r="58" spans="5:8" x14ac:dyDescent="0.3">
      <c r="E58">
        <v>37</v>
      </c>
      <c r="F58" s="35">
        <v>372645043.93149424</v>
      </c>
      <c r="G58" s="4"/>
      <c r="H58" s="4"/>
    </row>
    <row r="59" spans="5:8" x14ac:dyDescent="0.3">
      <c r="E59">
        <v>38</v>
      </c>
      <c r="F59" s="35">
        <v>336109908.22150767</v>
      </c>
      <c r="G59" s="4"/>
      <c r="H59" s="4"/>
    </row>
    <row r="60" spans="5:8" x14ac:dyDescent="0.3">
      <c r="E60">
        <v>39</v>
      </c>
      <c r="F60" s="35">
        <v>488531616.4291054</v>
      </c>
      <c r="G60" s="4"/>
      <c r="H60" s="4"/>
    </row>
    <row r="61" spans="5:8" x14ac:dyDescent="0.3">
      <c r="E61">
        <v>40</v>
      </c>
      <c r="F61" s="35">
        <v>385428375.91588551</v>
      </c>
      <c r="G61" s="4"/>
      <c r="H61" s="4"/>
    </row>
    <row r="62" spans="5:8" x14ac:dyDescent="0.3">
      <c r="E62">
        <v>41</v>
      </c>
      <c r="F62" s="35">
        <v>471298485.19559246</v>
      </c>
      <c r="G62" s="4"/>
      <c r="H62" s="4"/>
    </row>
    <row r="63" spans="5:8" x14ac:dyDescent="0.3">
      <c r="E63">
        <v>42</v>
      </c>
      <c r="F63" s="35">
        <v>475924484.75863743</v>
      </c>
      <c r="G63" s="4"/>
      <c r="H63" s="4"/>
    </row>
    <row r="64" spans="5:8" x14ac:dyDescent="0.3">
      <c r="E64">
        <v>43</v>
      </c>
      <c r="F64" s="35">
        <v>431646222.95444143</v>
      </c>
      <c r="G64" s="4"/>
      <c r="H64" s="4"/>
    </row>
    <row r="65" spans="5:8" x14ac:dyDescent="0.3">
      <c r="E65">
        <v>44</v>
      </c>
      <c r="F65" s="35">
        <v>385136613.84937555</v>
      </c>
      <c r="G65" s="4"/>
      <c r="H65" s="4"/>
    </row>
    <row r="66" spans="5:8" x14ac:dyDescent="0.3">
      <c r="E66">
        <v>45</v>
      </c>
      <c r="F66" s="35">
        <v>390636616.56815326</v>
      </c>
      <c r="G66" s="4"/>
      <c r="H66" s="4"/>
    </row>
    <row r="67" spans="5:8" x14ac:dyDescent="0.3">
      <c r="E67">
        <v>46</v>
      </c>
      <c r="F67" s="35">
        <v>308432708.44884491</v>
      </c>
      <c r="G67" s="4"/>
      <c r="H67" s="4"/>
    </row>
    <row r="68" spans="5:8" x14ac:dyDescent="0.3">
      <c r="E68">
        <v>47</v>
      </c>
      <c r="F68" s="35">
        <v>355406606.54859614</v>
      </c>
      <c r="G68" s="4"/>
      <c r="H68" s="4"/>
    </row>
    <row r="69" spans="5:8" x14ac:dyDescent="0.3">
      <c r="E69">
        <v>48</v>
      </c>
      <c r="F69" s="35">
        <v>331700136.26291537</v>
      </c>
      <c r="G69" s="4"/>
      <c r="H69" s="4"/>
    </row>
    <row r="70" spans="5:8" x14ac:dyDescent="0.3">
      <c r="E70">
        <v>49</v>
      </c>
      <c r="F70" s="35">
        <v>362918543.8443082</v>
      </c>
      <c r="G70" s="4"/>
      <c r="H70" s="4"/>
    </row>
    <row r="71" spans="5:8" x14ac:dyDescent="0.3">
      <c r="E71">
        <v>50</v>
      </c>
      <c r="F71" s="35">
        <v>441196779.29130465</v>
      </c>
      <c r="G71" s="4"/>
      <c r="H71" s="4"/>
    </row>
    <row r="72" spans="5:8" x14ac:dyDescent="0.3">
      <c r="E72">
        <v>51</v>
      </c>
      <c r="F72" s="35">
        <v>391970890.40659165</v>
      </c>
      <c r="G72" s="4"/>
      <c r="H72" s="4"/>
    </row>
    <row r="73" spans="5:8" x14ac:dyDescent="0.3">
      <c r="E73">
        <v>52</v>
      </c>
      <c r="F73" s="35">
        <v>306424446.90805078</v>
      </c>
      <c r="G73" s="4"/>
      <c r="H73" s="4"/>
    </row>
    <row r="74" spans="5:8" x14ac:dyDescent="0.3">
      <c r="E74">
        <v>53</v>
      </c>
      <c r="F74" s="35">
        <v>448294537.19836992</v>
      </c>
      <c r="G74" s="4"/>
      <c r="H74" s="4"/>
    </row>
    <row r="75" spans="5:8" x14ac:dyDescent="0.3">
      <c r="E75">
        <v>54</v>
      </c>
      <c r="F75" s="35">
        <v>397975354.42286164</v>
      </c>
      <c r="G75" s="4"/>
      <c r="H75" s="4"/>
    </row>
    <row r="76" spans="5:8" x14ac:dyDescent="0.3">
      <c r="E76">
        <v>55</v>
      </c>
      <c r="F76" s="35">
        <v>409785207.85071266</v>
      </c>
      <c r="G76" s="4"/>
      <c r="H76" s="4"/>
    </row>
    <row r="77" spans="5:8" x14ac:dyDescent="0.3">
      <c r="E77">
        <v>56</v>
      </c>
      <c r="F77" s="35">
        <v>423008813.56175917</v>
      </c>
      <c r="G77" s="4"/>
      <c r="H77" s="4"/>
    </row>
    <row r="78" spans="5:8" x14ac:dyDescent="0.3">
      <c r="E78">
        <v>57</v>
      </c>
      <c r="F78" s="35">
        <v>434343398.84968466</v>
      </c>
      <c r="G78" s="4"/>
      <c r="H78" s="4"/>
    </row>
    <row r="79" spans="5:8" x14ac:dyDescent="0.3">
      <c r="E79">
        <v>58</v>
      </c>
      <c r="F79" s="35">
        <v>411235574.27047455</v>
      </c>
      <c r="G79" s="4"/>
      <c r="H79" s="4"/>
    </row>
    <row r="80" spans="5:8" x14ac:dyDescent="0.3">
      <c r="E80">
        <v>59</v>
      </c>
      <c r="F80" s="35">
        <v>383219295.70565003</v>
      </c>
      <c r="G80" s="4"/>
      <c r="H80" s="4"/>
    </row>
    <row r="81" spans="5:8" x14ac:dyDescent="0.3">
      <c r="E81">
        <v>60</v>
      </c>
      <c r="F81" s="35">
        <v>451119102.65665579</v>
      </c>
      <c r="G81" s="4"/>
      <c r="H81" s="4"/>
    </row>
    <row r="82" spans="5:8" x14ac:dyDescent="0.3">
      <c r="E82">
        <v>61</v>
      </c>
      <c r="F82" s="35">
        <v>390354978.63120592</v>
      </c>
      <c r="G82" s="4"/>
      <c r="H82" s="4"/>
    </row>
    <row r="83" spans="5:8" x14ac:dyDescent="0.3">
      <c r="E83">
        <v>62</v>
      </c>
      <c r="F83" s="35">
        <v>423105410.97891033</v>
      </c>
      <c r="G83" s="4"/>
      <c r="H83" s="4"/>
    </row>
    <row r="84" spans="5:8" x14ac:dyDescent="0.3">
      <c r="E84">
        <v>63</v>
      </c>
      <c r="F84" s="35">
        <v>397719901.87259603</v>
      </c>
      <c r="G84" s="4"/>
      <c r="H84" s="4"/>
    </row>
    <row r="85" spans="5:8" x14ac:dyDescent="0.3">
      <c r="E85">
        <v>64</v>
      </c>
      <c r="F85" s="35">
        <v>373738485.45758545</v>
      </c>
      <c r="G85" s="4"/>
      <c r="H85" s="4"/>
    </row>
    <row r="86" spans="5:8" x14ac:dyDescent="0.3">
      <c r="E86">
        <v>65</v>
      </c>
      <c r="F86" s="35">
        <v>336807787.6452139</v>
      </c>
      <c r="G86" s="4"/>
      <c r="H86" s="4"/>
    </row>
    <row r="87" spans="5:8" x14ac:dyDescent="0.3">
      <c r="E87">
        <v>66</v>
      </c>
      <c r="F87" s="35">
        <v>329734600.63979435</v>
      </c>
      <c r="G87" s="4"/>
      <c r="H87" s="4"/>
    </row>
    <row r="88" spans="5:8" x14ac:dyDescent="0.3">
      <c r="E88">
        <v>67</v>
      </c>
      <c r="F88" s="35">
        <v>434644223.00030947</v>
      </c>
      <c r="G88" s="4"/>
      <c r="H88" s="4"/>
    </row>
    <row r="89" spans="5:8" x14ac:dyDescent="0.3">
      <c r="E89">
        <v>68</v>
      </c>
      <c r="F89" s="35">
        <v>367663026.4770506</v>
      </c>
      <c r="G89" s="4"/>
      <c r="H89" s="4"/>
    </row>
    <row r="90" spans="5:8" x14ac:dyDescent="0.3">
      <c r="E90">
        <v>69</v>
      </c>
      <c r="F90" s="35">
        <v>324290047.20842957</v>
      </c>
      <c r="G90" s="4"/>
      <c r="H90" s="4"/>
    </row>
    <row r="91" spans="5:8" x14ac:dyDescent="0.3">
      <c r="E91">
        <v>70</v>
      </c>
      <c r="F91" s="35">
        <v>412667176.47542477</v>
      </c>
      <c r="G91" s="4"/>
      <c r="H91" s="4"/>
    </row>
    <row r="92" spans="5:8" x14ac:dyDescent="0.3">
      <c r="E92">
        <v>71</v>
      </c>
      <c r="F92" s="35">
        <v>440375908.82889497</v>
      </c>
      <c r="G92" s="4"/>
      <c r="H92" s="4"/>
    </row>
    <row r="93" spans="5:8" x14ac:dyDescent="0.3">
      <c r="E93">
        <v>72</v>
      </c>
      <c r="F93" s="35">
        <v>371632528.66701972</v>
      </c>
      <c r="G93" s="4"/>
      <c r="H93" s="4"/>
    </row>
    <row r="94" spans="5:8" x14ac:dyDescent="0.3">
      <c r="E94">
        <v>73</v>
      </c>
      <c r="F94" s="35">
        <v>290007663.83210099</v>
      </c>
      <c r="G94" s="4"/>
      <c r="H94" s="4"/>
    </row>
    <row r="95" spans="5:8" x14ac:dyDescent="0.3">
      <c r="E95">
        <v>74</v>
      </c>
      <c r="F95" s="35">
        <v>419361424.40023494</v>
      </c>
      <c r="G95" s="4"/>
      <c r="H95" s="4"/>
    </row>
    <row r="96" spans="5:8" x14ac:dyDescent="0.3">
      <c r="E96">
        <v>75</v>
      </c>
      <c r="F96" s="35">
        <v>331074545.84600687</v>
      </c>
      <c r="G96" s="4"/>
      <c r="H96" s="4"/>
    </row>
    <row r="97" spans="5:8" x14ac:dyDescent="0.3">
      <c r="E97">
        <v>76</v>
      </c>
      <c r="F97" s="35">
        <v>602226789.01677418</v>
      </c>
      <c r="G97" s="4"/>
      <c r="H97" s="4"/>
    </row>
    <row r="98" spans="5:8" x14ac:dyDescent="0.3">
      <c r="E98">
        <v>77</v>
      </c>
      <c r="F98" s="35">
        <v>424383535.07246447</v>
      </c>
      <c r="G98" s="4"/>
      <c r="H98" s="4"/>
    </row>
    <row r="99" spans="5:8" x14ac:dyDescent="0.3">
      <c r="E99">
        <v>78</v>
      </c>
      <c r="F99" s="35">
        <v>366256471.66688734</v>
      </c>
      <c r="G99" s="4"/>
      <c r="H99" s="4"/>
    </row>
    <row r="100" spans="5:8" x14ac:dyDescent="0.3">
      <c r="E100">
        <v>79</v>
      </c>
      <c r="F100" s="35">
        <v>238711328.1499325</v>
      </c>
      <c r="G100" s="4"/>
      <c r="H100" s="4"/>
    </row>
    <row r="101" spans="5:8" x14ac:dyDescent="0.3">
      <c r="E101">
        <v>80</v>
      </c>
      <c r="F101" s="35">
        <v>389109573.17057091</v>
      </c>
      <c r="G101" s="4"/>
      <c r="H101" s="4"/>
    </row>
    <row r="102" spans="5:8" x14ac:dyDescent="0.3">
      <c r="E102">
        <v>81</v>
      </c>
      <c r="F102" s="35">
        <v>454872664.7450487</v>
      </c>
      <c r="G102" s="4"/>
      <c r="H102" s="4"/>
    </row>
    <row r="103" spans="5:8" x14ac:dyDescent="0.3">
      <c r="E103">
        <v>82</v>
      </c>
      <c r="F103" s="35">
        <v>418338376.0512532</v>
      </c>
      <c r="G103" s="4"/>
      <c r="H103" s="4"/>
    </row>
    <row r="104" spans="5:8" x14ac:dyDescent="0.3">
      <c r="E104">
        <v>83</v>
      </c>
      <c r="F104" s="35">
        <v>351852752.87901032</v>
      </c>
      <c r="G104" s="4"/>
      <c r="H104" s="4"/>
    </row>
    <row r="105" spans="5:8" x14ac:dyDescent="0.3">
      <c r="E105">
        <v>84</v>
      </c>
      <c r="F105" s="35">
        <v>459212425.74806231</v>
      </c>
      <c r="G105" s="4"/>
      <c r="H105" s="4"/>
    </row>
    <row r="106" spans="5:8" x14ac:dyDescent="0.3">
      <c r="E106">
        <v>85</v>
      </c>
      <c r="F106" s="35">
        <v>324950247.52271867</v>
      </c>
      <c r="G106" s="4"/>
      <c r="H106" s="4"/>
    </row>
    <row r="107" spans="5:8" x14ac:dyDescent="0.3">
      <c r="E107">
        <v>86</v>
      </c>
      <c r="F107" s="35">
        <v>397653677.15604103</v>
      </c>
      <c r="G107" s="4"/>
      <c r="H107" s="4"/>
    </row>
    <row r="108" spans="5:8" x14ac:dyDescent="0.3">
      <c r="E108">
        <v>87</v>
      </c>
      <c r="F108" s="35">
        <v>406100788.53907329</v>
      </c>
      <c r="G108" s="4"/>
      <c r="H108" s="4"/>
    </row>
    <row r="109" spans="5:8" x14ac:dyDescent="0.3">
      <c r="E109">
        <v>88</v>
      </c>
      <c r="F109" s="35">
        <v>375375038.47462898</v>
      </c>
      <c r="G109" s="4"/>
      <c r="H109" s="4"/>
    </row>
    <row r="110" spans="5:8" x14ac:dyDescent="0.3">
      <c r="E110">
        <v>89</v>
      </c>
      <c r="F110" s="35">
        <v>396390127.72948468</v>
      </c>
      <c r="G110" s="4"/>
      <c r="H110" s="4"/>
    </row>
    <row r="111" spans="5:8" x14ac:dyDescent="0.3">
      <c r="E111">
        <v>90</v>
      </c>
      <c r="F111" s="35">
        <v>407153149.43671775</v>
      </c>
      <c r="G111" s="4"/>
      <c r="H111" s="4"/>
    </row>
    <row r="112" spans="5:8" x14ac:dyDescent="0.3">
      <c r="E112">
        <v>91</v>
      </c>
      <c r="F112" s="35">
        <v>445127697.73261863</v>
      </c>
      <c r="G112" s="4"/>
      <c r="H112" s="4"/>
    </row>
    <row r="113" spans="5:8" x14ac:dyDescent="0.3">
      <c r="E113">
        <v>92</v>
      </c>
      <c r="F113" s="35">
        <v>350376627.11836016</v>
      </c>
      <c r="G113" s="4"/>
      <c r="H113" s="4"/>
    </row>
    <row r="114" spans="5:8" x14ac:dyDescent="0.3">
      <c r="E114">
        <v>93</v>
      </c>
      <c r="F114" s="35">
        <v>462608944.78935921</v>
      </c>
      <c r="G114" s="4"/>
      <c r="H114" s="4"/>
    </row>
    <row r="115" spans="5:8" x14ac:dyDescent="0.3">
      <c r="E115">
        <v>94</v>
      </c>
      <c r="F115" s="35">
        <v>467854545.66364348</v>
      </c>
      <c r="G115" s="4"/>
      <c r="H115" s="4"/>
    </row>
    <row r="116" spans="5:8" x14ac:dyDescent="0.3">
      <c r="E116">
        <v>95</v>
      </c>
      <c r="F116" s="35">
        <v>432502574.59306723</v>
      </c>
      <c r="G116" s="4"/>
      <c r="H116" s="4"/>
    </row>
    <row r="117" spans="5:8" x14ac:dyDescent="0.3">
      <c r="E117">
        <v>96</v>
      </c>
      <c r="F117" s="35">
        <v>411700310.03989148</v>
      </c>
      <c r="G117" s="4"/>
      <c r="H117" s="4"/>
    </row>
    <row r="118" spans="5:8" x14ac:dyDescent="0.3">
      <c r="E118">
        <v>97</v>
      </c>
      <c r="F118" s="35">
        <v>403890662.92222983</v>
      </c>
      <c r="G118" s="4"/>
      <c r="H118" s="4"/>
    </row>
    <row r="119" spans="5:8" x14ac:dyDescent="0.3">
      <c r="E119">
        <v>98</v>
      </c>
      <c r="F119" s="35">
        <v>348277290.10399693</v>
      </c>
      <c r="G119" s="4"/>
      <c r="H119" s="4"/>
    </row>
    <row r="120" spans="5:8" x14ac:dyDescent="0.3">
      <c r="E120">
        <v>99</v>
      </c>
      <c r="F120" s="35">
        <v>426916968.89381385</v>
      </c>
      <c r="G120" s="4"/>
      <c r="H120" s="4"/>
    </row>
    <row r="121" spans="5:8" x14ac:dyDescent="0.3">
      <c r="E121">
        <v>100</v>
      </c>
      <c r="F121" s="35">
        <v>390904091.76531565</v>
      </c>
      <c r="G121" s="4"/>
      <c r="H121" s="4"/>
    </row>
    <row r="122" spans="5:8" x14ac:dyDescent="0.3">
      <c r="E122">
        <v>101</v>
      </c>
      <c r="F122" s="35">
        <v>394999983.91296691</v>
      </c>
      <c r="G122" s="4"/>
      <c r="H122" s="4"/>
    </row>
    <row r="123" spans="5:8" x14ac:dyDescent="0.3">
      <c r="E123">
        <v>102</v>
      </c>
      <c r="F123" s="35">
        <v>300564331.87393165</v>
      </c>
      <c r="G123" s="4"/>
      <c r="H123" s="4"/>
    </row>
    <row r="124" spans="5:8" x14ac:dyDescent="0.3">
      <c r="E124">
        <v>103</v>
      </c>
      <c r="F124" s="35">
        <v>385891449.56498557</v>
      </c>
      <c r="G124" s="4"/>
      <c r="H124" s="4"/>
    </row>
    <row r="125" spans="5:8" x14ac:dyDescent="0.3">
      <c r="E125">
        <v>104</v>
      </c>
      <c r="F125" s="35">
        <v>397533444.53907526</v>
      </c>
      <c r="G125" s="4"/>
      <c r="H125" s="4"/>
    </row>
    <row r="126" spans="5:8" x14ac:dyDescent="0.3">
      <c r="E126">
        <v>105</v>
      </c>
      <c r="F126" s="35">
        <v>439231081.30100954</v>
      </c>
      <c r="G126" s="4"/>
      <c r="H126" s="4"/>
    </row>
    <row r="127" spans="5:8" x14ac:dyDescent="0.3">
      <c r="E127">
        <v>106</v>
      </c>
      <c r="F127" s="35">
        <v>534656348.41744673</v>
      </c>
      <c r="G127" s="4"/>
      <c r="H127" s="4"/>
    </row>
    <row r="128" spans="5:8" x14ac:dyDescent="0.3">
      <c r="E128">
        <v>107</v>
      </c>
      <c r="F128" s="35">
        <v>436022173.12224948</v>
      </c>
      <c r="G128" s="4"/>
      <c r="H128" s="4"/>
    </row>
    <row r="129" spans="5:8" x14ac:dyDescent="0.3">
      <c r="E129">
        <v>108</v>
      </c>
      <c r="F129" s="35">
        <v>363799557.55285418</v>
      </c>
      <c r="G129" s="4"/>
      <c r="H129" s="4"/>
    </row>
  </sheetData>
  <mergeCells count="2">
    <mergeCell ref="I23:I24"/>
    <mergeCell ref="H20:H21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MC_High_ambition</vt:lpstr>
      <vt:lpstr>MC_Middle_road</vt:lpstr>
      <vt:lpstr>MC_Status_quo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2022-04-13T08:44:49Z</dcterms:modified>
</cp:coreProperties>
</file>