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sm\new version\livsim\examples\notebooks\sectoral model files\regional data files\"/>
    </mc:Choice>
  </mc:AlternateContent>
  <xr:revisionPtr revIDLastSave="0" documentId="13_ncr:1_{E12872BF-A123-4F9B-A273-6485DC4D7E8F}" xr6:coauthVersionLast="46" xr6:coauthVersionMax="46" xr10:uidLastSave="{00000000-0000-0000-0000-000000000000}"/>
  <bookViews>
    <workbookView xWindow="-108" yWindow="-108" windowWidth="23256" windowHeight="12576" firstSheet="1" activeTab="7" xr2:uid="{64B7B528-6AFC-453E-A699-FBF307BA8192}"/>
  </bookViews>
  <sheets>
    <sheet name="NPV_Roadmap" sheetId="4" r:id="rId1"/>
    <sheet name="NPV_Baseline" sheetId="10" r:id="rId2"/>
    <sheet name="Mappings" sheetId="1" r:id="rId3"/>
    <sheet name="MC_Baseline" sheetId="26" r:id="rId4"/>
    <sheet name="MC_Inclusive" sheetId="25" r:id="rId5"/>
    <sheet name="MC_Inequitable" sheetId="18" r:id="rId6"/>
    <sheet name="MC_Status_quo" sheetId="19" r:id="rId7"/>
    <sheet name="MC_Middle_rd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F26" i="1"/>
  <c r="E26" i="1" l="1"/>
  <c r="E25" i="1"/>
  <c r="L27" i="4" l="1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9" i="10"/>
  <c r="L11" i="10"/>
  <c r="K11" i="10"/>
  <c r="K14" i="10"/>
  <c r="K15" i="10"/>
  <c r="K17" i="10"/>
  <c r="K10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68" i="10"/>
  <c r="D67" i="10"/>
  <c r="L16" i="4"/>
  <c r="L19" i="4"/>
  <c r="D3" i="21"/>
  <c r="D3" i="19"/>
  <c r="D3" i="18"/>
  <c r="H51" i="1"/>
  <c r="E51" i="1"/>
  <c r="L29" i="4" l="1"/>
  <c r="L20" i="10"/>
  <c r="L17" i="10"/>
  <c r="D11" i="10"/>
  <c r="D9" i="10"/>
  <c r="D10" i="10"/>
  <c r="L30" i="4"/>
  <c r="E47" i="1"/>
  <c r="E48" i="1"/>
  <c r="E52" i="1"/>
  <c r="L31" i="10" l="1"/>
  <c r="L30" i="10"/>
  <c r="B40" i="10"/>
  <c r="B38" i="10"/>
  <c r="B11" i="10"/>
  <c r="E39" i="10"/>
  <c r="D8" i="10"/>
  <c r="E36" i="10"/>
  <c r="B36" i="10"/>
  <c r="B39" i="10"/>
  <c r="E41" i="10"/>
  <c r="E40" i="10"/>
  <c r="B10" i="10"/>
  <c r="B9" i="10"/>
  <c r="B41" i="10"/>
  <c r="E38" i="10"/>
  <c r="B12" i="10"/>
  <c r="B8" i="10"/>
  <c r="D12" i="10"/>
  <c r="E46" i="1"/>
  <c r="B14" i="10" l="1"/>
  <c r="D14" i="10"/>
  <c r="B42" i="10"/>
  <c r="E42" i="10"/>
  <c r="J3" i="1"/>
  <c r="J4" i="1"/>
  <c r="J8" i="1" l="1"/>
  <c r="J12" i="1" s="1"/>
  <c r="J16" i="1" s="1"/>
  <c r="J20" i="1" s="1"/>
  <c r="J6" i="1"/>
  <c r="J10" i="1" s="1"/>
  <c r="J14" i="1" s="1"/>
  <c r="J18" i="1" s="1"/>
  <c r="C38" i="4"/>
  <c r="J7" i="1"/>
  <c r="J11" i="1" s="1"/>
  <c r="J15" i="1" s="1"/>
  <c r="J19" i="1" s="1"/>
  <c r="H3" i="1" l="1"/>
  <c r="H4" i="1"/>
  <c r="L13" i="4" l="1"/>
  <c r="C15" i="4" l="1"/>
  <c r="L14" i="10"/>
  <c r="C20" i="19"/>
  <c r="C19" i="19"/>
  <c r="C18" i="19"/>
  <c r="C20" i="18"/>
  <c r="C19" i="18"/>
  <c r="C18" i="18"/>
  <c r="C20" i="25"/>
  <c r="C19" i="25"/>
  <c r="C18" i="25"/>
  <c r="W4" i="1"/>
  <c r="E9" i="26" s="1"/>
  <c r="G6" i="1" l="1"/>
  <c r="E54" i="1"/>
  <c r="G10" i="1" l="1"/>
  <c r="C16" i="21"/>
  <c r="C15" i="21"/>
  <c r="C14" i="21"/>
  <c r="C12" i="21"/>
  <c r="C11" i="21"/>
  <c r="C10" i="21"/>
  <c r="C9" i="21"/>
  <c r="C8" i="21"/>
  <c r="C7" i="21"/>
  <c r="C6" i="21"/>
  <c r="C5" i="21"/>
  <c r="C16" i="19"/>
  <c r="C15" i="19"/>
  <c r="C14" i="19"/>
  <c r="C12" i="19"/>
  <c r="C11" i="19"/>
  <c r="C10" i="19"/>
  <c r="C9" i="19"/>
  <c r="C8" i="19"/>
  <c r="C7" i="19"/>
  <c r="C6" i="19"/>
  <c r="C5" i="19"/>
  <c r="C6" i="18"/>
  <c r="C7" i="18"/>
  <c r="C8" i="18"/>
  <c r="C9" i="18"/>
  <c r="C10" i="18"/>
  <c r="C11" i="18"/>
  <c r="C12" i="18"/>
  <c r="C14" i="18"/>
  <c r="C15" i="18"/>
  <c r="C16" i="18"/>
  <c r="C5" i="18"/>
  <c r="D3" i="25"/>
  <c r="W3" i="1"/>
  <c r="K4" i="1"/>
  <c r="K3" i="1"/>
  <c r="D7" i="26" s="1"/>
  <c r="D9" i="26" l="1"/>
  <c r="E7" i="26"/>
  <c r="E8" i="26" s="1"/>
  <c r="W8" i="1"/>
  <c r="AD11" i="1"/>
  <c r="AD15" i="1" s="1"/>
  <c r="AD19" i="1" s="1"/>
  <c r="F9" i="25" l="1"/>
  <c r="F10" i="25" s="1"/>
  <c r="W12" i="1"/>
  <c r="F9" i="18" s="1"/>
  <c r="F10" i="18" s="1"/>
  <c r="E53" i="1"/>
  <c r="W16" i="1" l="1"/>
  <c r="F9" i="19" s="1"/>
  <c r="F10" i="19" l="1"/>
  <c r="W20" i="1"/>
  <c r="F15" i="25" l="1"/>
  <c r="F9" i="21"/>
  <c r="F10" i="21" s="1"/>
  <c r="W6" i="1"/>
  <c r="W7" i="1"/>
  <c r="D9" i="25" l="1"/>
  <c r="D10" i="25" s="1"/>
  <c r="E9" i="25"/>
  <c r="E10" i="25" s="1"/>
  <c r="W10" i="1"/>
  <c r="F15" i="18"/>
  <c r="W11" i="1"/>
  <c r="E9" i="18" l="1"/>
  <c r="E10" i="18" s="1"/>
  <c r="D9" i="18"/>
  <c r="D10" i="18" s="1"/>
  <c r="E15" i="25"/>
  <c r="D15" i="25"/>
  <c r="F15" i="19"/>
  <c r="W14" i="1"/>
  <c r="W15" i="1"/>
  <c r="E9" i="19" s="1"/>
  <c r="D15" i="18" l="1"/>
  <c r="E15" i="18"/>
  <c r="D9" i="19"/>
  <c r="D10" i="19" s="1"/>
  <c r="W18" i="1"/>
  <c r="W19" i="1"/>
  <c r="E10" i="19"/>
  <c r="E15" i="19" l="1"/>
  <c r="D15" i="19"/>
  <c r="E9" i="21"/>
  <c r="E10" i="21" s="1"/>
  <c r="D9" i="21"/>
  <c r="D10" i="21" s="1"/>
  <c r="D15" i="21" l="1"/>
  <c r="E15" i="21"/>
  <c r="L23" i="4"/>
  <c r="L23" i="10" l="1"/>
  <c r="E49" i="1"/>
  <c r="E50" i="1" l="1"/>
  <c r="N20" i="1" l="1"/>
  <c r="N18" i="1"/>
  <c r="N6" i="1" l="1"/>
  <c r="K15" i="1" l="1"/>
  <c r="K7" i="1"/>
  <c r="G8" i="1" l="1"/>
  <c r="G12" i="1" l="1"/>
  <c r="G16" i="1" s="1"/>
  <c r="G20" i="1" s="1"/>
  <c r="G14" i="1"/>
  <c r="G18" i="1" s="1"/>
  <c r="N14" i="1" l="1"/>
  <c r="N10" i="1"/>
  <c r="K6" i="1"/>
  <c r="A33" i="1" l="1"/>
  <c r="A18" i="1" s="1"/>
  <c r="A31" i="1"/>
  <c r="A14" i="1" s="1"/>
  <c r="A29" i="1"/>
  <c r="A10" i="1" s="1"/>
  <c r="A27" i="1"/>
  <c r="A6" i="1" s="1"/>
  <c r="K8" i="1"/>
  <c r="K12" i="1" l="1"/>
  <c r="K10" i="1"/>
  <c r="K11" i="1"/>
  <c r="K19" i="1"/>
  <c r="K16" i="1" l="1"/>
  <c r="K14" i="1"/>
  <c r="K18" i="1" l="1"/>
  <c r="K20" i="1"/>
  <c r="E37" i="4"/>
  <c r="E32" i="4"/>
  <c r="E35" i="4"/>
  <c r="E36" i="4"/>
  <c r="B50" i="10"/>
  <c r="C36" i="4"/>
  <c r="G36" i="4"/>
  <c r="G11" i="4"/>
  <c r="C11" i="4"/>
  <c r="E53" i="10"/>
  <c r="G9" i="4"/>
  <c r="C9" i="4"/>
  <c r="E51" i="10"/>
  <c r="E9" i="4"/>
  <c r="B51" i="10"/>
  <c r="C37" i="4"/>
  <c r="G37" i="4"/>
  <c r="G10" i="4"/>
  <c r="C10" i="4"/>
  <c r="E52" i="10"/>
  <c r="E10" i="4"/>
  <c r="B52" i="10"/>
  <c r="C35" i="4"/>
  <c r="G35" i="4"/>
  <c r="B53" i="10"/>
  <c r="E11" i="4"/>
  <c r="C32" i="4"/>
  <c r="G32" i="4"/>
  <c r="E50" i="10"/>
  <c r="B58" i="10" l="1"/>
  <c r="E46" i="4"/>
  <c r="E48" i="4"/>
  <c r="E47" i="4"/>
  <c r="E38" i="4"/>
  <c r="G46" i="4"/>
  <c r="G47" i="4"/>
  <c r="C48" i="4"/>
  <c r="G48" i="4"/>
  <c r="G38" i="4"/>
  <c r="E58" i="10"/>
  <c r="C47" i="4"/>
  <c r="C46" i="4"/>
  <c r="N8" i="1" l="1"/>
  <c r="N12" i="1"/>
  <c r="N16" i="1"/>
  <c r="L37" i="4" l="1"/>
  <c r="L35" i="4"/>
  <c r="L36" i="4" l="1"/>
  <c r="C19" i="4"/>
  <c r="E19" i="4"/>
  <c r="L36" i="10"/>
  <c r="B19" i="10" s="1"/>
  <c r="L38" i="4"/>
  <c r="G19" i="4"/>
  <c r="L38" i="10"/>
  <c r="D19" i="10" s="1"/>
  <c r="G40" i="4" l="1"/>
  <c r="G51" i="4" s="1"/>
  <c r="E40" i="4"/>
  <c r="E51" i="4" s="1"/>
  <c r="C40" i="4"/>
  <c r="C51" i="4" s="1"/>
  <c r="L39" i="10"/>
  <c r="E44" i="10" s="1"/>
  <c r="E56" i="10" s="1"/>
  <c r="Q56" i="1"/>
  <c r="L37" i="10"/>
  <c r="B44" i="10" s="1"/>
  <c r="B56" i="10" s="1"/>
  <c r="L14" i="4"/>
  <c r="L15" i="10" l="1"/>
  <c r="X4" i="1"/>
  <c r="E10" i="26" s="1"/>
  <c r="X3" i="1"/>
  <c r="D10" i="26" s="1"/>
  <c r="G3" i="1"/>
  <c r="E15" i="26" l="1"/>
  <c r="X8" i="1"/>
  <c r="X12" i="1" s="1"/>
  <c r="X16" i="1" s="1"/>
  <c r="X20" i="1" s="1"/>
  <c r="F15" i="21" s="1"/>
  <c r="D8" i="26"/>
  <c r="G7" i="1"/>
  <c r="G3" i="4"/>
  <c r="D15" i="26"/>
  <c r="X7" i="1"/>
  <c r="X11" i="1" s="1"/>
  <c r="X15" i="1" s="1"/>
  <c r="X19" i="1" s="1"/>
  <c r="X6" i="1"/>
  <c r="X10" i="1" s="1"/>
  <c r="X14" i="1" s="1"/>
  <c r="X18" i="1" s="1"/>
  <c r="B3" i="10"/>
  <c r="D3" i="10"/>
  <c r="G11" i="1" l="1"/>
  <c r="E48" i="10"/>
  <c r="B48" i="10"/>
  <c r="E3" i="4"/>
  <c r="C3" i="4"/>
  <c r="G43" i="4"/>
  <c r="G15" i="1" l="1"/>
  <c r="E43" i="4"/>
  <c r="C43" i="4"/>
  <c r="G19" i="1" l="1"/>
  <c r="E8" i="4"/>
  <c r="G8" i="4" l="1"/>
  <c r="C8" i="4"/>
  <c r="E34" i="4"/>
  <c r="E45" i="4" s="1"/>
  <c r="E53" i="4" s="1"/>
  <c r="E13" i="4"/>
  <c r="C34" i="4" l="1"/>
  <c r="C45" i="4" s="1"/>
  <c r="C53" i="4" s="1"/>
  <c r="C13" i="4"/>
  <c r="G34" i="4"/>
  <c r="G45" i="4" s="1"/>
  <c r="G53" i="4" s="1"/>
  <c r="G13" i="4"/>
  <c r="G21" i="4" l="1"/>
  <c r="C21" i="4"/>
  <c r="E21" i="4"/>
  <c r="D22" i="10" l="1"/>
  <c r="D23" i="10" s="1"/>
  <c r="B22" i="10"/>
  <c r="B23" i="10" s="1"/>
  <c r="E20" i="4" l="1"/>
  <c r="E22" i="4" s="1"/>
  <c r="C20" i="4"/>
  <c r="C22" i="4" s="1"/>
  <c r="G20" i="4"/>
  <c r="G22" i="4" s="1"/>
  <c r="G39" i="4" l="1"/>
  <c r="G50" i="4" s="1"/>
  <c r="G54" i="4" s="1"/>
  <c r="G23" i="4"/>
  <c r="G24" i="4" s="1"/>
  <c r="E39" i="4"/>
  <c r="E50" i="4" s="1"/>
  <c r="E54" i="4" s="1"/>
  <c r="E23" i="4"/>
  <c r="E24" i="4" s="1"/>
  <c r="D20" i="10"/>
  <c r="D21" i="10" s="1"/>
  <c r="D24" i="10" s="1"/>
  <c r="B20" i="10"/>
  <c r="B21" i="10" s="1"/>
  <c r="B24" i="10" s="1"/>
  <c r="C23" i="4"/>
  <c r="C24" i="4" s="1"/>
  <c r="C39" i="4"/>
  <c r="C50" i="4" s="1"/>
  <c r="C54" i="4" s="1"/>
  <c r="B43" i="10" l="1"/>
  <c r="B55" i="10" s="1"/>
  <c r="B59" i="10" s="1"/>
  <c r="B25" i="10"/>
  <c r="B26" i="10" s="1"/>
  <c r="E43" i="10"/>
  <c r="E55" i="10" s="1"/>
  <c r="E59" i="10" s="1"/>
  <c r="D25" i="10"/>
  <c r="D26" i="10" s="1"/>
  <c r="F25" i="1" l="1"/>
  <c r="Q41" i="1" l="1"/>
  <c r="H25" i="1" s="1"/>
  <c r="L25" i="1" s="1"/>
  <c r="O4" i="1"/>
  <c r="C4" i="1" s="1"/>
  <c r="O3" i="1"/>
  <c r="C3" i="1" s="1"/>
  <c r="B4" i="10"/>
  <c r="B61" i="10" s="1"/>
  <c r="C67" i="10" s="1"/>
  <c r="E3" i="1" l="1"/>
  <c r="D3" i="1" s="1"/>
  <c r="F3" i="1" s="1"/>
  <c r="B5" i="10"/>
  <c r="B28" i="10" s="1"/>
  <c r="H26" i="1"/>
  <c r="L26" i="1" s="1"/>
  <c r="D4" i="10"/>
  <c r="E4" i="1" l="1"/>
  <c r="AB4" i="1" s="1"/>
  <c r="AB3" i="1"/>
  <c r="AB7" i="1" s="1"/>
  <c r="M26" i="1"/>
  <c r="D5" i="10"/>
  <c r="D28" i="10" s="1"/>
  <c r="E61" i="10"/>
  <c r="E67" i="10" s="1"/>
  <c r="AB6" i="1"/>
  <c r="B63" i="10"/>
  <c r="B64" i="10"/>
  <c r="R3" i="1" s="1"/>
  <c r="U3" i="1" s="1"/>
  <c r="F6" i="1"/>
  <c r="F18" i="1"/>
  <c r="F14" i="1"/>
  <c r="F10" i="1"/>
  <c r="F11" i="1"/>
  <c r="L3" i="1"/>
  <c r="F19" i="1"/>
  <c r="D11" i="26"/>
  <c r="D12" i="26" s="1"/>
  <c r="D16" i="26" s="1"/>
  <c r="F15" i="1"/>
  <c r="AB11" i="1" l="1"/>
  <c r="D4" i="1"/>
  <c r="F4" i="1" s="1"/>
  <c r="E11" i="26" s="1"/>
  <c r="E12" i="26" s="1"/>
  <c r="E16" i="26" s="1"/>
  <c r="Q3" i="1"/>
  <c r="E11" i="21"/>
  <c r="D11" i="19"/>
  <c r="D11" i="21"/>
  <c r="F7" i="1"/>
  <c r="D11" i="25"/>
  <c r="D12" i="25" s="1"/>
  <c r="D16" i="25" s="1"/>
  <c r="AB8" i="1"/>
  <c r="AB10" i="1"/>
  <c r="D11" i="18"/>
  <c r="P32" i="1"/>
  <c r="P31" i="1"/>
  <c r="P15" i="1" s="1"/>
  <c r="L15" i="1" s="1"/>
  <c r="H15" i="1" s="1"/>
  <c r="E63" i="10"/>
  <c r="E64" i="10"/>
  <c r="R4" i="1" s="1"/>
  <c r="U4" i="1" s="1"/>
  <c r="E11" i="18"/>
  <c r="E11" i="19"/>
  <c r="N25" i="1"/>
  <c r="M25" i="1"/>
  <c r="AB15" i="1"/>
  <c r="P33" i="1"/>
  <c r="P19" i="1" s="1"/>
  <c r="L19" i="1" s="1"/>
  <c r="H19" i="1" s="1"/>
  <c r="P34" i="1"/>
  <c r="O31" i="1"/>
  <c r="E12" i="18" l="1"/>
  <c r="E16" i="18" s="1"/>
  <c r="L4" i="1"/>
  <c r="AG4" i="1"/>
  <c r="AG3" i="1"/>
  <c r="F8" i="1"/>
  <c r="F11" i="25" s="1"/>
  <c r="F12" i="25" s="1"/>
  <c r="F16" i="25" s="1"/>
  <c r="S19" i="1"/>
  <c r="Q4" i="1"/>
  <c r="P25" i="1"/>
  <c r="D5" i="26"/>
  <c r="D6" i="26"/>
  <c r="D14" i="26" s="1"/>
  <c r="D18" i="26" s="1"/>
  <c r="E11" i="25"/>
  <c r="E12" i="25" s="1"/>
  <c r="E16" i="25" s="1"/>
  <c r="P28" i="1"/>
  <c r="P27" i="1"/>
  <c r="P7" i="1" s="1"/>
  <c r="L7" i="1" s="1"/>
  <c r="H7" i="1" s="1"/>
  <c r="Q34" i="1"/>
  <c r="P20" i="1"/>
  <c r="L20" i="1" s="1"/>
  <c r="P18" i="1"/>
  <c r="L18" i="1" s="1"/>
  <c r="H18" i="1" s="1"/>
  <c r="P16" i="1"/>
  <c r="L16" i="1" s="1"/>
  <c r="P14" i="1"/>
  <c r="L14" i="1" s="1"/>
  <c r="H14" i="1" s="1"/>
  <c r="Q32" i="1"/>
  <c r="E12" i="19"/>
  <c r="E16" i="19" s="1"/>
  <c r="AB19" i="1"/>
  <c r="E12" i="21" s="1"/>
  <c r="E16" i="21" s="1"/>
  <c r="P30" i="1"/>
  <c r="P29" i="1"/>
  <c r="P11" i="1" s="1"/>
  <c r="L11" i="1" s="1"/>
  <c r="H11" i="1" s="1"/>
  <c r="AB14" i="1"/>
  <c r="D12" i="18"/>
  <c r="D16" i="18" s="1"/>
  <c r="E7" i="21"/>
  <c r="E8" i="21" s="1"/>
  <c r="M19" i="1"/>
  <c r="P26" i="1"/>
  <c r="AB12" i="1"/>
  <c r="E7" i="19"/>
  <c r="E8" i="19" s="1"/>
  <c r="M15" i="1"/>
  <c r="F12" i="1"/>
  <c r="AG8" i="1"/>
  <c r="E4" i="4"/>
  <c r="E7" i="1" l="1"/>
  <c r="E6" i="1"/>
  <c r="E8" i="1"/>
  <c r="AG7" i="1"/>
  <c r="AG6" i="1"/>
  <c r="Q28" i="1"/>
  <c r="P4" i="1"/>
  <c r="I4" i="1" s="1"/>
  <c r="M4" i="1" s="1"/>
  <c r="S4" i="1" s="1"/>
  <c r="T4" i="1" s="1"/>
  <c r="Z4" i="1" s="1"/>
  <c r="AC4" i="1" s="1"/>
  <c r="Q26" i="1"/>
  <c r="S7" i="1"/>
  <c r="S18" i="1"/>
  <c r="P3" i="1"/>
  <c r="I3" i="1" s="1"/>
  <c r="M3" i="1" s="1"/>
  <c r="S3" i="1" s="1"/>
  <c r="T3" i="1" s="1"/>
  <c r="V4" i="1"/>
  <c r="Y4" i="1" s="1"/>
  <c r="S11" i="1"/>
  <c r="S14" i="1"/>
  <c r="S15" i="1"/>
  <c r="E7" i="25"/>
  <c r="E8" i="25" s="1"/>
  <c r="M7" i="1"/>
  <c r="P6" i="1"/>
  <c r="L6" i="1" s="1"/>
  <c r="H6" i="1" s="1"/>
  <c r="P8" i="1"/>
  <c r="L8" i="1" s="1"/>
  <c r="H8" i="1" s="1"/>
  <c r="M18" i="1"/>
  <c r="D7" i="21"/>
  <c r="D8" i="21" s="1"/>
  <c r="P12" i="1"/>
  <c r="L12" i="1" s="1"/>
  <c r="H12" i="1" s="1"/>
  <c r="P10" i="1"/>
  <c r="L10" i="1" s="1"/>
  <c r="H10" i="1" s="1"/>
  <c r="Q30" i="1"/>
  <c r="C4" i="4"/>
  <c r="G4" i="4"/>
  <c r="AB18" i="1"/>
  <c r="D12" i="19"/>
  <c r="D16" i="19" s="1"/>
  <c r="M11" i="1"/>
  <c r="E7" i="18"/>
  <c r="E8" i="18" s="1"/>
  <c r="AB16" i="1"/>
  <c r="D7" i="19"/>
  <c r="D8" i="19" s="1"/>
  <c r="M14" i="1"/>
  <c r="F11" i="18"/>
  <c r="F12" i="18" s="1"/>
  <c r="F16" i="18" s="1"/>
  <c r="F16" i="1"/>
  <c r="AG12" i="1"/>
  <c r="E12" i="1"/>
  <c r="E11" i="1"/>
  <c r="E10" i="1"/>
  <c r="AG11" i="1"/>
  <c r="AG10" i="1"/>
  <c r="E5" i="4"/>
  <c r="E27" i="4" s="1"/>
  <c r="E56" i="4"/>
  <c r="E6" i="26"/>
  <c r="E14" i="26" s="1"/>
  <c r="E18" i="26" s="1"/>
  <c r="G18" i="26" s="1"/>
  <c r="G22" i="26" s="1"/>
  <c r="E5" i="26"/>
  <c r="F51" i="1" l="1"/>
  <c r="E62" i="4"/>
  <c r="E58" i="4" s="1"/>
  <c r="F52" i="1"/>
  <c r="S10" i="1"/>
  <c r="V3" i="1"/>
  <c r="Y3" i="1" s="1"/>
  <c r="AD3" i="1" s="1"/>
  <c r="S6" i="1"/>
  <c r="S8" i="1"/>
  <c r="Z3" i="1"/>
  <c r="AC3" i="1" s="1"/>
  <c r="D12" i="21"/>
  <c r="D16" i="21" s="1"/>
  <c r="V8" i="1"/>
  <c r="Y8" i="1" s="1"/>
  <c r="S12" i="1"/>
  <c r="M10" i="1"/>
  <c r="D7" i="18"/>
  <c r="D8" i="18" s="1"/>
  <c r="F12" i="19"/>
  <c r="AB20" i="1"/>
  <c r="AD4" i="1"/>
  <c r="F7" i="25"/>
  <c r="F8" i="25" s="1"/>
  <c r="M8" i="1"/>
  <c r="H16" i="1"/>
  <c r="AG16" i="1"/>
  <c r="F11" i="19"/>
  <c r="E16" i="1"/>
  <c r="F20" i="1"/>
  <c r="E15" i="1"/>
  <c r="AG15" i="1"/>
  <c r="AG14" i="1"/>
  <c r="E14" i="1"/>
  <c r="M6" i="1"/>
  <c r="D7" i="25"/>
  <c r="D8" i="25" s="1"/>
  <c r="F7" i="18"/>
  <c r="F8" i="18" s="1"/>
  <c r="M12" i="1"/>
  <c r="G5" i="4"/>
  <c r="G27" i="4" s="1"/>
  <c r="G56" i="4"/>
  <c r="G20" i="26"/>
  <c r="G19" i="26"/>
  <c r="C5" i="4"/>
  <c r="C27" i="4" s="1"/>
  <c r="C56" i="4"/>
  <c r="G62" i="4" l="1"/>
  <c r="G58" i="4" s="1"/>
  <c r="E59" i="4"/>
  <c r="R19" i="1" s="1"/>
  <c r="U19" i="1" s="1"/>
  <c r="C62" i="4"/>
  <c r="C58" i="4" s="1"/>
  <c r="V7" i="1"/>
  <c r="V11" i="1" s="1"/>
  <c r="V6" i="1"/>
  <c r="V12" i="1"/>
  <c r="Y12" i="1" s="1"/>
  <c r="S16" i="1"/>
  <c r="F12" i="21"/>
  <c r="F53" i="1"/>
  <c r="F16" i="19"/>
  <c r="Q15" i="1"/>
  <c r="J20" i="26"/>
  <c r="AJ4" i="1" s="1"/>
  <c r="AD8" i="1"/>
  <c r="AH4" i="1"/>
  <c r="V16" i="1"/>
  <c r="E20" i="1"/>
  <c r="AG20" i="1"/>
  <c r="F11" i="21"/>
  <c r="AG19" i="1"/>
  <c r="E19" i="1"/>
  <c r="E18" i="1"/>
  <c r="AG18" i="1"/>
  <c r="H20" i="1"/>
  <c r="V10" i="1"/>
  <c r="Y6" i="1"/>
  <c r="F7" i="19"/>
  <c r="F8" i="19" s="1"/>
  <c r="M16" i="1"/>
  <c r="AH3" i="1"/>
  <c r="AD6" i="1"/>
  <c r="Y7" i="1" l="1"/>
  <c r="G59" i="4"/>
  <c r="R8" i="1" s="1"/>
  <c r="U8" i="1" s="1"/>
  <c r="C59" i="4"/>
  <c r="R10" i="1" s="1"/>
  <c r="U10" i="1" s="1"/>
  <c r="R7" i="1"/>
  <c r="U7" i="1" s="1"/>
  <c r="R15" i="1"/>
  <c r="U15" i="1" s="1"/>
  <c r="R11" i="1"/>
  <c r="U11" i="1" s="1"/>
  <c r="F16" i="21"/>
  <c r="AD10" i="1"/>
  <c r="AK10" i="1" s="1"/>
  <c r="S20" i="1"/>
  <c r="Q19" i="1"/>
  <c r="E5" i="21" s="1"/>
  <c r="Q20" i="1"/>
  <c r="E28" i="4"/>
  <c r="Q7" i="1"/>
  <c r="T7" i="1" s="1"/>
  <c r="Z7" i="1" s="1"/>
  <c r="Q11" i="1"/>
  <c r="E5" i="18" s="1"/>
  <c r="Q6" i="1"/>
  <c r="V14" i="1"/>
  <c r="Y10" i="1"/>
  <c r="E5" i="19"/>
  <c r="T15" i="1"/>
  <c r="Z15" i="1" s="1"/>
  <c r="AC15" i="1" s="1"/>
  <c r="AE15" i="1" s="1"/>
  <c r="V20" i="1"/>
  <c r="Y20" i="1" s="1"/>
  <c r="Y16" i="1"/>
  <c r="Y11" i="1"/>
  <c r="V15" i="1"/>
  <c r="M20" i="1"/>
  <c r="F7" i="21"/>
  <c r="F8" i="21" s="1"/>
  <c r="F54" i="1"/>
  <c r="AD12" i="1"/>
  <c r="AK11" i="1" l="1"/>
  <c r="R16" i="1"/>
  <c r="U16" i="1" s="1"/>
  <c r="R12" i="1"/>
  <c r="U12" i="1" s="1"/>
  <c r="R20" i="1"/>
  <c r="U20" i="1" s="1"/>
  <c r="AD14" i="1"/>
  <c r="AK14" i="1" s="1"/>
  <c r="E6" i="19"/>
  <c r="E14" i="19" s="1"/>
  <c r="E18" i="19" s="1"/>
  <c r="R6" i="1"/>
  <c r="U6" i="1" s="1"/>
  <c r="R14" i="1"/>
  <c r="U14" i="1" s="1"/>
  <c r="R18" i="1"/>
  <c r="U18" i="1" s="1"/>
  <c r="Q12" i="1"/>
  <c r="F5" i="18" s="1"/>
  <c r="Q16" i="1"/>
  <c r="Q8" i="1"/>
  <c r="F5" i="25" s="1"/>
  <c r="G28" i="4"/>
  <c r="E6" i="21"/>
  <c r="E14" i="21" s="1"/>
  <c r="E18" i="21" s="1"/>
  <c r="E5" i="25"/>
  <c r="E6" i="25"/>
  <c r="E14" i="25" s="1"/>
  <c r="E18" i="25" s="1"/>
  <c r="T11" i="1"/>
  <c r="Z11" i="1" s="1"/>
  <c r="AC11" i="1" s="1"/>
  <c r="AE11" i="1" s="1"/>
  <c r="E6" i="18"/>
  <c r="E14" i="18" s="1"/>
  <c r="E18" i="18" s="1"/>
  <c r="T19" i="1"/>
  <c r="Z19" i="1" s="1"/>
  <c r="AC19" i="1" s="1"/>
  <c r="AE19" i="1" s="1"/>
  <c r="Q14" i="1"/>
  <c r="Q10" i="1"/>
  <c r="D5" i="18" s="1"/>
  <c r="Q18" i="1"/>
  <c r="D5" i="21" s="1"/>
  <c r="C28" i="4"/>
  <c r="T6" i="1"/>
  <c r="Z6" i="1" s="1"/>
  <c r="D5" i="25"/>
  <c r="F5" i="21"/>
  <c r="AA7" i="1"/>
  <c r="AC7" i="1"/>
  <c r="AE7" i="1" s="1"/>
  <c r="AD16" i="1"/>
  <c r="T20" i="1"/>
  <c r="Z20" i="1" s="1"/>
  <c r="AC20" i="1" s="1"/>
  <c r="V19" i="1"/>
  <c r="Y19" i="1" s="1"/>
  <c r="Y15" i="1"/>
  <c r="AA15" i="1" s="1"/>
  <c r="V18" i="1"/>
  <c r="Y18" i="1" s="1"/>
  <c r="Y14" i="1"/>
  <c r="F6" i="19" l="1"/>
  <c r="F14" i="19" s="1"/>
  <c r="F18" i="19" s="1"/>
  <c r="F6" i="21"/>
  <c r="F14" i="21" s="1"/>
  <c r="F18" i="21" s="1"/>
  <c r="D6" i="25"/>
  <c r="D14" i="25" s="1"/>
  <c r="D18" i="25" s="1"/>
  <c r="D6" i="19"/>
  <c r="D14" i="19" s="1"/>
  <c r="D18" i="19" s="1"/>
  <c r="AD18" i="1"/>
  <c r="AK19" i="1" s="1"/>
  <c r="AK15" i="1"/>
  <c r="T8" i="1"/>
  <c r="Z8" i="1" s="1"/>
  <c r="AC8" i="1" s="1"/>
  <c r="F6" i="25"/>
  <c r="F14" i="25" s="1"/>
  <c r="F18" i="25" s="1"/>
  <c r="T12" i="1"/>
  <c r="Z12" i="1" s="1"/>
  <c r="AA12" i="1" s="1"/>
  <c r="F6" i="18"/>
  <c r="F14" i="18" s="1"/>
  <c r="F18" i="18" s="1"/>
  <c r="T16" i="1"/>
  <c r="Z16" i="1" s="1"/>
  <c r="AC16" i="1" s="1"/>
  <c r="AF16" i="1" s="1"/>
  <c r="F5" i="19"/>
  <c r="AA11" i="1"/>
  <c r="AA19" i="1"/>
  <c r="T10" i="1"/>
  <c r="Z10" i="1" s="1"/>
  <c r="AC10" i="1" s="1"/>
  <c r="D6" i="18"/>
  <c r="D14" i="18" s="1"/>
  <c r="D18" i="18" s="1"/>
  <c r="T18" i="1"/>
  <c r="Z18" i="1" s="1"/>
  <c r="AC18" i="1" s="1"/>
  <c r="D6" i="21"/>
  <c r="D14" i="21" s="1"/>
  <c r="D18" i="21" s="1"/>
  <c r="T14" i="1"/>
  <c r="Z14" i="1" s="1"/>
  <c r="AC14" i="1" s="1"/>
  <c r="D5" i="19"/>
  <c r="AA20" i="1"/>
  <c r="AC6" i="1"/>
  <c r="AA6" i="1"/>
  <c r="AD20" i="1"/>
  <c r="AA8" i="1" l="1"/>
  <c r="H18" i="21"/>
  <c r="H22" i="21" s="1"/>
  <c r="H20" i="21" s="1"/>
  <c r="H18" i="19"/>
  <c r="H22" i="19" s="1"/>
  <c r="H20" i="19" s="1"/>
  <c r="H18" i="25"/>
  <c r="H22" i="25" s="1"/>
  <c r="H20" i="25" s="1"/>
  <c r="AE16" i="1"/>
  <c r="AK18" i="1"/>
  <c r="AF20" i="1"/>
  <c r="AF10" i="1"/>
  <c r="AI16" i="1"/>
  <c r="AK16" i="1" s="1"/>
  <c r="AE18" i="1"/>
  <c r="H18" i="18"/>
  <c r="H22" i="18" s="1"/>
  <c r="H20" i="18" s="1"/>
  <c r="AA10" i="1"/>
  <c r="AC12" i="1"/>
  <c r="AI12" i="1" s="1"/>
  <c r="AK12" i="1" s="1"/>
  <c r="AA16" i="1"/>
  <c r="AE10" i="1"/>
  <c r="AE14" i="1"/>
  <c r="AF14" i="1"/>
  <c r="AA14" i="1"/>
  <c r="AA18" i="1"/>
  <c r="AI20" i="1"/>
  <c r="AK20" i="1" s="1"/>
  <c r="AF18" i="1"/>
  <c r="AI8" i="1"/>
  <c r="AE20" i="1"/>
  <c r="AE8" i="1"/>
  <c r="AF8" i="1"/>
  <c r="AE6" i="1"/>
  <c r="AF6" i="1"/>
  <c r="H19" i="21" l="1"/>
  <c r="K20" i="21" s="1"/>
  <c r="AJ20" i="1" s="1"/>
  <c r="H19" i="19"/>
  <c r="K20" i="19" s="1"/>
  <c r="AH16" i="1" s="1"/>
  <c r="H19" i="25"/>
  <c r="K20" i="25" s="1"/>
  <c r="AH7" i="1" s="1"/>
  <c r="AK8" i="1"/>
  <c r="H19" i="18"/>
  <c r="K20" i="18" s="1"/>
  <c r="AE12" i="1"/>
  <c r="AF12" i="1"/>
  <c r="AH20" i="1" l="1"/>
  <c r="AH19" i="1"/>
  <c r="AH18" i="1"/>
  <c r="AH6" i="1"/>
  <c r="AH8" i="1"/>
  <c r="AJ8" i="1"/>
  <c r="AH14" i="1"/>
  <c r="AJ16" i="1"/>
  <c r="AH15" i="1"/>
  <c r="AH11" i="1"/>
  <c r="AH12" i="1"/>
  <c r="AJ12" i="1"/>
  <c r="AH10" i="1"/>
</calcChain>
</file>

<file path=xl/sharedStrings.xml><?xml version="1.0" encoding="utf-8"?>
<sst xmlns="http://schemas.openxmlformats.org/spreadsheetml/2006/main" count="280" uniqueCount="161">
  <si>
    <t>Herd growth rate (% per year)</t>
  </si>
  <si>
    <t>Reference herd size</t>
  </si>
  <si>
    <t>Relative change in total herd size (compared to base)</t>
  </si>
  <si>
    <t>Adjusted total herd size (adjusted based on required production change) for each breed</t>
  </si>
  <si>
    <t>Local</t>
  </si>
  <si>
    <t>Improved</t>
  </si>
  <si>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</si>
  <si>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</si>
  <si>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</si>
  <si>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</si>
  <si>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</si>
  <si>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</si>
  <si>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</si>
  <si>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</si>
  <si>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</si>
  <si>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Relative change in income per hhold</t>
  </si>
  <si>
    <t>Price</t>
  </si>
  <si>
    <t>Feed expenses</t>
  </si>
  <si>
    <t>Standard deviation</t>
  </si>
  <si>
    <t>Reproductive inputs</t>
  </si>
  <si>
    <t>Mean</t>
  </si>
  <si>
    <t>Gilbert et al. (2018)</t>
  </si>
  <si>
    <t>Targeted value (for adoption rate)</t>
  </si>
  <si>
    <t>Ratio improved cattle for which new adopters adopt (middle road)</t>
  </si>
  <si>
    <t>Milk price (USD / l)</t>
  </si>
  <si>
    <t>Yield (L/year)</t>
  </si>
  <si>
    <t>Milk price</t>
  </si>
  <si>
    <t>Cropland allocation</t>
  </si>
  <si>
    <t>Cropland margin</t>
  </si>
  <si>
    <t>Total expenses</t>
  </si>
  <si>
    <t>Updated total net income</t>
  </si>
  <si>
    <t>Scenario</t>
  </si>
  <si>
    <t>GLS (2019) and typology</t>
  </si>
  <si>
    <t>Uncertainty in population percentage</t>
  </si>
  <si>
    <t>Household type</t>
  </si>
  <si>
    <t>Inferred households of breed type local or improved</t>
  </si>
  <si>
    <t>% of households of given breed</t>
  </si>
  <si>
    <t xml:space="preserve">Actual estimated no of farms </t>
  </si>
  <si>
    <t>Relative population level change in income compared to Base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</si>
  <si>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</si>
  <si>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</si>
  <si>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</si>
  <si>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</si>
  <si>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GDP deflator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</si>
  <si>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</si>
  <si>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</si>
  <si>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</si>
  <si>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</si>
  <si>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</si>
  <si>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Local </t>
  </si>
  <si>
    <t xml:space="preserve">Improved  </t>
  </si>
  <si>
    <t>Adoption rate (% of hholds) toggle middle road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</si>
  <si>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</si>
  <si>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</si>
  <si>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</si>
  <si>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</si>
  <si>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herd size (base 2018)</t>
  </si>
  <si>
    <t>Average household size (# people)</t>
  </si>
  <si>
    <t>Fraction cows to total herd</t>
  </si>
  <si>
    <t>Inferred number of cattle</t>
  </si>
  <si>
    <t>Change herd relative to base (fraction)</t>
  </si>
  <si>
    <t>Proportion of specific farm type's herd of cattle to total herd of same breed in population</t>
  </si>
  <si>
    <t>Standard deviation net income per cow per year</t>
  </si>
  <si>
    <t xml:space="preserve">Relative population of household to total </t>
  </si>
  <si>
    <t>2030 Populations</t>
  </si>
  <si>
    <t>2030 Ratios</t>
  </si>
  <si>
    <t>Sectoral herd calibration</t>
  </si>
  <si>
    <t>Adopting</t>
  </si>
  <si>
    <t>Aggregated</t>
  </si>
  <si>
    <t>Aggregate absolute welfare gain/loss (fraction)</t>
  </si>
  <si>
    <t>Aggregate per capita growth income (USD/capita/yr)</t>
  </si>
  <si>
    <t>Income per cow (USD/day)</t>
  </si>
  <si>
    <t>Random value income per cow (USD/day)</t>
  </si>
  <si>
    <t>Average number of cows per household (head)</t>
  </si>
  <si>
    <t>Random value cows per household (head)</t>
  </si>
  <si>
    <t>Estimated non dairy income (USD/person/day)</t>
  </si>
  <si>
    <t>Random value non dairy income (USD/person/day)</t>
  </si>
  <si>
    <t>Quantity households</t>
  </si>
  <si>
    <t>SD quantity households</t>
  </si>
  <si>
    <t>Dairy Income (USD/household/year)</t>
  </si>
  <si>
    <t>Non dairy income (USD/household/year)</t>
  </si>
  <si>
    <t>Estimated population income (USD/yr)</t>
  </si>
  <si>
    <t>SD population income (USD/yr)</t>
  </si>
  <si>
    <t>Mean population income (USD/yr)</t>
  </si>
  <si>
    <t># projected animals in subsector (final year)</t>
  </si>
  <si>
    <t>Std. dev. dairy income (USD per household)</t>
  </si>
  <si>
    <t>Dairy income base year</t>
  </si>
  <si>
    <t xml:space="preserve">Net income base scenario not including dairy </t>
  </si>
  <si>
    <t>Uncertainty (SE) in total income per household type</t>
  </si>
  <si>
    <t xml:space="preserve">Net income </t>
  </si>
  <si>
    <t>Forage expenses</t>
  </si>
  <si>
    <t>--</t>
  </si>
  <si>
    <t xml:space="preserve">Change in napier allocation (ha) </t>
  </si>
  <si>
    <t>Pasture yield (Mg/ha)</t>
  </si>
  <si>
    <t>Change in herd size relative to Base year (for baseline scenario only)</t>
  </si>
  <si>
    <t>Parameters (as defined in Table 1 and other sections of text) (based on TLSA, URT 2017)</t>
  </si>
  <si>
    <t>Adoption rate (% of hholds) toggle inequitable</t>
  </si>
  <si>
    <t>Adoption rate (% of hholds) toggle status quo</t>
  </si>
  <si>
    <t>Traditional</t>
  </si>
  <si>
    <t>Modern</t>
  </si>
  <si>
    <t>Standard error of imputed income at population level (%)</t>
  </si>
  <si>
    <t>Household income</t>
  </si>
  <si>
    <t>District aggregation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</si>
  <si>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</si>
  <si>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</si>
  <si>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</si>
  <si>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</si>
  <si>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</si>
  <si>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</si>
  <si>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</si>
  <si>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</si>
  <si>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</si>
  <si>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</si>
  <si>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</si>
  <si>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</si>
  <si>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</si>
  <si>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</si>
  <si>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</si>
  <si>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</si>
  <si>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</si>
  <si>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</si>
  <si>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Standard error animal price (fraction)</t>
  </si>
  <si>
    <t>Cropping parameters</t>
  </si>
  <si>
    <t>Monte carlo simulations (n = 500)</t>
  </si>
  <si>
    <t>Forage seeding cost (USD/yr)</t>
  </si>
  <si>
    <t xml:space="preserve">Feeding expenses </t>
  </si>
  <si>
    <t>Forage seeding cost (USD/ha/yr)</t>
  </si>
  <si>
    <t xml:space="preserve">proportion of households within region  </t>
  </si>
  <si>
    <t>Dairy expenses</t>
  </si>
  <si>
    <t>Cropping expenses</t>
  </si>
  <si>
    <t xml:space="preserve">Cropping expenses </t>
  </si>
  <si>
    <t>Forage crop allocation</t>
  </si>
  <si>
    <t>Net income from milk, cash expenses, and opportunity costs of land (USD per household)</t>
  </si>
  <si>
    <t>Napier fed (kg/yr)</t>
  </si>
  <si>
    <t xml:space="preserve">Napier land allocation (ha) </t>
  </si>
  <si>
    <t>Pasture fed (kg/yr)</t>
  </si>
  <si>
    <t xml:space="preserve">Pasture allocation (ha) </t>
  </si>
  <si>
    <t xml:space="preserve">frac improved hholds that are &gt; 5 head </t>
  </si>
  <si>
    <t>Baseline</t>
  </si>
  <si>
    <t>Total income base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</si>
  <si>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</si>
  <si>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</si>
  <si>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</si>
  <si>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</si>
  <si>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</si>
  <si>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</si>
  <si>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>Ratio improved cattle for which new adopters adopt (inclusive)</t>
  </si>
  <si>
    <t>Ratio improved cattle for which new adopters adopt (inequitable)</t>
  </si>
  <si>
    <t>Ratio improved cattle for which new adopters adopt (status quo)</t>
  </si>
  <si>
    <t>Adoption rate (% of hholds) toggle pro poo</t>
  </si>
  <si>
    <t>Fraction Improved owned by other farms rearing purebred bos taurus</t>
  </si>
  <si>
    <t>Sectoral mappings</t>
  </si>
  <si>
    <t>Dairy Income data</t>
  </si>
  <si>
    <t xml:space="preserve"> Dairy income by household</t>
  </si>
  <si>
    <t>Updated income from milk and opportunity costs of land per cow (USD per cow per yr)</t>
  </si>
  <si>
    <t>Change in income from cropping (USD)</t>
  </si>
  <si>
    <t>Aggregate income per household type intervention scenario (USD/yr)</t>
  </si>
  <si>
    <t>Aggregate income farm type base (USD/yr)</t>
  </si>
  <si>
    <t>Aggregate change in income population for household type (USD/yr)</t>
  </si>
  <si>
    <t xml:space="preserve">Standard error (%) of net household income intervention scenario not including dairy </t>
  </si>
  <si>
    <t>Basic income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</si>
</sst>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8" fontId="3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/>
    <xf numFmtId="0" fontId="13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8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9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65" fontId="0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3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NumberFormat="1" applyAlignment="1">
      <alignment horizontal="center"/>
    </xf>
    <xf numFmtId="0" fontId="13" fillId="0" borderId="0" xfId="1" applyNumberFormat="1" applyFont="1"/>
    <xf numFmtId="168" fontId="0" fillId="0" borderId="0" xfId="0" applyNumberFormat="1" applyAlignment="1">
      <alignment horizontal="righ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2" fillId="0" borderId="0" xfId="0" applyNumberFormat="1" applyFont="1" applyAlignment="1"/>
    <xf numFmtId="0" fontId="0" fillId="0" borderId="0" xfId="0"/>
    <xf numFmtId="0" fontId="19" fillId="0" borderId="0" xfId="0" applyFont="1"/>
    <xf numFmtId="168" fontId="19" fillId="0" borderId="0" xfId="0" applyNumberFormat="1" applyFont="1"/>
    <xf numFmtId="166" fontId="6" fillId="0" borderId="0" xfId="0" applyNumberFormat="1" applyFont="1"/>
    <xf numFmtId="167" fontId="13" fillId="0" borderId="0" xfId="0" applyNumberFormat="1" applyFont="1"/>
    <xf numFmtId="43" fontId="13" fillId="0" borderId="0" xfId="0" applyNumberFormat="1" applyFont="1"/>
    <xf numFmtId="166" fontId="13" fillId="0" borderId="0" xfId="0" applyNumberFormat="1" applyFont="1"/>
    <xf numFmtId="167" fontId="13" fillId="0" borderId="0" xfId="1" applyNumberFormat="1" applyFont="1" applyAlignment="1">
      <alignment horizontal="center"/>
    </xf>
    <xf numFmtId="2" fontId="6" fillId="0" borderId="0" xfId="0" applyNumberFormat="1" applyFont="1"/>
    <xf numFmtId="0" fontId="20" fillId="0" borderId="0" xfId="0" applyFont="1"/>
    <xf numFmtId="165" fontId="20" fillId="0" borderId="0" xfId="0" applyNumberFormat="1" applyFont="1" applyAlignment="1">
      <alignment horizontal="center"/>
    </xf>
    <xf numFmtId="43" fontId="20" fillId="0" borderId="0" xfId="0" applyNumberFormat="1" applyFont="1"/>
    <xf numFmtId="166" fontId="20" fillId="0" borderId="0" xfId="0" applyNumberFormat="1" applyFont="1"/>
    <xf numFmtId="167" fontId="20" fillId="0" borderId="0" xfId="0" applyNumberFormat="1" applyFont="1"/>
    <xf numFmtId="0" fontId="21" fillId="0" borderId="0" xfId="0" applyFont="1"/>
    <xf numFmtId="0" fontId="22" fillId="0" borderId="0" xfId="0" applyFont="1"/>
    <xf numFmtId="43" fontId="21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168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8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8A6D93"/>
      <color rgb="FFCC00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Tanzania%20Dairy%20Mitigation%20Assessment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n7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gional_herd_populat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polation_Mufindi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</sheetNames>
    <sheetDataSet>
      <sheetData sheetId="0">
        <row r="7">
          <cell r="L7">
            <v>0.43465699999999996</v>
          </cell>
        </row>
        <row r="12">
          <cell r="B12">
            <v>259</v>
          </cell>
          <cell r="E12">
            <v>1465.8779999999999</v>
          </cell>
          <cell r="F12">
            <v>86</v>
          </cell>
          <cell r="G12">
            <v>4.8</v>
          </cell>
          <cell r="H12">
            <v>0.76279625000000006</v>
          </cell>
          <cell r="I12">
            <v>0.4541</v>
          </cell>
          <cell r="J12">
            <v>5.8360000000000003</v>
          </cell>
          <cell r="L12">
            <v>0.39120099999999997</v>
          </cell>
          <cell r="M12">
            <v>529</v>
          </cell>
          <cell r="N12">
            <v>209</v>
          </cell>
          <cell r="O12">
            <v>26.48</v>
          </cell>
          <cell r="P12">
            <v>2.8980000000000001</v>
          </cell>
          <cell r="Q12">
            <v>10.885</v>
          </cell>
          <cell r="R12">
            <v>1.3013561929000014E-4</v>
          </cell>
          <cell r="S12">
            <v>2.6027123858000024E-2</v>
          </cell>
          <cell r="T12">
            <v>0</v>
          </cell>
          <cell r="U12">
            <v>154.1</v>
          </cell>
          <cell r="V12">
            <v>1.3013561929000014E-5</v>
          </cell>
          <cell r="W12">
            <v>0.66200000000000003</v>
          </cell>
          <cell r="X12">
            <v>1.3586158653875999</v>
          </cell>
          <cell r="Y12">
            <v>1.3013561929000014E-5</v>
          </cell>
        </row>
        <row r="13">
          <cell r="E13">
            <v>1476</v>
          </cell>
          <cell r="F13">
            <v>80</v>
          </cell>
          <cell r="G13">
            <v>2.8</v>
          </cell>
          <cell r="I13">
            <v>0.55710000000000004</v>
          </cell>
          <cell r="J13">
            <v>5.6630000000000003</v>
          </cell>
          <cell r="L13">
            <v>0.28256100000000001</v>
          </cell>
          <cell r="N13">
            <v>232</v>
          </cell>
          <cell r="O13">
            <v>202.3</v>
          </cell>
          <cell r="P13">
            <v>1.873</v>
          </cell>
          <cell r="Q13">
            <v>8</v>
          </cell>
          <cell r="R13">
            <v>1.3013561929000014E-4</v>
          </cell>
          <cell r="S13">
            <v>9.1094933503000103E-2</v>
          </cell>
          <cell r="U13">
            <v>174.3</v>
          </cell>
          <cell r="V13">
            <v>5.5958316294700055</v>
          </cell>
          <cell r="W13">
            <v>0.105</v>
          </cell>
          <cell r="X13">
            <v>2.6440000000000001</v>
          </cell>
          <cell r="Y13">
            <v>1E-4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/>
      <sheetData sheetId="1">
        <row r="17">
          <cell r="D17">
            <v>129.22973944480952</v>
          </cell>
          <cell r="J17">
            <v>217.17499790194665</v>
          </cell>
        </row>
        <row r="18">
          <cell r="J18">
            <v>556.11659579012849</v>
          </cell>
        </row>
        <row r="20">
          <cell r="J20">
            <v>657.24462884525087</v>
          </cell>
        </row>
        <row r="21">
          <cell r="J21">
            <v>1046.0436747485628</v>
          </cell>
        </row>
        <row r="23">
          <cell r="J23">
            <v>657.24462884525087</v>
          </cell>
        </row>
        <row r="24">
          <cell r="J24">
            <v>1046.0436747485628</v>
          </cell>
        </row>
      </sheetData>
      <sheetData sheetId="2">
        <row r="3">
          <cell r="D3">
            <v>0.58220000000000005</v>
          </cell>
          <cell r="J3">
            <v>0.68389999999999995</v>
          </cell>
        </row>
        <row r="5">
          <cell r="D5">
            <v>0.89239148711842686</v>
          </cell>
          <cell r="E5">
            <v>0.10760851288157314</v>
          </cell>
        </row>
        <row r="8">
          <cell r="J8">
            <v>658752.030520448</v>
          </cell>
          <cell r="K8">
            <v>337427.14732889878</v>
          </cell>
        </row>
        <row r="16">
          <cell r="J16">
            <v>413.82147257338761</v>
          </cell>
        </row>
        <row r="17">
          <cell r="J17">
            <v>1421.9297913811431</v>
          </cell>
        </row>
        <row r="24">
          <cell r="A24" t="str">
            <v>Inclusive</v>
          </cell>
          <cell r="J24">
            <v>0.85</v>
          </cell>
          <cell r="K24">
            <v>0.85</v>
          </cell>
        </row>
        <row r="25">
          <cell r="J25">
            <v>0.15000000000000002</v>
          </cell>
          <cell r="K25">
            <v>0.15000000000000002</v>
          </cell>
        </row>
        <row r="30">
          <cell r="J30">
            <v>2224438.48967316</v>
          </cell>
          <cell r="K30">
            <v>1056957.4606247754</v>
          </cell>
        </row>
        <row r="33">
          <cell r="A33" t="str">
            <v>Inequitable</v>
          </cell>
          <cell r="J33">
            <v>0.85</v>
          </cell>
          <cell r="K33">
            <v>0.85</v>
          </cell>
        </row>
        <row r="34">
          <cell r="J34">
            <v>0.15000000000000002</v>
          </cell>
          <cell r="K34">
            <v>0.15000000000000002</v>
          </cell>
        </row>
        <row r="37">
          <cell r="J37">
            <v>539.67363750122001</v>
          </cell>
        </row>
        <row r="38">
          <cell r="J38">
            <v>2874.3143719213795</v>
          </cell>
        </row>
        <row r="39">
          <cell r="J39">
            <v>2224438.48967316</v>
          </cell>
          <cell r="K39">
            <v>1056957.4606247754</v>
          </cell>
        </row>
        <row r="42">
          <cell r="A42" t="str">
            <v>Status quo</v>
          </cell>
          <cell r="J42">
            <v>0.71039006499969382</v>
          </cell>
          <cell r="K42">
            <v>0.71039006499969382</v>
          </cell>
        </row>
        <row r="43">
          <cell r="J43">
            <v>0.28960993500030618</v>
          </cell>
          <cell r="K43">
            <v>0.28960993500030618</v>
          </cell>
        </row>
        <row r="48">
          <cell r="J48">
            <v>2773401.3692633882</v>
          </cell>
          <cell r="K48">
            <v>1311408.1279335828</v>
          </cell>
        </row>
        <row r="49">
          <cell r="D49">
            <v>3.0670204847437246</v>
          </cell>
          <cell r="E49">
            <v>2.4260491028753504</v>
          </cell>
        </row>
        <row r="51">
          <cell r="A51" t="str">
            <v>Middle road</v>
          </cell>
          <cell r="J51">
            <v>0.85</v>
          </cell>
          <cell r="K51">
            <v>0.85</v>
          </cell>
        </row>
        <row r="52">
          <cell r="J52">
            <v>0.15000000000000002</v>
          </cell>
          <cell r="K52">
            <v>0.15000000000000002</v>
          </cell>
        </row>
        <row r="57">
          <cell r="J57">
            <v>2723585.954483097</v>
          </cell>
          <cell r="K57">
            <v>1294130.8593643035</v>
          </cell>
        </row>
      </sheetData>
      <sheetData sheetId="3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605.27080424669111</v>
          </cell>
        </row>
        <row r="22">
          <cell r="J22">
            <v>1854.3461190775483</v>
          </cell>
        </row>
        <row r="25">
          <cell r="J25">
            <v>2323.2670751224168</v>
          </cell>
        </row>
      </sheetData>
      <sheetData sheetId="4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121.52583612517354</v>
          </cell>
        </row>
        <row r="22">
          <cell r="J22">
            <v>-342.85144688902682</v>
          </cell>
        </row>
        <row r="25">
          <cell r="J25">
            <v>13.904304736845885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orld bank data"/>
    </sheetNames>
    <sheetDataSet>
      <sheetData sheetId="0">
        <row r="7">
          <cell r="B7">
            <v>1.3155644843884766</v>
          </cell>
        </row>
        <row r="9">
          <cell r="B9">
            <v>1.7273258708170587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6">
          <cell r="QG56">
            <v>781.97929151507071</v>
          </cell>
          <cell r="QH56">
            <v>397.33982973084221</v>
          </cell>
          <cell r="QO56">
            <v>579.52916159518441</v>
          </cell>
          <cell r="QP56">
            <v>228.5532434243668</v>
          </cell>
        </row>
        <row r="65">
          <cell r="QG65">
            <v>719.09597665640979</v>
          </cell>
          <cell r="QH65">
            <v>207.00420236219679</v>
          </cell>
          <cell r="QO65">
            <v>562.54085742375969</v>
          </cell>
          <cell r="QP65">
            <v>202.82454913252911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findi"/>
      <sheetName val="Mvomero"/>
      <sheetName val="Njombe"/>
      <sheetName val="Rungwe"/>
    </sheetNames>
    <sheetDataSet>
      <sheetData sheetId="0"/>
      <sheetData sheetId="1"/>
      <sheetData sheetId="2"/>
      <sheetData sheetId="3">
        <row r="19">
          <cell r="D19">
            <v>1.0324753493684273</v>
          </cell>
        </row>
        <row r="20">
          <cell r="D20">
            <v>1.0433322562243532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Middle_rd"/>
      <sheetName val="NPV_Status_quo"/>
      <sheetName val="NPV_Inequitable"/>
      <sheetName val="NPV_Roadmap"/>
      <sheetName val="NPV_Baseline"/>
      <sheetName val="NPV_Inclusive"/>
      <sheetName val="NPV_Base"/>
      <sheetName val="Mappings"/>
      <sheetName val="MC_sims_Base"/>
      <sheetName val="MC_sims_Inclusive"/>
      <sheetName val="MC_sims_Inequitable"/>
      <sheetName val="MC_sims_Status_quo"/>
      <sheetName val="MC_sims_Middle_rd"/>
      <sheetName val="farm_to_sector_map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8">
          <cell r="C18" t="str">
            <v>Estimated population income (USD/yr)</v>
          </cell>
        </row>
        <row r="19">
          <cell r="C19" t="str">
            <v>SE population income (USD/yr)</v>
          </cell>
        </row>
        <row r="20">
          <cell r="C20" t="str">
            <v>Mean population income (USD/yr)</v>
          </cell>
        </row>
      </sheetData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61"/>
  <sheetViews>
    <sheetView topLeftCell="A28" zoomScaleNormal="100" workbookViewId="0">
      <selection activeCell="H10" sqref="H10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18" t="s">
        <v>153</v>
      </c>
      <c r="D1" s="119"/>
      <c r="E1" s="119"/>
      <c r="F1" s="119"/>
      <c r="G1" s="119"/>
    </row>
    <row r="2" spans="1:12" x14ac:dyDescent="0.3">
      <c r="A2" s="2" t="s">
        <v>115</v>
      </c>
      <c r="B2" s="5"/>
      <c r="C2" s="124" t="s">
        <v>67</v>
      </c>
      <c r="D2" s="124"/>
      <c r="E2" s="124" t="s">
        <v>98</v>
      </c>
      <c r="F2" s="124"/>
      <c r="G2" s="5" t="s">
        <v>99</v>
      </c>
    </row>
    <row r="3" spans="1:12" x14ac:dyDescent="0.3">
      <c r="A3" t="s">
        <v>108</v>
      </c>
      <c r="B3" s="14"/>
      <c r="C3" s="120">
        <f>G3</f>
        <v>0.57181931209084202</v>
      </c>
      <c r="D3" s="120"/>
      <c r="E3" s="120">
        <f>NPV_Baseline!B3</f>
        <v>0.51465014185725644</v>
      </c>
      <c r="F3" s="120"/>
      <c r="G3" s="62">
        <f>[1]All!$L$7*L16</f>
        <v>0.57181931209084202</v>
      </c>
      <c r="J3" s="48"/>
    </row>
    <row r="4" spans="1:12" x14ac:dyDescent="0.3">
      <c r="A4" t="s">
        <v>109</v>
      </c>
      <c r="B4" s="14"/>
      <c r="C4" s="117">
        <f>[2]prod_herd_data!J38</f>
        <v>2874.3143719213795</v>
      </c>
      <c r="D4" s="117"/>
      <c r="E4" s="117">
        <f>[2]prod_herd_data!J37</f>
        <v>539.67363750122001</v>
      </c>
      <c r="F4" s="117"/>
      <c r="G4" s="61">
        <f>[2]prod_herd_data!J38</f>
        <v>2874.3143719213795</v>
      </c>
    </row>
    <row r="5" spans="1:12" x14ac:dyDescent="0.3">
      <c r="A5" t="s">
        <v>110</v>
      </c>
      <c r="B5" s="14"/>
      <c r="C5" s="117">
        <f t="shared" ref="C5" si="0">C4*C3</f>
        <v>1643.5884668849039</v>
      </c>
      <c r="D5" s="117"/>
      <c r="E5" s="117">
        <f t="shared" ref="E5:G5" si="1">E4*E3</f>
        <v>277.74311409662448</v>
      </c>
      <c r="F5" s="117"/>
      <c r="G5" s="61">
        <f t="shared" si="1"/>
        <v>1643.5884668849039</v>
      </c>
    </row>
    <row r="6" spans="1:12" x14ac:dyDescent="0.3">
      <c r="B6" s="14"/>
      <c r="C6" s="117"/>
      <c r="D6" s="117"/>
      <c r="E6" s="117"/>
      <c r="F6" s="117"/>
      <c r="G6" s="61"/>
    </row>
    <row r="7" spans="1:12" x14ac:dyDescent="0.3">
      <c r="A7" s="2" t="s">
        <v>111</v>
      </c>
      <c r="B7" s="14"/>
      <c r="C7" s="117"/>
      <c r="D7" s="117"/>
      <c r="E7" s="117"/>
      <c r="F7" s="117"/>
      <c r="G7" s="61"/>
    </row>
    <row r="8" spans="1:12" x14ac:dyDescent="0.3">
      <c r="A8" t="s">
        <v>125</v>
      </c>
      <c r="B8" s="14"/>
      <c r="C8" s="117">
        <f>(([2]concentrate_feeding!$J$23*L29)+([2]concentrate_feeding!$J$24*L30))</f>
        <v>505.15088341584277</v>
      </c>
      <c r="D8" s="117"/>
      <c r="E8" s="117">
        <f>(([2]concentrate_feeding!$J$17*L29)+([2]concentrate_feeding!$J$18*L30))</f>
        <v>225.06444948034391</v>
      </c>
      <c r="F8" s="117"/>
      <c r="G8" s="61">
        <f>(([2]concentrate_feeding!$J$20*L29)+([2]concentrate_feeding!$J$21*L30))</f>
        <v>505.15088341584277</v>
      </c>
    </row>
    <row r="9" spans="1:12" x14ac:dyDescent="0.3">
      <c r="A9" t="s">
        <v>7</v>
      </c>
      <c r="B9" s="14"/>
      <c r="C9" s="117">
        <f>NPV_Baseline!D9</f>
        <v>2.4640522792596169</v>
      </c>
      <c r="D9" s="117"/>
      <c r="E9" s="117">
        <f>NPV_Baseline!B9</f>
        <v>3.8125058757578052</v>
      </c>
      <c r="F9" s="117"/>
      <c r="G9" s="61">
        <f>NPV_Baseline!D9</f>
        <v>2.4640522792596169</v>
      </c>
    </row>
    <row r="10" spans="1:12" x14ac:dyDescent="0.3">
      <c r="A10" t="s">
        <v>112</v>
      </c>
      <c r="B10" s="14"/>
      <c r="C10" s="117">
        <f>NPV_Baseline!D10</f>
        <v>10.524515875107813</v>
      </c>
      <c r="D10" s="117"/>
      <c r="E10" s="117">
        <f>NPV_Baseline!B10</f>
        <v>14.319919412568568</v>
      </c>
      <c r="F10" s="117"/>
      <c r="G10" s="61">
        <f>NPV_Baseline!D10</f>
        <v>10.524515875107813</v>
      </c>
      <c r="K10" s="2" t="s">
        <v>160</v>
      </c>
    </row>
    <row r="11" spans="1:12" x14ac:dyDescent="0.3">
      <c r="A11" t="s">
        <v>113</v>
      </c>
      <c r="B11" s="23"/>
      <c r="C11" s="117">
        <f>NPV_Baseline!D11</f>
        <v>1.7120179889182412E-4</v>
      </c>
      <c r="D11" s="117"/>
      <c r="E11" s="117">
        <f>NPV_Baseline!B11</f>
        <v>1.7120179889182412E-4</v>
      </c>
      <c r="F11" s="117"/>
      <c r="G11" s="61">
        <f>NPV_Baseline!D11</f>
        <v>1.7120179889182412E-4</v>
      </c>
      <c r="K11" s="65" t="s">
        <v>145</v>
      </c>
      <c r="L11" s="63">
        <v>12</v>
      </c>
    </row>
    <row r="12" spans="1:12" s="63" customFormat="1" x14ac:dyDescent="0.3">
      <c r="B12" s="57"/>
      <c r="C12" s="117"/>
      <c r="D12" s="117"/>
      <c r="E12" s="117"/>
      <c r="F12" s="117"/>
      <c r="G12" s="61"/>
      <c r="K12" s="65"/>
    </row>
    <row r="13" spans="1:12" x14ac:dyDescent="0.3">
      <c r="A13" s="2" t="s">
        <v>143</v>
      </c>
      <c r="B13" s="14"/>
      <c r="C13" s="117">
        <f>SUM(C8:C11)</f>
        <v>518.13962277200915</v>
      </c>
      <c r="D13" s="117"/>
      <c r="E13" s="117">
        <f>SUM(E8:E11)</f>
        <v>243.19704597046916</v>
      </c>
      <c r="F13" s="117"/>
      <c r="G13" s="61">
        <f>SUM(G8:G11)</f>
        <v>518.13962277200915</v>
      </c>
      <c r="K13" t="s">
        <v>120</v>
      </c>
      <c r="L13">
        <f>[1]All!$M$12</f>
        <v>529</v>
      </c>
    </row>
    <row r="14" spans="1:12" x14ac:dyDescent="0.3">
      <c r="B14" s="14"/>
      <c r="C14" s="121"/>
      <c r="D14" s="121"/>
      <c r="E14" s="121"/>
      <c r="F14" s="121"/>
      <c r="G14" s="1"/>
      <c r="K14" t="s">
        <v>121</v>
      </c>
      <c r="L14">
        <f>[1]All!$T$12/L13</f>
        <v>0</v>
      </c>
    </row>
    <row r="15" spans="1:12" x14ac:dyDescent="0.3">
      <c r="A15" s="2" t="s">
        <v>144</v>
      </c>
      <c r="B15" s="14"/>
      <c r="C15" s="117">
        <f>L13</f>
        <v>529</v>
      </c>
      <c r="D15" s="117"/>
      <c r="E15" s="117">
        <v>0</v>
      </c>
      <c r="F15" s="117"/>
      <c r="G15" s="61">
        <v>0</v>
      </c>
    </row>
    <row r="16" spans="1:12" x14ac:dyDescent="0.3">
      <c r="B16" s="14"/>
      <c r="C16" s="117"/>
      <c r="D16" s="117"/>
      <c r="E16" s="117"/>
      <c r="F16" s="117"/>
      <c r="G16" s="61"/>
      <c r="K16" t="s">
        <v>43</v>
      </c>
      <c r="L16" s="24">
        <f>[3]Sheet1!$B$7</f>
        <v>1.3155644843884766</v>
      </c>
    </row>
    <row r="17" spans="1:17" x14ac:dyDescent="0.3">
      <c r="B17" s="38"/>
      <c r="C17" s="117"/>
      <c r="D17" s="117"/>
      <c r="E17" s="123"/>
      <c r="F17" s="123"/>
      <c r="G17" s="61"/>
    </row>
    <row r="18" spans="1:17" x14ac:dyDescent="0.3">
      <c r="B18" s="52"/>
      <c r="C18" s="122" t="s">
        <v>129</v>
      </c>
      <c r="D18" s="122"/>
      <c r="E18" s="122"/>
      <c r="F18" s="122"/>
      <c r="G18" s="122"/>
      <c r="K18" s="2" t="s">
        <v>122</v>
      </c>
    </row>
    <row r="19" spans="1:17" x14ac:dyDescent="0.3">
      <c r="A19" t="s">
        <v>13</v>
      </c>
      <c r="B19" s="14"/>
      <c r="C19" s="117">
        <f>L35*L16</f>
        <v>274.95297723719159</v>
      </c>
      <c r="D19" s="117"/>
      <c r="E19" s="117">
        <f>L35*L16</f>
        <v>274.95297723719159</v>
      </c>
      <c r="F19" s="117"/>
      <c r="G19" s="60">
        <f>L37*L16</f>
        <v>305.21096037812657</v>
      </c>
      <c r="K19" t="s">
        <v>126</v>
      </c>
      <c r="L19">
        <f>[4]Sheet1!$B$5</f>
        <v>28</v>
      </c>
    </row>
    <row r="20" spans="1:17" x14ac:dyDescent="0.3">
      <c r="A20" t="s">
        <v>92</v>
      </c>
      <c r="B20" s="14"/>
      <c r="C20" s="117">
        <f>(((1/1000)*(1/L23)*[2]feeding_change_data!$J$25/L32))</f>
        <v>0.2382838025766581</v>
      </c>
      <c r="D20" s="117"/>
      <c r="E20" s="117">
        <f>(((1/1000)*(1/L23)*[2]feeding_change_data!$J$19/L32))</f>
        <v>6.2079056845814468E-2</v>
      </c>
      <c r="F20" s="117"/>
      <c r="G20" s="60">
        <f>(((1/1000)*(1/L23)*[2]feeding_change_data!$J$22/L32))</f>
        <v>0.1901893455464152</v>
      </c>
    </row>
    <row r="21" spans="1:17" x14ac:dyDescent="0.3">
      <c r="A21" t="s">
        <v>116</v>
      </c>
      <c r="B21" s="89"/>
      <c r="C21" s="117">
        <f>(((1/1000)*(1/L24)*[2]feeding_change_data_pasture!$J$25/L33))</f>
        <v>5.5617218947383541E-3</v>
      </c>
      <c r="D21" s="117"/>
      <c r="E21" s="117">
        <f>(((1/1000)*(1/L24)*[2]feeding_change_data_pasture!$J$19/L33))</f>
        <v>4.8610334450069417E-2</v>
      </c>
      <c r="F21" s="117"/>
      <c r="G21" s="60">
        <f>(((1/1000)*(1/L24)*[2]feeding_change_data_pasture!$J$22/L33))</f>
        <v>-0.13714057875561073</v>
      </c>
    </row>
    <row r="22" spans="1:17" s="84" customFormat="1" x14ac:dyDescent="0.3">
      <c r="A22" s="90" t="s">
        <v>140</v>
      </c>
      <c r="B22" s="112"/>
      <c r="C22" s="117">
        <f>C20+C21</f>
        <v>0.24384552447139646</v>
      </c>
      <c r="D22" s="117"/>
      <c r="E22" s="117">
        <f>E20+E21</f>
        <v>0.11068939129588388</v>
      </c>
      <c r="F22" s="117"/>
      <c r="G22" s="83">
        <f>G21+G20</f>
        <v>5.3048766790804475E-2</v>
      </c>
    </row>
    <row r="23" spans="1:17" s="63" customFormat="1" x14ac:dyDescent="0.3">
      <c r="A23" s="65" t="s">
        <v>117</v>
      </c>
      <c r="B23" s="89"/>
      <c r="C23" s="117">
        <f>L19*(C20+C21)</f>
        <v>6.827674685199101</v>
      </c>
      <c r="D23" s="117"/>
      <c r="E23" s="117">
        <f>L19*(E20+E21)</f>
        <v>3.0993029562847489</v>
      </c>
      <c r="F23" s="117"/>
      <c r="G23" s="61">
        <f>L19*(G20+G21)</f>
        <v>1.4853654701425252</v>
      </c>
      <c r="K23" t="s">
        <v>118</v>
      </c>
      <c r="L23">
        <f>[4]Sheet1!$B$6</f>
        <v>0.75</v>
      </c>
    </row>
    <row r="24" spans="1:17" x14ac:dyDescent="0.3">
      <c r="A24" t="s">
        <v>14</v>
      </c>
      <c r="B24" s="14"/>
      <c r="C24" s="117">
        <f>(C20+C21)*C19+C23</f>
        <v>73.873727624574016</v>
      </c>
      <c r="D24" s="117"/>
      <c r="E24" s="117">
        <f>(E20+E21)*E19+E23</f>
        <v>33.533680641660503</v>
      </c>
      <c r="F24" s="117"/>
      <c r="G24" s="60">
        <f>(G20+G21)*G19+G23</f>
        <v>17.676430529239227</v>
      </c>
      <c r="K24" t="s">
        <v>119</v>
      </c>
      <c r="L24">
        <v>0.5</v>
      </c>
    </row>
    <row r="25" spans="1:17" s="63" customFormat="1" x14ac:dyDescent="0.3">
      <c r="A25" s="65"/>
      <c r="B25" s="57"/>
      <c r="C25" s="117"/>
      <c r="D25" s="117"/>
      <c r="E25" s="117"/>
      <c r="F25" s="117"/>
      <c r="G25" s="61"/>
    </row>
    <row r="26" spans="1:17" x14ac:dyDescent="0.3">
      <c r="B26" s="14"/>
      <c r="C26" s="117"/>
      <c r="D26" s="117"/>
      <c r="E26" s="117"/>
      <c r="F26" s="117"/>
      <c r="G26" s="60"/>
      <c r="K26" s="34" t="s">
        <v>42</v>
      </c>
      <c r="L26" s="64">
        <f>7.5</f>
        <v>7.5</v>
      </c>
    </row>
    <row r="27" spans="1:17" x14ac:dyDescent="0.3">
      <c r="A27" t="s">
        <v>89</v>
      </c>
      <c r="B27" s="9"/>
      <c r="C27" s="117">
        <f>C5-C13-C15/L11</f>
        <v>1081.3655107795614</v>
      </c>
      <c r="D27" s="117"/>
      <c r="E27" s="117">
        <f>E5-E13-E15/L11</f>
        <v>34.546068126155319</v>
      </c>
      <c r="F27" s="117"/>
      <c r="G27" s="111">
        <f>G5-G13-G15/L11</f>
        <v>1125.4488441128947</v>
      </c>
      <c r="H27" s="111"/>
      <c r="K27" s="34" t="s">
        <v>42</v>
      </c>
      <c r="L27" s="64">
        <f>20</f>
        <v>20</v>
      </c>
    </row>
    <row r="28" spans="1:17" x14ac:dyDescent="0.3">
      <c r="A28" t="s">
        <v>12</v>
      </c>
      <c r="B28" s="9"/>
      <c r="C28" s="117">
        <f>C27-NPV_Baseline!B28</f>
        <v>921.36097525282082</v>
      </c>
      <c r="D28" s="117"/>
      <c r="E28" s="117">
        <f>E27-NPV_Baseline!D28</f>
        <v>-214.89650041206528</v>
      </c>
      <c r="F28" s="117"/>
      <c r="G28" s="60">
        <f>G27-NPV_Baseline!D28</f>
        <v>876.00627557467408</v>
      </c>
    </row>
    <row r="29" spans="1:17" x14ac:dyDescent="0.3">
      <c r="C29" s="121"/>
      <c r="D29" s="121"/>
      <c r="E29" s="121"/>
      <c r="F29" s="121"/>
      <c r="K29" s="64" t="s">
        <v>45</v>
      </c>
      <c r="L29" s="24">
        <f>0.25*L16</f>
        <v>0.32889112109711915</v>
      </c>
    </row>
    <row r="30" spans="1:17" ht="15.6" x14ac:dyDescent="0.3">
      <c r="A30" s="118" t="s">
        <v>107</v>
      </c>
      <c r="B30" s="118"/>
      <c r="C30" s="118"/>
      <c r="D30" s="118"/>
      <c r="E30" s="118"/>
      <c r="F30" s="118"/>
      <c r="G30" s="118"/>
      <c r="K30" s="64" t="s">
        <v>44</v>
      </c>
      <c r="L30" s="24">
        <f>0.21*L16</f>
        <v>0.27626854172158005</v>
      </c>
    </row>
    <row r="31" spans="1:17" x14ac:dyDescent="0.3">
      <c r="A31" s="121" t="s">
        <v>105</v>
      </c>
      <c r="B31" s="121"/>
      <c r="C31" s="121"/>
      <c r="D31" s="121"/>
      <c r="E31" s="121"/>
      <c r="F31" s="121"/>
      <c r="G31" s="121"/>
    </row>
    <row r="32" spans="1:17" x14ac:dyDescent="0.3">
      <c r="A32" t="s">
        <v>26</v>
      </c>
      <c r="B32" s="14"/>
      <c r="C32" s="120">
        <f>NPV_Baseline!E36</f>
        <v>0.11984125922427689</v>
      </c>
      <c r="D32" s="120"/>
      <c r="E32" s="120">
        <f>NPV_Baseline!B36</f>
        <v>3.4240359778364822E-2</v>
      </c>
      <c r="F32" s="120"/>
      <c r="G32" s="7">
        <f>NPV_Baseline!E36</f>
        <v>0.11984125922427689</v>
      </c>
      <c r="K32" t="s">
        <v>46</v>
      </c>
      <c r="L32">
        <v>13</v>
      </c>
      <c r="M32" s="121"/>
      <c r="N32" s="121"/>
      <c r="O32" s="121"/>
      <c r="P32" s="121"/>
      <c r="Q32" s="57"/>
    </row>
    <row r="33" spans="1:12" x14ac:dyDescent="0.3">
      <c r="B33" s="14"/>
      <c r="C33" s="121"/>
      <c r="D33" s="121"/>
      <c r="E33" s="121"/>
      <c r="F33" s="121"/>
      <c r="G33" s="35"/>
      <c r="K33" t="s">
        <v>93</v>
      </c>
      <c r="L33" s="65">
        <v>5</v>
      </c>
    </row>
    <row r="34" spans="1:12" x14ac:dyDescent="0.3">
      <c r="A34" t="s">
        <v>6</v>
      </c>
      <c r="B34" s="14"/>
      <c r="C34" s="120">
        <f>C8*NPV_Baseline!E38/NPV_Baseline!B8</f>
        <v>106.74997322783567</v>
      </c>
      <c r="D34" s="120"/>
      <c r="E34" s="120">
        <f>E8*NPV_Baseline!E38/NPV_Baseline!D8</f>
        <v>6.2255203414303635</v>
      </c>
      <c r="F34" s="120"/>
      <c r="G34" s="7">
        <f>G8*NPV_Baseline!E38/NPV_Baseline!D8</f>
        <v>13.973006876288128</v>
      </c>
    </row>
    <row r="35" spans="1:12" x14ac:dyDescent="0.3">
      <c r="A35" t="s">
        <v>7</v>
      </c>
      <c r="B35" s="14"/>
      <c r="C35" s="120">
        <f>NPV_Baseline!E39</f>
        <v>0.13813427086079003</v>
      </c>
      <c r="D35" s="120"/>
      <c r="E35" s="120">
        <f>NPV_Baseline!B39</f>
        <v>0.87090368866517154</v>
      </c>
      <c r="F35" s="120"/>
      <c r="G35" s="7">
        <f>NPV_Baseline!E39</f>
        <v>0.13813427086079003</v>
      </c>
      <c r="K35" t="s">
        <v>52</v>
      </c>
      <c r="L35">
        <f>[1]All!$N$12</f>
        <v>209</v>
      </c>
    </row>
    <row r="36" spans="1:12" x14ac:dyDescent="0.3">
      <c r="A36" t="s">
        <v>8</v>
      </c>
      <c r="B36" s="14"/>
      <c r="C36" s="120">
        <f>NPV_Baseline!E40</f>
        <v>3.4783524967231325</v>
      </c>
      <c r="D36" s="120"/>
      <c r="E36" s="120">
        <f>NPV_Baseline!B40</f>
        <v>1.7873467804306418</v>
      </c>
      <c r="F36" s="120"/>
      <c r="G36" s="7">
        <f>NPV_Baseline!E40</f>
        <v>3.4783524967231325</v>
      </c>
      <c r="K36" t="s">
        <v>40</v>
      </c>
      <c r="L36">
        <f>[1]All!$U$12/L35</f>
        <v>0.73732057416267938</v>
      </c>
    </row>
    <row r="37" spans="1:12" x14ac:dyDescent="0.3">
      <c r="A37" t="s">
        <v>11</v>
      </c>
      <c r="B37" s="14"/>
      <c r="C37" s="120">
        <f>NPV_Baseline!E41</f>
        <v>1.3155644843884767E-4</v>
      </c>
      <c r="D37" s="120"/>
      <c r="E37" s="120">
        <f>NPV_Baseline!B41</f>
        <v>1.7120179889182413E-5</v>
      </c>
      <c r="F37" s="120"/>
      <c r="G37" s="7">
        <f>NPV_Baseline!E41</f>
        <v>1.3155644843884767E-4</v>
      </c>
      <c r="K37" t="s">
        <v>53</v>
      </c>
      <c r="L37">
        <f>[1]All!$N$13</f>
        <v>232</v>
      </c>
    </row>
    <row r="38" spans="1:12" x14ac:dyDescent="0.3">
      <c r="A38" t="s">
        <v>9</v>
      </c>
      <c r="B38" s="17"/>
      <c r="C38" s="120">
        <f>NPV_Baseline!E42</f>
        <v>0</v>
      </c>
      <c r="D38" s="120"/>
      <c r="E38" s="120">
        <f>NPV_Baseline!B42</f>
        <v>0</v>
      </c>
      <c r="F38" s="120"/>
      <c r="G38" s="7">
        <f>NPV_Baseline!E42</f>
        <v>0</v>
      </c>
      <c r="K38" t="s">
        <v>40</v>
      </c>
      <c r="L38">
        <f>[1]All!$U$13/L37</f>
        <v>0.75129310344827593</v>
      </c>
    </row>
    <row r="39" spans="1:12" x14ac:dyDescent="0.3">
      <c r="A39" t="s">
        <v>27</v>
      </c>
      <c r="B39" s="14"/>
      <c r="C39" s="120">
        <f>(C20*L26+C21*L27)/100</f>
        <v>1.8983629572197028E-2</v>
      </c>
      <c r="D39" s="120"/>
      <c r="E39" s="120">
        <f>(E20*L26+E21*L27)/100</f>
        <v>1.4377996153449969E-2</v>
      </c>
      <c r="F39" s="120"/>
      <c r="G39" s="7">
        <f>(G20*L26+G21*L27)/100</f>
        <v>-1.3163914835141004E-2</v>
      </c>
    </row>
    <row r="40" spans="1:12" x14ac:dyDescent="0.3">
      <c r="A40" t="s">
        <v>28</v>
      </c>
      <c r="B40" s="28"/>
      <c r="C40" s="117">
        <f>C19*L36</f>
        <v>202.72848704426423</v>
      </c>
      <c r="D40" s="117"/>
      <c r="E40" s="117">
        <f>E19*L36</f>
        <v>202.72848704426423</v>
      </c>
      <c r="F40" s="117"/>
      <c r="G40" s="60">
        <f>G19*L38</f>
        <v>229.30288962891149</v>
      </c>
    </row>
    <row r="41" spans="1:12" x14ac:dyDescent="0.3">
      <c r="C41" s="125"/>
      <c r="D41" s="125"/>
      <c r="E41" s="125"/>
      <c r="F41" s="125"/>
    </row>
    <row r="42" spans="1:12" x14ac:dyDescent="0.3">
      <c r="B42" s="122" t="s">
        <v>106</v>
      </c>
      <c r="C42" s="122"/>
      <c r="D42" s="122"/>
      <c r="E42" s="122"/>
      <c r="F42" s="122"/>
      <c r="G42" s="122"/>
    </row>
    <row r="43" spans="1:12" x14ac:dyDescent="0.3">
      <c r="A43" t="s">
        <v>16</v>
      </c>
      <c r="C43" s="126">
        <f ca="1">_xlfn.NORM.INV(RAND(),C3,C32)</f>
        <v>0.33689848681123835</v>
      </c>
      <c r="D43" s="126"/>
      <c r="E43" s="126">
        <f ca="1">_xlfn.NORM.INV(RAND(),E3,E32)</f>
        <v>0.53076350998384025</v>
      </c>
      <c r="F43" s="126"/>
      <c r="G43" s="58">
        <f ca="1">_xlfn.NORM.INV(RAND(),G3,G32)</f>
        <v>0.28933055173663508</v>
      </c>
    </row>
    <row r="44" spans="1:12" x14ac:dyDescent="0.3">
      <c r="C44" s="121"/>
      <c r="D44" s="121"/>
      <c r="E44" s="121"/>
      <c r="F44" s="121"/>
    </row>
    <row r="45" spans="1:12" x14ac:dyDescent="0.3">
      <c r="A45" t="s">
        <v>17</v>
      </c>
      <c r="C45" s="117">
        <f ca="1">_xlfn.NORM.INV(RAND(),C8,C34)</f>
        <v>660.96467172478219</v>
      </c>
      <c r="D45" s="117"/>
      <c r="E45" s="117">
        <f ca="1">_xlfn.NORM.INV(RAND(),E8,E34)</f>
        <v>232.13660268914757</v>
      </c>
      <c r="F45" s="117"/>
      <c r="G45" s="40">
        <f ca="1">_xlfn.NORM.INV(RAND(),G8,G34)</f>
        <v>507.47389540582617</v>
      </c>
    </row>
    <row r="46" spans="1:12" x14ac:dyDescent="0.3">
      <c r="A46" t="s">
        <v>7</v>
      </c>
      <c r="C46" s="117">
        <f ca="1">_xlfn.NORM.INV(RAND(),C9,C35)</f>
        <v>2.4986607154623064</v>
      </c>
      <c r="D46" s="117"/>
      <c r="E46" s="117">
        <f ca="1">_xlfn.NORM.INV(RAND(),E9,E35)</f>
        <v>4.2201998081081094</v>
      </c>
      <c r="F46" s="117"/>
      <c r="G46" s="40">
        <f ca="1">_xlfn.NORM.INV(RAND(),G9,G35)</f>
        <v>2.5686483605549264</v>
      </c>
    </row>
    <row r="47" spans="1:12" x14ac:dyDescent="0.3">
      <c r="A47" t="s">
        <v>8</v>
      </c>
      <c r="C47" s="117">
        <f ca="1">_xlfn.NORM.INV(RAND(),C10,C36)</f>
        <v>13.123904198620318</v>
      </c>
      <c r="D47" s="117"/>
      <c r="E47" s="117">
        <f ca="1">_xlfn.NORM.INV(RAND(),E10,E36)</f>
        <v>17.376324994076171</v>
      </c>
      <c r="F47" s="117"/>
      <c r="G47" s="40">
        <f ca="1">_xlfn.NORM.INV(RAND(),G10,G36)</f>
        <v>7.6902381823473656</v>
      </c>
    </row>
    <row r="48" spans="1:12" x14ac:dyDescent="0.3">
      <c r="A48" t="s">
        <v>19</v>
      </c>
      <c r="C48" s="117">
        <f ca="1">_xlfn.NORM.INV(RAND(),C11,C37)</f>
        <v>-8.6909277107666001E-5</v>
      </c>
      <c r="D48" s="117"/>
      <c r="E48" s="117">
        <f ca="1">_xlfn.NORM.INV(RAND(),E11,E37)</f>
        <v>1.6899090645382093E-4</v>
      </c>
      <c r="F48" s="117"/>
      <c r="G48" s="40">
        <f ca="1">_xlfn.NORM.INV(RAND(),G11,G37)</f>
        <v>3.4033899287090315E-4</v>
      </c>
    </row>
    <row r="49" spans="1:7" x14ac:dyDescent="0.3">
      <c r="A49" t="s">
        <v>9</v>
      </c>
      <c r="C49" s="117">
        <v>1E-4</v>
      </c>
      <c r="D49" s="117"/>
      <c r="E49" s="117">
        <v>1E-4</v>
      </c>
      <c r="F49" s="117"/>
      <c r="G49" s="40">
        <v>1E-4</v>
      </c>
    </row>
    <row r="50" spans="1:7" x14ac:dyDescent="0.3">
      <c r="A50" t="s">
        <v>27</v>
      </c>
      <c r="C50" s="117">
        <f ca="1">_xlfn.NORM.INV(RAND(),C20+C21,C39)</f>
        <v>0.23249607048443002</v>
      </c>
      <c r="D50" s="117"/>
      <c r="E50" s="117">
        <f ca="1">_xlfn.NORM.INV(RAND(),E20+E21,E39)</f>
        <v>9.2768895793095579E-2</v>
      </c>
      <c r="F50" s="117"/>
      <c r="G50" s="40">
        <f ca="1">_xlfn.NORM.INV(RAND(),ABS(G20+G21),ABS(G39))</f>
        <v>5.3219636637600376E-2</v>
      </c>
    </row>
    <row r="51" spans="1:7" x14ac:dyDescent="0.3">
      <c r="A51" t="s">
        <v>28</v>
      </c>
      <c r="C51" s="117">
        <f ca="1">_xlfn.NORM.INV(RAND(),C19,C40)</f>
        <v>55.54149222139992</v>
      </c>
      <c r="D51" s="117"/>
      <c r="E51" s="117">
        <f ca="1">_xlfn.NORM.INV(RAND(),E19,E40)</f>
        <v>174.71670644942003</v>
      </c>
      <c r="F51" s="117"/>
      <c r="G51" s="40">
        <f ca="1">_xlfn.NORM.INV(RAND(),G19,G40)</f>
        <v>67.824375056734425</v>
      </c>
    </row>
    <row r="52" spans="1:7" x14ac:dyDescent="0.3">
      <c r="C52" s="117"/>
      <c r="D52" s="117"/>
      <c r="E52" s="117"/>
      <c r="F52" s="117"/>
      <c r="G52" s="40"/>
    </row>
    <row r="53" spans="1:7" x14ac:dyDescent="0.3">
      <c r="A53" s="2" t="s">
        <v>29</v>
      </c>
      <c r="C53" s="117">
        <f ca="1">SUM(C45:C49)</f>
        <v>676.5872497295876</v>
      </c>
      <c r="D53" s="117"/>
      <c r="E53" s="117">
        <f ca="1">SUM(E45:E49)</f>
        <v>253.73339648223831</v>
      </c>
      <c r="F53" s="117"/>
      <c r="G53" s="40">
        <f ca="1">SUM(G45:G49)</f>
        <v>517.73322228772122</v>
      </c>
    </row>
    <row r="54" spans="1:7" x14ac:dyDescent="0.3">
      <c r="A54" s="2" t="s">
        <v>90</v>
      </c>
      <c r="C54" s="117">
        <f ca="1">C50*C51</f>
        <v>12.913178690317018</v>
      </c>
      <c r="D54" s="117"/>
      <c r="E54" s="117">
        <f t="shared" ref="E54" ca="1" si="2">E50*E51</f>
        <v>16.208275933919118</v>
      </c>
      <c r="F54" s="117"/>
      <c r="G54" s="40">
        <f ca="1">G50*G51</f>
        <v>3.6095885956917324</v>
      </c>
    </row>
    <row r="55" spans="1:7" x14ac:dyDescent="0.3">
      <c r="A55" s="2"/>
      <c r="C55" s="117"/>
      <c r="D55" s="117"/>
      <c r="E55" s="117"/>
      <c r="F55" s="117"/>
      <c r="G55" s="40"/>
    </row>
    <row r="56" spans="1:7" x14ac:dyDescent="0.3">
      <c r="A56" s="2" t="s">
        <v>89</v>
      </c>
      <c r="C56" s="117">
        <f ca="1">C43*C4-C53-C54</f>
        <v>278.85173410020315</v>
      </c>
      <c r="D56" s="117"/>
      <c r="E56" s="117">
        <f ca="1">E43*E4-E53-E54</f>
        <v>16.497401669736739</v>
      </c>
      <c r="F56" s="117"/>
      <c r="G56" s="40">
        <f ca="1">G43*G4-G53-G54</f>
        <v>310.28415220913945</v>
      </c>
    </row>
    <row r="57" spans="1:7" x14ac:dyDescent="0.3">
      <c r="A57" s="2"/>
      <c r="C57" s="117"/>
      <c r="D57" s="117"/>
      <c r="E57" s="117"/>
      <c r="F57" s="117"/>
      <c r="G57" s="40"/>
    </row>
    <row r="58" spans="1:7" x14ac:dyDescent="0.3">
      <c r="A58" s="2" t="s">
        <v>20</v>
      </c>
      <c r="C58" s="117">
        <f ca="1">AVERAGE(C62:C561)</f>
        <v>1052.9414350545183</v>
      </c>
      <c r="D58" s="117"/>
      <c r="E58" s="117">
        <f ca="1">AVERAGE(E62:E561)</f>
        <v>4.1762807875040711</v>
      </c>
      <c r="F58" s="117"/>
      <c r="G58" s="40">
        <f ca="1">AVERAGE(G62:G561)</f>
        <v>1120.2765971806887</v>
      </c>
    </row>
    <row r="59" spans="1:7" x14ac:dyDescent="0.3">
      <c r="A59" s="2" t="s">
        <v>18</v>
      </c>
      <c r="C59" s="117">
        <f ca="1">STDEVA(C62:C561)</f>
        <v>363.16957310119045</v>
      </c>
      <c r="D59" s="117"/>
      <c r="E59" s="117">
        <f t="shared" ref="E59:G59" ca="1" si="3">STDEVA(E62:E561)</f>
        <v>30.381709810852012</v>
      </c>
      <c r="F59" s="117"/>
      <c r="G59" s="40">
        <f t="shared" ca="1" si="3"/>
        <v>356.10750888196367</v>
      </c>
    </row>
    <row r="60" spans="1:7" x14ac:dyDescent="0.3">
      <c r="C60" s="121"/>
      <c r="D60" s="121"/>
      <c r="E60" s="121"/>
      <c r="F60" s="121"/>
    </row>
    <row r="61" spans="1:7" x14ac:dyDescent="0.3">
      <c r="A61" s="2" t="s">
        <v>123</v>
      </c>
      <c r="C61" s="121"/>
      <c r="D61" s="121"/>
      <c r="E61" s="121"/>
      <c r="F61" s="121"/>
    </row>
    <row r="62" spans="1:7" x14ac:dyDescent="0.3">
      <c r="B62">
        <v>1</v>
      </c>
      <c r="C62" s="40">
        <f ca="1">C56</f>
        <v>278.85173410020315</v>
      </c>
      <c r="D62" s="63">
        <v>1</v>
      </c>
      <c r="E62" s="40">
        <f ca="1">E56</f>
        <v>16.497401669736739</v>
      </c>
      <c r="F62" s="63">
        <v>1</v>
      </c>
      <c r="G62" s="40">
        <f ca="1">G56</f>
        <v>310.28415220913945</v>
      </c>
    </row>
    <row r="63" spans="1:7" x14ac:dyDescent="0.3">
      <c r="B63">
        <v>2</v>
      </c>
      <c r="C63" s="40">
        <f t="dataTable" ref="C63:C561" dt2D="0" dtr="0" r1="C61" ca="1"/>
        <v>1153.6867697664225</v>
      </c>
      <c r="D63" s="63">
        <v>2</v>
      </c>
      <c r="E63" s="40">
        <f t="dataTable" ref="E63:E561" dt2D="0" dtr="0" r1="E61" ca="1"/>
        <v>-5.9723558425470031</v>
      </c>
      <c r="F63" s="63">
        <v>2</v>
      </c>
      <c r="G63" s="40">
        <f t="dataTable" ref="G63:G561" dt2D="0" dtr="0" r1="G61" ca="1"/>
        <v>910.24760940231079</v>
      </c>
    </row>
    <row r="64" spans="1:7" x14ac:dyDescent="0.3">
      <c r="B64">
        <v>3</v>
      </c>
      <c r="C64" s="40">
        <v>1104.6830095337411</v>
      </c>
      <c r="D64" s="63">
        <v>3</v>
      </c>
      <c r="E64" s="40">
        <v>46.451290301331127</v>
      </c>
      <c r="F64" s="63">
        <v>3</v>
      </c>
      <c r="G64" s="40">
        <v>1367.9785812291207</v>
      </c>
    </row>
    <row r="65" spans="2:7" x14ac:dyDescent="0.3">
      <c r="B65" s="63">
        <v>4</v>
      </c>
      <c r="C65" s="40">
        <v>1207.1710122331951</v>
      </c>
      <c r="D65" s="63">
        <v>4</v>
      </c>
      <c r="E65" s="40">
        <v>28.327079759937391</v>
      </c>
      <c r="F65" s="63">
        <v>4</v>
      </c>
      <c r="G65" s="40">
        <v>572.52720315762281</v>
      </c>
    </row>
    <row r="66" spans="2:7" x14ac:dyDescent="0.3">
      <c r="B66" s="63">
        <v>5</v>
      </c>
      <c r="C66" s="40">
        <v>1011.054198263272</v>
      </c>
      <c r="D66" s="63">
        <v>5</v>
      </c>
      <c r="E66" s="40">
        <v>-43.007295486203361</v>
      </c>
      <c r="F66" s="63">
        <v>5</v>
      </c>
      <c r="G66" s="40">
        <v>1086.9063766280362</v>
      </c>
    </row>
    <row r="67" spans="2:7" x14ac:dyDescent="0.3">
      <c r="B67" s="63">
        <v>6</v>
      </c>
      <c r="C67" s="40">
        <v>799.28732219832523</v>
      </c>
      <c r="D67" s="63">
        <v>6</v>
      </c>
      <c r="E67" s="40">
        <v>21.552323914602606</v>
      </c>
      <c r="F67" s="63">
        <v>6</v>
      </c>
      <c r="G67" s="40">
        <v>1240.9530451698042</v>
      </c>
    </row>
    <row r="68" spans="2:7" x14ac:dyDescent="0.3">
      <c r="B68" s="63">
        <v>7</v>
      </c>
      <c r="C68" s="40">
        <v>1295.7364420279594</v>
      </c>
      <c r="D68" s="63">
        <v>7</v>
      </c>
      <c r="E68" s="40">
        <v>-9.5637842270279307</v>
      </c>
      <c r="F68" s="63">
        <v>7</v>
      </c>
      <c r="G68" s="40">
        <v>1079.7012725979966</v>
      </c>
    </row>
    <row r="69" spans="2:7" x14ac:dyDescent="0.3">
      <c r="B69" s="63">
        <v>8</v>
      </c>
      <c r="C69" s="40">
        <v>842.46381209377637</v>
      </c>
      <c r="D69" s="63">
        <v>8</v>
      </c>
      <c r="E69" s="40">
        <v>-26.832739229902089</v>
      </c>
      <c r="F69" s="63">
        <v>8</v>
      </c>
      <c r="G69" s="40">
        <v>1128.8487855884737</v>
      </c>
    </row>
    <row r="70" spans="2:7" x14ac:dyDescent="0.3">
      <c r="B70" s="63">
        <v>9</v>
      </c>
      <c r="C70" s="40">
        <v>990.69494185660255</v>
      </c>
      <c r="D70" s="63">
        <v>9</v>
      </c>
      <c r="E70" s="40">
        <v>28.520553507027415</v>
      </c>
      <c r="F70" s="63">
        <v>9</v>
      </c>
      <c r="G70" s="40">
        <v>1013.7220440555097</v>
      </c>
    </row>
    <row r="71" spans="2:7" x14ac:dyDescent="0.3">
      <c r="B71" s="63">
        <v>10</v>
      </c>
      <c r="C71" s="40">
        <v>548.95300988112979</v>
      </c>
      <c r="D71" s="63">
        <v>10</v>
      </c>
      <c r="E71" s="40">
        <v>-8.6216331884167801</v>
      </c>
      <c r="F71" s="63">
        <v>10</v>
      </c>
      <c r="G71" s="40">
        <v>1293.9405051241654</v>
      </c>
    </row>
    <row r="72" spans="2:7" x14ac:dyDescent="0.3">
      <c r="B72" s="63">
        <v>11</v>
      </c>
      <c r="C72" s="40">
        <v>2117.4853569746642</v>
      </c>
      <c r="D72" s="63">
        <v>11</v>
      </c>
      <c r="E72" s="40">
        <v>-13.048524472217963</v>
      </c>
      <c r="F72" s="63">
        <v>11</v>
      </c>
      <c r="G72" s="40">
        <v>1356.8221049133499</v>
      </c>
    </row>
    <row r="73" spans="2:7" x14ac:dyDescent="0.3">
      <c r="B73" s="63">
        <v>12</v>
      </c>
      <c r="C73" s="40">
        <v>1400.1419978229694</v>
      </c>
      <c r="D73" s="63">
        <v>12</v>
      </c>
      <c r="E73" s="40">
        <v>-11.676344835808202</v>
      </c>
      <c r="F73" s="63">
        <v>12</v>
      </c>
      <c r="G73" s="40">
        <v>1234.6765796336745</v>
      </c>
    </row>
    <row r="74" spans="2:7" x14ac:dyDescent="0.3">
      <c r="B74" s="63">
        <v>13</v>
      </c>
      <c r="C74" s="40">
        <v>984.64054100156397</v>
      </c>
      <c r="D74" s="63">
        <v>13</v>
      </c>
      <c r="E74" s="40">
        <v>5.9703673406132154</v>
      </c>
      <c r="F74" s="63">
        <v>13</v>
      </c>
      <c r="G74" s="40">
        <v>1922.5557052763975</v>
      </c>
    </row>
    <row r="75" spans="2:7" x14ac:dyDescent="0.3">
      <c r="B75" s="63">
        <v>14</v>
      </c>
      <c r="C75" s="40">
        <v>1110.5177388872949</v>
      </c>
      <c r="D75" s="63">
        <v>14</v>
      </c>
      <c r="E75" s="40">
        <v>12.136767714887664</v>
      </c>
      <c r="F75" s="63">
        <v>14</v>
      </c>
      <c r="G75" s="40">
        <v>1037.3626577139976</v>
      </c>
    </row>
    <row r="76" spans="2:7" x14ac:dyDescent="0.3">
      <c r="B76" s="63">
        <v>15</v>
      </c>
      <c r="C76" s="40">
        <v>725.45868946610767</v>
      </c>
      <c r="D76" s="63">
        <v>15</v>
      </c>
      <c r="E76" s="40">
        <v>-4.9620351737302713</v>
      </c>
      <c r="F76" s="63">
        <v>15</v>
      </c>
      <c r="G76" s="40">
        <v>753.27698350050139</v>
      </c>
    </row>
    <row r="77" spans="2:7" x14ac:dyDescent="0.3">
      <c r="B77" s="63">
        <v>16</v>
      </c>
      <c r="C77" s="40">
        <v>1255.8574604655053</v>
      </c>
      <c r="D77" s="63">
        <v>16</v>
      </c>
      <c r="E77" s="40">
        <v>21.214163630250933</v>
      </c>
      <c r="F77" s="63">
        <v>16</v>
      </c>
      <c r="G77" s="40">
        <v>1356.4077720227933</v>
      </c>
    </row>
    <row r="78" spans="2:7" x14ac:dyDescent="0.3">
      <c r="B78" s="63">
        <v>17</v>
      </c>
      <c r="C78" s="40">
        <v>1472.0631608303545</v>
      </c>
      <c r="D78" s="63">
        <v>17</v>
      </c>
      <c r="E78" s="40">
        <v>-48.873738296445779</v>
      </c>
      <c r="F78" s="63">
        <v>17</v>
      </c>
      <c r="G78" s="40">
        <v>1040.8478718119725</v>
      </c>
    </row>
    <row r="79" spans="2:7" x14ac:dyDescent="0.3">
      <c r="B79" s="63">
        <v>18</v>
      </c>
      <c r="C79" s="40">
        <v>1166.0579578048596</v>
      </c>
      <c r="D79" s="63">
        <v>18</v>
      </c>
      <c r="E79" s="40">
        <v>18.782503841421406</v>
      </c>
      <c r="F79" s="63">
        <v>18</v>
      </c>
      <c r="G79" s="40">
        <v>1609.3751346553975</v>
      </c>
    </row>
    <row r="80" spans="2:7" x14ac:dyDescent="0.3">
      <c r="B80" s="63">
        <v>19</v>
      </c>
      <c r="C80" s="40">
        <v>1301.9085638610286</v>
      </c>
      <c r="D80" s="63">
        <v>19</v>
      </c>
      <c r="E80" s="40">
        <v>23.520937013895718</v>
      </c>
      <c r="F80" s="63">
        <v>19</v>
      </c>
      <c r="G80" s="40">
        <v>1086.2783297322692</v>
      </c>
    </row>
    <row r="81" spans="2:7" x14ac:dyDescent="0.3">
      <c r="B81" s="63">
        <v>20</v>
      </c>
      <c r="C81" s="40">
        <v>1179.2135276217755</v>
      </c>
      <c r="D81" s="63">
        <v>20</v>
      </c>
      <c r="E81" s="40">
        <v>8.001476987999034</v>
      </c>
      <c r="F81" s="63">
        <v>20</v>
      </c>
      <c r="G81" s="40">
        <v>641.93912488308058</v>
      </c>
    </row>
    <row r="82" spans="2:7" x14ac:dyDescent="0.3">
      <c r="B82" s="63">
        <v>21</v>
      </c>
      <c r="C82" s="40">
        <v>1569.7933845709877</v>
      </c>
      <c r="D82" s="63">
        <v>21</v>
      </c>
      <c r="E82" s="40">
        <v>11.532733592171908</v>
      </c>
      <c r="F82" s="63">
        <v>21</v>
      </c>
      <c r="G82" s="40">
        <v>1037.3137889913542</v>
      </c>
    </row>
    <row r="83" spans="2:7" x14ac:dyDescent="0.3">
      <c r="B83" s="63">
        <v>22</v>
      </c>
      <c r="C83" s="40">
        <v>735.27181205921727</v>
      </c>
      <c r="D83" s="63">
        <v>22</v>
      </c>
      <c r="E83" s="40">
        <v>35.947423108112716</v>
      </c>
      <c r="F83" s="63">
        <v>22</v>
      </c>
      <c r="G83" s="40">
        <v>1775.5110348530332</v>
      </c>
    </row>
    <row r="84" spans="2:7" x14ac:dyDescent="0.3">
      <c r="B84" s="63">
        <v>23</v>
      </c>
      <c r="C84" s="40">
        <v>1047.8070619877062</v>
      </c>
      <c r="D84" s="63">
        <v>23</v>
      </c>
      <c r="E84" s="40">
        <v>-26.957402411665072</v>
      </c>
      <c r="F84" s="63">
        <v>23</v>
      </c>
      <c r="G84" s="40">
        <v>1504.3466660757254</v>
      </c>
    </row>
    <row r="85" spans="2:7" x14ac:dyDescent="0.3">
      <c r="B85" s="63">
        <v>24</v>
      </c>
      <c r="C85" s="40">
        <v>1181.8015989507958</v>
      </c>
      <c r="D85" s="63">
        <v>24</v>
      </c>
      <c r="E85" s="40">
        <v>-21.910383254247652</v>
      </c>
      <c r="F85" s="63">
        <v>24</v>
      </c>
      <c r="G85" s="40">
        <v>1304.5611533449012</v>
      </c>
    </row>
    <row r="86" spans="2:7" x14ac:dyDescent="0.3">
      <c r="B86" s="63">
        <v>25</v>
      </c>
      <c r="C86" s="40">
        <v>393.30453775533738</v>
      </c>
      <c r="D86" s="63">
        <v>25</v>
      </c>
      <c r="E86" s="40">
        <v>5.6035347296967402</v>
      </c>
      <c r="F86" s="63">
        <v>25</v>
      </c>
      <c r="G86" s="40">
        <v>1394.3306274510207</v>
      </c>
    </row>
    <row r="87" spans="2:7" x14ac:dyDescent="0.3">
      <c r="B87" s="63">
        <v>26</v>
      </c>
      <c r="C87" s="40">
        <v>1075.0774431164039</v>
      </c>
      <c r="D87" s="63">
        <v>26</v>
      </c>
      <c r="E87" s="40">
        <v>-13.130399002752235</v>
      </c>
      <c r="F87" s="63">
        <v>26</v>
      </c>
      <c r="G87" s="40">
        <v>318.49639121993022</v>
      </c>
    </row>
    <row r="88" spans="2:7" x14ac:dyDescent="0.3">
      <c r="B88" s="63">
        <v>27</v>
      </c>
      <c r="C88" s="40">
        <v>769.87203716015279</v>
      </c>
      <c r="D88" s="63">
        <v>27</v>
      </c>
      <c r="E88" s="40">
        <v>27.657700785897994</v>
      </c>
      <c r="F88" s="63">
        <v>27</v>
      </c>
      <c r="G88" s="40">
        <v>1068.0910136335272</v>
      </c>
    </row>
    <row r="89" spans="2:7" x14ac:dyDescent="0.3">
      <c r="B89" s="63">
        <v>28</v>
      </c>
      <c r="C89" s="40">
        <v>1684.7531698434552</v>
      </c>
      <c r="D89" s="63">
        <v>28</v>
      </c>
      <c r="E89" s="40">
        <v>-22.48151640490903</v>
      </c>
      <c r="F89" s="63">
        <v>28</v>
      </c>
      <c r="G89" s="40">
        <v>784.18284992664519</v>
      </c>
    </row>
    <row r="90" spans="2:7" x14ac:dyDescent="0.3">
      <c r="B90" s="63">
        <v>29</v>
      </c>
      <c r="C90" s="40">
        <v>1071.1582228571453</v>
      </c>
      <c r="D90" s="63">
        <v>29</v>
      </c>
      <c r="E90" s="40">
        <v>36.538270863656351</v>
      </c>
      <c r="F90" s="63">
        <v>29</v>
      </c>
      <c r="G90" s="40">
        <v>1079.3254761987384</v>
      </c>
    </row>
    <row r="91" spans="2:7" x14ac:dyDescent="0.3">
      <c r="B91" s="63">
        <v>30</v>
      </c>
      <c r="C91" s="40">
        <v>1299.9606677011459</v>
      </c>
      <c r="D91" s="63">
        <v>30</v>
      </c>
      <c r="E91" s="40">
        <v>-37.100826981821179</v>
      </c>
      <c r="F91" s="63">
        <v>30</v>
      </c>
      <c r="G91" s="40">
        <v>1117.8704562178982</v>
      </c>
    </row>
    <row r="92" spans="2:7" x14ac:dyDescent="0.3">
      <c r="B92" s="63">
        <v>31</v>
      </c>
      <c r="C92" s="40">
        <v>792.49630029306559</v>
      </c>
      <c r="D92" s="63">
        <v>31</v>
      </c>
      <c r="E92" s="40">
        <v>0.39219545583449644</v>
      </c>
      <c r="F92" s="63">
        <v>31</v>
      </c>
      <c r="G92" s="40">
        <v>1057.2510976925103</v>
      </c>
    </row>
    <row r="93" spans="2:7" x14ac:dyDescent="0.3">
      <c r="B93" s="63">
        <v>32</v>
      </c>
      <c r="C93" s="40">
        <v>968.26719055701597</v>
      </c>
      <c r="D93" s="63">
        <v>32</v>
      </c>
      <c r="E93" s="40">
        <v>8.4053440975558154</v>
      </c>
      <c r="F93" s="63">
        <v>32</v>
      </c>
      <c r="G93" s="40">
        <v>1870.5947711420179</v>
      </c>
    </row>
    <row r="94" spans="2:7" x14ac:dyDescent="0.3">
      <c r="B94" s="63">
        <v>33</v>
      </c>
      <c r="C94" s="40">
        <v>912.22650329285204</v>
      </c>
      <c r="D94" s="63">
        <v>33</v>
      </c>
      <c r="E94" s="40">
        <v>42.343109926091543</v>
      </c>
      <c r="F94" s="63">
        <v>33</v>
      </c>
      <c r="G94" s="40">
        <v>1314.187092949662</v>
      </c>
    </row>
    <row r="95" spans="2:7" x14ac:dyDescent="0.3">
      <c r="B95" s="63">
        <v>34</v>
      </c>
      <c r="C95" s="40">
        <v>1057.0414693089292</v>
      </c>
      <c r="D95" s="63">
        <v>34</v>
      </c>
      <c r="E95" s="40">
        <v>47.567567990180009</v>
      </c>
      <c r="F95" s="63">
        <v>34</v>
      </c>
      <c r="G95" s="40">
        <v>1231.7485769957173</v>
      </c>
    </row>
    <row r="96" spans="2:7" x14ac:dyDescent="0.3">
      <c r="B96" s="63">
        <v>35</v>
      </c>
      <c r="C96" s="40">
        <v>1681.3332843030259</v>
      </c>
      <c r="D96" s="63">
        <v>35</v>
      </c>
      <c r="E96" s="40">
        <v>-37.219252444414508</v>
      </c>
      <c r="F96" s="63">
        <v>35</v>
      </c>
      <c r="G96" s="40">
        <v>1261.1143039862927</v>
      </c>
    </row>
    <row r="97" spans="2:7" x14ac:dyDescent="0.3">
      <c r="B97" s="63">
        <v>36</v>
      </c>
      <c r="C97" s="40">
        <v>1241.1669454377413</v>
      </c>
      <c r="D97" s="63">
        <v>36</v>
      </c>
      <c r="E97" s="40">
        <v>26.91661124359802</v>
      </c>
      <c r="F97" s="63">
        <v>36</v>
      </c>
      <c r="G97" s="40">
        <v>982.09345745634482</v>
      </c>
    </row>
    <row r="98" spans="2:7" x14ac:dyDescent="0.3">
      <c r="B98" s="63">
        <v>37</v>
      </c>
      <c r="C98" s="40">
        <v>678.86595384009502</v>
      </c>
      <c r="D98" s="63">
        <v>37</v>
      </c>
      <c r="E98" s="40">
        <v>-6.7190979810771623</v>
      </c>
      <c r="F98" s="63">
        <v>37</v>
      </c>
      <c r="G98" s="40">
        <v>1401.4269883728552</v>
      </c>
    </row>
    <row r="99" spans="2:7" x14ac:dyDescent="0.3">
      <c r="B99" s="63">
        <v>38</v>
      </c>
      <c r="C99" s="40">
        <v>571.01273756076318</v>
      </c>
      <c r="D99" s="63">
        <v>38</v>
      </c>
      <c r="E99" s="40">
        <v>23.093284910209039</v>
      </c>
      <c r="F99" s="63">
        <v>38</v>
      </c>
      <c r="G99" s="40">
        <v>1394.9015299583502</v>
      </c>
    </row>
    <row r="100" spans="2:7" x14ac:dyDescent="0.3">
      <c r="B100" s="63">
        <v>39</v>
      </c>
      <c r="C100" s="40">
        <v>1077.3897717649415</v>
      </c>
      <c r="D100" s="63">
        <v>39</v>
      </c>
      <c r="E100" s="40">
        <v>-39.791024405554118</v>
      </c>
      <c r="F100" s="63">
        <v>39</v>
      </c>
      <c r="G100" s="40">
        <v>475.34158893148197</v>
      </c>
    </row>
    <row r="101" spans="2:7" x14ac:dyDescent="0.3">
      <c r="B101" s="63">
        <v>40</v>
      </c>
      <c r="C101" s="40">
        <v>990.59263656087046</v>
      </c>
      <c r="D101" s="63">
        <v>40</v>
      </c>
      <c r="E101" s="40">
        <v>32.926674792986688</v>
      </c>
      <c r="F101" s="63">
        <v>40</v>
      </c>
      <c r="G101" s="40">
        <v>817.25972079073824</v>
      </c>
    </row>
    <row r="102" spans="2:7" x14ac:dyDescent="0.3">
      <c r="B102" s="63">
        <v>41</v>
      </c>
      <c r="C102" s="40">
        <v>1025.9806642607939</v>
      </c>
      <c r="D102" s="63">
        <v>41</v>
      </c>
      <c r="E102" s="40">
        <v>24.225478292882499</v>
      </c>
      <c r="F102" s="63">
        <v>41</v>
      </c>
      <c r="G102" s="40">
        <v>755.67806645057647</v>
      </c>
    </row>
    <row r="103" spans="2:7" x14ac:dyDescent="0.3">
      <c r="B103" s="63">
        <v>42</v>
      </c>
      <c r="C103" s="40">
        <v>805.84985784584069</v>
      </c>
      <c r="D103" s="63">
        <v>42</v>
      </c>
      <c r="E103" s="40">
        <v>6.2127314840354479</v>
      </c>
      <c r="F103" s="63">
        <v>42</v>
      </c>
      <c r="G103" s="40">
        <v>825.35950995238818</v>
      </c>
    </row>
    <row r="104" spans="2:7" x14ac:dyDescent="0.3">
      <c r="B104" s="63">
        <v>43</v>
      </c>
      <c r="C104" s="40">
        <v>1248.590726598024</v>
      </c>
      <c r="D104" s="63">
        <v>43</v>
      </c>
      <c r="E104" s="40">
        <v>-42.366790906205978</v>
      </c>
      <c r="F104" s="63">
        <v>43</v>
      </c>
      <c r="G104" s="40">
        <v>1353.0298839064903</v>
      </c>
    </row>
    <row r="105" spans="2:7" x14ac:dyDescent="0.3">
      <c r="B105" s="63">
        <v>44</v>
      </c>
      <c r="C105" s="40">
        <v>613.29999943164069</v>
      </c>
      <c r="D105" s="63">
        <v>44</v>
      </c>
      <c r="E105" s="40">
        <v>18.067305605518996</v>
      </c>
      <c r="F105" s="63">
        <v>44</v>
      </c>
      <c r="G105" s="40">
        <v>1372.0954800777863</v>
      </c>
    </row>
    <row r="106" spans="2:7" x14ac:dyDescent="0.3">
      <c r="B106" s="63">
        <v>45</v>
      </c>
      <c r="C106" s="40">
        <v>1478.0039250638645</v>
      </c>
      <c r="D106" s="63">
        <v>45</v>
      </c>
      <c r="E106" s="40">
        <v>60.541027614648989</v>
      </c>
      <c r="F106" s="63">
        <v>45</v>
      </c>
      <c r="G106" s="40">
        <v>878.22683918866949</v>
      </c>
    </row>
    <row r="107" spans="2:7" x14ac:dyDescent="0.3">
      <c r="B107" s="63">
        <v>46</v>
      </c>
      <c r="C107" s="40">
        <v>1094.6614494720852</v>
      </c>
      <c r="D107" s="63">
        <v>46</v>
      </c>
      <c r="E107" s="40">
        <v>39.325953133763555</v>
      </c>
      <c r="F107" s="63">
        <v>46</v>
      </c>
      <c r="G107" s="40">
        <v>1124.3834804644146</v>
      </c>
    </row>
    <row r="108" spans="2:7" x14ac:dyDescent="0.3">
      <c r="B108" s="63">
        <v>47</v>
      </c>
      <c r="C108" s="40">
        <v>1274.4782403808849</v>
      </c>
      <c r="D108" s="63">
        <v>47</v>
      </c>
      <c r="E108" s="40">
        <v>-31.340972723859323</v>
      </c>
      <c r="F108" s="63">
        <v>47</v>
      </c>
      <c r="G108" s="40">
        <v>1413.771215107739</v>
      </c>
    </row>
    <row r="109" spans="2:7" x14ac:dyDescent="0.3">
      <c r="B109" s="63">
        <v>48</v>
      </c>
      <c r="C109" s="40">
        <v>901.81296309881532</v>
      </c>
      <c r="D109" s="63">
        <v>48</v>
      </c>
      <c r="E109" s="40">
        <v>-17.881588548376307</v>
      </c>
      <c r="F109" s="63">
        <v>48</v>
      </c>
      <c r="G109" s="40">
        <v>1020.9725694641047</v>
      </c>
    </row>
    <row r="110" spans="2:7" x14ac:dyDescent="0.3">
      <c r="B110" s="63">
        <v>49</v>
      </c>
      <c r="C110" s="40">
        <v>393.90480538451646</v>
      </c>
      <c r="D110" s="63">
        <v>49</v>
      </c>
      <c r="E110" s="40">
        <v>45.069793319241363</v>
      </c>
      <c r="F110" s="63">
        <v>49</v>
      </c>
      <c r="G110" s="40">
        <v>1153.9716593859825</v>
      </c>
    </row>
    <row r="111" spans="2:7" x14ac:dyDescent="0.3">
      <c r="B111" s="63">
        <v>50</v>
      </c>
      <c r="C111" s="40">
        <v>864.92942207205215</v>
      </c>
      <c r="D111" s="63">
        <v>50</v>
      </c>
      <c r="E111" s="40">
        <v>6.4591742509516861</v>
      </c>
      <c r="F111" s="63">
        <v>50</v>
      </c>
      <c r="G111" s="40">
        <v>1007.3820795212165</v>
      </c>
    </row>
    <row r="112" spans="2:7" x14ac:dyDescent="0.3">
      <c r="B112" s="63">
        <v>51</v>
      </c>
      <c r="C112" s="40">
        <v>1603.7491221826049</v>
      </c>
      <c r="D112" s="63">
        <v>51</v>
      </c>
      <c r="E112" s="40">
        <v>-49.18575529701485</v>
      </c>
      <c r="F112" s="63">
        <v>51</v>
      </c>
      <c r="G112" s="40">
        <v>1116.0305019391719</v>
      </c>
    </row>
    <row r="113" spans="2:7" x14ac:dyDescent="0.3">
      <c r="B113" s="63">
        <v>52</v>
      </c>
      <c r="C113" s="40">
        <v>988.84575242890742</v>
      </c>
      <c r="D113" s="63">
        <v>52</v>
      </c>
      <c r="E113" s="40">
        <v>-44.558326670259362</v>
      </c>
      <c r="F113" s="63">
        <v>52</v>
      </c>
      <c r="G113" s="40">
        <v>1743.8499172204909</v>
      </c>
    </row>
    <row r="114" spans="2:7" x14ac:dyDescent="0.3">
      <c r="B114" s="63">
        <v>53</v>
      </c>
      <c r="C114" s="40">
        <v>760.77459862734145</v>
      </c>
      <c r="D114" s="63">
        <v>53</v>
      </c>
      <c r="E114" s="40">
        <v>18.439220263113178</v>
      </c>
      <c r="F114" s="63">
        <v>53</v>
      </c>
      <c r="G114" s="40">
        <v>643.89575396768078</v>
      </c>
    </row>
    <row r="115" spans="2:7" x14ac:dyDescent="0.3">
      <c r="B115" s="63">
        <v>54</v>
      </c>
      <c r="C115" s="40">
        <v>618.98065252057756</v>
      </c>
      <c r="D115" s="63">
        <v>54</v>
      </c>
      <c r="E115" s="40">
        <v>-3.8304168796064886</v>
      </c>
      <c r="F115" s="63">
        <v>54</v>
      </c>
      <c r="G115" s="40">
        <v>1183.6052298798948</v>
      </c>
    </row>
    <row r="116" spans="2:7" x14ac:dyDescent="0.3">
      <c r="B116" s="63">
        <v>55</v>
      </c>
      <c r="C116" s="40">
        <v>902.69418164614035</v>
      </c>
      <c r="D116" s="63">
        <v>55</v>
      </c>
      <c r="E116" s="40">
        <v>6.0262090112489126</v>
      </c>
      <c r="F116" s="63">
        <v>55</v>
      </c>
      <c r="G116" s="40">
        <v>1703.7541409565183</v>
      </c>
    </row>
    <row r="117" spans="2:7" x14ac:dyDescent="0.3">
      <c r="B117" s="63">
        <v>56</v>
      </c>
      <c r="C117" s="40">
        <v>-58.189276435893738</v>
      </c>
      <c r="D117" s="63">
        <v>56</v>
      </c>
      <c r="E117" s="40">
        <v>3.07365900010549</v>
      </c>
      <c r="F117" s="63">
        <v>56</v>
      </c>
      <c r="G117" s="40">
        <v>1256.1739398178026</v>
      </c>
    </row>
    <row r="118" spans="2:7" x14ac:dyDescent="0.3">
      <c r="B118" s="63">
        <v>57</v>
      </c>
      <c r="C118" s="40">
        <v>1147.926609717945</v>
      </c>
      <c r="D118" s="63">
        <v>57</v>
      </c>
      <c r="E118" s="40">
        <v>41.182205139027829</v>
      </c>
      <c r="F118" s="63">
        <v>57</v>
      </c>
      <c r="G118" s="40">
        <v>1975.7888774527109</v>
      </c>
    </row>
    <row r="119" spans="2:7" x14ac:dyDescent="0.3">
      <c r="B119" s="63">
        <v>58</v>
      </c>
      <c r="C119" s="40">
        <v>779.27923706665695</v>
      </c>
      <c r="D119" s="63">
        <v>58</v>
      </c>
      <c r="E119" s="40">
        <v>-14.395892386926278</v>
      </c>
      <c r="F119" s="63">
        <v>58</v>
      </c>
      <c r="G119" s="40">
        <v>1198.8225747186641</v>
      </c>
    </row>
    <row r="120" spans="2:7" x14ac:dyDescent="0.3">
      <c r="B120" s="63">
        <v>59</v>
      </c>
      <c r="C120" s="40">
        <v>465.19513529802987</v>
      </c>
      <c r="D120" s="63">
        <v>59</v>
      </c>
      <c r="E120" s="40">
        <v>49.999218225658836</v>
      </c>
      <c r="F120" s="63">
        <v>59</v>
      </c>
      <c r="G120" s="40">
        <v>825.76550335007823</v>
      </c>
    </row>
    <row r="121" spans="2:7" x14ac:dyDescent="0.3">
      <c r="B121" s="63">
        <v>60</v>
      </c>
      <c r="C121" s="40">
        <v>1051.6365033126333</v>
      </c>
      <c r="D121" s="63">
        <v>60</v>
      </c>
      <c r="E121" s="40">
        <v>-15.343606311611872</v>
      </c>
      <c r="F121" s="63">
        <v>60</v>
      </c>
      <c r="G121" s="40">
        <v>692.77015882237913</v>
      </c>
    </row>
    <row r="122" spans="2:7" x14ac:dyDescent="0.3">
      <c r="B122" s="63">
        <v>61</v>
      </c>
      <c r="C122" s="40">
        <v>1163.0193449229807</v>
      </c>
      <c r="D122" s="63">
        <v>61</v>
      </c>
      <c r="E122" s="40">
        <v>24.703112179588366</v>
      </c>
      <c r="F122" s="63">
        <v>61</v>
      </c>
      <c r="G122" s="40">
        <v>1056.519001519541</v>
      </c>
    </row>
    <row r="123" spans="2:7" x14ac:dyDescent="0.3">
      <c r="B123" s="63">
        <v>62</v>
      </c>
      <c r="C123" s="40">
        <v>1134.2123653958929</v>
      </c>
      <c r="D123" s="63">
        <v>62</v>
      </c>
      <c r="E123" s="40">
        <v>39.614059973778446</v>
      </c>
      <c r="F123" s="63">
        <v>62</v>
      </c>
      <c r="G123" s="40">
        <v>1894.0970592757824</v>
      </c>
    </row>
    <row r="124" spans="2:7" x14ac:dyDescent="0.3">
      <c r="B124" s="63">
        <v>63</v>
      </c>
      <c r="C124" s="40">
        <v>422.1071035892034</v>
      </c>
      <c r="D124" s="63">
        <v>63</v>
      </c>
      <c r="E124" s="40">
        <v>9.1924419012049512</v>
      </c>
      <c r="F124" s="63">
        <v>63</v>
      </c>
      <c r="G124" s="40">
        <v>1520.3473688822758</v>
      </c>
    </row>
    <row r="125" spans="2:7" x14ac:dyDescent="0.3">
      <c r="B125" s="63">
        <v>64</v>
      </c>
      <c r="C125" s="40">
        <v>631.42384460075039</v>
      </c>
      <c r="D125" s="63">
        <v>64</v>
      </c>
      <c r="E125" s="40">
        <v>-18.361142586917527</v>
      </c>
      <c r="F125" s="63">
        <v>64</v>
      </c>
      <c r="G125" s="40">
        <v>850.74284547114735</v>
      </c>
    </row>
    <row r="126" spans="2:7" x14ac:dyDescent="0.3">
      <c r="B126" s="63">
        <v>65</v>
      </c>
      <c r="C126" s="40">
        <v>1439.2549459018817</v>
      </c>
      <c r="D126" s="63">
        <v>65</v>
      </c>
      <c r="E126" s="40">
        <v>28.706337144180338</v>
      </c>
      <c r="F126" s="63">
        <v>65</v>
      </c>
      <c r="G126" s="40">
        <v>1070.5964485122954</v>
      </c>
    </row>
    <row r="127" spans="2:7" x14ac:dyDescent="0.3">
      <c r="B127" s="63">
        <v>66</v>
      </c>
      <c r="C127" s="40">
        <v>1520.0297790899047</v>
      </c>
      <c r="D127" s="63">
        <v>66</v>
      </c>
      <c r="E127" s="40">
        <v>23.101561188741712</v>
      </c>
      <c r="F127" s="63">
        <v>66</v>
      </c>
      <c r="G127" s="40">
        <v>1331.3907029050747</v>
      </c>
    </row>
    <row r="128" spans="2:7" x14ac:dyDescent="0.3">
      <c r="B128" s="63">
        <v>67</v>
      </c>
      <c r="C128" s="40">
        <v>724.29074646340393</v>
      </c>
      <c r="D128" s="63">
        <v>67</v>
      </c>
      <c r="E128" s="40">
        <v>-32.40043306249828</v>
      </c>
      <c r="F128" s="63">
        <v>67</v>
      </c>
      <c r="G128" s="40">
        <v>1109.4992429405149</v>
      </c>
    </row>
    <row r="129" spans="2:7" x14ac:dyDescent="0.3">
      <c r="B129" s="63">
        <v>68</v>
      </c>
      <c r="C129" s="40">
        <v>1283.4402262726012</v>
      </c>
      <c r="D129" s="63">
        <v>68</v>
      </c>
      <c r="E129" s="40">
        <v>6.1764865932476454</v>
      </c>
      <c r="F129" s="63">
        <v>68</v>
      </c>
      <c r="G129" s="40">
        <v>1270.3753723514669</v>
      </c>
    </row>
    <row r="130" spans="2:7" x14ac:dyDescent="0.3">
      <c r="B130" s="63">
        <v>69</v>
      </c>
      <c r="C130" s="40">
        <v>732.61379733959166</v>
      </c>
      <c r="D130" s="63">
        <v>69</v>
      </c>
      <c r="E130" s="40">
        <v>9.6001081949228642</v>
      </c>
      <c r="F130" s="63">
        <v>69</v>
      </c>
      <c r="G130" s="40">
        <v>1736.2067599830359</v>
      </c>
    </row>
    <row r="131" spans="2:7" x14ac:dyDescent="0.3">
      <c r="B131" s="63">
        <v>70</v>
      </c>
      <c r="C131" s="40">
        <v>1256.4519787268339</v>
      </c>
      <c r="D131" s="63">
        <v>70</v>
      </c>
      <c r="E131" s="40">
        <v>6.1320517708078057</v>
      </c>
      <c r="F131" s="63">
        <v>70</v>
      </c>
      <c r="G131" s="40">
        <v>876.62097187036409</v>
      </c>
    </row>
    <row r="132" spans="2:7" x14ac:dyDescent="0.3">
      <c r="B132" s="63">
        <v>71</v>
      </c>
      <c r="C132" s="40">
        <v>1051.2378781920447</v>
      </c>
      <c r="D132" s="63">
        <v>71</v>
      </c>
      <c r="E132" s="40">
        <v>29.109960760344336</v>
      </c>
      <c r="F132" s="63">
        <v>71</v>
      </c>
      <c r="G132" s="40">
        <v>1234.2801261408949</v>
      </c>
    </row>
    <row r="133" spans="2:7" x14ac:dyDescent="0.3">
      <c r="B133" s="63">
        <v>72</v>
      </c>
      <c r="C133" s="40">
        <v>857.24640278964762</v>
      </c>
      <c r="D133" s="63">
        <v>72</v>
      </c>
      <c r="E133" s="40">
        <v>12.329178856265166</v>
      </c>
      <c r="F133" s="63">
        <v>72</v>
      </c>
      <c r="G133" s="40">
        <v>1109.7978964305419</v>
      </c>
    </row>
    <row r="134" spans="2:7" x14ac:dyDescent="0.3">
      <c r="B134" s="63">
        <v>73</v>
      </c>
      <c r="C134" s="40">
        <v>1309.3262583440805</v>
      </c>
      <c r="D134" s="63">
        <v>73</v>
      </c>
      <c r="E134" s="40">
        <v>1.2298068030483655</v>
      </c>
      <c r="F134" s="63">
        <v>73</v>
      </c>
      <c r="G134" s="40">
        <v>922.12759991849043</v>
      </c>
    </row>
    <row r="135" spans="2:7" x14ac:dyDescent="0.3">
      <c r="B135" s="63">
        <v>74</v>
      </c>
      <c r="C135" s="40">
        <v>1292.0521594470144</v>
      </c>
      <c r="D135" s="63">
        <v>74</v>
      </c>
      <c r="E135" s="40">
        <v>-22.041192224115406</v>
      </c>
      <c r="F135" s="63">
        <v>74</v>
      </c>
      <c r="G135" s="40">
        <v>835.37992101870236</v>
      </c>
    </row>
    <row r="136" spans="2:7" x14ac:dyDescent="0.3">
      <c r="B136" s="63">
        <v>75</v>
      </c>
      <c r="C136" s="40">
        <v>1335.413357206799</v>
      </c>
      <c r="D136" s="63">
        <v>75</v>
      </c>
      <c r="E136" s="40">
        <v>10.200133887025814</v>
      </c>
      <c r="F136" s="63">
        <v>75</v>
      </c>
      <c r="G136" s="40">
        <v>1041.5577652001232</v>
      </c>
    </row>
    <row r="137" spans="2:7" x14ac:dyDescent="0.3">
      <c r="B137" s="63">
        <v>76</v>
      </c>
      <c r="C137" s="40">
        <v>1753.6399265400687</v>
      </c>
      <c r="D137" s="63">
        <v>76</v>
      </c>
      <c r="E137" s="40">
        <v>-65.732426407736028</v>
      </c>
      <c r="F137" s="63">
        <v>76</v>
      </c>
      <c r="G137" s="40">
        <v>852.64293108993627</v>
      </c>
    </row>
    <row r="138" spans="2:7" x14ac:dyDescent="0.3">
      <c r="B138" s="63">
        <v>77</v>
      </c>
      <c r="C138" s="40">
        <v>1080.8906499806503</v>
      </c>
      <c r="D138" s="63">
        <v>77</v>
      </c>
      <c r="E138" s="40">
        <v>28.402523474148254</v>
      </c>
      <c r="F138" s="63">
        <v>77</v>
      </c>
      <c r="G138" s="40">
        <v>1288.8625951030826</v>
      </c>
    </row>
    <row r="139" spans="2:7" x14ac:dyDescent="0.3">
      <c r="B139" s="63">
        <v>78</v>
      </c>
      <c r="C139" s="40">
        <v>1030.0806435778097</v>
      </c>
      <c r="D139" s="63">
        <v>78</v>
      </c>
      <c r="E139" s="40">
        <v>10.687733022054456</v>
      </c>
      <c r="F139" s="63">
        <v>78</v>
      </c>
      <c r="G139" s="40">
        <v>1099.942506638107</v>
      </c>
    </row>
    <row r="140" spans="2:7" x14ac:dyDescent="0.3">
      <c r="B140" s="63">
        <v>79</v>
      </c>
      <c r="C140" s="40">
        <v>1213.2102626903024</v>
      </c>
      <c r="D140" s="63">
        <v>79</v>
      </c>
      <c r="E140" s="40">
        <v>3.4259121519802704E-2</v>
      </c>
      <c r="F140" s="63">
        <v>79</v>
      </c>
      <c r="G140" s="40">
        <v>1416.0429632440184</v>
      </c>
    </row>
    <row r="141" spans="2:7" x14ac:dyDescent="0.3">
      <c r="B141" s="63">
        <v>80</v>
      </c>
      <c r="C141" s="40">
        <v>962.98285248947593</v>
      </c>
      <c r="D141" s="63">
        <v>80</v>
      </c>
      <c r="E141" s="40">
        <v>-25.012931272979742</v>
      </c>
      <c r="F141" s="63">
        <v>80</v>
      </c>
      <c r="G141" s="40">
        <v>444.95310601470931</v>
      </c>
    </row>
    <row r="142" spans="2:7" x14ac:dyDescent="0.3">
      <c r="B142" s="63">
        <v>81</v>
      </c>
      <c r="C142" s="40">
        <v>973.950752181854</v>
      </c>
      <c r="D142" s="63">
        <v>81</v>
      </c>
      <c r="E142" s="40">
        <v>-40.292821362490862</v>
      </c>
      <c r="F142" s="63">
        <v>81</v>
      </c>
      <c r="G142" s="40">
        <v>1294.076741293477</v>
      </c>
    </row>
    <row r="143" spans="2:7" x14ac:dyDescent="0.3">
      <c r="B143" s="63">
        <v>82</v>
      </c>
      <c r="C143" s="40">
        <v>694.36141755468304</v>
      </c>
      <c r="D143" s="63">
        <v>82</v>
      </c>
      <c r="E143" s="40">
        <v>-48.242593603120262</v>
      </c>
      <c r="F143" s="63">
        <v>82</v>
      </c>
      <c r="G143" s="40">
        <v>866.79085010355391</v>
      </c>
    </row>
    <row r="144" spans="2:7" x14ac:dyDescent="0.3">
      <c r="B144" s="63">
        <v>83</v>
      </c>
      <c r="C144" s="40">
        <v>1882.3642502822277</v>
      </c>
      <c r="D144" s="63">
        <v>83</v>
      </c>
      <c r="E144" s="40">
        <v>76.487619756487959</v>
      </c>
      <c r="F144" s="63">
        <v>83</v>
      </c>
      <c r="G144" s="40">
        <v>1604.8865476803571</v>
      </c>
    </row>
    <row r="145" spans="2:7" x14ac:dyDescent="0.3">
      <c r="B145" s="63">
        <v>84</v>
      </c>
      <c r="C145" s="40">
        <v>937.66167880639546</v>
      </c>
      <c r="D145" s="63">
        <v>84</v>
      </c>
      <c r="E145" s="40">
        <v>31.351041825421625</v>
      </c>
      <c r="F145" s="63">
        <v>84</v>
      </c>
      <c r="G145" s="40">
        <v>811.15136477016711</v>
      </c>
    </row>
    <row r="146" spans="2:7" x14ac:dyDescent="0.3">
      <c r="B146" s="63">
        <v>85</v>
      </c>
      <c r="C146" s="40">
        <v>1412.8843024650546</v>
      </c>
      <c r="D146" s="63">
        <v>85</v>
      </c>
      <c r="E146" s="40">
        <v>-41.346895518120633</v>
      </c>
      <c r="F146" s="63">
        <v>85</v>
      </c>
      <c r="G146" s="40">
        <v>868.13080281469024</v>
      </c>
    </row>
    <row r="147" spans="2:7" x14ac:dyDescent="0.3">
      <c r="B147" s="63">
        <v>86</v>
      </c>
      <c r="C147" s="40">
        <v>1145.4445291323689</v>
      </c>
      <c r="D147" s="63">
        <v>86</v>
      </c>
      <c r="E147" s="40">
        <v>56.590103647037445</v>
      </c>
      <c r="F147" s="63">
        <v>86</v>
      </c>
      <c r="G147" s="40">
        <v>1145.177463060978</v>
      </c>
    </row>
    <row r="148" spans="2:7" x14ac:dyDescent="0.3">
      <c r="B148" s="63">
        <v>87</v>
      </c>
      <c r="C148" s="40">
        <v>1112.8424544324714</v>
      </c>
      <c r="D148" s="63">
        <v>87</v>
      </c>
      <c r="E148" s="40">
        <v>8.5667030907386419</v>
      </c>
      <c r="F148" s="63">
        <v>87</v>
      </c>
      <c r="G148" s="40">
        <v>2076.3025374559461</v>
      </c>
    </row>
    <row r="149" spans="2:7" x14ac:dyDescent="0.3">
      <c r="B149" s="63">
        <v>88</v>
      </c>
      <c r="C149" s="40">
        <v>1363.7739014078463</v>
      </c>
      <c r="D149" s="63">
        <v>88</v>
      </c>
      <c r="E149" s="40">
        <v>-36.54601698070676</v>
      </c>
      <c r="F149" s="63">
        <v>88</v>
      </c>
      <c r="G149" s="40">
        <v>1437.2851133529687</v>
      </c>
    </row>
    <row r="150" spans="2:7" x14ac:dyDescent="0.3">
      <c r="B150" s="63">
        <v>89</v>
      </c>
      <c r="C150" s="40">
        <v>1376.4337483120221</v>
      </c>
      <c r="D150" s="63">
        <v>89</v>
      </c>
      <c r="E150" s="40">
        <v>8.0401065920968726</v>
      </c>
      <c r="F150" s="63">
        <v>89</v>
      </c>
      <c r="G150" s="40">
        <v>1400.7581122498755</v>
      </c>
    </row>
    <row r="151" spans="2:7" x14ac:dyDescent="0.3">
      <c r="B151" s="63">
        <v>90</v>
      </c>
      <c r="C151" s="40">
        <v>699.67231798646094</v>
      </c>
      <c r="D151" s="63">
        <v>90</v>
      </c>
      <c r="E151" s="40">
        <v>2.9236006629816487</v>
      </c>
      <c r="F151" s="63">
        <v>90</v>
      </c>
      <c r="G151" s="40">
        <v>1307.3135697969601</v>
      </c>
    </row>
    <row r="152" spans="2:7" x14ac:dyDescent="0.3">
      <c r="B152" s="63">
        <v>91</v>
      </c>
      <c r="C152" s="40">
        <v>1514.5548680676716</v>
      </c>
      <c r="D152" s="63">
        <v>91</v>
      </c>
      <c r="E152" s="40">
        <v>49.01605182526653</v>
      </c>
      <c r="F152" s="63">
        <v>91</v>
      </c>
      <c r="G152" s="40">
        <v>1332.8245285605885</v>
      </c>
    </row>
    <row r="153" spans="2:7" x14ac:dyDescent="0.3">
      <c r="B153" s="63">
        <v>92</v>
      </c>
      <c r="C153" s="40">
        <v>1358.4697183185269</v>
      </c>
      <c r="D153" s="63">
        <v>92</v>
      </c>
      <c r="E153" s="40">
        <v>-5.0290971401321301</v>
      </c>
      <c r="F153" s="63">
        <v>92</v>
      </c>
      <c r="G153" s="40">
        <v>535.51733952240545</v>
      </c>
    </row>
    <row r="154" spans="2:7" x14ac:dyDescent="0.3">
      <c r="B154" s="63">
        <v>93</v>
      </c>
      <c r="C154" s="40">
        <v>629.99294387192947</v>
      </c>
      <c r="D154" s="63">
        <v>93</v>
      </c>
      <c r="E154" s="40">
        <v>-18.580045980511834</v>
      </c>
      <c r="F154" s="63">
        <v>93</v>
      </c>
      <c r="G154" s="40">
        <v>1698.6311478964994</v>
      </c>
    </row>
    <row r="155" spans="2:7" x14ac:dyDescent="0.3">
      <c r="B155" s="63">
        <v>94</v>
      </c>
      <c r="C155" s="40">
        <v>1112.9313231011681</v>
      </c>
      <c r="D155" s="63">
        <v>94</v>
      </c>
      <c r="E155" s="40">
        <v>17.545648853059596</v>
      </c>
      <c r="F155" s="63">
        <v>94</v>
      </c>
      <c r="G155" s="40">
        <v>557.26278600535727</v>
      </c>
    </row>
    <row r="156" spans="2:7" x14ac:dyDescent="0.3">
      <c r="B156" s="63">
        <v>95</v>
      </c>
      <c r="C156" s="40">
        <v>846.40544502994123</v>
      </c>
      <c r="D156" s="63">
        <v>95</v>
      </c>
      <c r="E156" s="40">
        <v>-1.2707083863708908</v>
      </c>
      <c r="F156" s="63">
        <v>95</v>
      </c>
      <c r="G156" s="40">
        <v>1345.760301537611</v>
      </c>
    </row>
    <row r="157" spans="2:7" x14ac:dyDescent="0.3">
      <c r="B157" s="63">
        <v>96</v>
      </c>
      <c r="C157" s="40">
        <v>989.59484370181747</v>
      </c>
      <c r="D157" s="63">
        <v>96</v>
      </c>
      <c r="E157" s="40">
        <v>8.5177676236209194</v>
      </c>
      <c r="F157" s="63">
        <v>96</v>
      </c>
      <c r="G157" s="40">
        <v>1101.9675747028164</v>
      </c>
    </row>
    <row r="158" spans="2:7" x14ac:dyDescent="0.3">
      <c r="B158" s="63">
        <v>97</v>
      </c>
      <c r="C158" s="40">
        <v>937.44856111190938</v>
      </c>
      <c r="D158" s="63">
        <v>97</v>
      </c>
      <c r="E158" s="40">
        <v>-33.461344426752397</v>
      </c>
      <c r="F158" s="63">
        <v>97</v>
      </c>
      <c r="G158" s="40">
        <v>1057.7696107071176</v>
      </c>
    </row>
    <row r="159" spans="2:7" x14ac:dyDescent="0.3">
      <c r="B159" s="63">
        <v>98</v>
      </c>
      <c r="C159" s="40">
        <v>897.32275011800039</v>
      </c>
      <c r="D159" s="63">
        <v>98</v>
      </c>
      <c r="E159" s="40">
        <v>58.304250088947306</v>
      </c>
      <c r="F159" s="63">
        <v>98</v>
      </c>
      <c r="G159" s="40">
        <v>1035.6927121110823</v>
      </c>
    </row>
    <row r="160" spans="2:7" x14ac:dyDescent="0.3">
      <c r="B160" s="63">
        <v>99</v>
      </c>
      <c r="C160" s="40">
        <v>1051.9473764412608</v>
      </c>
      <c r="D160" s="63">
        <v>99</v>
      </c>
      <c r="E160" s="40">
        <v>29.675126766935861</v>
      </c>
      <c r="F160" s="63">
        <v>99</v>
      </c>
      <c r="G160" s="40">
        <v>1616.9309219545835</v>
      </c>
    </row>
    <row r="161" spans="2:7" x14ac:dyDescent="0.3">
      <c r="B161" s="63">
        <v>100</v>
      </c>
      <c r="C161" s="40">
        <v>1205.8564300552775</v>
      </c>
      <c r="D161" s="63">
        <v>100</v>
      </c>
      <c r="E161" s="40">
        <v>-6.3525471285248614</v>
      </c>
      <c r="F161" s="63">
        <v>100</v>
      </c>
      <c r="G161" s="40">
        <v>442.35228815176112</v>
      </c>
    </row>
    <row r="162" spans="2:7" x14ac:dyDescent="0.3">
      <c r="B162" s="63">
        <v>101</v>
      </c>
      <c r="C162" s="40">
        <v>1914.2909896284591</v>
      </c>
      <c r="D162" s="63">
        <v>101</v>
      </c>
      <c r="E162" s="40">
        <v>75.565522151351061</v>
      </c>
      <c r="F162" s="63">
        <v>101</v>
      </c>
      <c r="G162" s="40">
        <v>581.99053782312831</v>
      </c>
    </row>
    <row r="163" spans="2:7" x14ac:dyDescent="0.3">
      <c r="B163" s="63">
        <v>102</v>
      </c>
      <c r="C163" s="40">
        <v>1660.1458303297259</v>
      </c>
      <c r="D163" s="63">
        <v>102</v>
      </c>
      <c r="E163" s="40">
        <v>-39.031878633624792</v>
      </c>
      <c r="F163" s="63">
        <v>102</v>
      </c>
      <c r="G163" s="40">
        <v>978.55799780625421</v>
      </c>
    </row>
    <row r="164" spans="2:7" x14ac:dyDescent="0.3">
      <c r="B164" s="63">
        <v>103</v>
      </c>
      <c r="C164" s="40">
        <v>1360.1760326444141</v>
      </c>
      <c r="D164" s="63">
        <v>103</v>
      </c>
      <c r="E164" s="40">
        <v>6.4650997593333983</v>
      </c>
      <c r="F164" s="63">
        <v>103</v>
      </c>
      <c r="G164" s="40">
        <v>1308.8308776938504</v>
      </c>
    </row>
    <row r="165" spans="2:7" x14ac:dyDescent="0.3">
      <c r="B165" s="63">
        <v>104</v>
      </c>
      <c r="C165" s="40">
        <v>782.20449605174952</v>
      </c>
      <c r="D165" s="63">
        <v>104</v>
      </c>
      <c r="E165" s="40">
        <v>-0.24886393243154004</v>
      </c>
      <c r="F165" s="63">
        <v>104</v>
      </c>
      <c r="G165" s="40">
        <v>861.09320153684996</v>
      </c>
    </row>
    <row r="166" spans="2:7" x14ac:dyDescent="0.3">
      <c r="B166" s="63">
        <v>105</v>
      </c>
      <c r="C166" s="40">
        <v>1555.1420018205092</v>
      </c>
      <c r="D166" s="63">
        <v>105</v>
      </c>
      <c r="E166" s="40">
        <v>20.681416110196945</v>
      </c>
      <c r="F166" s="63">
        <v>105</v>
      </c>
      <c r="G166" s="40">
        <v>621.35339534039827</v>
      </c>
    </row>
    <row r="167" spans="2:7" x14ac:dyDescent="0.3">
      <c r="B167" s="63">
        <v>106</v>
      </c>
      <c r="C167" s="40">
        <v>1042.2815085594368</v>
      </c>
      <c r="D167" s="63">
        <v>106</v>
      </c>
      <c r="E167" s="40">
        <v>-5.7792716026394704</v>
      </c>
      <c r="F167" s="63">
        <v>106</v>
      </c>
      <c r="G167" s="40">
        <v>777.18125879852096</v>
      </c>
    </row>
    <row r="168" spans="2:7" x14ac:dyDescent="0.3">
      <c r="B168" s="63">
        <v>107</v>
      </c>
      <c r="C168" s="40">
        <v>1041.714145647851</v>
      </c>
      <c r="D168" s="63">
        <v>107</v>
      </c>
      <c r="E168" s="40">
        <v>24.471802901589111</v>
      </c>
      <c r="F168" s="63">
        <v>107</v>
      </c>
      <c r="G168" s="40">
        <v>886.71556704895602</v>
      </c>
    </row>
    <row r="169" spans="2:7" x14ac:dyDescent="0.3">
      <c r="B169" s="63">
        <v>108</v>
      </c>
      <c r="C169" s="40">
        <v>1031.5289839830066</v>
      </c>
      <c r="D169" s="63">
        <v>108</v>
      </c>
      <c r="E169" s="40">
        <v>-4.2492663527180667</v>
      </c>
      <c r="F169" s="63">
        <v>108</v>
      </c>
      <c r="G169" s="40">
        <v>989.78229334407195</v>
      </c>
    </row>
    <row r="170" spans="2:7" x14ac:dyDescent="0.3">
      <c r="B170" s="63">
        <v>109</v>
      </c>
      <c r="C170" s="40">
        <v>863.74350602488403</v>
      </c>
      <c r="D170" s="63">
        <v>109</v>
      </c>
      <c r="E170" s="40">
        <v>26.965465155702212</v>
      </c>
      <c r="F170" s="63">
        <v>109</v>
      </c>
      <c r="G170" s="40">
        <v>776.79847492152385</v>
      </c>
    </row>
    <row r="171" spans="2:7" x14ac:dyDescent="0.3">
      <c r="B171" s="63">
        <v>110</v>
      </c>
      <c r="C171" s="40">
        <v>1740.9522769539315</v>
      </c>
      <c r="D171" s="63">
        <v>110</v>
      </c>
      <c r="E171" s="40">
        <v>-7.8472235571475686</v>
      </c>
      <c r="F171" s="63">
        <v>110</v>
      </c>
      <c r="G171" s="40">
        <v>1450.1379476157947</v>
      </c>
    </row>
    <row r="172" spans="2:7" x14ac:dyDescent="0.3">
      <c r="B172" s="63">
        <v>111</v>
      </c>
      <c r="C172" s="40">
        <v>1844.325779862565</v>
      </c>
      <c r="D172" s="63">
        <v>111</v>
      </c>
      <c r="E172" s="40">
        <v>-41.917083187166739</v>
      </c>
      <c r="F172" s="63">
        <v>111</v>
      </c>
      <c r="G172" s="40">
        <v>1282.0836465562011</v>
      </c>
    </row>
    <row r="173" spans="2:7" x14ac:dyDescent="0.3">
      <c r="B173" s="63">
        <v>112</v>
      </c>
      <c r="C173" s="40">
        <v>1447.5135988136619</v>
      </c>
      <c r="D173" s="63">
        <v>112</v>
      </c>
      <c r="E173" s="40">
        <v>-52.235789318515387</v>
      </c>
      <c r="F173" s="63">
        <v>112</v>
      </c>
      <c r="G173" s="40">
        <v>928.73306956173917</v>
      </c>
    </row>
    <row r="174" spans="2:7" x14ac:dyDescent="0.3">
      <c r="B174" s="63">
        <v>113</v>
      </c>
      <c r="C174" s="40">
        <v>1101.9000492808802</v>
      </c>
      <c r="D174" s="63">
        <v>113</v>
      </c>
      <c r="E174" s="40">
        <v>53.373819133300444</v>
      </c>
      <c r="F174" s="63">
        <v>113</v>
      </c>
      <c r="G174" s="40">
        <v>957.78327497110809</v>
      </c>
    </row>
    <row r="175" spans="2:7" x14ac:dyDescent="0.3">
      <c r="B175" s="63">
        <v>114</v>
      </c>
      <c r="C175" s="40">
        <v>1843.9686288031946</v>
      </c>
      <c r="D175" s="63">
        <v>114</v>
      </c>
      <c r="E175" s="40">
        <v>25.215699053819598</v>
      </c>
      <c r="F175" s="63">
        <v>114</v>
      </c>
      <c r="G175" s="40">
        <v>1370.3065826291202</v>
      </c>
    </row>
    <row r="176" spans="2:7" x14ac:dyDescent="0.3">
      <c r="B176" s="63">
        <v>115</v>
      </c>
      <c r="C176" s="40">
        <v>931.08665504764178</v>
      </c>
      <c r="D176" s="63">
        <v>115</v>
      </c>
      <c r="E176" s="40">
        <v>50.132384865787998</v>
      </c>
      <c r="F176" s="63">
        <v>115</v>
      </c>
      <c r="G176" s="40">
        <v>593.92394953248674</v>
      </c>
    </row>
    <row r="177" spans="2:7" x14ac:dyDescent="0.3">
      <c r="B177" s="63">
        <v>116</v>
      </c>
      <c r="C177" s="40">
        <v>1245.3961024795046</v>
      </c>
      <c r="D177" s="63">
        <v>116</v>
      </c>
      <c r="E177" s="40">
        <v>65.110887344447789</v>
      </c>
      <c r="F177" s="63">
        <v>116</v>
      </c>
      <c r="G177" s="40">
        <v>909.90162691697333</v>
      </c>
    </row>
    <row r="178" spans="2:7" x14ac:dyDescent="0.3">
      <c r="B178" s="63">
        <v>117</v>
      </c>
      <c r="C178" s="40">
        <v>1296.8999756904554</v>
      </c>
      <c r="D178" s="63">
        <v>117</v>
      </c>
      <c r="E178" s="40">
        <v>40.383083717711486</v>
      </c>
      <c r="F178" s="63">
        <v>117</v>
      </c>
      <c r="G178" s="40">
        <v>1171.2247857886343</v>
      </c>
    </row>
    <row r="179" spans="2:7" x14ac:dyDescent="0.3">
      <c r="B179" s="63">
        <v>118</v>
      </c>
      <c r="C179" s="40">
        <v>1201.9439930032856</v>
      </c>
      <c r="D179" s="63">
        <v>118</v>
      </c>
      <c r="E179" s="40">
        <v>86.429944209852792</v>
      </c>
      <c r="F179" s="63">
        <v>118</v>
      </c>
      <c r="G179" s="40">
        <v>589.08807521888764</v>
      </c>
    </row>
    <row r="180" spans="2:7" x14ac:dyDescent="0.3">
      <c r="B180" s="63">
        <v>119</v>
      </c>
      <c r="C180" s="40">
        <v>1098.7566769843679</v>
      </c>
      <c r="D180" s="63">
        <v>119</v>
      </c>
      <c r="E180" s="40">
        <v>26.584487690661106</v>
      </c>
      <c r="F180" s="63">
        <v>119</v>
      </c>
      <c r="G180" s="40">
        <v>920.28125773167915</v>
      </c>
    </row>
    <row r="181" spans="2:7" x14ac:dyDescent="0.3">
      <c r="B181" s="63">
        <v>120</v>
      </c>
      <c r="C181" s="40">
        <v>1363.648776559756</v>
      </c>
      <c r="D181" s="63">
        <v>120</v>
      </c>
      <c r="E181" s="40">
        <v>-19.205835158820683</v>
      </c>
      <c r="F181" s="63">
        <v>120</v>
      </c>
      <c r="G181" s="40">
        <v>943.57853657102191</v>
      </c>
    </row>
    <row r="182" spans="2:7" x14ac:dyDescent="0.3">
      <c r="B182" s="63">
        <v>121</v>
      </c>
      <c r="C182" s="40">
        <v>1178.5901417811065</v>
      </c>
      <c r="D182" s="63">
        <v>121</v>
      </c>
      <c r="E182" s="40">
        <v>-32.926539567431242</v>
      </c>
      <c r="F182" s="63">
        <v>121</v>
      </c>
      <c r="G182" s="40">
        <v>825.84667613826412</v>
      </c>
    </row>
    <row r="183" spans="2:7" x14ac:dyDescent="0.3">
      <c r="B183" s="63">
        <v>122</v>
      </c>
      <c r="C183" s="40">
        <v>544.55287685868802</v>
      </c>
      <c r="D183" s="63">
        <v>122</v>
      </c>
      <c r="E183" s="40">
        <v>-50.366397027650962</v>
      </c>
      <c r="F183" s="63">
        <v>122</v>
      </c>
      <c r="G183" s="40">
        <v>1106.6799892014569</v>
      </c>
    </row>
    <row r="184" spans="2:7" x14ac:dyDescent="0.3">
      <c r="B184" s="63">
        <v>123</v>
      </c>
      <c r="C184" s="40">
        <v>1487.4025416987861</v>
      </c>
      <c r="D184" s="63">
        <v>123</v>
      </c>
      <c r="E184" s="40">
        <v>-0.23678053703679325</v>
      </c>
      <c r="F184" s="63">
        <v>123</v>
      </c>
      <c r="G184" s="40">
        <v>1511.2651795731467</v>
      </c>
    </row>
    <row r="185" spans="2:7" x14ac:dyDescent="0.3">
      <c r="B185" s="63">
        <v>124</v>
      </c>
      <c r="C185" s="40">
        <v>678.8528901947202</v>
      </c>
      <c r="D185" s="63">
        <v>124</v>
      </c>
      <c r="E185" s="40">
        <v>22.130576357345419</v>
      </c>
      <c r="F185" s="63">
        <v>124</v>
      </c>
      <c r="G185" s="40">
        <v>1862.5941268415165</v>
      </c>
    </row>
    <row r="186" spans="2:7" x14ac:dyDescent="0.3">
      <c r="B186" s="63">
        <v>125</v>
      </c>
      <c r="C186" s="40">
        <v>957.79952331495713</v>
      </c>
      <c r="D186" s="63">
        <v>125</v>
      </c>
      <c r="E186" s="40">
        <v>-34.927193418669646</v>
      </c>
      <c r="F186" s="63">
        <v>125</v>
      </c>
      <c r="G186" s="40">
        <v>1269.4673586104357</v>
      </c>
    </row>
    <row r="187" spans="2:7" x14ac:dyDescent="0.3">
      <c r="B187" s="63">
        <v>126</v>
      </c>
      <c r="C187" s="40">
        <v>1348.2965141867294</v>
      </c>
      <c r="D187" s="63">
        <v>126</v>
      </c>
      <c r="E187" s="40">
        <v>-13.127262857168592</v>
      </c>
      <c r="F187" s="63">
        <v>126</v>
      </c>
      <c r="G187" s="40">
        <v>1031.8755645338633</v>
      </c>
    </row>
    <row r="188" spans="2:7" x14ac:dyDescent="0.3">
      <c r="B188" s="63">
        <v>127</v>
      </c>
      <c r="C188" s="40">
        <v>1226.9287171170565</v>
      </c>
      <c r="D188" s="63">
        <v>127</v>
      </c>
      <c r="E188" s="40">
        <v>-8.2867106467918319</v>
      </c>
      <c r="F188" s="63">
        <v>127</v>
      </c>
      <c r="G188" s="40">
        <v>1138.1345896361063</v>
      </c>
    </row>
    <row r="189" spans="2:7" x14ac:dyDescent="0.3">
      <c r="B189" s="63">
        <v>128</v>
      </c>
      <c r="C189" s="40">
        <v>1740.7460324738702</v>
      </c>
      <c r="D189" s="63">
        <v>128</v>
      </c>
      <c r="E189" s="40">
        <v>-15.739247988146367</v>
      </c>
      <c r="F189" s="63">
        <v>128</v>
      </c>
      <c r="G189" s="40">
        <v>1045.0565623388529</v>
      </c>
    </row>
    <row r="190" spans="2:7" x14ac:dyDescent="0.3">
      <c r="B190" s="63">
        <v>129</v>
      </c>
      <c r="C190" s="40">
        <v>721.48101020486797</v>
      </c>
      <c r="D190" s="63">
        <v>129</v>
      </c>
      <c r="E190" s="40">
        <v>-6.4279169561803897</v>
      </c>
      <c r="F190" s="63">
        <v>129</v>
      </c>
      <c r="G190" s="40">
        <v>731.37383869684709</v>
      </c>
    </row>
    <row r="191" spans="2:7" x14ac:dyDescent="0.3">
      <c r="B191" s="63">
        <v>130</v>
      </c>
      <c r="C191" s="40">
        <v>1430.6942497864277</v>
      </c>
      <c r="D191" s="63">
        <v>130</v>
      </c>
      <c r="E191" s="40">
        <v>-0.20028058534688853</v>
      </c>
      <c r="F191" s="63">
        <v>130</v>
      </c>
      <c r="G191" s="40">
        <v>903.44780116879951</v>
      </c>
    </row>
    <row r="192" spans="2:7" x14ac:dyDescent="0.3">
      <c r="B192" s="63">
        <v>131</v>
      </c>
      <c r="C192" s="40">
        <v>916.83214780929154</v>
      </c>
      <c r="D192" s="63">
        <v>131</v>
      </c>
      <c r="E192" s="40">
        <v>-11.996824634103284</v>
      </c>
      <c r="F192" s="63">
        <v>131</v>
      </c>
      <c r="G192" s="40">
        <v>1200.4764264064283</v>
      </c>
    </row>
    <row r="193" spans="2:7" x14ac:dyDescent="0.3">
      <c r="B193" s="63">
        <v>132</v>
      </c>
      <c r="C193" s="40">
        <v>778.17307976557561</v>
      </c>
      <c r="D193" s="63">
        <v>132</v>
      </c>
      <c r="E193" s="40">
        <v>27.240204071200012</v>
      </c>
      <c r="F193" s="63">
        <v>132</v>
      </c>
      <c r="G193" s="40">
        <v>1426.6493377289205</v>
      </c>
    </row>
    <row r="194" spans="2:7" x14ac:dyDescent="0.3">
      <c r="B194" s="63">
        <v>133</v>
      </c>
      <c r="C194" s="40">
        <v>1318.8054897078077</v>
      </c>
      <c r="D194" s="63">
        <v>133</v>
      </c>
      <c r="E194" s="40">
        <v>5.6096633093832082</v>
      </c>
      <c r="F194" s="63">
        <v>133</v>
      </c>
      <c r="G194" s="40">
        <v>1292.9762346886469</v>
      </c>
    </row>
    <row r="195" spans="2:7" x14ac:dyDescent="0.3">
      <c r="B195" s="63">
        <v>134</v>
      </c>
      <c r="C195" s="40">
        <v>1530.4027870059888</v>
      </c>
      <c r="D195" s="63">
        <v>134</v>
      </c>
      <c r="E195" s="40">
        <v>-2.2915505280916477</v>
      </c>
      <c r="F195" s="63">
        <v>134</v>
      </c>
      <c r="G195" s="40">
        <v>874.30535886868893</v>
      </c>
    </row>
    <row r="196" spans="2:7" x14ac:dyDescent="0.3">
      <c r="B196" s="63">
        <v>135</v>
      </c>
      <c r="C196" s="40">
        <v>660.42173976957019</v>
      </c>
      <c r="D196" s="63">
        <v>135</v>
      </c>
      <c r="E196" s="40">
        <v>37.109508868368941</v>
      </c>
      <c r="F196" s="63">
        <v>135</v>
      </c>
      <c r="G196" s="40">
        <v>1792.1779376408103</v>
      </c>
    </row>
    <row r="197" spans="2:7" x14ac:dyDescent="0.3">
      <c r="B197" s="63">
        <v>136</v>
      </c>
      <c r="C197" s="40">
        <v>921.15921819134041</v>
      </c>
      <c r="D197" s="63">
        <v>136</v>
      </c>
      <c r="E197" s="40">
        <v>44.790356402375792</v>
      </c>
      <c r="F197" s="63">
        <v>136</v>
      </c>
      <c r="G197" s="40">
        <v>988.02849466004409</v>
      </c>
    </row>
    <row r="198" spans="2:7" x14ac:dyDescent="0.3">
      <c r="B198" s="63">
        <v>137</v>
      </c>
      <c r="C198" s="40">
        <v>1233.1477466197512</v>
      </c>
      <c r="D198" s="63">
        <v>137</v>
      </c>
      <c r="E198" s="40">
        <v>13.374375066783827</v>
      </c>
      <c r="F198" s="63">
        <v>137</v>
      </c>
      <c r="G198" s="40">
        <v>1035.7529248741805</v>
      </c>
    </row>
    <row r="199" spans="2:7" x14ac:dyDescent="0.3">
      <c r="B199" s="63">
        <v>138</v>
      </c>
      <c r="C199" s="40">
        <v>1095.4969848776825</v>
      </c>
      <c r="D199" s="63">
        <v>138</v>
      </c>
      <c r="E199" s="40">
        <v>40.0833925754551</v>
      </c>
      <c r="F199" s="63">
        <v>138</v>
      </c>
      <c r="G199" s="40">
        <v>1189.6293115837955</v>
      </c>
    </row>
    <row r="200" spans="2:7" x14ac:dyDescent="0.3">
      <c r="B200" s="63">
        <v>139</v>
      </c>
      <c r="C200" s="40">
        <v>720.52246591246853</v>
      </c>
      <c r="D200" s="63">
        <v>139</v>
      </c>
      <c r="E200" s="40">
        <v>-81.190405220813375</v>
      </c>
      <c r="F200" s="63">
        <v>139</v>
      </c>
      <c r="G200" s="40">
        <v>1272.1447944790182</v>
      </c>
    </row>
    <row r="201" spans="2:7" x14ac:dyDescent="0.3">
      <c r="B201" s="63">
        <v>140</v>
      </c>
      <c r="C201" s="40">
        <v>577.50309094551005</v>
      </c>
      <c r="D201" s="63">
        <v>140</v>
      </c>
      <c r="E201" s="40">
        <v>44.836245602107795</v>
      </c>
      <c r="F201" s="63">
        <v>140</v>
      </c>
      <c r="G201" s="40">
        <v>1240.9341727184799</v>
      </c>
    </row>
    <row r="202" spans="2:7" x14ac:dyDescent="0.3">
      <c r="B202" s="63">
        <v>141</v>
      </c>
      <c r="C202" s="40">
        <v>606.03391692347418</v>
      </c>
      <c r="D202" s="63">
        <v>141</v>
      </c>
      <c r="E202" s="40">
        <v>34.646038461239016</v>
      </c>
      <c r="F202" s="63">
        <v>141</v>
      </c>
      <c r="G202" s="40">
        <v>1368.5442480165034</v>
      </c>
    </row>
    <row r="203" spans="2:7" x14ac:dyDescent="0.3">
      <c r="B203" s="63">
        <v>142</v>
      </c>
      <c r="C203" s="40">
        <v>1097.6460851548482</v>
      </c>
      <c r="D203" s="63">
        <v>142</v>
      </c>
      <c r="E203" s="40">
        <v>-7.6374270954074248</v>
      </c>
      <c r="F203" s="63">
        <v>142</v>
      </c>
      <c r="G203" s="40">
        <v>1022.43260549165</v>
      </c>
    </row>
    <row r="204" spans="2:7" x14ac:dyDescent="0.3">
      <c r="B204" s="63">
        <v>143</v>
      </c>
      <c r="C204" s="40">
        <v>1100.2346447976633</v>
      </c>
      <c r="D204" s="63">
        <v>143</v>
      </c>
      <c r="E204" s="40">
        <v>-18.944860193296371</v>
      </c>
      <c r="F204" s="63">
        <v>143</v>
      </c>
      <c r="G204" s="40">
        <v>872.6742650999139</v>
      </c>
    </row>
    <row r="205" spans="2:7" x14ac:dyDescent="0.3">
      <c r="B205" s="63">
        <v>144</v>
      </c>
      <c r="C205" s="40">
        <v>523.99628869980688</v>
      </c>
      <c r="D205" s="63">
        <v>144</v>
      </c>
      <c r="E205" s="40">
        <v>9.0445818084857308</v>
      </c>
      <c r="F205" s="63">
        <v>144</v>
      </c>
      <c r="G205" s="40">
        <v>980.89840438167653</v>
      </c>
    </row>
    <row r="206" spans="2:7" x14ac:dyDescent="0.3">
      <c r="B206" s="63">
        <v>145</v>
      </c>
      <c r="C206" s="40">
        <v>1175.1981424451146</v>
      </c>
      <c r="D206" s="63">
        <v>145</v>
      </c>
      <c r="E206" s="40">
        <v>-2.6679871846151784</v>
      </c>
      <c r="F206" s="63">
        <v>145</v>
      </c>
      <c r="G206" s="40">
        <v>524.09502848281841</v>
      </c>
    </row>
    <row r="207" spans="2:7" x14ac:dyDescent="0.3">
      <c r="B207" s="63">
        <v>146</v>
      </c>
      <c r="C207" s="40">
        <v>743.41901389054374</v>
      </c>
      <c r="D207" s="63">
        <v>146</v>
      </c>
      <c r="E207" s="40">
        <v>-31.241026734929637</v>
      </c>
      <c r="F207" s="63">
        <v>146</v>
      </c>
      <c r="G207" s="40">
        <v>1043.0572315459794</v>
      </c>
    </row>
    <row r="208" spans="2:7" x14ac:dyDescent="0.3">
      <c r="B208" s="63">
        <v>147</v>
      </c>
      <c r="C208" s="40">
        <v>756.35558514933132</v>
      </c>
      <c r="D208" s="63">
        <v>147</v>
      </c>
      <c r="E208" s="40">
        <v>44.177701673695793</v>
      </c>
      <c r="F208" s="63">
        <v>147</v>
      </c>
      <c r="G208" s="40">
        <v>1650.3075497275684</v>
      </c>
    </row>
    <row r="209" spans="2:7" x14ac:dyDescent="0.3">
      <c r="B209" s="63">
        <v>148</v>
      </c>
      <c r="C209" s="40">
        <v>1200.4513321832103</v>
      </c>
      <c r="D209" s="63">
        <v>148</v>
      </c>
      <c r="E209" s="40">
        <v>51.15343539877442</v>
      </c>
      <c r="F209" s="63">
        <v>148</v>
      </c>
      <c r="G209" s="40">
        <v>647.39741704787139</v>
      </c>
    </row>
    <row r="210" spans="2:7" x14ac:dyDescent="0.3">
      <c r="B210" s="63">
        <v>149</v>
      </c>
      <c r="C210" s="40">
        <v>1204.3458357113236</v>
      </c>
      <c r="D210" s="63">
        <v>149</v>
      </c>
      <c r="E210" s="40">
        <v>51.092400672868941</v>
      </c>
      <c r="F210" s="63">
        <v>149</v>
      </c>
      <c r="G210" s="40">
        <v>871.51571477957327</v>
      </c>
    </row>
    <row r="211" spans="2:7" x14ac:dyDescent="0.3">
      <c r="B211" s="63">
        <v>150</v>
      </c>
      <c r="C211" s="40">
        <v>2105.3294770151206</v>
      </c>
      <c r="D211" s="63">
        <v>150</v>
      </c>
      <c r="E211" s="40">
        <v>-7.6649762448063896</v>
      </c>
      <c r="F211" s="63">
        <v>150</v>
      </c>
      <c r="G211" s="40">
        <v>1191.6871145967978</v>
      </c>
    </row>
    <row r="212" spans="2:7" x14ac:dyDescent="0.3">
      <c r="B212" s="63">
        <v>151</v>
      </c>
      <c r="C212" s="40">
        <v>2152.1858265072033</v>
      </c>
      <c r="D212" s="63">
        <v>151</v>
      </c>
      <c r="E212" s="40">
        <v>-2.2576476732735351</v>
      </c>
      <c r="F212" s="63">
        <v>151</v>
      </c>
      <c r="G212" s="40">
        <v>1207.540575363417</v>
      </c>
    </row>
    <row r="213" spans="2:7" x14ac:dyDescent="0.3">
      <c r="B213" s="63">
        <v>152</v>
      </c>
      <c r="C213" s="40">
        <v>978.30222792342613</v>
      </c>
      <c r="D213" s="63">
        <v>152</v>
      </c>
      <c r="E213" s="40">
        <v>-23.706479880068855</v>
      </c>
      <c r="F213" s="63">
        <v>152</v>
      </c>
      <c r="G213" s="40">
        <v>1125.3866079953686</v>
      </c>
    </row>
    <row r="214" spans="2:7" x14ac:dyDescent="0.3">
      <c r="B214" s="63">
        <v>153</v>
      </c>
      <c r="C214" s="40">
        <v>911.85652463949077</v>
      </c>
      <c r="D214" s="63">
        <v>153</v>
      </c>
      <c r="E214" s="40">
        <v>79.111489885391393</v>
      </c>
      <c r="F214" s="63">
        <v>153</v>
      </c>
      <c r="G214" s="40">
        <v>1055.1152865877411</v>
      </c>
    </row>
    <row r="215" spans="2:7" x14ac:dyDescent="0.3">
      <c r="B215" s="63">
        <v>154</v>
      </c>
      <c r="C215" s="40">
        <v>1151.983207767581</v>
      </c>
      <c r="D215" s="63">
        <v>154</v>
      </c>
      <c r="E215" s="40">
        <v>29.019444300023078</v>
      </c>
      <c r="F215" s="63">
        <v>154</v>
      </c>
      <c r="G215" s="40">
        <v>766.60124703449685</v>
      </c>
    </row>
    <row r="216" spans="2:7" x14ac:dyDescent="0.3">
      <c r="B216" s="63">
        <v>155</v>
      </c>
      <c r="C216" s="40">
        <v>985.72024467677159</v>
      </c>
      <c r="D216" s="63">
        <v>155</v>
      </c>
      <c r="E216" s="40">
        <v>-5.3862637773311768</v>
      </c>
      <c r="F216" s="63">
        <v>155</v>
      </c>
      <c r="G216" s="40">
        <v>1416.42518724303</v>
      </c>
    </row>
    <row r="217" spans="2:7" x14ac:dyDescent="0.3">
      <c r="B217" s="63">
        <v>156</v>
      </c>
      <c r="C217" s="40">
        <v>662.61084861824781</v>
      </c>
      <c r="D217" s="63">
        <v>156</v>
      </c>
      <c r="E217" s="40">
        <v>-4.0689255659663175</v>
      </c>
      <c r="F217" s="63">
        <v>156</v>
      </c>
      <c r="G217" s="40">
        <v>1253.8346954109722</v>
      </c>
    </row>
    <row r="218" spans="2:7" x14ac:dyDescent="0.3">
      <c r="B218" s="63">
        <v>157</v>
      </c>
      <c r="C218" s="40">
        <v>1048.718289965009</v>
      </c>
      <c r="D218" s="63">
        <v>157</v>
      </c>
      <c r="E218" s="40">
        <v>51.518094810567945</v>
      </c>
      <c r="F218" s="63">
        <v>157</v>
      </c>
      <c r="G218" s="40">
        <v>396.81879746671274</v>
      </c>
    </row>
    <row r="219" spans="2:7" x14ac:dyDescent="0.3">
      <c r="B219" s="63">
        <v>158</v>
      </c>
      <c r="C219" s="40">
        <v>1480.0159411099532</v>
      </c>
      <c r="D219" s="63">
        <v>158</v>
      </c>
      <c r="E219" s="40">
        <v>29.328268169131771</v>
      </c>
      <c r="F219" s="63">
        <v>158</v>
      </c>
      <c r="G219" s="40">
        <v>873.99605024293896</v>
      </c>
    </row>
    <row r="220" spans="2:7" x14ac:dyDescent="0.3">
      <c r="B220" s="63">
        <v>159</v>
      </c>
      <c r="C220" s="40">
        <v>1329.6300459405202</v>
      </c>
      <c r="D220" s="63">
        <v>159</v>
      </c>
      <c r="E220" s="40">
        <v>2.8883821831496697</v>
      </c>
      <c r="F220" s="63">
        <v>159</v>
      </c>
      <c r="G220" s="40">
        <v>1030.4701801782887</v>
      </c>
    </row>
    <row r="221" spans="2:7" x14ac:dyDescent="0.3">
      <c r="B221" s="63">
        <v>160</v>
      </c>
      <c r="C221" s="40">
        <v>1129.3113965735863</v>
      </c>
      <c r="D221" s="63">
        <v>160</v>
      </c>
      <c r="E221" s="40">
        <v>-4.9427706538983962</v>
      </c>
      <c r="F221" s="63">
        <v>160</v>
      </c>
      <c r="G221" s="40">
        <v>464.70087930551227</v>
      </c>
    </row>
    <row r="222" spans="2:7" x14ac:dyDescent="0.3">
      <c r="B222" s="63">
        <v>161</v>
      </c>
      <c r="C222" s="40">
        <v>1721.8768741514932</v>
      </c>
      <c r="D222" s="63">
        <v>161</v>
      </c>
      <c r="E222" s="40">
        <v>21.601537636235165</v>
      </c>
      <c r="F222" s="63">
        <v>161</v>
      </c>
      <c r="G222" s="40">
        <v>1585.5329661211806</v>
      </c>
    </row>
    <row r="223" spans="2:7" x14ac:dyDescent="0.3">
      <c r="B223" s="63">
        <v>162</v>
      </c>
      <c r="C223" s="40">
        <v>591.38535405992889</v>
      </c>
      <c r="D223" s="63">
        <v>162</v>
      </c>
      <c r="E223" s="40">
        <v>28.512219903830488</v>
      </c>
      <c r="F223" s="63">
        <v>162</v>
      </c>
      <c r="G223" s="40">
        <v>1108.5538288239859</v>
      </c>
    </row>
    <row r="224" spans="2:7" x14ac:dyDescent="0.3">
      <c r="B224" s="63">
        <v>163</v>
      </c>
      <c r="C224" s="40">
        <v>1367.9331373557466</v>
      </c>
      <c r="D224" s="63">
        <v>163</v>
      </c>
      <c r="E224" s="40">
        <v>10.816816097551762</v>
      </c>
      <c r="F224" s="63">
        <v>163</v>
      </c>
      <c r="G224" s="40">
        <v>1720.12884482149</v>
      </c>
    </row>
    <row r="225" spans="2:7" x14ac:dyDescent="0.3">
      <c r="B225" s="63">
        <v>164</v>
      </c>
      <c r="C225" s="40">
        <v>761.95167095905265</v>
      </c>
      <c r="D225" s="63">
        <v>164</v>
      </c>
      <c r="E225" s="40">
        <v>19.366209807597379</v>
      </c>
      <c r="F225" s="63">
        <v>164</v>
      </c>
      <c r="G225" s="40">
        <v>1231.9695815071261</v>
      </c>
    </row>
    <row r="226" spans="2:7" x14ac:dyDescent="0.3">
      <c r="B226" s="63">
        <v>165</v>
      </c>
      <c r="C226" s="40">
        <v>1179.1283537189283</v>
      </c>
      <c r="D226" s="63">
        <v>165</v>
      </c>
      <c r="E226" s="40">
        <v>-0.25827703533310853</v>
      </c>
      <c r="F226" s="63">
        <v>165</v>
      </c>
      <c r="G226" s="40">
        <v>965.2121552975857</v>
      </c>
    </row>
    <row r="227" spans="2:7" x14ac:dyDescent="0.3">
      <c r="B227" s="63">
        <v>166</v>
      </c>
      <c r="C227" s="40">
        <v>1035.7965394876396</v>
      </c>
      <c r="D227" s="63">
        <v>166</v>
      </c>
      <c r="E227" s="40">
        <v>-22.707504296930111</v>
      </c>
      <c r="F227" s="63">
        <v>166</v>
      </c>
      <c r="G227" s="40">
        <v>1382.5381557228634</v>
      </c>
    </row>
    <row r="228" spans="2:7" x14ac:dyDescent="0.3">
      <c r="B228" s="63">
        <v>167</v>
      </c>
      <c r="C228" s="40">
        <v>1482.8742708613138</v>
      </c>
      <c r="D228" s="63">
        <v>167</v>
      </c>
      <c r="E228" s="40">
        <v>17.372682259754828</v>
      </c>
      <c r="F228" s="63">
        <v>167</v>
      </c>
      <c r="G228" s="40">
        <v>988.18229114275528</v>
      </c>
    </row>
    <row r="229" spans="2:7" x14ac:dyDescent="0.3">
      <c r="B229" s="63">
        <v>168</v>
      </c>
      <c r="C229" s="40">
        <v>804.66839935650557</v>
      </c>
      <c r="D229" s="63">
        <v>168</v>
      </c>
      <c r="E229" s="40">
        <v>48.606436954855056</v>
      </c>
      <c r="F229" s="63">
        <v>168</v>
      </c>
      <c r="G229" s="40">
        <v>585.42258638836074</v>
      </c>
    </row>
    <row r="230" spans="2:7" x14ac:dyDescent="0.3">
      <c r="B230" s="63">
        <v>169</v>
      </c>
      <c r="C230" s="40">
        <v>1542.9782702813866</v>
      </c>
      <c r="D230" s="63">
        <v>169</v>
      </c>
      <c r="E230" s="40">
        <v>6.8991183064858781</v>
      </c>
      <c r="F230" s="63">
        <v>169</v>
      </c>
      <c r="G230" s="40">
        <v>1639.7236559861858</v>
      </c>
    </row>
    <row r="231" spans="2:7" x14ac:dyDescent="0.3">
      <c r="B231" s="63">
        <v>170</v>
      </c>
      <c r="C231" s="40">
        <v>1361.0161497623649</v>
      </c>
      <c r="D231" s="63">
        <v>170</v>
      </c>
      <c r="E231" s="40">
        <v>29.034048969350202</v>
      </c>
      <c r="F231" s="63">
        <v>170</v>
      </c>
      <c r="G231" s="40">
        <v>1044.8800523794023</v>
      </c>
    </row>
    <row r="232" spans="2:7" x14ac:dyDescent="0.3">
      <c r="B232" s="63">
        <v>171</v>
      </c>
      <c r="C232" s="40">
        <v>522.07429405273604</v>
      </c>
      <c r="D232" s="63">
        <v>171</v>
      </c>
      <c r="E232" s="40">
        <v>12.257317386520647</v>
      </c>
      <c r="F232" s="63">
        <v>171</v>
      </c>
      <c r="G232" s="40">
        <v>1800.9800297702095</v>
      </c>
    </row>
    <row r="233" spans="2:7" x14ac:dyDescent="0.3">
      <c r="B233" s="63">
        <v>172</v>
      </c>
      <c r="C233" s="40">
        <v>916.53814786925057</v>
      </c>
      <c r="D233" s="63">
        <v>172</v>
      </c>
      <c r="E233" s="40">
        <v>-11.241217775956443</v>
      </c>
      <c r="F233" s="63">
        <v>172</v>
      </c>
      <c r="G233" s="40">
        <v>1433.9260818848029</v>
      </c>
    </row>
    <row r="234" spans="2:7" x14ac:dyDescent="0.3">
      <c r="B234" s="63">
        <v>173</v>
      </c>
      <c r="C234" s="40">
        <v>877.51526556161264</v>
      </c>
      <c r="D234" s="63">
        <v>173</v>
      </c>
      <c r="E234" s="40">
        <v>11.793245224783682</v>
      </c>
      <c r="F234" s="63">
        <v>173</v>
      </c>
      <c r="G234" s="40">
        <v>1129.703291832911</v>
      </c>
    </row>
    <row r="235" spans="2:7" x14ac:dyDescent="0.3">
      <c r="B235" s="63">
        <v>174</v>
      </c>
      <c r="C235" s="40">
        <v>1596.2230522818661</v>
      </c>
      <c r="D235" s="63">
        <v>174</v>
      </c>
      <c r="E235" s="40">
        <v>18.879067350559872</v>
      </c>
      <c r="F235" s="63">
        <v>174</v>
      </c>
      <c r="G235" s="40">
        <v>1507.0979030683134</v>
      </c>
    </row>
    <row r="236" spans="2:7" x14ac:dyDescent="0.3">
      <c r="B236" s="63">
        <v>175</v>
      </c>
      <c r="C236" s="40">
        <v>875.18513091922659</v>
      </c>
      <c r="D236" s="63">
        <v>175</v>
      </c>
      <c r="E236" s="40">
        <v>20.492358887747471</v>
      </c>
      <c r="F236" s="63">
        <v>175</v>
      </c>
      <c r="G236" s="40">
        <v>1374.4661059843349</v>
      </c>
    </row>
    <row r="237" spans="2:7" x14ac:dyDescent="0.3">
      <c r="B237" s="63">
        <v>176</v>
      </c>
      <c r="C237" s="40">
        <v>1547.0029033300898</v>
      </c>
      <c r="D237" s="63">
        <v>176</v>
      </c>
      <c r="E237" s="40">
        <v>-16.001590242064385</v>
      </c>
      <c r="F237" s="63">
        <v>176</v>
      </c>
      <c r="G237" s="40">
        <v>1306.7226991475295</v>
      </c>
    </row>
    <row r="238" spans="2:7" x14ac:dyDescent="0.3">
      <c r="B238" s="63">
        <v>177</v>
      </c>
      <c r="C238" s="40">
        <v>1003.3261167865444</v>
      </c>
      <c r="D238" s="63">
        <v>177</v>
      </c>
      <c r="E238" s="40">
        <v>5.6607274996606911</v>
      </c>
      <c r="F238" s="63">
        <v>177</v>
      </c>
      <c r="G238" s="40">
        <v>1300.3157978258878</v>
      </c>
    </row>
    <row r="239" spans="2:7" x14ac:dyDescent="0.3">
      <c r="B239" s="63">
        <v>178</v>
      </c>
      <c r="C239" s="40">
        <v>1426.0596254634033</v>
      </c>
      <c r="D239" s="63">
        <v>178</v>
      </c>
      <c r="E239" s="40">
        <v>2.9872479831511924</v>
      </c>
      <c r="F239" s="63">
        <v>178</v>
      </c>
      <c r="G239" s="40">
        <v>1090.7474957660334</v>
      </c>
    </row>
    <row r="240" spans="2:7" x14ac:dyDescent="0.3">
      <c r="B240" s="63">
        <v>179</v>
      </c>
      <c r="C240" s="40">
        <v>285.03448562066103</v>
      </c>
      <c r="D240" s="63">
        <v>179</v>
      </c>
      <c r="E240" s="40">
        <v>26.024056330962008</v>
      </c>
      <c r="F240" s="63">
        <v>179</v>
      </c>
      <c r="G240" s="40">
        <v>921.71439475095974</v>
      </c>
    </row>
    <row r="241" spans="2:7" x14ac:dyDescent="0.3">
      <c r="B241" s="63">
        <v>180</v>
      </c>
      <c r="C241" s="40">
        <v>1033.5913821233501</v>
      </c>
      <c r="D241" s="63">
        <v>180</v>
      </c>
      <c r="E241" s="40">
        <v>-2.6842222819742148</v>
      </c>
      <c r="F241" s="63">
        <v>180</v>
      </c>
      <c r="G241" s="40">
        <v>1037.0432641673003</v>
      </c>
    </row>
    <row r="242" spans="2:7" x14ac:dyDescent="0.3">
      <c r="B242" s="63">
        <v>181</v>
      </c>
      <c r="C242" s="40">
        <v>269.49525158172423</v>
      </c>
      <c r="D242" s="63">
        <v>181</v>
      </c>
      <c r="E242" s="40">
        <v>12.364195571025782</v>
      </c>
      <c r="F242" s="63">
        <v>181</v>
      </c>
      <c r="G242" s="40">
        <v>740.80465386402568</v>
      </c>
    </row>
    <row r="243" spans="2:7" x14ac:dyDescent="0.3">
      <c r="B243" s="63">
        <v>182</v>
      </c>
      <c r="C243" s="40">
        <v>634.8753486781527</v>
      </c>
      <c r="D243" s="63">
        <v>182</v>
      </c>
      <c r="E243" s="40">
        <v>-23.911094421704377</v>
      </c>
      <c r="F243" s="63">
        <v>182</v>
      </c>
      <c r="G243" s="40">
        <v>348.85409985381096</v>
      </c>
    </row>
    <row r="244" spans="2:7" x14ac:dyDescent="0.3">
      <c r="B244" s="63">
        <v>183</v>
      </c>
      <c r="C244" s="40">
        <v>1479.4768423260882</v>
      </c>
      <c r="D244" s="63">
        <v>183</v>
      </c>
      <c r="E244" s="40">
        <v>1.6451960179245404</v>
      </c>
      <c r="F244" s="63">
        <v>183</v>
      </c>
      <c r="G244" s="40">
        <v>1665.345445157795</v>
      </c>
    </row>
    <row r="245" spans="2:7" x14ac:dyDescent="0.3">
      <c r="B245" s="63">
        <v>184</v>
      </c>
      <c r="C245" s="40">
        <v>964.43275468028412</v>
      </c>
      <c r="D245" s="63">
        <v>184</v>
      </c>
      <c r="E245" s="40">
        <v>-21.270554580183404</v>
      </c>
      <c r="F245" s="63">
        <v>184</v>
      </c>
      <c r="G245" s="40">
        <v>1240.1910370251067</v>
      </c>
    </row>
    <row r="246" spans="2:7" x14ac:dyDescent="0.3">
      <c r="B246" s="63">
        <v>185</v>
      </c>
      <c r="C246" s="40">
        <v>1113.5531000657413</v>
      </c>
      <c r="D246" s="63">
        <v>185</v>
      </c>
      <c r="E246" s="40">
        <v>-34.958280328087156</v>
      </c>
      <c r="F246" s="63">
        <v>185</v>
      </c>
      <c r="G246" s="40">
        <v>1229.7347362936587</v>
      </c>
    </row>
    <row r="247" spans="2:7" x14ac:dyDescent="0.3">
      <c r="B247" s="63">
        <v>186</v>
      </c>
      <c r="C247" s="40">
        <v>366.72017813807889</v>
      </c>
      <c r="D247" s="63">
        <v>186</v>
      </c>
      <c r="E247" s="40">
        <v>-90.607091593636639</v>
      </c>
      <c r="F247" s="63">
        <v>186</v>
      </c>
      <c r="G247" s="40">
        <v>996.46952998034214</v>
      </c>
    </row>
    <row r="248" spans="2:7" x14ac:dyDescent="0.3">
      <c r="B248" s="63">
        <v>187</v>
      </c>
      <c r="C248" s="40">
        <v>1592.6802974187724</v>
      </c>
      <c r="D248" s="63">
        <v>187</v>
      </c>
      <c r="E248" s="40">
        <v>15.132618617602752</v>
      </c>
      <c r="F248" s="63">
        <v>187</v>
      </c>
      <c r="G248" s="40">
        <v>1377.1404187996654</v>
      </c>
    </row>
    <row r="249" spans="2:7" x14ac:dyDescent="0.3">
      <c r="B249" s="63">
        <v>188</v>
      </c>
      <c r="C249" s="40">
        <v>726.34945259468327</v>
      </c>
      <c r="D249" s="63">
        <v>188</v>
      </c>
      <c r="E249" s="40">
        <v>1.615848385589473</v>
      </c>
      <c r="F249" s="63">
        <v>188</v>
      </c>
      <c r="G249" s="40">
        <v>1101.2240027112725</v>
      </c>
    </row>
    <row r="250" spans="2:7" x14ac:dyDescent="0.3">
      <c r="B250" s="63">
        <v>189</v>
      </c>
      <c r="C250" s="40">
        <v>1060.8815030476821</v>
      </c>
      <c r="D250" s="63">
        <v>189</v>
      </c>
      <c r="E250" s="40">
        <v>36.051500417166693</v>
      </c>
      <c r="F250" s="63">
        <v>189</v>
      </c>
      <c r="G250" s="40">
        <v>276.1222999355694</v>
      </c>
    </row>
    <row r="251" spans="2:7" x14ac:dyDescent="0.3">
      <c r="B251" s="63">
        <v>190</v>
      </c>
      <c r="C251" s="40">
        <v>1334.6099114765873</v>
      </c>
      <c r="D251" s="63">
        <v>190</v>
      </c>
      <c r="E251" s="40">
        <v>49.163442593406501</v>
      </c>
      <c r="F251" s="63">
        <v>190</v>
      </c>
      <c r="G251" s="40">
        <v>1195.1894522927125</v>
      </c>
    </row>
    <row r="252" spans="2:7" x14ac:dyDescent="0.3">
      <c r="B252" s="63">
        <v>191</v>
      </c>
      <c r="C252" s="40">
        <v>1302.2551570019145</v>
      </c>
      <c r="D252" s="63">
        <v>191</v>
      </c>
      <c r="E252" s="40">
        <v>21.35379569799704</v>
      </c>
      <c r="F252" s="63">
        <v>191</v>
      </c>
      <c r="G252" s="40">
        <v>1022.5767463471723</v>
      </c>
    </row>
    <row r="253" spans="2:7" x14ac:dyDescent="0.3">
      <c r="B253" s="63">
        <v>192</v>
      </c>
      <c r="C253" s="40">
        <v>1261.0791587256492</v>
      </c>
      <c r="D253" s="63">
        <v>192</v>
      </c>
      <c r="E253" s="40">
        <v>-12.322405276452976</v>
      </c>
      <c r="F253" s="63">
        <v>192</v>
      </c>
      <c r="G253" s="40">
        <v>1035.9098147579907</v>
      </c>
    </row>
    <row r="254" spans="2:7" x14ac:dyDescent="0.3">
      <c r="B254" s="63">
        <v>193</v>
      </c>
      <c r="C254" s="40">
        <v>1292.9628913645788</v>
      </c>
      <c r="D254" s="63">
        <v>193</v>
      </c>
      <c r="E254" s="40">
        <v>11.099045949945701</v>
      </c>
      <c r="F254" s="63">
        <v>193</v>
      </c>
      <c r="G254" s="40">
        <v>1737.8327279449172</v>
      </c>
    </row>
    <row r="255" spans="2:7" x14ac:dyDescent="0.3">
      <c r="B255" s="63">
        <v>194</v>
      </c>
      <c r="C255" s="40">
        <v>1336.0544504344064</v>
      </c>
      <c r="D255" s="63">
        <v>194</v>
      </c>
      <c r="E255" s="40">
        <v>-39.494568867427787</v>
      </c>
      <c r="F255" s="63">
        <v>194</v>
      </c>
      <c r="G255" s="40">
        <v>1091.1536872027123</v>
      </c>
    </row>
    <row r="256" spans="2:7" x14ac:dyDescent="0.3">
      <c r="B256" s="63">
        <v>195</v>
      </c>
      <c r="C256" s="40">
        <v>1035.2734180213915</v>
      </c>
      <c r="D256" s="63">
        <v>195</v>
      </c>
      <c r="E256" s="40">
        <v>-6.5474309866931506</v>
      </c>
      <c r="F256" s="63">
        <v>195</v>
      </c>
      <c r="G256" s="40">
        <v>1291.8141498639491</v>
      </c>
    </row>
    <row r="257" spans="2:7" x14ac:dyDescent="0.3">
      <c r="B257" s="63">
        <v>196</v>
      </c>
      <c r="C257" s="40">
        <v>1082.7016923375477</v>
      </c>
      <c r="D257" s="63">
        <v>196</v>
      </c>
      <c r="E257" s="40">
        <v>10.66300834059443</v>
      </c>
      <c r="F257" s="63">
        <v>196</v>
      </c>
      <c r="G257" s="40">
        <v>1169.8927715270888</v>
      </c>
    </row>
    <row r="258" spans="2:7" x14ac:dyDescent="0.3">
      <c r="B258" s="63">
        <v>197</v>
      </c>
      <c r="C258" s="40">
        <v>1177.1588803028524</v>
      </c>
      <c r="D258" s="63">
        <v>197</v>
      </c>
      <c r="E258" s="40">
        <v>-10.879135843449696</v>
      </c>
      <c r="F258" s="63">
        <v>197</v>
      </c>
      <c r="G258" s="40">
        <v>1579.1925946380384</v>
      </c>
    </row>
    <row r="259" spans="2:7" x14ac:dyDescent="0.3">
      <c r="B259" s="63">
        <v>198</v>
      </c>
      <c r="C259" s="40">
        <v>442.00649219364175</v>
      </c>
      <c r="D259" s="63">
        <v>198</v>
      </c>
      <c r="E259" s="40">
        <v>-62.077358357682911</v>
      </c>
      <c r="F259" s="63">
        <v>198</v>
      </c>
      <c r="G259" s="40">
        <v>1055.4677838484336</v>
      </c>
    </row>
    <row r="260" spans="2:7" x14ac:dyDescent="0.3">
      <c r="B260" s="63">
        <v>199</v>
      </c>
      <c r="C260" s="40">
        <v>687.73104091173241</v>
      </c>
      <c r="D260" s="63">
        <v>199</v>
      </c>
      <c r="E260" s="40">
        <v>-4.8734256822943172</v>
      </c>
      <c r="F260" s="63">
        <v>199</v>
      </c>
      <c r="G260" s="40">
        <v>852.00395528020169</v>
      </c>
    </row>
    <row r="261" spans="2:7" x14ac:dyDescent="0.3">
      <c r="B261" s="63">
        <v>200</v>
      </c>
      <c r="C261" s="40">
        <v>1212.4474652823967</v>
      </c>
      <c r="D261" s="63">
        <v>200</v>
      </c>
      <c r="E261" s="40">
        <v>-3.2254462421558188</v>
      </c>
      <c r="F261" s="63">
        <v>200</v>
      </c>
      <c r="G261" s="40">
        <v>1182.3365513353624</v>
      </c>
    </row>
    <row r="262" spans="2:7" x14ac:dyDescent="0.3">
      <c r="B262" s="63">
        <v>201</v>
      </c>
      <c r="C262" s="40">
        <v>1633.0696141440455</v>
      </c>
      <c r="D262" s="63">
        <v>201</v>
      </c>
      <c r="E262" s="40">
        <v>-14.719890722075363</v>
      </c>
      <c r="F262" s="63">
        <v>201</v>
      </c>
      <c r="G262" s="40">
        <v>1007.6278080626741</v>
      </c>
    </row>
    <row r="263" spans="2:7" x14ac:dyDescent="0.3">
      <c r="B263" s="63">
        <v>202</v>
      </c>
      <c r="C263" s="40">
        <v>1065.0294690002293</v>
      </c>
      <c r="D263" s="63">
        <v>202</v>
      </c>
      <c r="E263" s="40">
        <v>-18.609304227918742</v>
      </c>
      <c r="F263" s="63">
        <v>202</v>
      </c>
      <c r="G263" s="40">
        <v>1350.8065893876505</v>
      </c>
    </row>
    <row r="264" spans="2:7" x14ac:dyDescent="0.3">
      <c r="B264" s="63">
        <v>203</v>
      </c>
      <c r="C264" s="40">
        <v>932.64441363086598</v>
      </c>
      <c r="D264" s="63">
        <v>203</v>
      </c>
      <c r="E264" s="40">
        <v>25.385840182297017</v>
      </c>
      <c r="F264" s="63">
        <v>203</v>
      </c>
      <c r="G264" s="40">
        <v>1542.3847045295777</v>
      </c>
    </row>
    <row r="265" spans="2:7" x14ac:dyDescent="0.3">
      <c r="B265" s="63">
        <v>204</v>
      </c>
      <c r="C265" s="40">
        <v>552.55654229423635</v>
      </c>
      <c r="D265" s="63">
        <v>204</v>
      </c>
      <c r="E265" s="40">
        <v>-59.248862373517753</v>
      </c>
      <c r="F265" s="63">
        <v>204</v>
      </c>
      <c r="G265" s="40">
        <v>1242.6525800427219</v>
      </c>
    </row>
    <row r="266" spans="2:7" x14ac:dyDescent="0.3">
      <c r="B266" s="63">
        <v>205</v>
      </c>
      <c r="C266" s="40">
        <v>908.78038778621567</v>
      </c>
      <c r="D266" s="63">
        <v>205</v>
      </c>
      <c r="E266" s="40">
        <v>-28.250389836986976</v>
      </c>
      <c r="F266" s="63">
        <v>205</v>
      </c>
      <c r="G266" s="40">
        <v>847.53056163186852</v>
      </c>
    </row>
    <row r="267" spans="2:7" x14ac:dyDescent="0.3">
      <c r="B267" s="63">
        <v>206</v>
      </c>
      <c r="C267" s="40">
        <v>985.22898264252774</v>
      </c>
      <c r="D267" s="63">
        <v>206</v>
      </c>
      <c r="E267" s="40">
        <v>32.903268223535022</v>
      </c>
      <c r="F267" s="63">
        <v>206</v>
      </c>
      <c r="G267" s="40">
        <v>958.46003030462271</v>
      </c>
    </row>
    <row r="268" spans="2:7" x14ac:dyDescent="0.3">
      <c r="B268" s="63">
        <v>207</v>
      </c>
      <c r="C268" s="40">
        <v>1132.6058205491081</v>
      </c>
      <c r="D268" s="63">
        <v>207</v>
      </c>
      <c r="E268" s="40">
        <v>34.782141457603998</v>
      </c>
      <c r="F268" s="63">
        <v>207</v>
      </c>
      <c r="G268" s="40">
        <v>1050.9715083927126</v>
      </c>
    </row>
    <row r="269" spans="2:7" x14ac:dyDescent="0.3">
      <c r="B269" s="63">
        <v>208</v>
      </c>
      <c r="C269" s="40">
        <v>746.1861657120653</v>
      </c>
      <c r="D269" s="63">
        <v>208</v>
      </c>
      <c r="E269" s="40">
        <v>27.097213392076267</v>
      </c>
      <c r="F269" s="63">
        <v>208</v>
      </c>
      <c r="G269" s="40">
        <v>1185.3565643647341</v>
      </c>
    </row>
    <row r="270" spans="2:7" x14ac:dyDescent="0.3">
      <c r="B270" s="63">
        <v>209</v>
      </c>
      <c r="C270" s="40">
        <v>389.25012560253498</v>
      </c>
      <c r="D270" s="63">
        <v>209</v>
      </c>
      <c r="E270" s="40">
        <v>-13.055445534987648</v>
      </c>
      <c r="F270" s="63">
        <v>209</v>
      </c>
      <c r="G270" s="40">
        <v>1073.6822324832535</v>
      </c>
    </row>
    <row r="271" spans="2:7" x14ac:dyDescent="0.3">
      <c r="B271" s="63">
        <v>210</v>
      </c>
      <c r="C271" s="40">
        <v>1697.5112576486883</v>
      </c>
      <c r="D271" s="63">
        <v>210</v>
      </c>
      <c r="E271" s="40">
        <v>37.358751726534948</v>
      </c>
      <c r="F271" s="63">
        <v>210</v>
      </c>
      <c r="G271" s="40">
        <v>1165.0242666837685</v>
      </c>
    </row>
    <row r="272" spans="2:7" x14ac:dyDescent="0.3">
      <c r="B272" s="63">
        <v>211</v>
      </c>
      <c r="C272" s="40">
        <v>527.42006559073286</v>
      </c>
      <c r="D272" s="63">
        <v>211</v>
      </c>
      <c r="E272" s="40">
        <v>44.048411174168187</v>
      </c>
      <c r="F272" s="63">
        <v>211</v>
      </c>
      <c r="G272" s="40">
        <v>931.15731035672866</v>
      </c>
    </row>
    <row r="273" spans="2:7" x14ac:dyDescent="0.3">
      <c r="B273" s="63">
        <v>212</v>
      </c>
      <c r="C273" s="40">
        <v>1015.7894100765322</v>
      </c>
      <c r="D273" s="63">
        <v>212</v>
      </c>
      <c r="E273" s="40">
        <v>14.451014878784651</v>
      </c>
      <c r="F273" s="63">
        <v>212</v>
      </c>
      <c r="G273" s="40">
        <v>592.37760134587188</v>
      </c>
    </row>
    <row r="274" spans="2:7" x14ac:dyDescent="0.3">
      <c r="B274" s="63">
        <v>213</v>
      </c>
      <c r="C274" s="40">
        <v>818.66921702391448</v>
      </c>
      <c r="D274" s="63">
        <v>213</v>
      </c>
      <c r="E274" s="40">
        <v>-21.971249909731746</v>
      </c>
      <c r="F274" s="63">
        <v>213</v>
      </c>
      <c r="G274" s="40">
        <v>1059.3093887114987</v>
      </c>
    </row>
    <row r="275" spans="2:7" x14ac:dyDescent="0.3">
      <c r="B275" s="63">
        <v>214</v>
      </c>
      <c r="C275" s="40">
        <v>1434.0563101437765</v>
      </c>
      <c r="D275" s="63">
        <v>214</v>
      </c>
      <c r="E275" s="40">
        <v>-14.839539060107711</v>
      </c>
      <c r="F275" s="63">
        <v>214</v>
      </c>
      <c r="G275" s="40">
        <v>655.24481744842046</v>
      </c>
    </row>
    <row r="276" spans="2:7" x14ac:dyDescent="0.3">
      <c r="B276" s="63">
        <v>215</v>
      </c>
      <c r="C276" s="40">
        <v>1094.9392112244873</v>
      </c>
      <c r="D276" s="63">
        <v>215</v>
      </c>
      <c r="E276" s="40">
        <v>-17.88308926314771</v>
      </c>
      <c r="F276" s="63">
        <v>215</v>
      </c>
      <c r="G276" s="40">
        <v>1035.0970212916466</v>
      </c>
    </row>
    <row r="277" spans="2:7" x14ac:dyDescent="0.3">
      <c r="B277" s="63">
        <v>216</v>
      </c>
      <c r="C277" s="40">
        <v>630.08315837015152</v>
      </c>
      <c r="D277" s="63">
        <v>216</v>
      </c>
      <c r="E277" s="40">
        <v>51.231407995346068</v>
      </c>
      <c r="F277" s="63">
        <v>216</v>
      </c>
      <c r="G277" s="40">
        <v>1086.4075585688856</v>
      </c>
    </row>
    <row r="278" spans="2:7" x14ac:dyDescent="0.3">
      <c r="B278" s="63">
        <v>217</v>
      </c>
      <c r="C278" s="40">
        <v>1133.6685231799245</v>
      </c>
      <c r="D278" s="63">
        <v>217</v>
      </c>
      <c r="E278" s="40">
        <v>50.985660212376757</v>
      </c>
      <c r="F278" s="63">
        <v>217</v>
      </c>
      <c r="G278" s="40">
        <v>1672.0421516619729</v>
      </c>
    </row>
    <row r="279" spans="2:7" x14ac:dyDescent="0.3">
      <c r="B279" s="63">
        <v>218</v>
      </c>
      <c r="C279" s="40">
        <v>1329.6654159623977</v>
      </c>
      <c r="D279" s="63">
        <v>218</v>
      </c>
      <c r="E279" s="40">
        <v>-39.068911888046827</v>
      </c>
      <c r="F279" s="63">
        <v>218</v>
      </c>
      <c r="G279" s="40">
        <v>1296.0552086019402</v>
      </c>
    </row>
    <row r="280" spans="2:7" x14ac:dyDescent="0.3">
      <c r="B280" s="63">
        <v>219</v>
      </c>
      <c r="C280" s="40">
        <v>1065.2975927882837</v>
      </c>
      <c r="D280" s="63">
        <v>219</v>
      </c>
      <c r="E280" s="40">
        <v>-52.166601981555871</v>
      </c>
      <c r="F280" s="63">
        <v>219</v>
      </c>
      <c r="G280" s="40">
        <v>1017.2700217271614</v>
      </c>
    </row>
    <row r="281" spans="2:7" x14ac:dyDescent="0.3">
      <c r="B281" s="63">
        <v>220</v>
      </c>
      <c r="C281" s="40">
        <v>1187.0026027798876</v>
      </c>
      <c r="D281" s="63">
        <v>220</v>
      </c>
      <c r="E281" s="40">
        <v>46.252641765940233</v>
      </c>
      <c r="F281" s="63">
        <v>220</v>
      </c>
      <c r="G281" s="40">
        <v>936.94539586341455</v>
      </c>
    </row>
    <row r="282" spans="2:7" x14ac:dyDescent="0.3">
      <c r="B282" s="63">
        <v>221</v>
      </c>
      <c r="C282" s="40">
        <v>1200.2565034017457</v>
      </c>
      <c r="D282" s="63">
        <v>221</v>
      </c>
      <c r="E282" s="40">
        <v>-20.541909853617234</v>
      </c>
      <c r="F282" s="63">
        <v>221</v>
      </c>
      <c r="G282" s="40">
        <v>922.57652980996249</v>
      </c>
    </row>
    <row r="283" spans="2:7" x14ac:dyDescent="0.3">
      <c r="B283" s="63">
        <v>222</v>
      </c>
      <c r="C283" s="40">
        <v>762.14478986980737</v>
      </c>
      <c r="D283" s="63">
        <v>222</v>
      </c>
      <c r="E283" s="40">
        <v>-34.024913907084262</v>
      </c>
      <c r="F283" s="63">
        <v>222</v>
      </c>
      <c r="G283" s="40">
        <v>1527.1915504419887</v>
      </c>
    </row>
    <row r="284" spans="2:7" x14ac:dyDescent="0.3">
      <c r="B284" s="63">
        <v>223</v>
      </c>
      <c r="C284" s="40">
        <v>460.27197672582986</v>
      </c>
      <c r="D284" s="63">
        <v>223</v>
      </c>
      <c r="E284" s="40">
        <v>11.10736741051668</v>
      </c>
      <c r="F284" s="63">
        <v>223</v>
      </c>
      <c r="G284" s="40">
        <v>882.03493667425653</v>
      </c>
    </row>
    <row r="285" spans="2:7" x14ac:dyDescent="0.3">
      <c r="B285" s="63">
        <v>224</v>
      </c>
      <c r="C285" s="40">
        <v>1578.3122251527773</v>
      </c>
      <c r="D285" s="63">
        <v>224</v>
      </c>
      <c r="E285" s="40">
        <v>2.5749982461945873</v>
      </c>
      <c r="F285" s="63">
        <v>224</v>
      </c>
      <c r="G285" s="40">
        <v>1220.3875512418047</v>
      </c>
    </row>
    <row r="286" spans="2:7" x14ac:dyDescent="0.3">
      <c r="B286" s="63">
        <v>225</v>
      </c>
      <c r="C286" s="40">
        <v>849.88376540651484</v>
      </c>
      <c r="D286" s="63">
        <v>225</v>
      </c>
      <c r="E286" s="40">
        <v>-41.158289442726087</v>
      </c>
      <c r="F286" s="63">
        <v>225</v>
      </c>
      <c r="G286" s="40">
        <v>956.24147960553478</v>
      </c>
    </row>
    <row r="287" spans="2:7" x14ac:dyDescent="0.3">
      <c r="B287" s="63">
        <v>226</v>
      </c>
      <c r="C287" s="40">
        <v>880.6816252835481</v>
      </c>
      <c r="D287" s="63">
        <v>226</v>
      </c>
      <c r="E287" s="40">
        <v>21.920317334682657</v>
      </c>
      <c r="F287" s="63">
        <v>226</v>
      </c>
      <c r="G287" s="40">
        <v>1412.7721616823058</v>
      </c>
    </row>
    <row r="288" spans="2:7" x14ac:dyDescent="0.3">
      <c r="B288" s="63">
        <v>227</v>
      </c>
      <c r="C288" s="40">
        <v>965.95572462839095</v>
      </c>
      <c r="D288" s="63">
        <v>227</v>
      </c>
      <c r="E288" s="40">
        <v>9.7746948461306857</v>
      </c>
      <c r="F288" s="63">
        <v>227</v>
      </c>
      <c r="G288" s="40">
        <v>1683.4384013755007</v>
      </c>
    </row>
    <row r="289" spans="2:7" x14ac:dyDescent="0.3">
      <c r="B289" s="63">
        <v>228</v>
      </c>
      <c r="C289" s="40">
        <v>1097.550408440648</v>
      </c>
      <c r="D289" s="63">
        <v>228</v>
      </c>
      <c r="E289" s="40">
        <v>74.700323905132805</v>
      </c>
      <c r="F289" s="63">
        <v>228</v>
      </c>
      <c r="G289" s="40">
        <v>950.07551264955407</v>
      </c>
    </row>
    <row r="290" spans="2:7" x14ac:dyDescent="0.3">
      <c r="B290" s="63">
        <v>229</v>
      </c>
      <c r="C290" s="40">
        <v>828.99790026308392</v>
      </c>
      <c r="D290" s="63">
        <v>229</v>
      </c>
      <c r="E290" s="40">
        <v>6.4970420019444717</v>
      </c>
      <c r="F290" s="63">
        <v>229</v>
      </c>
      <c r="G290" s="40">
        <v>824.73187603921428</v>
      </c>
    </row>
    <row r="291" spans="2:7" x14ac:dyDescent="0.3">
      <c r="B291" s="63">
        <v>230</v>
      </c>
      <c r="C291" s="40">
        <v>1555.36793595567</v>
      </c>
      <c r="D291" s="63">
        <v>230</v>
      </c>
      <c r="E291" s="40">
        <v>-1.8435395178026415</v>
      </c>
      <c r="F291" s="63">
        <v>230</v>
      </c>
      <c r="G291" s="40">
        <v>1638.2053495912983</v>
      </c>
    </row>
    <row r="292" spans="2:7" x14ac:dyDescent="0.3">
      <c r="B292" s="63">
        <v>231</v>
      </c>
      <c r="C292" s="40">
        <v>1853.8246569889207</v>
      </c>
      <c r="D292" s="63">
        <v>231</v>
      </c>
      <c r="E292" s="40">
        <v>-20.075868809242309</v>
      </c>
      <c r="F292" s="63">
        <v>231</v>
      </c>
      <c r="G292" s="40">
        <v>1142.9833360464841</v>
      </c>
    </row>
    <row r="293" spans="2:7" x14ac:dyDescent="0.3">
      <c r="B293" s="63">
        <v>232</v>
      </c>
      <c r="C293" s="40">
        <v>578.74580774901881</v>
      </c>
      <c r="D293" s="63">
        <v>232</v>
      </c>
      <c r="E293" s="40">
        <v>-59.369152550886554</v>
      </c>
      <c r="F293" s="63">
        <v>232</v>
      </c>
      <c r="G293" s="40">
        <v>1331.6868348490186</v>
      </c>
    </row>
    <row r="294" spans="2:7" x14ac:dyDescent="0.3">
      <c r="B294" s="63">
        <v>233</v>
      </c>
      <c r="C294" s="40">
        <v>636.09422499696836</v>
      </c>
      <c r="D294" s="63">
        <v>233</v>
      </c>
      <c r="E294" s="40">
        <v>13.892497051108265</v>
      </c>
      <c r="F294" s="63">
        <v>233</v>
      </c>
      <c r="G294" s="40">
        <v>1543.0630821014377</v>
      </c>
    </row>
    <row r="295" spans="2:7" x14ac:dyDescent="0.3">
      <c r="B295" s="63">
        <v>234</v>
      </c>
      <c r="C295" s="40">
        <v>1020.8522815753511</v>
      </c>
      <c r="D295" s="63">
        <v>234</v>
      </c>
      <c r="E295" s="40">
        <v>2.9582505384542586</v>
      </c>
      <c r="F295" s="63">
        <v>234</v>
      </c>
      <c r="G295" s="40">
        <v>416.05938393672903</v>
      </c>
    </row>
    <row r="296" spans="2:7" x14ac:dyDescent="0.3">
      <c r="B296" s="63">
        <v>235</v>
      </c>
      <c r="C296" s="40">
        <v>534.12109639126868</v>
      </c>
      <c r="D296" s="63">
        <v>235</v>
      </c>
      <c r="E296" s="40">
        <v>0.24398261811587929</v>
      </c>
      <c r="F296" s="63">
        <v>235</v>
      </c>
      <c r="G296" s="40">
        <v>1200.1690611446454</v>
      </c>
    </row>
    <row r="297" spans="2:7" x14ac:dyDescent="0.3">
      <c r="B297" s="63">
        <v>236</v>
      </c>
      <c r="C297" s="40">
        <v>821.9527282072645</v>
      </c>
      <c r="D297" s="63">
        <v>236</v>
      </c>
      <c r="E297" s="40">
        <v>-42.592284668859236</v>
      </c>
      <c r="F297" s="63">
        <v>236</v>
      </c>
      <c r="G297" s="40">
        <v>1320.96420975771</v>
      </c>
    </row>
    <row r="298" spans="2:7" x14ac:dyDescent="0.3">
      <c r="B298" s="63">
        <v>237</v>
      </c>
      <c r="C298" s="40">
        <v>1421.9875569867359</v>
      </c>
      <c r="D298" s="63">
        <v>237</v>
      </c>
      <c r="E298" s="40">
        <v>-22.823573461423905</v>
      </c>
      <c r="F298" s="63">
        <v>237</v>
      </c>
      <c r="G298" s="40">
        <v>1225.3721528469732</v>
      </c>
    </row>
    <row r="299" spans="2:7" x14ac:dyDescent="0.3">
      <c r="B299" s="63">
        <v>238</v>
      </c>
      <c r="C299" s="40">
        <v>1155.0323702444275</v>
      </c>
      <c r="D299" s="63">
        <v>238</v>
      </c>
      <c r="E299" s="40">
        <v>-6.4658100536310954</v>
      </c>
      <c r="F299" s="63">
        <v>238</v>
      </c>
      <c r="G299" s="40">
        <v>1482.8401614186751</v>
      </c>
    </row>
    <row r="300" spans="2:7" x14ac:dyDescent="0.3">
      <c r="B300" s="63">
        <v>239</v>
      </c>
      <c r="C300" s="40">
        <v>386.05324798893844</v>
      </c>
      <c r="D300" s="63">
        <v>239</v>
      </c>
      <c r="E300" s="40">
        <v>71.21656554123858</v>
      </c>
      <c r="F300" s="63">
        <v>239</v>
      </c>
      <c r="G300" s="40">
        <v>1321.8699214853898</v>
      </c>
    </row>
    <row r="301" spans="2:7" x14ac:dyDescent="0.3">
      <c r="B301" s="63">
        <v>240</v>
      </c>
      <c r="C301" s="40">
        <v>1507.4338241246844</v>
      </c>
      <c r="D301" s="63">
        <v>240</v>
      </c>
      <c r="E301" s="40">
        <v>58.592470068930908</v>
      </c>
      <c r="F301" s="63">
        <v>240</v>
      </c>
      <c r="G301" s="40">
        <v>1158.0807754981677</v>
      </c>
    </row>
    <row r="302" spans="2:7" x14ac:dyDescent="0.3">
      <c r="B302" s="63">
        <v>241</v>
      </c>
      <c r="C302" s="40">
        <v>1149.2922994716614</v>
      </c>
      <c r="D302" s="63">
        <v>241</v>
      </c>
      <c r="E302" s="40">
        <v>6.3332421217968644</v>
      </c>
      <c r="F302" s="63">
        <v>241</v>
      </c>
      <c r="G302" s="40">
        <v>1257.4517827873105</v>
      </c>
    </row>
    <row r="303" spans="2:7" x14ac:dyDescent="0.3">
      <c r="B303" s="63">
        <v>242</v>
      </c>
      <c r="C303" s="40">
        <v>1522.9687534472021</v>
      </c>
      <c r="D303" s="63">
        <v>242</v>
      </c>
      <c r="E303" s="40">
        <v>-35.557062040866363</v>
      </c>
      <c r="F303" s="63">
        <v>242</v>
      </c>
      <c r="G303" s="40">
        <v>1276.2450742946642</v>
      </c>
    </row>
    <row r="304" spans="2:7" x14ac:dyDescent="0.3">
      <c r="B304" s="63">
        <v>243</v>
      </c>
      <c r="C304" s="40">
        <v>1062.8266665699584</v>
      </c>
      <c r="D304" s="63">
        <v>243</v>
      </c>
      <c r="E304" s="40">
        <v>25.023427717251337</v>
      </c>
      <c r="F304" s="63">
        <v>243</v>
      </c>
      <c r="G304" s="40">
        <v>1568.6240239555859</v>
      </c>
    </row>
    <row r="305" spans="2:7" x14ac:dyDescent="0.3">
      <c r="B305" s="63">
        <v>244</v>
      </c>
      <c r="C305" s="40">
        <v>911.40127300572601</v>
      </c>
      <c r="D305" s="63">
        <v>244</v>
      </c>
      <c r="E305" s="40">
        <v>11.341206522311467</v>
      </c>
      <c r="F305" s="63">
        <v>244</v>
      </c>
      <c r="G305" s="40">
        <v>1322.7396252041851</v>
      </c>
    </row>
    <row r="306" spans="2:7" x14ac:dyDescent="0.3">
      <c r="B306" s="63">
        <v>245</v>
      </c>
      <c r="C306" s="40">
        <v>1732.3960468919738</v>
      </c>
      <c r="D306" s="63">
        <v>245</v>
      </c>
      <c r="E306" s="40">
        <v>-7.4672753529515035</v>
      </c>
      <c r="F306" s="63">
        <v>245</v>
      </c>
      <c r="G306" s="40">
        <v>1010.4731530924985</v>
      </c>
    </row>
    <row r="307" spans="2:7" x14ac:dyDescent="0.3">
      <c r="B307" s="63">
        <v>246</v>
      </c>
      <c r="C307" s="40">
        <v>262.19575911515767</v>
      </c>
      <c r="D307" s="63">
        <v>246</v>
      </c>
      <c r="E307" s="40">
        <v>-16.46225831822451</v>
      </c>
      <c r="F307" s="63">
        <v>246</v>
      </c>
      <c r="G307" s="40">
        <v>1372.065934688748</v>
      </c>
    </row>
    <row r="308" spans="2:7" x14ac:dyDescent="0.3">
      <c r="B308" s="63">
        <v>247</v>
      </c>
      <c r="C308" s="40">
        <v>784.2657538481858</v>
      </c>
      <c r="D308" s="63">
        <v>247</v>
      </c>
      <c r="E308" s="40">
        <v>0.40501331020019649</v>
      </c>
      <c r="F308" s="63">
        <v>247</v>
      </c>
      <c r="G308" s="40">
        <v>1323.2544006855744</v>
      </c>
    </row>
    <row r="309" spans="2:7" x14ac:dyDescent="0.3">
      <c r="B309" s="63">
        <v>248</v>
      </c>
      <c r="C309" s="40">
        <v>1485.0669598151269</v>
      </c>
      <c r="D309" s="63">
        <v>248</v>
      </c>
      <c r="E309" s="40">
        <v>-35.820755078443476</v>
      </c>
      <c r="F309" s="63">
        <v>248</v>
      </c>
      <c r="G309" s="40">
        <v>1366.8535994384831</v>
      </c>
    </row>
    <row r="310" spans="2:7" x14ac:dyDescent="0.3">
      <c r="B310" s="63">
        <v>249</v>
      </c>
      <c r="C310" s="40">
        <v>1614.095775817113</v>
      </c>
      <c r="D310" s="63">
        <v>249</v>
      </c>
      <c r="E310" s="40">
        <v>28.872207418267234</v>
      </c>
      <c r="F310" s="63">
        <v>249</v>
      </c>
      <c r="G310" s="40">
        <v>1014.3159369896983</v>
      </c>
    </row>
    <row r="311" spans="2:7" x14ac:dyDescent="0.3">
      <c r="B311" s="63">
        <v>250</v>
      </c>
      <c r="C311" s="40">
        <v>1418.1002464376861</v>
      </c>
      <c r="D311" s="63">
        <v>250</v>
      </c>
      <c r="E311" s="40">
        <v>38.383813711943162</v>
      </c>
      <c r="F311" s="63">
        <v>250</v>
      </c>
      <c r="G311" s="40">
        <v>1225.5987497005165</v>
      </c>
    </row>
    <row r="312" spans="2:7" x14ac:dyDescent="0.3">
      <c r="B312" s="63">
        <v>251</v>
      </c>
      <c r="C312" s="40">
        <v>1167.5801286630619</v>
      </c>
      <c r="D312" s="63">
        <v>251</v>
      </c>
      <c r="E312" s="40">
        <v>29.768635088860268</v>
      </c>
      <c r="F312" s="63">
        <v>251</v>
      </c>
      <c r="G312" s="40">
        <v>1026.8091730556366</v>
      </c>
    </row>
    <row r="313" spans="2:7" x14ac:dyDescent="0.3">
      <c r="B313" s="63">
        <v>252</v>
      </c>
      <c r="C313" s="40">
        <v>961.40678724728059</v>
      </c>
      <c r="D313" s="63">
        <v>252</v>
      </c>
      <c r="E313" s="40">
        <v>8.3775427295698144</v>
      </c>
      <c r="F313" s="63">
        <v>252</v>
      </c>
      <c r="G313" s="40">
        <v>1073.7277085721407</v>
      </c>
    </row>
    <row r="314" spans="2:7" x14ac:dyDescent="0.3">
      <c r="B314" s="63">
        <v>253</v>
      </c>
      <c r="C314" s="40">
        <v>1214.4667090277071</v>
      </c>
      <c r="D314" s="63">
        <v>253</v>
      </c>
      <c r="E314" s="40">
        <v>14.135454030581275</v>
      </c>
      <c r="F314" s="63">
        <v>253</v>
      </c>
      <c r="G314" s="40">
        <v>1076.2907099963702</v>
      </c>
    </row>
    <row r="315" spans="2:7" x14ac:dyDescent="0.3">
      <c r="B315" s="63">
        <v>254</v>
      </c>
      <c r="C315" s="40">
        <v>1261.202351807859</v>
      </c>
      <c r="D315" s="63">
        <v>254</v>
      </c>
      <c r="E315" s="40">
        <v>-17.771026659103391</v>
      </c>
      <c r="F315" s="63">
        <v>254</v>
      </c>
      <c r="G315" s="40">
        <v>850.64637599683329</v>
      </c>
    </row>
    <row r="316" spans="2:7" x14ac:dyDescent="0.3">
      <c r="B316" s="63">
        <v>255</v>
      </c>
      <c r="C316" s="40">
        <v>1193.2059033272333</v>
      </c>
      <c r="D316" s="63">
        <v>255</v>
      </c>
      <c r="E316" s="40">
        <v>-2.7231868671336628</v>
      </c>
      <c r="F316" s="63">
        <v>255</v>
      </c>
      <c r="G316" s="40">
        <v>953.57435092433207</v>
      </c>
    </row>
    <row r="317" spans="2:7" x14ac:dyDescent="0.3">
      <c r="B317" s="63">
        <v>256</v>
      </c>
      <c r="C317" s="40">
        <v>1004.1021237641527</v>
      </c>
      <c r="D317" s="63">
        <v>256</v>
      </c>
      <c r="E317" s="40">
        <v>7.2722774651814532</v>
      </c>
      <c r="F317" s="63">
        <v>256</v>
      </c>
      <c r="G317" s="40">
        <v>1140.151285539469</v>
      </c>
    </row>
    <row r="318" spans="2:7" x14ac:dyDescent="0.3">
      <c r="B318" s="63">
        <v>257</v>
      </c>
      <c r="C318" s="40">
        <v>1211.8177055172155</v>
      </c>
      <c r="D318" s="63">
        <v>257</v>
      </c>
      <c r="E318" s="40">
        <v>-11.426645664406983</v>
      </c>
      <c r="F318" s="63">
        <v>257</v>
      </c>
      <c r="G318" s="40">
        <v>1043.3552883332075</v>
      </c>
    </row>
    <row r="319" spans="2:7" x14ac:dyDescent="0.3">
      <c r="B319" s="63">
        <v>258</v>
      </c>
      <c r="C319" s="40">
        <v>630.55177396091096</v>
      </c>
      <c r="D319" s="63">
        <v>258</v>
      </c>
      <c r="E319" s="40">
        <v>2.2737607037001695</v>
      </c>
      <c r="F319" s="63">
        <v>258</v>
      </c>
      <c r="G319" s="40">
        <v>703.16327390957269</v>
      </c>
    </row>
    <row r="320" spans="2:7" x14ac:dyDescent="0.3">
      <c r="B320" s="63">
        <v>259</v>
      </c>
      <c r="C320" s="40">
        <v>1269.7309940803163</v>
      </c>
      <c r="D320" s="63">
        <v>259</v>
      </c>
      <c r="E320" s="40">
        <v>1.9396216780840305</v>
      </c>
      <c r="F320" s="63">
        <v>259</v>
      </c>
      <c r="G320" s="40">
        <v>755.298921746151</v>
      </c>
    </row>
    <row r="321" spans="2:7" x14ac:dyDescent="0.3">
      <c r="B321" s="63">
        <v>260</v>
      </c>
      <c r="C321" s="40">
        <v>953.33017854099421</v>
      </c>
      <c r="D321" s="63">
        <v>260</v>
      </c>
      <c r="E321" s="40">
        <v>19.405976692191317</v>
      </c>
      <c r="F321" s="63">
        <v>260</v>
      </c>
      <c r="G321" s="40">
        <v>913.33668579833886</v>
      </c>
    </row>
    <row r="322" spans="2:7" x14ac:dyDescent="0.3">
      <c r="B322" s="63">
        <v>261</v>
      </c>
      <c r="C322" s="40">
        <v>1610.8015219607696</v>
      </c>
      <c r="D322" s="63">
        <v>261</v>
      </c>
      <c r="E322" s="40">
        <v>-13.955926531918266</v>
      </c>
      <c r="F322" s="63">
        <v>261</v>
      </c>
      <c r="G322" s="40">
        <v>1852.4051396374896</v>
      </c>
    </row>
    <row r="323" spans="2:7" x14ac:dyDescent="0.3">
      <c r="B323" s="63">
        <v>262</v>
      </c>
      <c r="C323" s="40">
        <v>1006.7326994444429</v>
      </c>
      <c r="D323" s="63">
        <v>262</v>
      </c>
      <c r="E323" s="40">
        <v>30.233496671348018</v>
      </c>
      <c r="F323" s="63">
        <v>262</v>
      </c>
      <c r="G323" s="40">
        <v>848.22419009973396</v>
      </c>
    </row>
    <row r="324" spans="2:7" x14ac:dyDescent="0.3">
      <c r="B324" s="63">
        <v>263</v>
      </c>
      <c r="C324" s="40">
        <v>943.15487041935569</v>
      </c>
      <c r="D324" s="63">
        <v>263</v>
      </c>
      <c r="E324" s="40">
        <v>36.020712655313602</v>
      </c>
      <c r="F324" s="63">
        <v>263</v>
      </c>
      <c r="G324" s="40">
        <v>1645.9595421029405</v>
      </c>
    </row>
    <row r="325" spans="2:7" x14ac:dyDescent="0.3">
      <c r="B325" s="63">
        <v>264</v>
      </c>
      <c r="C325" s="40">
        <v>1043.9300388279546</v>
      </c>
      <c r="D325" s="63">
        <v>264</v>
      </c>
      <c r="E325" s="40">
        <v>-12.219538075079534</v>
      </c>
      <c r="F325" s="63">
        <v>264</v>
      </c>
      <c r="G325" s="40">
        <v>1020.6352875937816</v>
      </c>
    </row>
    <row r="326" spans="2:7" x14ac:dyDescent="0.3">
      <c r="B326" s="63">
        <v>265</v>
      </c>
      <c r="C326" s="40">
        <v>610.39280694802176</v>
      </c>
      <c r="D326" s="63">
        <v>265</v>
      </c>
      <c r="E326" s="40">
        <v>-40.856159111981803</v>
      </c>
      <c r="F326" s="63">
        <v>265</v>
      </c>
      <c r="G326" s="40">
        <v>682.85580695914996</v>
      </c>
    </row>
    <row r="327" spans="2:7" x14ac:dyDescent="0.3">
      <c r="B327" s="63">
        <v>266</v>
      </c>
      <c r="C327" s="40">
        <v>1507.5772758707337</v>
      </c>
      <c r="D327" s="63">
        <v>266</v>
      </c>
      <c r="E327" s="40">
        <v>66.724657439675198</v>
      </c>
      <c r="F327" s="63">
        <v>266</v>
      </c>
      <c r="G327" s="40">
        <v>170.1466272913971</v>
      </c>
    </row>
    <row r="328" spans="2:7" x14ac:dyDescent="0.3">
      <c r="B328" s="63">
        <v>267</v>
      </c>
      <c r="C328" s="40">
        <v>1255.1570184761815</v>
      </c>
      <c r="D328" s="63">
        <v>267</v>
      </c>
      <c r="E328" s="40">
        <v>40.815161900833971</v>
      </c>
      <c r="F328" s="63">
        <v>267</v>
      </c>
      <c r="G328" s="40">
        <v>507.38750995929342</v>
      </c>
    </row>
    <row r="329" spans="2:7" x14ac:dyDescent="0.3">
      <c r="B329" s="63">
        <v>268</v>
      </c>
      <c r="C329" s="40">
        <v>1019.0888488271532</v>
      </c>
      <c r="D329" s="63">
        <v>268</v>
      </c>
      <c r="E329" s="40">
        <v>56.869628695772612</v>
      </c>
      <c r="F329" s="63">
        <v>268</v>
      </c>
      <c r="G329" s="40">
        <v>1075.3206896600461</v>
      </c>
    </row>
    <row r="330" spans="2:7" x14ac:dyDescent="0.3">
      <c r="B330" s="63">
        <v>269</v>
      </c>
      <c r="C330" s="40">
        <v>1216.1024337663503</v>
      </c>
      <c r="D330" s="63">
        <v>269</v>
      </c>
      <c r="E330" s="40">
        <v>16.886452396368018</v>
      </c>
      <c r="F330" s="63">
        <v>269</v>
      </c>
      <c r="G330" s="40">
        <v>1179.2427284968428</v>
      </c>
    </row>
    <row r="331" spans="2:7" x14ac:dyDescent="0.3">
      <c r="B331" s="63">
        <v>270</v>
      </c>
      <c r="C331" s="40">
        <v>1337.369369449136</v>
      </c>
      <c r="D331" s="63">
        <v>270</v>
      </c>
      <c r="E331" s="40">
        <v>18.238474987221487</v>
      </c>
      <c r="F331" s="63">
        <v>270</v>
      </c>
      <c r="G331" s="40">
        <v>1295.1484701634165</v>
      </c>
    </row>
    <row r="332" spans="2:7" x14ac:dyDescent="0.3">
      <c r="B332" s="63">
        <v>271</v>
      </c>
      <c r="C332" s="40">
        <v>843.41217578486442</v>
      </c>
      <c r="D332" s="63">
        <v>271</v>
      </c>
      <c r="E332" s="40">
        <v>0.64075085069884352</v>
      </c>
      <c r="F332" s="63">
        <v>271</v>
      </c>
      <c r="G332" s="40">
        <v>1362.9332191322387</v>
      </c>
    </row>
    <row r="333" spans="2:7" x14ac:dyDescent="0.3">
      <c r="B333" s="63">
        <v>272</v>
      </c>
      <c r="C333" s="40">
        <v>582.55494036159064</v>
      </c>
      <c r="D333" s="63">
        <v>272</v>
      </c>
      <c r="E333" s="40">
        <v>-15.850209428758461</v>
      </c>
      <c r="F333" s="63">
        <v>272</v>
      </c>
      <c r="G333" s="40">
        <v>1453.394985661427</v>
      </c>
    </row>
    <row r="334" spans="2:7" x14ac:dyDescent="0.3">
      <c r="B334" s="63">
        <v>273</v>
      </c>
      <c r="C334" s="40">
        <v>1224.3089873808558</v>
      </c>
      <c r="D334" s="63">
        <v>273</v>
      </c>
      <c r="E334" s="40">
        <v>40.616506501076806</v>
      </c>
      <c r="F334" s="63">
        <v>273</v>
      </c>
      <c r="G334" s="40">
        <v>1694.7316189105384</v>
      </c>
    </row>
    <row r="335" spans="2:7" x14ac:dyDescent="0.3">
      <c r="B335" s="63">
        <v>274</v>
      </c>
      <c r="C335" s="40">
        <v>1383.8906187280718</v>
      </c>
      <c r="D335" s="63">
        <v>274</v>
      </c>
      <c r="E335" s="40">
        <v>-13.778094414412394</v>
      </c>
      <c r="F335" s="63">
        <v>274</v>
      </c>
      <c r="G335" s="40">
        <v>768.72628775091243</v>
      </c>
    </row>
    <row r="336" spans="2:7" x14ac:dyDescent="0.3">
      <c r="B336" s="63">
        <v>275</v>
      </c>
      <c r="C336" s="40">
        <v>649.92259720763434</v>
      </c>
      <c r="D336" s="63">
        <v>275</v>
      </c>
      <c r="E336" s="40">
        <v>-6.3562858399930633</v>
      </c>
      <c r="F336" s="63">
        <v>275</v>
      </c>
      <c r="G336" s="40">
        <v>1204.9694106048369</v>
      </c>
    </row>
    <row r="337" spans="2:7" x14ac:dyDescent="0.3">
      <c r="B337" s="63">
        <v>276</v>
      </c>
      <c r="C337" s="40">
        <v>1285.2575384004062</v>
      </c>
      <c r="D337" s="63">
        <v>276</v>
      </c>
      <c r="E337" s="40">
        <v>7.036789565275356</v>
      </c>
      <c r="F337" s="63">
        <v>276</v>
      </c>
      <c r="G337" s="40">
        <v>754.17104277214435</v>
      </c>
    </row>
    <row r="338" spans="2:7" x14ac:dyDescent="0.3">
      <c r="B338" s="63">
        <v>277</v>
      </c>
      <c r="C338" s="40">
        <v>1381.2611985221918</v>
      </c>
      <c r="D338" s="63">
        <v>277</v>
      </c>
      <c r="E338" s="40">
        <v>-0.83868255066768427</v>
      </c>
      <c r="F338" s="63">
        <v>277</v>
      </c>
      <c r="G338" s="40">
        <v>490.16203013608839</v>
      </c>
    </row>
    <row r="339" spans="2:7" x14ac:dyDescent="0.3">
      <c r="B339" s="63">
        <v>278</v>
      </c>
      <c r="C339" s="40">
        <v>1338.4265425618426</v>
      </c>
      <c r="D339" s="63">
        <v>278</v>
      </c>
      <c r="E339" s="40">
        <v>85.929500060962766</v>
      </c>
      <c r="F339" s="63">
        <v>278</v>
      </c>
      <c r="G339" s="40">
        <v>665.77032875055875</v>
      </c>
    </row>
    <row r="340" spans="2:7" x14ac:dyDescent="0.3">
      <c r="B340" s="63">
        <v>279</v>
      </c>
      <c r="C340" s="40">
        <v>928.68175010550863</v>
      </c>
      <c r="D340" s="63">
        <v>279</v>
      </c>
      <c r="E340" s="40">
        <v>9.3494339031684053</v>
      </c>
      <c r="F340" s="63">
        <v>279</v>
      </c>
      <c r="G340" s="40">
        <v>1372.8707501101346</v>
      </c>
    </row>
    <row r="341" spans="2:7" x14ac:dyDescent="0.3">
      <c r="B341" s="63">
        <v>280</v>
      </c>
      <c r="C341" s="40">
        <v>406.9746786653576</v>
      </c>
      <c r="D341" s="63">
        <v>280</v>
      </c>
      <c r="E341" s="40">
        <v>-27.476331280531973</v>
      </c>
      <c r="F341" s="63">
        <v>280</v>
      </c>
      <c r="G341" s="40">
        <v>1774.7313038475711</v>
      </c>
    </row>
    <row r="342" spans="2:7" x14ac:dyDescent="0.3">
      <c r="B342" s="63">
        <v>281</v>
      </c>
      <c r="C342" s="40">
        <v>853.80457427798171</v>
      </c>
      <c r="D342" s="63">
        <v>281</v>
      </c>
      <c r="E342" s="40">
        <v>-19.539689061234597</v>
      </c>
      <c r="F342" s="63">
        <v>281</v>
      </c>
      <c r="G342" s="40">
        <v>1105.7988625052121</v>
      </c>
    </row>
    <row r="343" spans="2:7" x14ac:dyDescent="0.3">
      <c r="B343" s="63">
        <v>282</v>
      </c>
      <c r="C343" s="40">
        <v>1074.9155995976639</v>
      </c>
      <c r="D343" s="63">
        <v>282</v>
      </c>
      <c r="E343" s="40">
        <v>2.7647080622106941</v>
      </c>
      <c r="F343" s="63">
        <v>282</v>
      </c>
      <c r="G343" s="40">
        <v>1206.7982791814009</v>
      </c>
    </row>
    <row r="344" spans="2:7" x14ac:dyDescent="0.3">
      <c r="B344" s="63">
        <v>283</v>
      </c>
      <c r="C344" s="40">
        <v>332.18193811163962</v>
      </c>
      <c r="D344" s="63">
        <v>283</v>
      </c>
      <c r="E344" s="40">
        <v>1.9984585181947523</v>
      </c>
      <c r="F344" s="63">
        <v>283</v>
      </c>
      <c r="G344" s="40">
        <v>862.26094356714827</v>
      </c>
    </row>
    <row r="345" spans="2:7" x14ac:dyDescent="0.3">
      <c r="B345" s="63">
        <v>284</v>
      </c>
      <c r="C345" s="40">
        <v>1364.7716253062474</v>
      </c>
      <c r="D345" s="63">
        <v>284</v>
      </c>
      <c r="E345" s="40">
        <v>-18.873591840074241</v>
      </c>
      <c r="F345" s="63">
        <v>284</v>
      </c>
      <c r="G345" s="40">
        <v>1670.1422331569831</v>
      </c>
    </row>
    <row r="346" spans="2:7" x14ac:dyDescent="0.3">
      <c r="B346" s="63">
        <v>285</v>
      </c>
      <c r="C346" s="40">
        <v>951.12488267425738</v>
      </c>
      <c r="D346" s="63">
        <v>285</v>
      </c>
      <c r="E346" s="40">
        <v>-1.7028110997549319</v>
      </c>
      <c r="F346" s="63">
        <v>285</v>
      </c>
      <c r="G346" s="40">
        <v>1529.2848190588761</v>
      </c>
    </row>
    <row r="347" spans="2:7" x14ac:dyDescent="0.3">
      <c r="B347" s="63">
        <v>286</v>
      </c>
      <c r="C347" s="40">
        <v>1135.1021916401105</v>
      </c>
      <c r="D347" s="63">
        <v>286</v>
      </c>
      <c r="E347" s="40">
        <v>40.25854534661925</v>
      </c>
      <c r="F347" s="63">
        <v>286</v>
      </c>
      <c r="G347" s="40">
        <v>1604.6570889112397</v>
      </c>
    </row>
    <row r="348" spans="2:7" x14ac:dyDescent="0.3">
      <c r="B348" s="63">
        <v>287</v>
      </c>
      <c r="C348" s="40">
        <v>471.07466605597051</v>
      </c>
      <c r="D348" s="63">
        <v>287</v>
      </c>
      <c r="E348" s="40">
        <v>-54.897189114973536</v>
      </c>
      <c r="F348" s="63">
        <v>287</v>
      </c>
      <c r="G348" s="40">
        <v>1663.7471204058206</v>
      </c>
    </row>
    <row r="349" spans="2:7" x14ac:dyDescent="0.3">
      <c r="B349" s="63">
        <v>288</v>
      </c>
      <c r="C349" s="40">
        <v>790.44371259617299</v>
      </c>
      <c r="D349" s="63">
        <v>288</v>
      </c>
      <c r="E349" s="40">
        <v>14.923194847575528</v>
      </c>
      <c r="F349" s="63">
        <v>288</v>
      </c>
      <c r="G349" s="40">
        <v>1778.7349958871969</v>
      </c>
    </row>
    <row r="350" spans="2:7" x14ac:dyDescent="0.3">
      <c r="B350" s="63">
        <v>289</v>
      </c>
      <c r="C350" s="40">
        <v>684.19605534196182</v>
      </c>
      <c r="D350" s="63">
        <v>289</v>
      </c>
      <c r="E350" s="40">
        <v>-8.3125396698921605E-2</v>
      </c>
      <c r="F350" s="63">
        <v>289</v>
      </c>
      <c r="G350" s="40">
        <v>862.30955727176138</v>
      </c>
    </row>
    <row r="351" spans="2:7" x14ac:dyDescent="0.3">
      <c r="B351" s="63">
        <v>290</v>
      </c>
      <c r="C351" s="40">
        <v>1292.2217121263711</v>
      </c>
      <c r="D351" s="63">
        <v>290</v>
      </c>
      <c r="E351" s="40">
        <v>14.207016930238408</v>
      </c>
      <c r="F351" s="63">
        <v>290</v>
      </c>
      <c r="G351" s="40">
        <v>1499.3597656652407</v>
      </c>
    </row>
    <row r="352" spans="2:7" x14ac:dyDescent="0.3">
      <c r="B352" s="63">
        <v>291</v>
      </c>
      <c r="C352" s="40">
        <v>1111.7557299084949</v>
      </c>
      <c r="D352" s="63">
        <v>291</v>
      </c>
      <c r="E352" s="40">
        <v>-36.478262323419806</v>
      </c>
      <c r="F352" s="63">
        <v>291</v>
      </c>
      <c r="G352" s="40">
        <v>1006.1340445490637</v>
      </c>
    </row>
    <row r="353" spans="2:7" x14ac:dyDescent="0.3">
      <c r="B353" s="63">
        <v>292</v>
      </c>
      <c r="C353" s="40">
        <v>428.37008559533172</v>
      </c>
      <c r="D353" s="63">
        <v>292</v>
      </c>
      <c r="E353" s="40">
        <v>19.425614267769546</v>
      </c>
      <c r="F353" s="63">
        <v>292</v>
      </c>
      <c r="G353" s="40">
        <v>962.21641075063724</v>
      </c>
    </row>
    <row r="354" spans="2:7" x14ac:dyDescent="0.3">
      <c r="B354" s="63">
        <v>293</v>
      </c>
      <c r="C354" s="40">
        <v>1425.7750156740585</v>
      </c>
      <c r="D354" s="63">
        <v>293</v>
      </c>
      <c r="E354" s="40">
        <v>4.6579870922940216</v>
      </c>
      <c r="F354" s="63">
        <v>293</v>
      </c>
      <c r="G354" s="40">
        <v>1039.8140959415819</v>
      </c>
    </row>
    <row r="355" spans="2:7" x14ac:dyDescent="0.3">
      <c r="B355" s="63">
        <v>294</v>
      </c>
      <c r="C355" s="40">
        <v>1026.8729978339179</v>
      </c>
      <c r="D355" s="63">
        <v>294</v>
      </c>
      <c r="E355" s="40">
        <v>25.264154491674162</v>
      </c>
      <c r="F355" s="63">
        <v>294</v>
      </c>
      <c r="G355" s="40">
        <v>1539.8371196817088</v>
      </c>
    </row>
    <row r="356" spans="2:7" x14ac:dyDescent="0.3">
      <c r="B356" s="63">
        <v>295</v>
      </c>
      <c r="C356" s="40">
        <v>467.99415400014993</v>
      </c>
      <c r="D356" s="63">
        <v>295</v>
      </c>
      <c r="E356" s="40">
        <v>1.7458425162183886</v>
      </c>
      <c r="F356" s="63">
        <v>295</v>
      </c>
      <c r="G356" s="40">
        <v>1050.1168213276706</v>
      </c>
    </row>
    <row r="357" spans="2:7" x14ac:dyDescent="0.3">
      <c r="B357" s="63">
        <v>296</v>
      </c>
      <c r="C357" s="40">
        <v>1041.0810501820692</v>
      </c>
      <c r="D357" s="63">
        <v>296</v>
      </c>
      <c r="E357" s="40">
        <v>-19.600636300003508</v>
      </c>
      <c r="F357" s="63">
        <v>296</v>
      </c>
      <c r="G357" s="40">
        <v>1157.0114086638155</v>
      </c>
    </row>
    <row r="358" spans="2:7" x14ac:dyDescent="0.3">
      <c r="B358" s="63">
        <v>297</v>
      </c>
      <c r="C358" s="40">
        <v>1095.6011674134563</v>
      </c>
      <c r="D358" s="63">
        <v>297</v>
      </c>
      <c r="E358" s="40">
        <v>43.841098521508549</v>
      </c>
      <c r="F358" s="63">
        <v>297</v>
      </c>
      <c r="G358" s="40">
        <v>619.86566653987211</v>
      </c>
    </row>
    <row r="359" spans="2:7" x14ac:dyDescent="0.3">
      <c r="B359" s="63">
        <v>298</v>
      </c>
      <c r="C359" s="40">
        <v>1763.334816854398</v>
      </c>
      <c r="D359" s="63">
        <v>298</v>
      </c>
      <c r="E359" s="40">
        <v>2.4171664534602826</v>
      </c>
      <c r="F359" s="63">
        <v>298</v>
      </c>
      <c r="G359" s="40">
        <v>379.26114466279171</v>
      </c>
    </row>
    <row r="360" spans="2:7" x14ac:dyDescent="0.3">
      <c r="B360" s="63">
        <v>299</v>
      </c>
      <c r="C360" s="40">
        <v>648.44655076959259</v>
      </c>
      <c r="D360" s="63">
        <v>299</v>
      </c>
      <c r="E360" s="40">
        <v>39.219526501836285</v>
      </c>
      <c r="F360" s="63">
        <v>299</v>
      </c>
      <c r="G360" s="40">
        <v>1418.6491433519666</v>
      </c>
    </row>
    <row r="361" spans="2:7" x14ac:dyDescent="0.3">
      <c r="B361" s="63">
        <v>300</v>
      </c>
      <c r="C361" s="40">
        <v>1008.488503424535</v>
      </c>
      <c r="D361" s="63">
        <v>300</v>
      </c>
      <c r="E361" s="40">
        <v>2.4287606006710316</v>
      </c>
      <c r="F361" s="63">
        <v>300</v>
      </c>
      <c r="G361" s="40">
        <v>341.31015435317948</v>
      </c>
    </row>
    <row r="362" spans="2:7" x14ac:dyDescent="0.3">
      <c r="B362" s="63">
        <v>301</v>
      </c>
      <c r="C362" s="40">
        <v>770.14349933192261</v>
      </c>
      <c r="D362" s="63">
        <v>301</v>
      </c>
      <c r="E362" s="40">
        <v>-16.109282679228251</v>
      </c>
      <c r="F362" s="63">
        <v>301</v>
      </c>
      <c r="G362" s="40">
        <v>1624.8056374257922</v>
      </c>
    </row>
    <row r="363" spans="2:7" x14ac:dyDescent="0.3">
      <c r="B363" s="63">
        <v>302</v>
      </c>
      <c r="C363" s="40">
        <v>833.44775865677911</v>
      </c>
      <c r="D363" s="63">
        <v>302</v>
      </c>
      <c r="E363" s="40">
        <v>32.615331704989281</v>
      </c>
      <c r="F363" s="63">
        <v>302</v>
      </c>
      <c r="G363" s="40">
        <v>1964.7606014172186</v>
      </c>
    </row>
    <row r="364" spans="2:7" x14ac:dyDescent="0.3">
      <c r="B364" s="63">
        <v>303</v>
      </c>
      <c r="C364" s="40">
        <v>1209.2152716316402</v>
      </c>
      <c r="D364" s="63">
        <v>303</v>
      </c>
      <c r="E364" s="40">
        <v>-22.926506265347818</v>
      </c>
      <c r="F364" s="63">
        <v>303</v>
      </c>
      <c r="G364" s="40">
        <v>884.63822263609654</v>
      </c>
    </row>
    <row r="365" spans="2:7" x14ac:dyDescent="0.3">
      <c r="B365" s="63">
        <v>304</v>
      </c>
      <c r="C365" s="40">
        <v>1078.3527006616698</v>
      </c>
      <c r="D365" s="63">
        <v>304</v>
      </c>
      <c r="E365" s="40">
        <v>38.482486063389047</v>
      </c>
      <c r="F365" s="63">
        <v>304</v>
      </c>
      <c r="G365" s="40">
        <v>928.22431670587173</v>
      </c>
    </row>
    <row r="366" spans="2:7" x14ac:dyDescent="0.3">
      <c r="B366" s="63">
        <v>305</v>
      </c>
      <c r="C366" s="40">
        <v>917.15861726361186</v>
      </c>
      <c r="D366" s="63">
        <v>305</v>
      </c>
      <c r="E366" s="40">
        <v>52.734885745332249</v>
      </c>
      <c r="F366" s="63">
        <v>305</v>
      </c>
      <c r="G366" s="40">
        <v>1511.8953218449265</v>
      </c>
    </row>
    <row r="367" spans="2:7" x14ac:dyDescent="0.3">
      <c r="B367" s="63">
        <v>306</v>
      </c>
      <c r="C367" s="40">
        <v>1073.5159816132789</v>
      </c>
      <c r="D367" s="63">
        <v>306</v>
      </c>
      <c r="E367" s="40">
        <v>-29.641360032775118</v>
      </c>
      <c r="F367" s="63">
        <v>306</v>
      </c>
      <c r="G367" s="40">
        <v>1463.0079167144736</v>
      </c>
    </row>
    <row r="368" spans="2:7" x14ac:dyDescent="0.3">
      <c r="B368" s="63">
        <v>307</v>
      </c>
      <c r="C368" s="40">
        <v>1300.5368412249222</v>
      </c>
      <c r="D368" s="63">
        <v>307</v>
      </c>
      <c r="E368" s="40">
        <v>15.429288932247211</v>
      </c>
      <c r="F368" s="63">
        <v>307</v>
      </c>
      <c r="G368" s="40">
        <v>1838.6188771112695</v>
      </c>
    </row>
    <row r="369" spans="2:7" x14ac:dyDescent="0.3">
      <c r="B369" s="63">
        <v>308</v>
      </c>
      <c r="C369" s="40">
        <v>760.44703165332658</v>
      </c>
      <c r="D369" s="63">
        <v>308</v>
      </c>
      <c r="E369" s="40">
        <v>-12.243822005330557</v>
      </c>
      <c r="F369" s="63">
        <v>308</v>
      </c>
      <c r="G369" s="40">
        <v>1291.1302558944603</v>
      </c>
    </row>
    <row r="370" spans="2:7" x14ac:dyDescent="0.3">
      <c r="B370" s="63">
        <v>309</v>
      </c>
      <c r="C370" s="40">
        <v>969.4806341661648</v>
      </c>
      <c r="D370" s="63">
        <v>309</v>
      </c>
      <c r="E370" s="40">
        <v>12.616713617351056</v>
      </c>
      <c r="F370" s="63">
        <v>309</v>
      </c>
      <c r="G370" s="40">
        <v>1361.7769186139963</v>
      </c>
    </row>
    <row r="371" spans="2:7" x14ac:dyDescent="0.3">
      <c r="B371" s="63">
        <v>310</v>
      </c>
      <c r="C371" s="40">
        <v>397.24461423771413</v>
      </c>
      <c r="D371" s="63">
        <v>310</v>
      </c>
      <c r="E371" s="40">
        <v>47.104086797460283</v>
      </c>
      <c r="F371" s="63">
        <v>310</v>
      </c>
      <c r="G371" s="40">
        <v>1217.5561297008555</v>
      </c>
    </row>
    <row r="372" spans="2:7" x14ac:dyDescent="0.3">
      <c r="B372" s="63">
        <v>311</v>
      </c>
      <c r="C372" s="40">
        <v>929.8059357036833</v>
      </c>
      <c r="D372" s="63">
        <v>311</v>
      </c>
      <c r="E372" s="40">
        <v>23.372924244229967</v>
      </c>
      <c r="F372" s="63">
        <v>311</v>
      </c>
      <c r="G372" s="40">
        <v>1529.6497302333837</v>
      </c>
    </row>
    <row r="373" spans="2:7" x14ac:dyDescent="0.3">
      <c r="B373" s="63">
        <v>312</v>
      </c>
      <c r="C373" s="40">
        <v>456.3860299633044</v>
      </c>
      <c r="D373" s="63">
        <v>312</v>
      </c>
      <c r="E373" s="40">
        <v>19.703972976439601</v>
      </c>
      <c r="F373" s="63">
        <v>312</v>
      </c>
      <c r="G373" s="40">
        <v>845.77201110231476</v>
      </c>
    </row>
    <row r="374" spans="2:7" x14ac:dyDescent="0.3">
      <c r="B374" s="63">
        <v>313</v>
      </c>
      <c r="C374" s="40">
        <v>1836.8602707434043</v>
      </c>
      <c r="D374" s="63">
        <v>313</v>
      </c>
      <c r="E374" s="40">
        <v>-17.948430708716046</v>
      </c>
      <c r="F374" s="63">
        <v>313</v>
      </c>
      <c r="G374" s="40">
        <v>917.478520409201</v>
      </c>
    </row>
    <row r="375" spans="2:7" x14ac:dyDescent="0.3">
      <c r="B375" s="63">
        <v>314</v>
      </c>
      <c r="C375" s="40">
        <v>1355.3026877809109</v>
      </c>
      <c r="D375" s="63">
        <v>314</v>
      </c>
      <c r="E375" s="40">
        <v>14.711006332031044</v>
      </c>
      <c r="F375" s="63">
        <v>314</v>
      </c>
      <c r="G375" s="40">
        <v>638.74765548061555</v>
      </c>
    </row>
    <row r="376" spans="2:7" x14ac:dyDescent="0.3">
      <c r="B376" s="63">
        <v>315</v>
      </c>
      <c r="C376" s="40">
        <v>1122.2635864735478</v>
      </c>
      <c r="D376" s="63">
        <v>315</v>
      </c>
      <c r="E376" s="40">
        <v>31.746158013788051</v>
      </c>
      <c r="F376" s="63">
        <v>315</v>
      </c>
      <c r="G376" s="40">
        <v>1259.8952247696757</v>
      </c>
    </row>
    <row r="377" spans="2:7" x14ac:dyDescent="0.3">
      <c r="B377" s="63">
        <v>316</v>
      </c>
      <c r="C377" s="40">
        <v>1247.033630675043</v>
      </c>
      <c r="D377" s="63">
        <v>316</v>
      </c>
      <c r="E377" s="40">
        <v>51.599753312160871</v>
      </c>
      <c r="F377" s="63">
        <v>316</v>
      </c>
      <c r="G377" s="40">
        <v>1216.1071722690263</v>
      </c>
    </row>
    <row r="378" spans="2:7" x14ac:dyDescent="0.3">
      <c r="B378" s="63">
        <v>317</v>
      </c>
      <c r="C378" s="40">
        <v>611.03210595577434</v>
      </c>
      <c r="D378" s="63">
        <v>317</v>
      </c>
      <c r="E378" s="40">
        <v>31.601471952711485</v>
      </c>
      <c r="F378" s="63">
        <v>317</v>
      </c>
      <c r="G378" s="40">
        <v>1137.2361205675577</v>
      </c>
    </row>
    <row r="379" spans="2:7" x14ac:dyDescent="0.3">
      <c r="B379" s="63">
        <v>318</v>
      </c>
      <c r="C379" s="40">
        <v>775.69484854315692</v>
      </c>
      <c r="D379" s="63">
        <v>318</v>
      </c>
      <c r="E379" s="40">
        <v>-22.570689809622579</v>
      </c>
      <c r="F379" s="63">
        <v>318</v>
      </c>
      <c r="G379" s="40">
        <v>1166.3909126441852</v>
      </c>
    </row>
    <row r="380" spans="2:7" x14ac:dyDescent="0.3">
      <c r="B380" s="63">
        <v>319</v>
      </c>
      <c r="C380" s="40">
        <v>835.44865392018096</v>
      </c>
      <c r="D380" s="63">
        <v>319</v>
      </c>
      <c r="E380" s="40">
        <v>13.127254424526058</v>
      </c>
      <c r="F380" s="63">
        <v>319</v>
      </c>
      <c r="G380" s="40">
        <v>1231.7685524460796</v>
      </c>
    </row>
    <row r="381" spans="2:7" x14ac:dyDescent="0.3">
      <c r="B381" s="63">
        <v>320</v>
      </c>
      <c r="C381" s="40">
        <v>1045.330564048214</v>
      </c>
      <c r="D381" s="63">
        <v>320</v>
      </c>
      <c r="E381" s="40">
        <v>-0.11144570222471373</v>
      </c>
      <c r="F381" s="63">
        <v>320</v>
      </c>
      <c r="G381" s="40">
        <v>1427.6283946197811</v>
      </c>
    </row>
    <row r="382" spans="2:7" x14ac:dyDescent="0.3">
      <c r="B382" s="63">
        <v>321</v>
      </c>
      <c r="C382" s="40">
        <v>761.75125078018061</v>
      </c>
      <c r="D382" s="63">
        <v>321</v>
      </c>
      <c r="E382" s="40">
        <v>13.668032796492621</v>
      </c>
      <c r="F382" s="63">
        <v>321</v>
      </c>
      <c r="G382" s="40">
        <v>848.39142776404378</v>
      </c>
    </row>
    <row r="383" spans="2:7" x14ac:dyDescent="0.3">
      <c r="B383" s="63">
        <v>322</v>
      </c>
      <c r="C383" s="40">
        <v>627.86054920889819</v>
      </c>
      <c r="D383" s="63">
        <v>322</v>
      </c>
      <c r="E383" s="40">
        <v>31.641669168389654</v>
      </c>
      <c r="F383" s="63">
        <v>322</v>
      </c>
      <c r="G383" s="40">
        <v>877.31580271919154</v>
      </c>
    </row>
    <row r="384" spans="2:7" x14ac:dyDescent="0.3">
      <c r="B384" s="63">
        <v>323</v>
      </c>
      <c r="C384" s="40">
        <v>783.71333399423315</v>
      </c>
      <c r="D384" s="63">
        <v>323</v>
      </c>
      <c r="E384" s="40">
        <v>-12.257649705377226</v>
      </c>
      <c r="F384" s="63">
        <v>323</v>
      </c>
      <c r="G384" s="40">
        <v>1349.1397518264544</v>
      </c>
    </row>
    <row r="385" spans="2:7" x14ac:dyDescent="0.3">
      <c r="B385" s="63">
        <v>324</v>
      </c>
      <c r="C385" s="40">
        <v>1061.8330144441004</v>
      </c>
      <c r="D385" s="63">
        <v>324</v>
      </c>
      <c r="E385" s="40">
        <v>-36.265434490781907</v>
      </c>
      <c r="F385" s="63">
        <v>324</v>
      </c>
      <c r="G385" s="40">
        <v>1407.7006039961711</v>
      </c>
    </row>
    <row r="386" spans="2:7" x14ac:dyDescent="0.3">
      <c r="B386" s="63">
        <v>325</v>
      </c>
      <c r="C386" s="40">
        <v>1030.3770581405051</v>
      </c>
      <c r="D386" s="63">
        <v>325</v>
      </c>
      <c r="E386" s="40">
        <v>-12.880927513299035</v>
      </c>
      <c r="F386" s="63">
        <v>325</v>
      </c>
      <c r="G386" s="40">
        <v>1158.9349740502462</v>
      </c>
    </row>
    <row r="387" spans="2:7" x14ac:dyDescent="0.3">
      <c r="B387" s="63">
        <v>326</v>
      </c>
      <c r="C387" s="40">
        <v>1454.4587214968185</v>
      </c>
      <c r="D387" s="63">
        <v>326</v>
      </c>
      <c r="E387" s="40">
        <v>-21.136571029920162</v>
      </c>
      <c r="F387" s="63">
        <v>326</v>
      </c>
      <c r="G387" s="40">
        <v>937.28125259394722</v>
      </c>
    </row>
    <row r="388" spans="2:7" x14ac:dyDescent="0.3">
      <c r="B388" s="63">
        <v>327</v>
      </c>
      <c r="C388" s="40">
        <v>536.00454382193539</v>
      </c>
      <c r="D388" s="63">
        <v>327</v>
      </c>
      <c r="E388" s="40">
        <v>-6.6998878470903307</v>
      </c>
      <c r="F388" s="63">
        <v>327</v>
      </c>
      <c r="G388" s="40">
        <v>1111.0582864841163</v>
      </c>
    </row>
    <row r="389" spans="2:7" x14ac:dyDescent="0.3">
      <c r="B389" s="63">
        <v>328</v>
      </c>
      <c r="C389" s="40">
        <v>682.15363483152669</v>
      </c>
      <c r="D389" s="63">
        <v>328</v>
      </c>
      <c r="E389" s="40">
        <v>-1.1712036587184684</v>
      </c>
      <c r="F389" s="63">
        <v>328</v>
      </c>
      <c r="G389" s="40">
        <v>319.5333293957799</v>
      </c>
    </row>
    <row r="390" spans="2:7" x14ac:dyDescent="0.3">
      <c r="B390" s="63">
        <v>329</v>
      </c>
      <c r="C390" s="40">
        <v>1070.9735798964953</v>
      </c>
      <c r="D390" s="63">
        <v>329</v>
      </c>
      <c r="E390" s="40">
        <v>23.046022859668767</v>
      </c>
      <c r="F390" s="63">
        <v>329</v>
      </c>
      <c r="G390" s="40">
        <v>916.81106106275445</v>
      </c>
    </row>
    <row r="391" spans="2:7" x14ac:dyDescent="0.3">
      <c r="B391" s="63">
        <v>330</v>
      </c>
      <c r="C391" s="40">
        <v>1229.0983801368925</v>
      </c>
      <c r="D391" s="63">
        <v>330</v>
      </c>
      <c r="E391" s="40">
        <v>-41.650345254720989</v>
      </c>
      <c r="F391" s="63">
        <v>330</v>
      </c>
      <c r="G391" s="40">
        <v>1712.3795337637505</v>
      </c>
    </row>
    <row r="392" spans="2:7" x14ac:dyDescent="0.3">
      <c r="B392" s="63">
        <v>331</v>
      </c>
      <c r="C392" s="40">
        <v>1591.635027605083</v>
      </c>
      <c r="D392" s="63">
        <v>331</v>
      </c>
      <c r="E392" s="40">
        <v>-39.288117333439786</v>
      </c>
      <c r="F392" s="63">
        <v>331</v>
      </c>
      <c r="G392" s="40">
        <v>977.68533539881628</v>
      </c>
    </row>
    <row r="393" spans="2:7" x14ac:dyDescent="0.3">
      <c r="B393" s="63">
        <v>332</v>
      </c>
      <c r="C393" s="40">
        <v>839.06786501736133</v>
      </c>
      <c r="D393" s="63">
        <v>332</v>
      </c>
      <c r="E393" s="40">
        <v>19.273904299236346</v>
      </c>
      <c r="F393" s="63">
        <v>332</v>
      </c>
      <c r="G393" s="40">
        <v>1581.2779363133031</v>
      </c>
    </row>
    <row r="394" spans="2:7" x14ac:dyDescent="0.3">
      <c r="B394" s="63">
        <v>333</v>
      </c>
      <c r="C394" s="40">
        <v>1112.6066296342096</v>
      </c>
      <c r="D394" s="63">
        <v>333</v>
      </c>
      <c r="E394" s="40">
        <v>-64.260456962775564</v>
      </c>
      <c r="F394" s="63">
        <v>333</v>
      </c>
      <c r="G394" s="40">
        <v>832.32109857155422</v>
      </c>
    </row>
    <row r="395" spans="2:7" x14ac:dyDescent="0.3">
      <c r="B395" s="63">
        <v>334</v>
      </c>
      <c r="C395" s="40">
        <v>1320.5721608016813</v>
      </c>
      <c r="D395" s="63">
        <v>334</v>
      </c>
      <c r="E395" s="40">
        <v>0.25093955142253321</v>
      </c>
      <c r="F395" s="63">
        <v>334</v>
      </c>
      <c r="G395" s="40">
        <v>819.23285277833384</v>
      </c>
    </row>
    <row r="396" spans="2:7" x14ac:dyDescent="0.3">
      <c r="B396" s="63">
        <v>335</v>
      </c>
      <c r="C396" s="40">
        <v>919.06240667850955</v>
      </c>
      <c r="D396" s="63">
        <v>335</v>
      </c>
      <c r="E396" s="40">
        <v>37.449856819068906</v>
      </c>
      <c r="F396" s="63">
        <v>335</v>
      </c>
      <c r="G396" s="40">
        <v>787.65273890241326</v>
      </c>
    </row>
    <row r="397" spans="2:7" x14ac:dyDescent="0.3">
      <c r="B397" s="63">
        <v>336</v>
      </c>
      <c r="C397" s="40">
        <v>905.37618114633051</v>
      </c>
      <c r="D397" s="63">
        <v>336</v>
      </c>
      <c r="E397" s="40">
        <v>-57.56890906170478</v>
      </c>
      <c r="F397" s="63">
        <v>336</v>
      </c>
      <c r="G397" s="40">
        <v>1529.8651434241674</v>
      </c>
    </row>
    <row r="398" spans="2:7" x14ac:dyDescent="0.3">
      <c r="B398" s="63">
        <v>337</v>
      </c>
      <c r="C398" s="40">
        <v>865.5339841427849</v>
      </c>
      <c r="D398" s="63">
        <v>337</v>
      </c>
      <c r="E398" s="40">
        <v>-16.400541594751274</v>
      </c>
      <c r="F398" s="63">
        <v>337</v>
      </c>
      <c r="G398" s="40">
        <v>880.95703367520036</v>
      </c>
    </row>
    <row r="399" spans="2:7" x14ac:dyDescent="0.3">
      <c r="B399" s="63">
        <v>338</v>
      </c>
      <c r="C399" s="40">
        <v>821.09949936958094</v>
      </c>
      <c r="D399" s="63">
        <v>338</v>
      </c>
      <c r="E399" s="40">
        <v>26.466074295730152</v>
      </c>
      <c r="F399" s="63">
        <v>338</v>
      </c>
      <c r="G399" s="40">
        <v>1291.5494102041325</v>
      </c>
    </row>
    <row r="400" spans="2:7" x14ac:dyDescent="0.3">
      <c r="B400" s="63">
        <v>339</v>
      </c>
      <c r="C400" s="40">
        <v>1226.3539364725352</v>
      </c>
      <c r="D400" s="63">
        <v>339</v>
      </c>
      <c r="E400" s="40">
        <v>1.0136211955745651</v>
      </c>
      <c r="F400" s="63">
        <v>339</v>
      </c>
      <c r="G400" s="40">
        <v>1169.0642647071309</v>
      </c>
    </row>
    <row r="401" spans="2:7" x14ac:dyDescent="0.3">
      <c r="B401" s="63">
        <v>340</v>
      </c>
      <c r="C401" s="40">
        <v>1115.6396985527608</v>
      </c>
      <c r="D401" s="63">
        <v>340</v>
      </c>
      <c r="E401" s="40">
        <v>46.104404908268918</v>
      </c>
      <c r="F401" s="63">
        <v>340</v>
      </c>
      <c r="G401" s="40">
        <v>1310.0307305098502</v>
      </c>
    </row>
    <row r="402" spans="2:7" x14ac:dyDescent="0.3">
      <c r="B402" s="63">
        <v>341</v>
      </c>
      <c r="C402" s="40">
        <v>974.57685771787465</v>
      </c>
      <c r="D402" s="63">
        <v>341</v>
      </c>
      <c r="E402" s="40">
        <v>-31.258202612046645</v>
      </c>
      <c r="F402" s="63">
        <v>341</v>
      </c>
      <c r="G402" s="40">
        <v>1649.6753036802888</v>
      </c>
    </row>
    <row r="403" spans="2:7" x14ac:dyDescent="0.3">
      <c r="B403" s="63">
        <v>342</v>
      </c>
      <c r="C403" s="40">
        <v>1590.5537484920706</v>
      </c>
      <c r="D403" s="63">
        <v>342</v>
      </c>
      <c r="E403" s="40">
        <v>36.073768042256091</v>
      </c>
      <c r="F403" s="63">
        <v>342</v>
      </c>
      <c r="G403" s="40">
        <v>1224.3667881542219</v>
      </c>
    </row>
    <row r="404" spans="2:7" x14ac:dyDescent="0.3">
      <c r="B404" s="63">
        <v>343</v>
      </c>
      <c r="C404" s="40">
        <v>1367.4163120309759</v>
      </c>
      <c r="D404" s="63">
        <v>343</v>
      </c>
      <c r="E404" s="40">
        <v>12.453808755790597</v>
      </c>
      <c r="F404" s="63">
        <v>343</v>
      </c>
      <c r="G404" s="40">
        <v>927.80634432884131</v>
      </c>
    </row>
    <row r="405" spans="2:7" x14ac:dyDescent="0.3">
      <c r="B405" s="63">
        <v>344</v>
      </c>
      <c r="C405" s="40">
        <v>376.61379976846365</v>
      </c>
      <c r="D405" s="63">
        <v>344</v>
      </c>
      <c r="E405" s="40">
        <v>22.053490352574578</v>
      </c>
      <c r="F405" s="63">
        <v>344</v>
      </c>
      <c r="G405" s="40">
        <v>1264.6299733941228</v>
      </c>
    </row>
    <row r="406" spans="2:7" x14ac:dyDescent="0.3">
      <c r="B406" s="63">
        <v>345</v>
      </c>
      <c r="C406" s="40">
        <v>1320.6880312743051</v>
      </c>
      <c r="D406" s="63">
        <v>345</v>
      </c>
      <c r="E406" s="40">
        <v>-49.870516991391483</v>
      </c>
      <c r="F406" s="63">
        <v>345</v>
      </c>
      <c r="G406" s="40">
        <v>1390.0913100972307</v>
      </c>
    </row>
    <row r="407" spans="2:7" x14ac:dyDescent="0.3">
      <c r="B407" s="63">
        <v>346</v>
      </c>
      <c r="C407" s="40">
        <v>1163.2323600359437</v>
      </c>
      <c r="D407" s="63">
        <v>346</v>
      </c>
      <c r="E407" s="40">
        <v>34.498870440051611</v>
      </c>
      <c r="F407" s="63">
        <v>346</v>
      </c>
      <c r="G407" s="40">
        <v>1042.6813051085685</v>
      </c>
    </row>
    <row r="408" spans="2:7" x14ac:dyDescent="0.3">
      <c r="B408" s="63">
        <v>347</v>
      </c>
      <c r="C408" s="40">
        <v>1102.7368729228567</v>
      </c>
      <c r="D408" s="63">
        <v>347</v>
      </c>
      <c r="E408" s="40">
        <v>-6.2954144196545272</v>
      </c>
      <c r="F408" s="63">
        <v>347</v>
      </c>
      <c r="G408" s="40">
        <v>1562.2459173999437</v>
      </c>
    </row>
    <row r="409" spans="2:7" x14ac:dyDescent="0.3">
      <c r="B409" s="63">
        <v>348</v>
      </c>
      <c r="C409" s="40">
        <v>1578.7748186326862</v>
      </c>
      <c r="D409" s="63">
        <v>348</v>
      </c>
      <c r="E409" s="40">
        <v>20.5553324714075</v>
      </c>
      <c r="F409" s="63">
        <v>348</v>
      </c>
      <c r="G409" s="40">
        <v>1136.5601811718782</v>
      </c>
    </row>
    <row r="410" spans="2:7" x14ac:dyDescent="0.3">
      <c r="B410" s="63">
        <v>349</v>
      </c>
      <c r="C410" s="40">
        <v>1581.4326616816584</v>
      </c>
      <c r="D410" s="63">
        <v>349</v>
      </c>
      <c r="E410" s="40">
        <v>12.314143881279175</v>
      </c>
      <c r="F410" s="63">
        <v>349</v>
      </c>
      <c r="G410" s="40">
        <v>1268.1380418324777</v>
      </c>
    </row>
    <row r="411" spans="2:7" x14ac:dyDescent="0.3">
      <c r="B411" s="63">
        <v>350</v>
      </c>
      <c r="C411" s="40">
        <v>860.10185820686343</v>
      </c>
      <c r="D411" s="63">
        <v>350</v>
      </c>
      <c r="E411" s="40">
        <v>33.176682522394955</v>
      </c>
      <c r="F411" s="63">
        <v>350</v>
      </c>
      <c r="G411" s="40">
        <v>1147.763429139826</v>
      </c>
    </row>
    <row r="412" spans="2:7" x14ac:dyDescent="0.3">
      <c r="B412" s="63">
        <v>351</v>
      </c>
      <c r="C412" s="40">
        <v>996.86621811671637</v>
      </c>
      <c r="D412" s="63">
        <v>351</v>
      </c>
      <c r="E412" s="40">
        <v>11.835279560570562</v>
      </c>
      <c r="F412" s="63">
        <v>351</v>
      </c>
      <c r="G412" s="40">
        <v>1094.404169156137</v>
      </c>
    </row>
    <row r="413" spans="2:7" x14ac:dyDescent="0.3">
      <c r="B413" s="63">
        <v>352</v>
      </c>
      <c r="C413" s="40">
        <v>1382.7330837725776</v>
      </c>
      <c r="D413" s="63">
        <v>352</v>
      </c>
      <c r="E413" s="40">
        <v>-60.116498583404812</v>
      </c>
      <c r="F413" s="63">
        <v>352</v>
      </c>
      <c r="G413" s="40">
        <v>908.2380521707621</v>
      </c>
    </row>
    <row r="414" spans="2:7" x14ac:dyDescent="0.3">
      <c r="B414" s="63">
        <v>353</v>
      </c>
      <c r="C414" s="40">
        <v>814.13729074339017</v>
      </c>
      <c r="D414" s="63">
        <v>353</v>
      </c>
      <c r="E414" s="40">
        <v>-9.5015607568812754</v>
      </c>
      <c r="F414" s="63">
        <v>353</v>
      </c>
      <c r="G414" s="40">
        <v>1358.2746529477602</v>
      </c>
    </row>
    <row r="415" spans="2:7" x14ac:dyDescent="0.3">
      <c r="B415" s="63">
        <v>354</v>
      </c>
      <c r="C415" s="40">
        <v>1282.917893613077</v>
      </c>
      <c r="D415" s="63">
        <v>354</v>
      </c>
      <c r="E415" s="40">
        <v>37.814251815441899</v>
      </c>
      <c r="F415" s="63">
        <v>354</v>
      </c>
      <c r="G415" s="40">
        <v>842.55847315704375</v>
      </c>
    </row>
    <row r="416" spans="2:7" x14ac:dyDescent="0.3">
      <c r="B416" s="63">
        <v>355</v>
      </c>
      <c r="C416" s="40">
        <v>917.04471401288674</v>
      </c>
      <c r="D416" s="63">
        <v>355</v>
      </c>
      <c r="E416" s="40">
        <v>-4.968990294720939</v>
      </c>
      <c r="F416" s="63">
        <v>355</v>
      </c>
      <c r="G416" s="40">
        <v>1719.767582663274</v>
      </c>
    </row>
    <row r="417" spans="2:7" x14ac:dyDescent="0.3">
      <c r="B417" s="63">
        <v>356</v>
      </c>
      <c r="C417" s="40">
        <v>752.09746195000355</v>
      </c>
      <c r="D417" s="63">
        <v>356</v>
      </c>
      <c r="E417" s="40">
        <v>18.984572546580512</v>
      </c>
      <c r="F417" s="63">
        <v>356</v>
      </c>
      <c r="G417" s="40">
        <v>604.16141428580977</v>
      </c>
    </row>
    <row r="418" spans="2:7" x14ac:dyDescent="0.3">
      <c r="B418" s="63">
        <v>357</v>
      </c>
      <c r="C418" s="40">
        <v>1352.7416424109122</v>
      </c>
      <c r="D418" s="63">
        <v>357</v>
      </c>
      <c r="E418" s="40">
        <v>-1.2277378616211241</v>
      </c>
      <c r="F418" s="63">
        <v>357</v>
      </c>
      <c r="G418" s="40">
        <v>1728.6840803896835</v>
      </c>
    </row>
    <row r="419" spans="2:7" x14ac:dyDescent="0.3">
      <c r="B419" s="63">
        <v>358</v>
      </c>
      <c r="C419" s="40">
        <v>1110.670526883903</v>
      </c>
      <c r="D419" s="63">
        <v>358</v>
      </c>
      <c r="E419" s="40">
        <v>5.5220850506762034</v>
      </c>
      <c r="F419" s="63">
        <v>358</v>
      </c>
      <c r="G419" s="40">
        <v>943.44912953242692</v>
      </c>
    </row>
    <row r="420" spans="2:7" x14ac:dyDescent="0.3">
      <c r="B420" s="63">
        <v>359</v>
      </c>
      <c r="C420" s="40">
        <v>1056.151721733881</v>
      </c>
      <c r="D420" s="63">
        <v>359</v>
      </c>
      <c r="E420" s="40">
        <v>5.8999337477233027</v>
      </c>
      <c r="F420" s="63">
        <v>359</v>
      </c>
      <c r="G420" s="40">
        <v>1196.6121063624892</v>
      </c>
    </row>
    <row r="421" spans="2:7" x14ac:dyDescent="0.3">
      <c r="B421" s="63">
        <v>360</v>
      </c>
      <c r="C421" s="40">
        <v>1366.4904669055263</v>
      </c>
      <c r="D421" s="63">
        <v>360</v>
      </c>
      <c r="E421" s="40">
        <v>62.658657160623775</v>
      </c>
      <c r="F421" s="63">
        <v>360</v>
      </c>
      <c r="G421" s="40">
        <v>1205.1353292689057</v>
      </c>
    </row>
    <row r="422" spans="2:7" x14ac:dyDescent="0.3">
      <c r="B422" s="63">
        <v>361</v>
      </c>
      <c r="C422" s="40">
        <v>184.82951181219119</v>
      </c>
      <c r="D422" s="63">
        <v>361</v>
      </c>
      <c r="E422" s="40">
        <v>-1.8732733934653005</v>
      </c>
      <c r="F422" s="63">
        <v>361</v>
      </c>
      <c r="G422" s="40">
        <v>830.32729907235728</v>
      </c>
    </row>
    <row r="423" spans="2:7" x14ac:dyDescent="0.3">
      <c r="B423" s="63">
        <v>362</v>
      </c>
      <c r="C423" s="40">
        <v>718.48439889455153</v>
      </c>
      <c r="D423" s="63">
        <v>362</v>
      </c>
      <c r="E423" s="40">
        <v>14.648772104978299</v>
      </c>
      <c r="F423" s="63">
        <v>362</v>
      </c>
      <c r="G423" s="40">
        <v>705.45447036243274</v>
      </c>
    </row>
    <row r="424" spans="2:7" x14ac:dyDescent="0.3">
      <c r="B424" s="63">
        <v>363</v>
      </c>
      <c r="C424" s="40">
        <v>1172.1190831100821</v>
      </c>
      <c r="D424" s="63">
        <v>363</v>
      </c>
      <c r="E424" s="40">
        <v>65.063623268459935</v>
      </c>
      <c r="F424" s="63">
        <v>363</v>
      </c>
      <c r="G424" s="40">
        <v>1819.1527674802062</v>
      </c>
    </row>
    <row r="425" spans="2:7" x14ac:dyDescent="0.3">
      <c r="B425" s="63">
        <v>364</v>
      </c>
      <c r="C425" s="40">
        <v>763.92931871565236</v>
      </c>
      <c r="D425" s="63">
        <v>364</v>
      </c>
      <c r="E425" s="40">
        <v>30.472547825283577</v>
      </c>
      <c r="F425" s="63">
        <v>364</v>
      </c>
      <c r="G425" s="40">
        <v>851.62707136003826</v>
      </c>
    </row>
    <row r="426" spans="2:7" x14ac:dyDescent="0.3">
      <c r="B426" s="63">
        <v>365</v>
      </c>
      <c r="C426" s="40">
        <v>1486.2928274094395</v>
      </c>
      <c r="D426" s="63">
        <v>365</v>
      </c>
      <c r="E426" s="40">
        <v>-9.3452987694572229</v>
      </c>
      <c r="F426" s="63">
        <v>365</v>
      </c>
      <c r="G426" s="40">
        <v>869.80171893220006</v>
      </c>
    </row>
    <row r="427" spans="2:7" x14ac:dyDescent="0.3">
      <c r="B427" s="63">
        <v>366</v>
      </c>
      <c r="C427" s="40">
        <v>1419.8081248431856</v>
      </c>
      <c r="D427" s="63">
        <v>366</v>
      </c>
      <c r="E427" s="40">
        <v>8.8521280333009926</v>
      </c>
      <c r="F427" s="63">
        <v>366</v>
      </c>
      <c r="G427" s="40">
        <v>1577.7085905886645</v>
      </c>
    </row>
    <row r="428" spans="2:7" x14ac:dyDescent="0.3">
      <c r="B428" s="63">
        <v>367</v>
      </c>
      <c r="C428" s="40">
        <v>1369.8983834630826</v>
      </c>
      <c r="D428" s="63">
        <v>367</v>
      </c>
      <c r="E428" s="40">
        <v>4.8233018226765054</v>
      </c>
      <c r="F428" s="63">
        <v>367</v>
      </c>
      <c r="G428" s="40">
        <v>965.71554828499859</v>
      </c>
    </row>
    <row r="429" spans="2:7" x14ac:dyDescent="0.3">
      <c r="B429" s="63">
        <v>368</v>
      </c>
      <c r="C429" s="40">
        <v>842.91593463317372</v>
      </c>
      <c r="D429" s="63">
        <v>368</v>
      </c>
      <c r="E429" s="40">
        <v>18.015508742294266</v>
      </c>
      <c r="F429" s="63">
        <v>368</v>
      </c>
      <c r="G429" s="40">
        <v>966.10669379496119</v>
      </c>
    </row>
    <row r="430" spans="2:7" x14ac:dyDescent="0.3">
      <c r="B430" s="63">
        <v>369</v>
      </c>
      <c r="C430" s="40">
        <v>1063.8387697024802</v>
      </c>
      <c r="D430" s="63">
        <v>369</v>
      </c>
      <c r="E430" s="40">
        <v>-4.5311047578827015</v>
      </c>
      <c r="F430" s="63">
        <v>369</v>
      </c>
      <c r="G430" s="40">
        <v>568.00342948337038</v>
      </c>
    </row>
    <row r="431" spans="2:7" x14ac:dyDescent="0.3">
      <c r="B431" s="63">
        <v>370</v>
      </c>
      <c r="C431" s="40">
        <v>423.9560487846195</v>
      </c>
      <c r="D431" s="63">
        <v>370</v>
      </c>
      <c r="E431" s="40">
        <v>12.478087497550066</v>
      </c>
      <c r="F431" s="63">
        <v>370</v>
      </c>
      <c r="G431" s="40">
        <v>1115.6359216426924</v>
      </c>
    </row>
    <row r="432" spans="2:7" x14ac:dyDescent="0.3">
      <c r="B432" s="63">
        <v>371</v>
      </c>
      <c r="C432" s="40">
        <v>662.38521697383453</v>
      </c>
      <c r="D432" s="63">
        <v>371</v>
      </c>
      <c r="E432" s="40">
        <v>26.152329243443226</v>
      </c>
      <c r="F432" s="63">
        <v>371</v>
      </c>
      <c r="G432" s="40">
        <v>1176.1988761610144</v>
      </c>
    </row>
    <row r="433" spans="2:7" x14ac:dyDescent="0.3">
      <c r="B433" s="63">
        <v>372</v>
      </c>
      <c r="C433" s="40">
        <v>1045.9627634936649</v>
      </c>
      <c r="D433" s="63">
        <v>372</v>
      </c>
      <c r="E433" s="40">
        <v>13.346192384017513</v>
      </c>
      <c r="F433" s="63">
        <v>372</v>
      </c>
      <c r="G433" s="40">
        <v>1430.4936726605627</v>
      </c>
    </row>
    <row r="434" spans="2:7" x14ac:dyDescent="0.3">
      <c r="B434" s="63">
        <v>373</v>
      </c>
      <c r="C434" s="40">
        <v>1665.0188609229581</v>
      </c>
      <c r="D434" s="63">
        <v>373</v>
      </c>
      <c r="E434" s="40">
        <v>0.97275325938671386</v>
      </c>
      <c r="F434" s="63">
        <v>373</v>
      </c>
      <c r="G434" s="40">
        <v>550.92482292975592</v>
      </c>
    </row>
    <row r="435" spans="2:7" x14ac:dyDescent="0.3">
      <c r="B435" s="63">
        <v>374</v>
      </c>
      <c r="C435" s="40">
        <v>1021.1083177154527</v>
      </c>
      <c r="D435" s="63">
        <v>374</v>
      </c>
      <c r="E435" s="40">
        <v>33.659992618361528</v>
      </c>
      <c r="F435" s="63">
        <v>374</v>
      </c>
      <c r="G435" s="40">
        <v>1235.748466652024</v>
      </c>
    </row>
    <row r="436" spans="2:7" x14ac:dyDescent="0.3">
      <c r="B436" s="63">
        <v>375</v>
      </c>
      <c r="C436" s="40">
        <v>887.22335843353198</v>
      </c>
      <c r="D436" s="63">
        <v>375</v>
      </c>
      <c r="E436" s="40">
        <v>-45.590566337156829</v>
      </c>
      <c r="F436" s="63">
        <v>375</v>
      </c>
      <c r="G436" s="40">
        <v>1259.1852409402843</v>
      </c>
    </row>
    <row r="437" spans="2:7" x14ac:dyDescent="0.3">
      <c r="B437" s="63">
        <v>376</v>
      </c>
      <c r="C437" s="40">
        <v>859.04423316707357</v>
      </c>
      <c r="D437" s="63">
        <v>376</v>
      </c>
      <c r="E437" s="40">
        <v>-2.1650940727113657</v>
      </c>
      <c r="F437" s="63">
        <v>376</v>
      </c>
      <c r="G437" s="40">
        <v>1315.0433349337559</v>
      </c>
    </row>
    <row r="438" spans="2:7" x14ac:dyDescent="0.3">
      <c r="B438" s="63">
        <v>377</v>
      </c>
      <c r="C438" s="40">
        <v>839.98841397150056</v>
      </c>
      <c r="D438" s="63">
        <v>377</v>
      </c>
      <c r="E438" s="40">
        <v>9.0109415667564932</v>
      </c>
      <c r="F438" s="63">
        <v>377</v>
      </c>
      <c r="G438" s="40">
        <v>1449.3637756713335</v>
      </c>
    </row>
    <row r="439" spans="2:7" x14ac:dyDescent="0.3">
      <c r="B439" s="63">
        <v>378</v>
      </c>
      <c r="C439" s="40">
        <v>887.70847951006226</v>
      </c>
      <c r="D439" s="63">
        <v>378</v>
      </c>
      <c r="E439" s="40">
        <v>26.809858359152969</v>
      </c>
      <c r="F439" s="63">
        <v>378</v>
      </c>
      <c r="G439" s="40">
        <v>1436.3208568849534</v>
      </c>
    </row>
    <row r="440" spans="2:7" x14ac:dyDescent="0.3">
      <c r="B440" s="63">
        <v>379</v>
      </c>
      <c r="C440" s="40">
        <v>1176.840777644526</v>
      </c>
      <c r="D440" s="63">
        <v>379</v>
      </c>
      <c r="E440" s="40">
        <v>-27.067287830562506</v>
      </c>
      <c r="F440" s="63">
        <v>379</v>
      </c>
      <c r="G440" s="40">
        <v>1059.066219489592</v>
      </c>
    </row>
    <row r="441" spans="2:7" x14ac:dyDescent="0.3">
      <c r="B441" s="63">
        <v>380</v>
      </c>
      <c r="C441" s="40">
        <v>418.46487313593133</v>
      </c>
      <c r="D441" s="63">
        <v>380</v>
      </c>
      <c r="E441" s="40">
        <v>36.609788690557046</v>
      </c>
      <c r="F441" s="63">
        <v>380</v>
      </c>
      <c r="G441" s="40">
        <v>926.48288730269405</v>
      </c>
    </row>
    <row r="442" spans="2:7" x14ac:dyDescent="0.3">
      <c r="B442" s="63">
        <v>381</v>
      </c>
      <c r="C442" s="40">
        <v>1433.4507897044468</v>
      </c>
      <c r="D442" s="63">
        <v>381</v>
      </c>
      <c r="E442" s="40">
        <v>26.641927239041021</v>
      </c>
      <c r="F442" s="63">
        <v>381</v>
      </c>
      <c r="G442" s="40">
        <v>1476.0960206388961</v>
      </c>
    </row>
    <row r="443" spans="2:7" x14ac:dyDescent="0.3">
      <c r="B443" s="63">
        <v>382</v>
      </c>
      <c r="C443" s="40">
        <v>749.06934504970229</v>
      </c>
      <c r="D443" s="63">
        <v>382</v>
      </c>
      <c r="E443" s="40">
        <v>-33.187859866509307</v>
      </c>
      <c r="F443" s="63">
        <v>382</v>
      </c>
      <c r="G443" s="40">
        <v>1310.2368008367052</v>
      </c>
    </row>
    <row r="444" spans="2:7" x14ac:dyDescent="0.3">
      <c r="B444" s="63">
        <v>383</v>
      </c>
      <c r="C444" s="40">
        <v>226.57454419665527</v>
      </c>
      <c r="D444" s="63">
        <v>383</v>
      </c>
      <c r="E444" s="40">
        <v>49.423148786223521</v>
      </c>
      <c r="F444" s="63">
        <v>383</v>
      </c>
      <c r="G444" s="40">
        <v>1018.9195377457438</v>
      </c>
    </row>
    <row r="445" spans="2:7" x14ac:dyDescent="0.3">
      <c r="B445" s="63">
        <v>384</v>
      </c>
      <c r="C445" s="40">
        <v>1082.9206348779207</v>
      </c>
      <c r="D445" s="63">
        <v>384</v>
      </c>
      <c r="E445" s="40">
        <v>7.5471832615785388</v>
      </c>
      <c r="F445" s="63">
        <v>384</v>
      </c>
      <c r="G445" s="40">
        <v>1020.5675937553</v>
      </c>
    </row>
    <row r="446" spans="2:7" x14ac:dyDescent="0.3">
      <c r="B446" s="63">
        <v>385</v>
      </c>
      <c r="C446" s="40">
        <v>777.14702132421019</v>
      </c>
      <c r="D446" s="63">
        <v>385</v>
      </c>
      <c r="E446" s="40">
        <v>15.914785575120735</v>
      </c>
      <c r="F446" s="63">
        <v>385</v>
      </c>
      <c r="G446" s="40">
        <v>666.25986350316407</v>
      </c>
    </row>
    <row r="447" spans="2:7" x14ac:dyDescent="0.3">
      <c r="B447" s="63">
        <v>386</v>
      </c>
      <c r="C447" s="40">
        <v>917.74270430644583</v>
      </c>
      <c r="D447" s="63">
        <v>386</v>
      </c>
      <c r="E447" s="40">
        <v>1.1137073019754595</v>
      </c>
      <c r="F447" s="63">
        <v>386</v>
      </c>
      <c r="G447" s="40">
        <v>505.86211880462582</v>
      </c>
    </row>
    <row r="448" spans="2:7" x14ac:dyDescent="0.3">
      <c r="B448" s="63">
        <v>387</v>
      </c>
      <c r="C448" s="40">
        <v>549.96560586117198</v>
      </c>
      <c r="D448" s="63">
        <v>387</v>
      </c>
      <c r="E448" s="40">
        <v>12.885166719616635</v>
      </c>
      <c r="F448" s="63">
        <v>387</v>
      </c>
      <c r="G448" s="40">
        <v>1324.4952802215037</v>
      </c>
    </row>
    <row r="449" spans="2:7" x14ac:dyDescent="0.3">
      <c r="B449" s="63">
        <v>388</v>
      </c>
      <c r="C449" s="40">
        <v>1261.6926960907801</v>
      </c>
      <c r="D449" s="63">
        <v>388</v>
      </c>
      <c r="E449" s="40">
        <v>33.578765407357771</v>
      </c>
      <c r="F449" s="63">
        <v>388</v>
      </c>
      <c r="G449" s="40">
        <v>1498.1875922954018</v>
      </c>
    </row>
    <row r="450" spans="2:7" x14ac:dyDescent="0.3">
      <c r="B450" s="63">
        <v>389</v>
      </c>
      <c r="C450" s="40">
        <v>973.83392521576604</v>
      </c>
      <c r="D450" s="63">
        <v>389</v>
      </c>
      <c r="E450" s="40">
        <v>30.150093525457329</v>
      </c>
      <c r="F450" s="63">
        <v>389</v>
      </c>
      <c r="G450" s="40">
        <v>852.09125705142105</v>
      </c>
    </row>
    <row r="451" spans="2:7" x14ac:dyDescent="0.3">
      <c r="B451" s="63">
        <v>390</v>
      </c>
      <c r="C451" s="40">
        <v>1033.7340937638221</v>
      </c>
      <c r="D451" s="63">
        <v>390</v>
      </c>
      <c r="E451" s="40">
        <v>-70.449946789262299</v>
      </c>
      <c r="F451" s="63">
        <v>390</v>
      </c>
      <c r="G451" s="40">
        <v>1877.4053526769662</v>
      </c>
    </row>
    <row r="452" spans="2:7" x14ac:dyDescent="0.3">
      <c r="B452" s="63">
        <v>391</v>
      </c>
      <c r="C452" s="40">
        <v>1343.9366696876482</v>
      </c>
      <c r="D452" s="63">
        <v>391</v>
      </c>
      <c r="E452" s="40">
        <v>-31.208284864978282</v>
      </c>
      <c r="F452" s="63">
        <v>391</v>
      </c>
      <c r="G452" s="40">
        <v>1146.3752121330251</v>
      </c>
    </row>
    <row r="453" spans="2:7" x14ac:dyDescent="0.3">
      <c r="B453" s="63">
        <v>392</v>
      </c>
      <c r="C453" s="40">
        <v>918.81175888789426</v>
      </c>
      <c r="D453" s="63">
        <v>392</v>
      </c>
      <c r="E453" s="40">
        <v>36.968863968416386</v>
      </c>
      <c r="F453" s="63">
        <v>392</v>
      </c>
      <c r="G453" s="40">
        <v>1290.0959657661504</v>
      </c>
    </row>
    <row r="454" spans="2:7" x14ac:dyDescent="0.3">
      <c r="B454" s="63">
        <v>393</v>
      </c>
      <c r="C454" s="40">
        <v>941.22225806268852</v>
      </c>
      <c r="D454" s="63">
        <v>393</v>
      </c>
      <c r="E454" s="40">
        <v>19.152597603424493</v>
      </c>
      <c r="F454" s="63">
        <v>393</v>
      </c>
      <c r="G454" s="40">
        <v>1507.9011852838996</v>
      </c>
    </row>
    <row r="455" spans="2:7" x14ac:dyDescent="0.3">
      <c r="B455" s="63">
        <v>394</v>
      </c>
      <c r="C455" s="40">
        <v>908.84580093210423</v>
      </c>
      <c r="D455" s="63">
        <v>394</v>
      </c>
      <c r="E455" s="40">
        <v>5.0395762614544113</v>
      </c>
      <c r="F455" s="63">
        <v>394</v>
      </c>
      <c r="G455" s="40">
        <v>540.47590297943145</v>
      </c>
    </row>
    <row r="456" spans="2:7" x14ac:dyDescent="0.3">
      <c r="B456" s="63">
        <v>395</v>
      </c>
      <c r="C456" s="40">
        <v>923.55404655351299</v>
      </c>
      <c r="D456" s="63">
        <v>395</v>
      </c>
      <c r="E456" s="40">
        <v>76.740680655552666</v>
      </c>
      <c r="F456" s="63">
        <v>395</v>
      </c>
      <c r="G456" s="40">
        <v>1157.5972235978686</v>
      </c>
    </row>
    <row r="457" spans="2:7" x14ac:dyDescent="0.3">
      <c r="B457" s="63">
        <v>396</v>
      </c>
      <c r="C457" s="40">
        <v>1193.1997932651429</v>
      </c>
      <c r="D457" s="63">
        <v>396</v>
      </c>
      <c r="E457" s="40">
        <v>11.340808762889154</v>
      </c>
      <c r="F457" s="63">
        <v>396</v>
      </c>
      <c r="G457" s="40">
        <v>1228.6917411136219</v>
      </c>
    </row>
    <row r="458" spans="2:7" x14ac:dyDescent="0.3">
      <c r="B458" s="63">
        <v>397</v>
      </c>
      <c r="C458" s="40">
        <v>1252.5832049825015</v>
      </c>
      <c r="D458" s="63">
        <v>397</v>
      </c>
      <c r="E458" s="40">
        <v>19.916784045553037</v>
      </c>
      <c r="F458" s="63">
        <v>397</v>
      </c>
      <c r="G458" s="40">
        <v>1076.9399739092451</v>
      </c>
    </row>
    <row r="459" spans="2:7" x14ac:dyDescent="0.3">
      <c r="B459" s="63">
        <v>398</v>
      </c>
      <c r="C459" s="40">
        <v>987.57282944636972</v>
      </c>
      <c r="D459" s="63">
        <v>398</v>
      </c>
      <c r="E459" s="40">
        <v>-36.679197178034251</v>
      </c>
      <c r="F459" s="63">
        <v>398</v>
      </c>
      <c r="G459" s="40">
        <v>537.68145763648852</v>
      </c>
    </row>
    <row r="460" spans="2:7" x14ac:dyDescent="0.3">
      <c r="B460" s="63">
        <v>399</v>
      </c>
      <c r="C460" s="40">
        <v>724.37959297568102</v>
      </c>
      <c r="D460" s="63">
        <v>399</v>
      </c>
      <c r="E460" s="40">
        <v>-55.314063930124739</v>
      </c>
      <c r="F460" s="63">
        <v>399</v>
      </c>
      <c r="G460" s="40">
        <v>1896.1630499166524</v>
      </c>
    </row>
    <row r="461" spans="2:7" x14ac:dyDescent="0.3">
      <c r="B461" s="63">
        <v>400</v>
      </c>
      <c r="C461" s="40">
        <v>1732.948857575356</v>
      </c>
      <c r="D461" s="63">
        <v>400</v>
      </c>
      <c r="E461" s="40">
        <v>12.027835728148172</v>
      </c>
      <c r="F461" s="63">
        <v>400</v>
      </c>
      <c r="G461" s="40">
        <v>1211.4565121561316</v>
      </c>
    </row>
    <row r="462" spans="2:7" x14ac:dyDescent="0.3">
      <c r="B462" s="63">
        <v>401</v>
      </c>
      <c r="C462" s="40">
        <v>530.71911839439065</v>
      </c>
      <c r="D462" s="63">
        <v>401</v>
      </c>
      <c r="E462" s="40">
        <v>22.071352922571474</v>
      </c>
      <c r="F462" s="63">
        <v>401</v>
      </c>
      <c r="G462" s="40">
        <v>1103.0508515483314</v>
      </c>
    </row>
    <row r="463" spans="2:7" x14ac:dyDescent="0.3">
      <c r="B463" s="63">
        <v>402</v>
      </c>
      <c r="C463" s="40">
        <v>1545.4773291325901</v>
      </c>
      <c r="D463" s="63">
        <v>402</v>
      </c>
      <c r="E463" s="40">
        <v>44.589841993785726</v>
      </c>
      <c r="F463" s="63">
        <v>402</v>
      </c>
      <c r="G463" s="40">
        <v>1454.6206084301116</v>
      </c>
    </row>
    <row r="464" spans="2:7" x14ac:dyDescent="0.3">
      <c r="B464" s="63">
        <v>403</v>
      </c>
      <c r="C464" s="40">
        <v>922.77189838575748</v>
      </c>
      <c r="D464" s="63">
        <v>403</v>
      </c>
      <c r="E464" s="40">
        <v>-21.514333294040995</v>
      </c>
      <c r="F464" s="63">
        <v>403</v>
      </c>
      <c r="G464" s="40">
        <v>935.85270226315708</v>
      </c>
    </row>
    <row r="465" spans="2:7" x14ac:dyDescent="0.3">
      <c r="B465" s="63">
        <v>404</v>
      </c>
      <c r="C465" s="40">
        <v>818.45946475210985</v>
      </c>
      <c r="D465" s="63">
        <v>404</v>
      </c>
      <c r="E465" s="40">
        <v>-1.3258969082468965</v>
      </c>
      <c r="F465" s="63">
        <v>404</v>
      </c>
      <c r="G465" s="40">
        <v>461.0508463547348</v>
      </c>
    </row>
    <row r="466" spans="2:7" x14ac:dyDescent="0.3">
      <c r="B466" s="63">
        <v>405</v>
      </c>
      <c r="C466" s="40">
        <v>1588.1875599871221</v>
      </c>
      <c r="D466" s="63">
        <v>405</v>
      </c>
      <c r="E466" s="40">
        <v>3.3420351052159063</v>
      </c>
      <c r="F466" s="63">
        <v>405</v>
      </c>
      <c r="G466" s="40">
        <v>1671.4979593203798</v>
      </c>
    </row>
    <row r="467" spans="2:7" x14ac:dyDescent="0.3">
      <c r="B467" s="63">
        <v>406</v>
      </c>
      <c r="C467" s="40">
        <v>909.52356480292565</v>
      </c>
      <c r="D467" s="63">
        <v>406</v>
      </c>
      <c r="E467" s="40">
        <v>-5.7510712150054459</v>
      </c>
      <c r="F467" s="63">
        <v>406</v>
      </c>
      <c r="G467" s="40">
        <v>1508.1605681707081</v>
      </c>
    </row>
    <row r="468" spans="2:7" x14ac:dyDescent="0.3">
      <c r="B468" s="63">
        <v>407</v>
      </c>
      <c r="C468" s="40">
        <v>606.38785363389638</v>
      </c>
      <c r="D468" s="63">
        <v>407</v>
      </c>
      <c r="E468" s="40">
        <v>-5.8168904105525314</v>
      </c>
      <c r="F468" s="63">
        <v>407</v>
      </c>
      <c r="G468" s="40">
        <v>1379.3870108472454</v>
      </c>
    </row>
    <row r="469" spans="2:7" x14ac:dyDescent="0.3">
      <c r="B469" s="63">
        <v>408</v>
      </c>
      <c r="C469" s="40">
        <v>1400.219317833016</v>
      </c>
      <c r="D469" s="63">
        <v>408</v>
      </c>
      <c r="E469" s="40">
        <v>-56.096862496780815</v>
      </c>
      <c r="F469" s="63">
        <v>408</v>
      </c>
      <c r="G469" s="40">
        <v>1543.766278014532</v>
      </c>
    </row>
    <row r="470" spans="2:7" x14ac:dyDescent="0.3">
      <c r="B470" s="63">
        <v>409</v>
      </c>
      <c r="C470" s="40">
        <v>733.9425836400344</v>
      </c>
      <c r="D470" s="63">
        <v>409</v>
      </c>
      <c r="E470" s="40">
        <v>-32.099486302657297</v>
      </c>
      <c r="F470" s="63">
        <v>409</v>
      </c>
      <c r="G470" s="40">
        <v>1060.9139434832939</v>
      </c>
    </row>
    <row r="471" spans="2:7" x14ac:dyDescent="0.3">
      <c r="B471" s="63">
        <v>410</v>
      </c>
      <c r="C471" s="40">
        <v>804.795851617366</v>
      </c>
      <c r="D471" s="63">
        <v>410</v>
      </c>
      <c r="E471" s="40">
        <v>42.725992695835735</v>
      </c>
      <c r="F471" s="63">
        <v>410</v>
      </c>
      <c r="G471" s="40">
        <v>1042.9487549922133</v>
      </c>
    </row>
    <row r="472" spans="2:7" x14ac:dyDescent="0.3">
      <c r="B472" s="63">
        <v>411</v>
      </c>
      <c r="C472" s="40">
        <v>903.12707887470356</v>
      </c>
      <c r="D472" s="63">
        <v>411</v>
      </c>
      <c r="E472" s="40">
        <v>26.02526357165144</v>
      </c>
      <c r="F472" s="63">
        <v>411</v>
      </c>
      <c r="G472" s="40">
        <v>1012.2657468149828</v>
      </c>
    </row>
    <row r="473" spans="2:7" x14ac:dyDescent="0.3">
      <c r="B473" s="63">
        <v>412</v>
      </c>
      <c r="C473" s="40">
        <v>867.6837994164224</v>
      </c>
      <c r="D473" s="63">
        <v>412</v>
      </c>
      <c r="E473" s="40">
        <v>55.514390658083883</v>
      </c>
      <c r="F473" s="63">
        <v>412</v>
      </c>
      <c r="G473" s="40">
        <v>988.43970680567395</v>
      </c>
    </row>
    <row r="474" spans="2:7" x14ac:dyDescent="0.3">
      <c r="B474" s="63">
        <v>413</v>
      </c>
      <c r="C474" s="40">
        <v>1271.1611081807475</v>
      </c>
      <c r="D474" s="63">
        <v>413</v>
      </c>
      <c r="E474" s="40">
        <v>64.718538753578898</v>
      </c>
      <c r="F474" s="63">
        <v>413</v>
      </c>
      <c r="G474" s="40">
        <v>1006.3178045556494</v>
      </c>
    </row>
    <row r="475" spans="2:7" x14ac:dyDescent="0.3">
      <c r="B475" s="63">
        <v>414</v>
      </c>
      <c r="C475" s="40">
        <v>1275.2970347013679</v>
      </c>
      <c r="D475" s="63">
        <v>414</v>
      </c>
      <c r="E475" s="40">
        <v>-17.409226918797593</v>
      </c>
      <c r="F475" s="63">
        <v>414</v>
      </c>
      <c r="G475" s="40">
        <v>812.33747982588886</v>
      </c>
    </row>
    <row r="476" spans="2:7" x14ac:dyDescent="0.3">
      <c r="B476" s="63">
        <v>415</v>
      </c>
      <c r="C476" s="40">
        <v>1767.1289332160832</v>
      </c>
      <c r="D476" s="63">
        <v>415</v>
      </c>
      <c r="E476" s="40">
        <v>6.4065719620588535</v>
      </c>
      <c r="F476" s="63">
        <v>415</v>
      </c>
      <c r="G476" s="40">
        <v>1466.3751587998868</v>
      </c>
    </row>
    <row r="477" spans="2:7" x14ac:dyDescent="0.3">
      <c r="B477" s="63">
        <v>416</v>
      </c>
      <c r="C477" s="40">
        <v>1184.1174013060468</v>
      </c>
      <c r="D477" s="63">
        <v>416</v>
      </c>
      <c r="E477" s="40">
        <v>36.504730712255977</v>
      </c>
      <c r="F477" s="63">
        <v>416</v>
      </c>
      <c r="G477" s="40">
        <v>1071.4403759223578</v>
      </c>
    </row>
    <row r="478" spans="2:7" x14ac:dyDescent="0.3">
      <c r="B478" s="63">
        <v>417</v>
      </c>
      <c r="C478" s="40">
        <v>742.00493660691518</v>
      </c>
      <c r="D478" s="63">
        <v>417</v>
      </c>
      <c r="E478" s="40">
        <v>15.220618641917511</v>
      </c>
      <c r="F478" s="63">
        <v>417</v>
      </c>
      <c r="G478" s="40">
        <v>495.12311513249085</v>
      </c>
    </row>
    <row r="479" spans="2:7" x14ac:dyDescent="0.3">
      <c r="B479" s="63">
        <v>418</v>
      </c>
      <c r="C479" s="40">
        <v>1400.8585268921784</v>
      </c>
      <c r="D479" s="63">
        <v>418</v>
      </c>
      <c r="E479" s="40">
        <v>-30.86933037962649</v>
      </c>
      <c r="F479" s="63">
        <v>418</v>
      </c>
      <c r="G479" s="40">
        <v>1176.0404115611589</v>
      </c>
    </row>
    <row r="480" spans="2:7" x14ac:dyDescent="0.3">
      <c r="B480" s="63">
        <v>419</v>
      </c>
      <c r="C480" s="40">
        <v>763.29590574059318</v>
      </c>
      <c r="D480" s="63">
        <v>419</v>
      </c>
      <c r="E480" s="40">
        <v>-12.287170985275992</v>
      </c>
      <c r="F480" s="63">
        <v>419</v>
      </c>
      <c r="G480" s="40">
        <v>1325.1943386815378</v>
      </c>
    </row>
    <row r="481" spans="2:7" x14ac:dyDescent="0.3">
      <c r="B481" s="63">
        <v>420</v>
      </c>
      <c r="C481" s="40">
        <v>606.87803239252321</v>
      </c>
      <c r="D481" s="63">
        <v>420</v>
      </c>
      <c r="E481" s="40">
        <v>37.201025732134916</v>
      </c>
      <c r="F481" s="63">
        <v>420</v>
      </c>
      <c r="G481" s="40">
        <v>531.02132558806159</v>
      </c>
    </row>
    <row r="482" spans="2:7" x14ac:dyDescent="0.3">
      <c r="B482" s="63">
        <v>421</v>
      </c>
      <c r="C482" s="40">
        <v>1215.694296322175</v>
      </c>
      <c r="D482" s="63">
        <v>421</v>
      </c>
      <c r="E482" s="40">
        <v>-39.673299532554715</v>
      </c>
      <c r="F482" s="63">
        <v>421</v>
      </c>
      <c r="G482" s="40">
        <v>959.15866247755082</v>
      </c>
    </row>
    <row r="483" spans="2:7" x14ac:dyDescent="0.3">
      <c r="B483" s="63">
        <v>422</v>
      </c>
      <c r="C483" s="40">
        <v>1094.4695537020848</v>
      </c>
      <c r="D483" s="63">
        <v>422</v>
      </c>
      <c r="E483" s="40">
        <v>-51.936171777767818</v>
      </c>
      <c r="F483" s="63">
        <v>422</v>
      </c>
      <c r="G483" s="40">
        <v>796.34177443471981</v>
      </c>
    </row>
    <row r="484" spans="2:7" x14ac:dyDescent="0.3">
      <c r="B484" s="63">
        <v>423</v>
      </c>
      <c r="C484" s="40">
        <v>1377.8801458016976</v>
      </c>
      <c r="D484" s="63">
        <v>423</v>
      </c>
      <c r="E484" s="40">
        <v>-56.124303771626259</v>
      </c>
      <c r="F484" s="63">
        <v>423</v>
      </c>
      <c r="G484" s="40">
        <v>1999.3791955877887</v>
      </c>
    </row>
    <row r="485" spans="2:7" x14ac:dyDescent="0.3">
      <c r="B485" s="63">
        <v>424</v>
      </c>
      <c r="C485" s="40">
        <v>1471.7820325014673</v>
      </c>
      <c r="D485" s="63">
        <v>424</v>
      </c>
      <c r="E485" s="40">
        <v>-26.067471761753161</v>
      </c>
      <c r="F485" s="63">
        <v>424</v>
      </c>
      <c r="G485" s="40">
        <v>1815.0601260979604</v>
      </c>
    </row>
    <row r="486" spans="2:7" x14ac:dyDescent="0.3">
      <c r="B486" s="63">
        <v>425</v>
      </c>
      <c r="C486" s="40">
        <v>1666.1801716256457</v>
      </c>
      <c r="D486" s="63">
        <v>425</v>
      </c>
      <c r="E486" s="40">
        <v>-2.0977413925916295</v>
      </c>
      <c r="F486" s="63">
        <v>425</v>
      </c>
      <c r="G486" s="40">
        <v>1744.5045915303651</v>
      </c>
    </row>
    <row r="487" spans="2:7" x14ac:dyDescent="0.3">
      <c r="B487" s="63">
        <v>426</v>
      </c>
      <c r="C487" s="40">
        <v>1435.6739554578419</v>
      </c>
      <c r="D487" s="63">
        <v>426</v>
      </c>
      <c r="E487" s="40">
        <v>14.11815807841421</v>
      </c>
      <c r="F487" s="63">
        <v>426</v>
      </c>
      <c r="G487" s="40">
        <v>1755.0067076798605</v>
      </c>
    </row>
    <row r="488" spans="2:7" x14ac:dyDescent="0.3">
      <c r="B488" s="63">
        <v>427</v>
      </c>
      <c r="C488" s="40">
        <v>1414.6093578420002</v>
      </c>
      <c r="D488" s="63">
        <v>427</v>
      </c>
      <c r="E488" s="40">
        <v>-14.482894847086115</v>
      </c>
      <c r="F488" s="63">
        <v>427</v>
      </c>
      <c r="G488" s="40">
        <v>1106.290134260689</v>
      </c>
    </row>
    <row r="489" spans="2:7" x14ac:dyDescent="0.3">
      <c r="B489" s="63">
        <v>428</v>
      </c>
      <c r="C489" s="40">
        <v>796.88683515562161</v>
      </c>
      <c r="D489" s="63">
        <v>428</v>
      </c>
      <c r="E489" s="40">
        <v>-26.650901377718981</v>
      </c>
      <c r="F489" s="63">
        <v>428</v>
      </c>
      <c r="G489" s="40">
        <v>476.87498242397822</v>
      </c>
    </row>
    <row r="490" spans="2:7" x14ac:dyDescent="0.3">
      <c r="B490" s="63">
        <v>429</v>
      </c>
      <c r="C490" s="40">
        <v>922.80323617164902</v>
      </c>
      <c r="D490" s="63">
        <v>429</v>
      </c>
      <c r="E490" s="40">
        <v>-84.035540542239431</v>
      </c>
      <c r="F490" s="63">
        <v>429</v>
      </c>
      <c r="G490" s="40">
        <v>938.81677988655474</v>
      </c>
    </row>
    <row r="491" spans="2:7" x14ac:dyDescent="0.3">
      <c r="B491" s="63">
        <v>430</v>
      </c>
      <c r="C491" s="40">
        <v>1088.7028114578077</v>
      </c>
      <c r="D491" s="63">
        <v>430</v>
      </c>
      <c r="E491" s="40">
        <v>21.345762949120857</v>
      </c>
      <c r="F491" s="63">
        <v>430</v>
      </c>
      <c r="G491" s="40">
        <v>1731.7975043589577</v>
      </c>
    </row>
    <row r="492" spans="2:7" x14ac:dyDescent="0.3">
      <c r="B492" s="63">
        <v>431</v>
      </c>
      <c r="C492" s="40">
        <v>1191.214187040792</v>
      </c>
      <c r="D492" s="63">
        <v>431</v>
      </c>
      <c r="E492" s="40">
        <v>-6.9642536854422801</v>
      </c>
      <c r="F492" s="63">
        <v>431</v>
      </c>
      <c r="G492" s="40">
        <v>967.01688783656493</v>
      </c>
    </row>
    <row r="493" spans="2:7" x14ac:dyDescent="0.3">
      <c r="B493" s="63">
        <v>432</v>
      </c>
      <c r="C493" s="40">
        <v>1002.7686954558457</v>
      </c>
      <c r="D493" s="63">
        <v>432</v>
      </c>
      <c r="E493" s="40">
        <v>-18.58904572023846</v>
      </c>
      <c r="F493" s="63">
        <v>432</v>
      </c>
      <c r="G493" s="40">
        <v>915.67446347676821</v>
      </c>
    </row>
    <row r="494" spans="2:7" x14ac:dyDescent="0.3">
      <c r="B494" s="63">
        <v>433</v>
      </c>
      <c r="C494" s="40">
        <v>1200.7781237547604</v>
      </c>
      <c r="D494" s="63">
        <v>433</v>
      </c>
      <c r="E494" s="40">
        <v>9.3167415526061603</v>
      </c>
      <c r="F494" s="63">
        <v>433</v>
      </c>
      <c r="G494" s="40">
        <v>1108.2393539385214</v>
      </c>
    </row>
    <row r="495" spans="2:7" x14ac:dyDescent="0.3">
      <c r="B495" s="63">
        <v>434</v>
      </c>
      <c r="C495" s="40">
        <v>848.49909229741877</v>
      </c>
      <c r="D495" s="63">
        <v>434</v>
      </c>
      <c r="E495" s="40">
        <v>10.235189534470315</v>
      </c>
      <c r="F495" s="63">
        <v>434</v>
      </c>
      <c r="G495" s="40">
        <v>993.2108304085948</v>
      </c>
    </row>
    <row r="496" spans="2:7" x14ac:dyDescent="0.3">
      <c r="B496" s="63">
        <v>435</v>
      </c>
      <c r="C496" s="40">
        <v>162.93287137434581</v>
      </c>
      <c r="D496" s="63">
        <v>435</v>
      </c>
      <c r="E496" s="40">
        <v>-17.27828387625474</v>
      </c>
      <c r="F496" s="63">
        <v>435</v>
      </c>
      <c r="G496" s="40">
        <v>805.03220728558006</v>
      </c>
    </row>
    <row r="497" spans="2:7" x14ac:dyDescent="0.3">
      <c r="B497" s="63">
        <v>436</v>
      </c>
      <c r="C497" s="40">
        <v>16.450341921998671</v>
      </c>
      <c r="D497" s="63">
        <v>436</v>
      </c>
      <c r="E497" s="40">
        <v>-28.848779055955976</v>
      </c>
      <c r="F497" s="63">
        <v>436</v>
      </c>
      <c r="G497" s="40">
        <v>122.24067509021791</v>
      </c>
    </row>
    <row r="498" spans="2:7" x14ac:dyDescent="0.3">
      <c r="B498" s="63">
        <v>437</v>
      </c>
      <c r="C498" s="40">
        <v>109.12596058243638</v>
      </c>
      <c r="D498" s="63">
        <v>437</v>
      </c>
      <c r="E498" s="40">
        <v>-30.885545130180304</v>
      </c>
      <c r="F498" s="63">
        <v>437</v>
      </c>
      <c r="G498" s="40">
        <v>1144.540088852571</v>
      </c>
    </row>
    <row r="499" spans="2:7" x14ac:dyDescent="0.3">
      <c r="B499" s="63">
        <v>438</v>
      </c>
      <c r="C499" s="40">
        <v>1024.7087575749345</v>
      </c>
      <c r="D499" s="63">
        <v>438</v>
      </c>
      <c r="E499" s="40">
        <v>19.793411675595479</v>
      </c>
      <c r="F499" s="63">
        <v>438</v>
      </c>
      <c r="G499" s="40">
        <v>1026.1518076602038</v>
      </c>
    </row>
    <row r="500" spans="2:7" x14ac:dyDescent="0.3">
      <c r="B500" s="63">
        <v>439</v>
      </c>
      <c r="C500" s="40">
        <v>1461.0789165010367</v>
      </c>
      <c r="D500" s="63">
        <v>439</v>
      </c>
      <c r="E500" s="40">
        <v>-4.3943309773568799</v>
      </c>
      <c r="F500" s="63">
        <v>439</v>
      </c>
      <c r="G500" s="40">
        <v>785.33554535108874</v>
      </c>
    </row>
    <row r="501" spans="2:7" x14ac:dyDescent="0.3">
      <c r="B501" s="63">
        <v>440</v>
      </c>
      <c r="C501" s="40">
        <v>991.84884035382493</v>
      </c>
      <c r="D501" s="63">
        <v>440</v>
      </c>
      <c r="E501" s="40">
        <v>-7.4472286953644868</v>
      </c>
      <c r="F501" s="63">
        <v>440</v>
      </c>
      <c r="G501" s="40">
        <v>2004.1499917729684</v>
      </c>
    </row>
    <row r="502" spans="2:7" x14ac:dyDescent="0.3">
      <c r="B502" s="63">
        <v>441</v>
      </c>
      <c r="C502" s="40">
        <v>1236.222586805683</v>
      </c>
      <c r="D502" s="63">
        <v>441</v>
      </c>
      <c r="E502" s="40">
        <v>-40.651348257268396</v>
      </c>
      <c r="F502" s="63">
        <v>441</v>
      </c>
      <c r="G502" s="40">
        <v>992.81191026246313</v>
      </c>
    </row>
    <row r="503" spans="2:7" x14ac:dyDescent="0.3">
      <c r="B503" s="63">
        <v>442</v>
      </c>
      <c r="C503" s="40">
        <v>624.4310382371151</v>
      </c>
      <c r="D503" s="63">
        <v>442</v>
      </c>
      <c r="E503" s="40">
        <v>9.7836266494044608</v>
      </c>
      <c r="F503" s="63">
        <v>442</v>
      </c>
      <c r="G503" s="40">
        <v>415.00503256577241</v>
      </c>
    </row>
    <row r="504" spans="2:7" x14ac:dyDescent="0.3">
      <c r="B504" s="63">
        <v>443</v>
      </c>
      <c r="C504" s="40">
        <v>1286.6974945009058</v>
      </c>
      <c r="D504" s="63">
        <v>443</v>
      </c>
      <c r="E504" s="40">
        <v>12.143117904528633</v>
      </c>
      <c r="F504" s="63">
        <v>443</v>
      </c>
      <c r="G504" s="40">
        <v>820.76077526232245</v>
      </c>
    </row>
    <row r="505" spans="2:7" x14ac:dyDescent="0.3">
      <c r="B505" s="63">
        <v>444</v>
      </c>
      <c r="C505" s="40">
        <v>781.12590275059074</v>
      </c>
      <c r="D505" s="63">
        <v>444</v>
      </c>
      <c r="E505" s="40">
        <v>5.3225726051177986</v>
      </c>
      <c r="F505" s="63">
        <v>444</v>
      </c>
      <c r="G505" s="40">
        <v>1289.7641363471209</v>
      </c>
    </row>
    <row r="506" spans="2:7" x14ac:dyDescent="0.3">
      <c r="B506" s="63">
        <v>445</v>
      </c>
      <c r="C506" s="40">
        <v>650.5380161869615</v>
      </c>
      <c r="D506" s="63">
        <v>445</v>
      </c>
      <c r="E506" s="40">
        <v>9.9978836253225634</v>
      </c>
      <c r="F506" s="63">
        <v>445</v>
      </c>
      <c r="G506" s="40">
        <v>1476.9472099827658</v>
      </c>
    </row>
    <row r="507" spans="2:7" x14ac:dyDescent="0.3">
      <c r="B507" s="63">
        <v>446</v>
      </c>
      <c r="C507" s="40">
        <v>1272.4858053097364</v>
      </c>
      <c r="D507" s="63">
        <v>446</v>
      </c>
      <c r="E507" s="40">
        <v>10.308537101970074</v>
      </c>
      <c r="F507" s="63">
        <v>446</v>
      </c>
      <c r="G507" s="40">
        <v>1246.4362922732</v>
      </c>
    </row>
    <row r="508" spans="2:7" x14ac:dyDescent="0.3">
      <c r="B508" s="63">
        <v>447</v>
      </c>
      <c r="C508" s="40">
        <v>1062.0228812075627</v>
      </c>
      <c r="D508" s="63">
        <v>447</v>
      </c>
      <c r="E508" s="40">
        <v>-51.746525852979858</v>
      </c>
      <c r="F508" s="63">
        <v>447</v>
      </c>
      <c r="G508" s="40">
        <v>1107.5049448629861</v>
      </c>
    </row>
    <row r="509" spans="2:7" x14ac:dyDescent="0.3">
      <c r="B509" s="63">
        <v>448</v>
      </c>
      <c r="C509" s="40">
        <v>1371.750076477832</v>
      </c>
      <c r="D509" s="63">
        <v>448</v>
      </c>
      <c r="E509" s="40">
        <v>37.837209680982966</v>
      </c>
      <c r="F509" s="63">
        <v>448</v>
      </c>
      <c r="G509" s="40">
        <v>576.87580078162375</v>
      </c>
    </row>
    <row r="510" spans="2:7" x14ac:dyDescent="0.3">
      <c r="B510" s="63">
        <v>449</v>
      </c>
      <c r="C510" s="40">
        <v>924.23819405727625</v>
      </c>
      <c r="D510" s="63">
        <v>449</v>
      </c>
      <c r="E510" s="40">
        <v>-20.904984370086531</v>
      </c>
      <c r="F510" s="63">
        <v>449</v>
      </c>
      <c r="G510" s="40">
        <v>557.37248833115393</v>
      </c>
    </row>
    <row r="511" spans="2:7" x14ac:dyDescent="0.3">
      <c r="B511" s="63">
        <v>450</v>
      </c>
      <c r="C511" s="40">
        <v>1274.5909939925828</v>
      </c>
      <c r="D511" s="63">
        <v>450</v>
      </c>
      <c r="E511" s="40">
        <v>43.244547827411715</v>
      </c>
      <c r="F511" s="63">
        <v>450</v>
      </c>
      <c r="G511" s="40">
        <v>938.82710283377378</v>
      </c>
    </row>
    <row r="512" spans="2:7" x14ac:dyDescent="0.3">
      <c r="B512" s="63">
        <v>451</v>
      </c>
      <c r="C512" s="40">
        <v>850.57248502594064</v>
      </c>
      <c r="D512" s="63">
        <v>451</v>
      </c>
      <c r="E512" s="40">
        <v>0.17643082561886381</v>
      </c>
      <c r="F512" s="63">
        <v>451</v>
      </c>
      <c r="G512" s="40">
        <v>820.4460432040587</v>
      </c>
    </row>
    <row r="513" spans="2:7" x14ac:dyDescent="0.3">
      <c r="B513" s="63">
        <v>452</v>
      </c>
      <c r="C513" s="40">
        <v>947.07217250505005</v>
      </c>
      <c r="D513" s="63">
        <v>452</v>
      </c>
      <c r="E513" s="40">
        <v>-6.3047668273007815</v>
      </c>
      <c r="F513" s="63">
        <v>452</v>
      </c>
      <c r="G513" s="40">
        <v>994.75204249490548</v>
      </c>
    </row>
    <row r="514" spans="2:7" x14ac:dyDescent="0.3">
      <c r="B514" s="63">
        <v>453</v>
      </c>
      <c r="C514" s="40">
        <v>1956.8302444009571</v>
      </c>
      <c r="D514" s="63">
        <v>453</v>
      </c>
      <c r="E514" s="40">
        <v>9.798513510933752</v>
      </c>
      <c r="F514" s="63">
        <v>453</v>
      </c>
      <c r="G514" s="40">
        <v>1077.6347331056052</v>
      </c>
    </row>
    <row r="515" spans="2:7" x14ac:dyDescent="0.3">
      <c r="B515" s="63">
        <v>454</v>
      </c>
      <c r="C515" s="40">
        <v>866.20855247188842</v>
      </c>
      <c r="D515" s="63">
        <v>454</v>
      </c>
      <c r="E515" s="40">
        <v>-32.145263835595401</v>
      </c>
      <c r="F515" s="63">
        <v>454</v>
      </c>
      <c r="G515" s="40">
        <v>946.96076569254546</v>
      </c>
    </row>
    <row r="516" spans="2:7" x14ac:dyDescent="0.3">
      <c r="B516" s="63">
        <v>455</v>
      </c>
      <c r="C516" s="40">
        <v>1258.0527039901792</v>
      </c>
      <c r="D516" s="63">
        <v>455</v>
      </c>
      <c r="E516" s="40">
        <v>28.266937917561044</v>
      </c>
      <c r="F516" s="63">
        <v>455</v>
      </c>
      <c r="G516" s="40">
        <v>1186.8862582978536</v>
      </c>
    </row>
    <row r="517" spans="2:7" x14ac:dyDescent="0.3">
      <c r="B517" s="63">
        <v>456</v>
      </c>
      <c r="C517" s="40">
        <v>1550.686344542705</v>
      </c>
      <c r="D517" s="63">
        <v>456</v>
      </c>
      <c r="E517" s="40">
        <v>42.370283214989158</v>
      </c>
      <c r="F517" s="63">
        <v>456</v>
      </c>
      <c r="G517" s="40">
        <v>1099.10960354743</v>
      </c>
    </row>
    <row r="518" spans="2:7" x14ac:dyDescent="0.3">
      <c r="B518" s="63">
        <v>457</v>
      </c>
      <c r="C518" s="40">
        <v>996.16234084866016</v>
      </c>
      <c r="D518" s="63">
        <v>457</v>
      </c>
      <c r="E518" s="40">
        <v>-11.910651392785706</v>
      </c>
      <c r="F518" s="63">
        <v>457</v>
      </c>
      <c r="G518" s="40">
        <v>1470.4976341083816</v>
      </c>
    </row>
    <row r="519" spans="2:7" x14ac:dyDescent="0.3">
      <c r="B519" s="63">
        <v>458</v>
      </c>
      <c r="C519" s="40">
        <v>1037.6356104077877</v>
      </c>
      <c r="D519" s="63">
        <v>458</v>
      </c>
      <c r="E519" s="40">
        <v>-18.555614824467618</v>
      </c>
      <c r="F519" s="63">
        <v>458</v>
      </c>
      <c r="G519" s="40">
        <v>1333.3425618159481</v>
      </c>
    </row>
    <row r="520" spans="2:7" x14ac:dyDescent="0.3">
      <c r="B520" s="63">
        <v>459</v>
      </c>
      <c r="C520" s="40">
        <v>1314.7043313099341</v>
      </c>
      <c r="D520" s="63">
        <v>459</v>
      </c>
      <c r="E520" s="40">
        <v>11.0426634217486</v>
      </c>
      <c r="F520" s="63">
        <v>459</v>
      </c>
      <c r="G520" s="40">
        <v>945.09368366237561</v>
      </c>
    </row>
    <row r="521" spans="2:7" x14ac:dyDescent="0.3">
      <c r="B521" s="63">
        <v>460</v>
      </c>
      <c r="C521" s="40">
        <v>825.28424214381164</v>
      </c>
      <c r="D521" s="63">
        <v>460</v>
      </c>
      <c r="E521" s="40">
        <v>-9.1049590628577874</v>
      </c>
      <c r="F521" s="63">
        <v>460</v>
      </c>
      <c r="G521" s="40">
        <v>1291.6006292554384</v>
      </c>
    </row>
    <row r="522" spans="2:7" x14ac:dyDescent="0.3">
      <c r="B522" s="63">
        <v>461</v>
      </c>
      <c r="C522" s="40">
        <v>718.00994401055596</v>
      </c>
      <c r="D522" s="63">
        <v>461</v>
      </c>
      <c r="E522" s="40">
        <v>3.7108675974884306</v>
      </c>
      <c r="F522" s="63">
        <v>461</v>
      </c>
      <c r="G522" s="40">
        <v>976.47653475791446</v>
      </c>
    </row>
    <row r="523" spans="2:7" x14ac:dyDescent="0.3">
      <c r="B523" s="63">
        <v>462</v>
      </c>
      <c r="C523" s="40">
        <v>474.48962399189929</v>
      </c>
      <c r="D523" s="63">
        <v>462</v>
      </c>
      <c r="E523" s="40">
        <v>50.887514769702008</v>
      </c>
      <c r="F523" s="63">
        <v>462</v>
      </c>
      <c r="G523" s="40">
        <v>1109.3855997054388</v>
      </c>
    </row>
    <row r="524" spans="2:7" x14ac:dyDescent="0.3">
      <c r="B524" s="63">
        <v>463</v>
      </c>
      <c r="C524" s="40">
        <v>1150.7171807827676</v>
      </c>
      <c r="D524" s="63">
        <v>463</v>
      </c>
      <c r="E524" s="40">
        <v>-62.69205754101143</v>
      </c>
      <c r="F524" s="63">
        <v>463</v>
      </c>
      <c r="G524" s="40">
        <v>1465.303355549609</v>
      </c>
    </row>
    <row r="525" spans="2:7" x14ac:dyDescent="0.3">
      <c r="B525" s="63">
        <v>464</v>
      </c>
      <c r="C525" s="40">
        <v>1051.7954684494409</v>
      </c>
      <c r="D525" s="63">
        <v>464</v>
      </c>
      <c r="E525" s="40">
        <v>52.629753968165986</v>
      </c>
      <c r="F525" s="63">
        <v>464</v>
      </c>
      <c r="G525" s="40">
        <v>859.72616050418253</v>
      </c>
    </row>
    <row r="526" spans="2:7" x14ac:dyDescent="0.3">
      <c r="B526" s="63">
        <v>465</v>
      </c>
      <c r="C526" s="40">
        <v>-53.501815514080747</v>
      </c>
      <c r="D526" s="63">
        <v>465</v>
      </c>
      <c r="E526" s="40">
        <v>-23.289021989282773</v>
      </c>
      <c r="F526" s="63">
        <v>465</v>
      </c>
      <c r="G526" s="40">
        <v>1169.5178135915537</v>
      </c>
    </row>
    <row r="527" spans="2:7" x14ac:dyDescent="0.3">
      <c r="B527" s="63">
        <v>466</v>
      </c>
      <c r="C527" s="40">
        <v>878.40325126773143</v>
      </c>
      <c r="D527" s="63">
        <v>466</v>
      </c>
      <c r="E527" s="40">
        <v>12.733672953179241</v>
      </c>
      <c r="F527" s="63">
        <v>466</v>
      </c>
      <c r="G527" s="40">
        <v>236.01800400495284</v>
      </c>
    </row>
    <row r="528" spans="2:7" x14ac:dyDescent="0.3">
      <c r="B528" s="63">
        <v>467</v>
      </c>
      <c r="C528" s="40">
        <v>657.59235301661124</v>
      </c>
      <c r="D528" s="63">
        <v>467</v>
      </c>
      <c r="E528" s="40">
        <v>41.965331322396345</v>
      </c>
      <c r="F528" s="63">
        <v>467</v>
      </c>
      <c r="G528" s="40">
        <v>932.95251757577466</v>
      </c>
    </row>
    <row r="529" spans="2:7" x14ac:dyDescent="0.3">
      <c r="B529" s="63">
        <v>468</v>
      </c>
      <c r="C529" s="40">
        <v>1607.9887225238781</v>
      </c>
      <c r="D529" s="63">
        <v>468</v>
      </c>
      <c r="E529" s="40">
        <v>10.849153717121212</v>
      </c>
      <c r="F529" s="63">
        <v>468</v>
      </c>
      <c r="G529" s="40">
        <v>1368.7187866451256</v>
      </c>
    </row>
    <row r="530" spans="2:7" x14ac:dyDescent="0.3">
      <c r="B530" s="63">
        <v>469</v>
      </c>
      <c r="C530" s="40">
        <v>1520.3386163997875</v>
      </c>
      <c r="D530" s="63">
        <v>469</v>
      </c>
      <c r="E530" s="40">
        <v>62.805468692784387</v>
      </c>
      <c r="F530" s="63">
        <v>469</v>
      </c>
      <c r="G530" s="40">
        <v>1274.1466190191611</v>
      </c>
    </row>
    <row r="531" spans="2:7" x14ac:dyDescent="0.3">
      <c r="B531" s="63">
        <v>470</v>
      </c>
      <c r="C531" s="40">
        <v>1478.6410570427008</v>
      </c>
      <c r="D531" s="63">
        <v>470</v>
      </c>
      <c r="E531" s="40">
        <v>-8.7372900741174533</v>
      </c>
      <c r="F531" s="63">
        <v>470</v>
      </c>
      <c r="G531" s="40">
        <v>1377.885877449384</v>
      </c>
    </row>
    <row r="532" spans="2:7" x14ac:dyDescent="0.3">
      <c r="B532" s="63">
        <v>471</v>
      </c>
      <c r="C532" s="40">
        <v>944.80344556304794</v>
      </c>
      <c r="D532" s="63">
        <v>471</v>
      </c>
      <c r="E532" s="40">
        <v>14.974675781295858</v>
      </c>
      <c r="F532" s="63">
        <v>471</v>
      </c>
      <c r="G532" s="40">
        <v>515.07043619044987</v>
      </c>
    </row>
    <row r="533" spans="2:7" x14ac:dyDescent="0.3">
      <c r="B533" s="63">
        <v>472</v>
      </c>
      <c r="C533" s="40">
        <v>1303.1273714443741</v>
      </c>
      <c r="D533" s="63">
        <v>472</v>
      </c>
      <c r="E533" s="40">
        <v>-30.518841148406921</v>
      </c>
      <c r="F533" s="63">
        <v>472</v>
      </c>
      <c r="G533" s="40">
        <v>1634.2691906044702</v>
      </c>
    </row>
    <row r="534" spans="2:7" x14ac:dyDescent="0.3">
      <c r="B534" s="63">
        <v>473</v>
      </c>
      <c r="C534" s="40">
        <v>351.09018413958967</v>
      </c>
      <c r="D534" s="63">
        <v>473</v>
      </c>
      <c r="E534" s="40">
        <v>-4.4116416850581714</v>
      </c>
      <c r="F534" s="63">
        <v>473</v>
      </c>
      <c r="G534" s="40">
        <v>572.09453294126047</v>
      </c>
    </row>
    <row r="535" spans="2:7" x14ac:dyDescent="0.3">
      <c r="B535" s="63">
        <v>474</v>
      </c>
      <c r="C535" s="40">
        <v>1544.8854014514527</v>
      </c>
      <c r="D535" s="63">
        <v>474</v>
      </c>
      <c r="E535" s="40">
        <v>9.0350694929213304</v>
      </c>
      <c r="F535" s="63">
        <v>474</v>
      </c>
      <c r="G535" s="40">
        <v>919.69599917437267</v>
      </c>
    </row>
    <row r="536" spans="2:7" x14ac:dyDescent="0.3">
      <c r="B536" s="63">
        <v>475</v>
      </c>
      <c r="C536" s="40">
        <v>1201.2732889926119</v>
      </c>
      <c r="D536" s="63">
        <v>475</v>
      </c>
      <c r="E536" s="40">
        <v>32.787129516423306</v>
      </c>
      <c r="F536" s="63">
        <v>475</v>
      </c>
      <c r="G536" s="40">
        <v>107.96718374260678</v>
      </c>
    </row>
    <row r="537" spans="2:7" x14ac:dyDescent="0.3">
      <c r="B537" s="63">
        <v>476</v>
      </c>
      <c r="C537" s="40">
        <v>884.41409044548004</v>
      </c>
      <c r="D537" s="63">
        <v>476</v>
      </c>
      <c r="E537" s="40">
        <v>-32.281552440193948</v>
      </c>
      <c r="F537" s="63">
        <v>476</v>
      </c>
      <c r="G537" s="40">
        <v>1228.167452274859</v>
      </c>
    </row>
    <row r="538" spans="2:7" x14ac:dyDescent="0.3">
      <c r="B538" s="63">
        <v>477</v>
      </c>
      <c r="C538" s="40">
        <v>1293.7051021188672</v>
      </c>
      <c r="D538" s="63">
        <v>477</v>
      </c>
      <c r="E538" s="40">
        <v>-36.483417270079002</v>
      </c>
      <c r="F538" s="63">
        <v>477</v>
      </c>
      <c r="G538" s="40">
        <v>1239.6030246457071</v>
      </c>
    </row>
    <row r="539" spans="2:7" x14ac:dyDescent="0.3">
      <c r="B539" s="63">
        <v>478</v>
      </c>
      <c r="C539" s="40">
        <v>938.82087455300939</v>
      </c>
      <c r="D539" s="63">
        <v>478</v>
      </c>
      <c r="E539" s="40">
        <v>14.87743171536658</v>
      </c>
      <c r="F539" s="63">
        <v>478</v>
      </c>
      <c r="G539" s="40">
        <v>959.99879300342491</v>
      </c>
    </row>
    <row r="540" spans="2:7" x14ac:dyDescent="0.3">
      <c r="B540" s="63">
        <v>479</v>
      </c>
      <c r="C540" s="40">
        <v>1550.0192247399916</v>
      </c>
      <c r="D540" s="63">
        <v>479</v>
      </c>
      <c r="E540" s="40">
        <v>-15.245168193086855</v>
      </c>
      <c r="F540" s="63">
        <v>479</v>
      </c>
      <c r="G540" s="40">
        <v>694.16226548596785</v>
      </c>
    </row>
    <row r="541" spans="2:7" x14ac:dyDescent="0.3">
      <c r="B541" s="63">
        <v>480</v>
      </c>
      <c r="C541" s="40">
        <v>409.57411109986941</v>
      </c>
      <c r="D541" s="63">
        <v>480</v>
      </c>
      <c r="E541" s="40">
        <v>-4.8346078415311808</v>
      </c>
      <c r="F541" s="63">
        <v>480</v>
      </c>
      <c r="G541" s="40">
        <v>1740.2680403680633</v>
      </c>
    </row>
    <row r="542" spans="2:7" x14ac:dyDescent="0.3">
      <c r="B542" s="63">
        <v>481</v>
      </c>
      <c r="C542" s="40">
        <v>1232.7156147992628</v>
      </c>
      <c r="D542" s="63">
        <v>481</v>
      </c>
      <c r="E542" s="40">
        <v>2.3391408873644579</v>
      </c>
      <c r="F542" s="63">
        <v>481</v>
      </c>
      <c r="G542" s="40">
        <v>1182.689254704632</v>
      </c>
    </row>
    <row r="543" spans="2:7" x14ac:dyDescent="0.3">
      <c r="B543" s="63">
        <v>482</v>
      </c>
      <c r="C543" s="40">
        <v>603.44623125629653</v>
      </c>
      <c r="D543" s="63">
        <v>482</v>
      </c>
      <c r="E543" s="40">
        <v>-30.890287978762863</v>
      </c>
      <c r="F543" s="63">
        <v>482</v>
      </c>
      <c r="G543" s="40">
        <v>880.21846659292362</v>
      </c>
    </row>
    <row r="544" spans="2:7" x14ac:dyDescent="0.3">
      <c r="B544" s="63">
        <v>483</v>
      </c>
      <c r="C544" s="40">
        <v>969.53369310365304</v>
      </c>
      <c r="D544" s="63">
        <v>483</v>
      </c>
      <c r="E544" s="40">
        <v>6.2853778235332669E-2</v>
      </c>
      <c r="F544" s="63">
        <v>483</v>
      </c>
      <c r="G544" s="40">
        <v>1455.8843493262627</v>
      </c>
    </row>
    <row r="545" spans="2:7" x14ac:dyDescent="0.3">
      <c r="B545" s="63">
        <v>484</v>
      </c>
      <c r="C545" s="40">
        <v>1270.4112287522075</v>
      </c>
      <c r="D545" s="63">
        <v>484</v>
      </c>
      <c r="E545" s="40">
        <v>-33.208569817979559</v>
      </c>
      <c r="F545" s="63">
        <v>484</v>
      </c>
      <c r="G545" s="40">
        <v>444.77684136488045</v>
      </c>
    </row>
    <row r="546" spans="2:7" x14ac:dyDescent="0.3">
      <c r="B546" s="63">
        <v>485</v>
      </c>
      <c r="C546" s="40">
        <v>1505.9965137187558</v>
      </c>
      <c r="D546" s="63">
        <v>485</v>
      </c>
      <c r="E546" s="40">
        <v>38.648408901215483</v>
      </c>
      <c r="F546" s="63">
        <v>485</v>
      </c>
      <c r="G546" s="40">
        <v>1067.5203319227048</v>
      </c>
    </row>
    <row r="547" spans="2:7" x14ac:dyDescent="0.3">
      <c r="B547" s="63">
        <v>486</v>
      </c>
      <c r="C547" s="40">
        <v>1044.6917165431237</v>
      </c>
      <c r="D547" s="63">
        <v>486</v>
      </c>
      <c r="E547" s="40">
        <v>-21.630070508483492</v>
      </c>
      <c r="F547" s="63">
        <v>486</v>
      </c>
      <c r="G547" s="40">
        <v>954.75849799360844</v>
      </c>
    </row>
    <row r="548" spans="2:7" x14ac:dyDescent="0.3">
      <c r="B548" s="63">
        <v>487</v>
      </c>
      <c r="C548" s="40">
        <v>794.55823909189564</v>
      </c>
      <c r="D548" s="63">
        <v>487</v>
      </c>
      <c r="E548" s="40">
        <v>29.360333272386306</v>
      </c>
      <c r="F548" s="63">
        <v>487</v>
      </c>
      <c r="G548" s="40">
        <v>1150.0314068924488</v>
      </c>
    </row>
    <row r="549" spans="2:7" x14ac:dyDescent="0.3">
      <c r="B549" s="63">
        <v>488</v>
      </c>
      <c r="C549" s="40">
        <v>914.70433518148786</v>
      </c>
      <c r="D549" s="63">
        <v>488</v>
      </c>
      <c r="E549" s="40">
        <v>-5.4255088423744802</v>
      </c>
      <c r="F549" s="63">
        <v>488</v>
      </c>
      <c r="G549" s="40">
        <v>1298.6696656947447</v>
      </c>
    </row>
    <row r="550" spans="2:7" x14ac:dyDescent="0.3">
      <c r="B550" s="63">
        <v>489</v>
      </c>
      <c r="C550" s="40">
        <v>819.52205665444194</v>
      </c>
      <c r="D550" s="63">
        <v>489</v>
      </c>
      <c r="E550" s="40">
        <v>17.712486703493695</v>
      </c>
      <c r="F550" s="63">
        <v>489</v>
      </c>
      <c r="G550" s="40">
        <v>523.15334722689477</v>
      </c>
    </row>
    <row r="551" spans="2:7" x14ac:dyDescent="0.3">
      <c r="B551" s="63">
        <v>490</v>
      </c>
      <c r="C551" s="40">
        <v>1371.5909630817187</v>
      </c>
      <c r="D551" s="63">
        <v>490</v>
      </c>
      <c r="E551" s="40">
        <v>-21.661850416953165</v>
      </c>
      <c r="F551" s="63">
        <v>490</v>
      </c>
      <c r="G551" s="40">
        <v>846.33788407200336</v>
      </c>
    </row>
    <row r="552" spans="2:7" x14ac:dyDescent="0.3">
      <c r="B552" s="63">
        <v>491</v>
      </c>
      <c r="C552" s="40">
        <v>914.82973160945483</v>
      </c>
      <c r="D552" s="63">
        <v>491</v>
      </c>
      <c r="E552" s="40">
        <v>3.3005669121436583</v>
      </c>
      <c r="F552" s="63">
        <v>491</v>
      </c>
      <c r="G552" s="40">
        <v>1164.5605248539141</v>
      </c>
    </row>
    <row r="553" spans="2:7" x14ac:dyDescent="0.3">
      <c r="B553" s="63">
        <v>492</v>
      </c>
      <c r="C553" s="40">
        <v>679.9044045108036</v>
      </c>
      <c r="D553" s="63">
        <v>492</v>
      </c>
      <c r="E553" s="40">
        <v>35.84765455043933</v>
      </c>
      <c r="F553" s="63">
        <v>492</v>
      </c>
      <c r="G553" s="40">
        <v>1013.6786132829509</v>
      </c>
    </row>
    <row r="554" spans="2:7" x14ac:dyDescent="0.3">
      <c r="B554" s="63">
        <v>493</v>
      </c>
      <c r="C554" s="40">
        <v>1022.4156519124963</v>
      </c>
      <c r="D554" s="63">
        <v>493</v>
      </c>
      <c r="E554" s="40">
        <v>-60.75351836328322</v>
      </c>
      <c r="F554" s="63">
        <v>493</v>
      </c>
      <c r="G554" s="40">
        <v>1286.9263221531221</v>
      </c>
    </row>
    <row r="555" spans="2:7" x14ac:dyDescent="0.3">
      <c r="B555" s="63">
        <v>494</v>
      </c>
      <c r="C555" s="40">
        <v>1176.8659077127454</v>
      </c>
      <c r="D555" s="63">
        <v>494</v>
      </c>
      <c r="E555" s="40">
        <v>6.7288932110657669</v>
      </c>
      <c r="F555" s="63">
        <v>494</v>
      </c>
      <c r="G555" s="40">
        <v>714.61725357441321</v>
      </c>
    </row>
    <row r="556" spans="2:7" x14ac:dyDescent="0.3">
      <c r="B556" s="63">
        <v>495</v>
      </c>
      <c r="C556" s="40">
        <v>1573.824336483322</v>
      </c>
      <c r="D556" s="63">
        <v>495</v>
      </c>
      <c r="E556" s="40">
        <v>15.271352174418308</v>
      </c>
      <c r="F556" s="63">
        <v>495</v>
      </c>
      <c r="G556" s="40">
        <v>977.13579935611767</v>
      </c>
    </row>
    <row r="557" spans="2:7" x14ac:dyDescent="0.3">
      <c r="B557" s="63">
        <v>496</v>
      </c>
      <c r="C557" s="40">
        <v>1288.8452323697402</v>
      </c>
      <c r="D557" s="63">
        <v>496</v>
      </c>
      <c r="E557" s="40">
        <v>-6.5040511626038153</v>
      </c>
      <c r="F557" s="63">
        <v>496</v>
      </c>
      <c r="G557" s="40">
        <v>462.57841637160311</v>
      </c>
    </row>
    <row r="558" spans="2:7" x14ac:dyDescent="0.3">
      <c r="B558" s="63">
        <v>497</v>
      </c>
      <c r="C558" s="40">
        <v>896.6460295722236</v>
      </c>
      <c r="D558" s="63">
        <v>497</v>
      </c>
      <c r="E558" s="40">
        <v>-39.69573520160224</v>
      </c>
      <c r="F558" s="63">
        <v>497</v>
      </c>
      <c r="G558" s="40">
        <v>393.09393818397137</v>
      </c>
    </row>
    <row r="559" spans="2:7" x14ac:dyDescent="0.3">
      <c r="B559" s="63">
        <v>498</v>
      </c>
      <c r="C559" s="40">
        <v>549.09223379857394</v>
      </c>
      <c r="D559" s="63">
        <v>498</v>
      </c>
      <c r="E559" s="40">
        <v>9.4872052987797275</v>
      </c>
      <c r="F559" s="63">
        <v>498</v>
      </c>
      <c r="G559" s="40">
        <v>1288.5845355598815</v>
      </c>
    </row>
    <row r="560" spans="2:7" x14ac:dyDescent="0.3">
      <c r="B560" s="63">
        <v>499</v>
      </c>
      <c r="C560" s="40">
        <v>1365.3392110071316</v>
      </c>
      <c r="D560" s="63">
        <v>499</v>
      </c>
      <c r="E560" s="40">
        <v>-52.317667670235323</v>
      </c>
      <c r="F560" s="63">
        <v>499</v>
      </c>
      <c r="G560" s="40">
        <v>936.48778902493427</v>
      </c>
    </row>
    <row r="561" spans="2:7" x14ac:dyDescent="0.3">
      <c r="B561" s="63">
        <v>500</v>
      </c>
      <c r="C561" s="40">
        <v>1219.728677402815</v>
      </c>
      <c r="D561" s="63">
        <v>500</v>
      </c>
      <c r="E561" s="40">
        <v>-8.9311964930792733</v>
      </c>
      <c r="F561" s="63">
        <v>500</v>
      </c>
      <c r="G561" s="40">
        <v>1161.0409074440977</v>
      </c>
    </row>
    <row r="562" spans="2:7" x14ac:dyDescent="0.3">
      <c r="C562" s="40"/>
      <c r="E562" s="40"/>
      <c r="G562" s="40"/>
    </row>
    <row r="563" spans="2:7" x14ac:dyDescent="0.3">
      <c r="C563" s="40"/>
      <c r="E563" s="40"/>
      <c r="G563" s="40"/>
    </row>
    <row r="564" spans="2:7" x14ac:dyDescent="0.3">
      <c r="C564" s="40"/>
      <c r="E564" s="40"/>
      <c r="G564" s="40"/>
    </row>
    <row r="565" spans="2:7" x14ac:dyDescent="0.3">
      <c r="C565" s="40"/>
      <c r="E565" s="40"/>
      <c r="G565" s="40"/>
    </row>
    <row r="566" spans="2:7" x14ac:dyDescent="0.3">
      <c r="C566" s="40"/>
      <c r="E566" s="40"/>
      <c r="G566" s="40"/>
    </row>
    <row r="567" spans="2:7" x14ac:dyDescent="0.3">
      <c r="C567" s="40"/>
      <c r="E567" s="40"/>
      <c r="G567" s="40"/>
    </row>
    <row r="568" spans="2:7" x14ac:dyDescent="0.3">
      <c r="C568" s="40"/>
      <c r="E568" s="40"/>
      <c r="G568" s="40"/>
    </row>
    <row r="569" spans="2:7" x14ac:dyDescent="0.3">
      <c r="C569" s="40"/>
      <c r="E569" s="40"/>
      <c r="G569" s="40"/>
    </row>
    <row r="570" spans="2:7" x14ac:dyDescent="0.3">
      <c r="C570" s="40"/>
      <c r="E570" s="40"/>
      <c r="G570" s="40"/>
    </row>
    <row r="571" spans="2:7" x14ac:dyDescent="0.3">
      <c r="C571" s="40"/>
      <c r="E571" s="40"/>
      <c r="G571" s="40"/>
    </row>
    <row r="572" spans="2:7" x14ac:dyDescent="0.3">
      <c r="C572" s="40"/>
      <c r="E572" s="40"/>
      <c r="G572" s="40"/>
    </row>
    <row r="573" spans="2:7" x14ac:dyDescent="0.3">
      <c r="C573" s="40"/>
      <c r="E573" s="40"/>
      <c r="G573" s="40"/>
    </row>
    <row r="574" spans="2:7" x14ac:dyDescent="0.3">
      <c r="C574" s="40"/>
      <c r="E574" s="40"/>
      <c r="G574" s="40"/>
    </row>
    <row r="575" spans="2:7" x14ac:dyDescent="0.3">
      <c r="C575" s="40"/>
      <c r="E575" s="40"/>
      <c r="G575" s="40"/>
    </row>
    <row r="576" spans="2:7" x14ac:dyDescent="0.3">
      <c r="C576" s="40"/>
      <c r="E576" s="40"/>
      <c r="G576" s="40"/>
    </row>
    <row r="577" spans="3:7" x14ac:dyDescent="0.3">
      <c r="C577" s="40"/>
      <c r="E577" s="40"/>
      <c r="G577" s="40"/>
    </row>
    <row r="578" spans="3:7" x14ac:dyDescent="0.3">
      <c r="C578" s="40"/>
      <c r="E578" s="40"/>
      <c r="G578" s="40"/>
    </row>
    <row r="579" spans="3:7" x14ac:dyDescent="0.3">
      <c r="C579" s="40"/>
      <c r="E579" s="40"/>
      <c r="G579" s="40"/>
    </row>
    <row r="580" spans="3:7" x14ac:dyDescent="0.3">
      <c r="C580" s="40"/>
      <c r="E580" s="40"/>
      <c r="G580" s="40"/>
    </row>
    <row r="581" spans="3:7" x14ac:dyDescent="0.3">
      <c r="C581" s="40"/>
      <c r="E581" s="40"/>
      <c r="G581" s="40"/>
    </row>
    <row r="582" spans="3:7" x14ac:dyDescent="0.3">
      <c r="C582" s="40"/>
      <c r="E582" s="40"/>
      <c r="G582" s="40"/>
    </row>
    <row r="583" spans="3:7" x14ac:dyDescent="0.3">
      <c r="C583" s="40"/>
      <c r="E583" s="40"/>
      <c r="G583" s="40"/>
    </row>
    <row r="584" spans="3:7" x14ac:dyDescent="0.3">
      <c r="C584" s="40"/>
      <c r="E584" s="40"/>
      <c r="G584" s="40"/>
    </row>
    <row r="585" spans="3:7" x14ac:dyDescent="0.3">
      <c r="C585" s="40"/>
      <c r="E585" s="40"/>
      <c r="G585" s="40"/>
    </row>
    <row r="586" spans="3:7" x14ac:dyDescent="0.3">
      <c r="C586" s="40"/>
      <c r="E586" s="40"/>
      <c r="G586" s="40"/>
    </row>
    <row r="587" spans="3:7" x14ac:dyDescent="0.3">
      <c r="C587" s="40"/>
      <c r="E587" s="40"/>
      <c r="G587" s="40"/>
    </row>
    <row r="588" spans="3:7" x14ac:dyDescent="0.3">
      <c r="C588" s="40"/>
      <c r="E588" s="40"/>
      <c r="G588" s="40"/>
    </row>
    <row r="589" spans="3:7" x14ac:dyDescent="0.3">
      <c r="C589" s="40"/>
      <c r="E589" s="40"/>
      <c r="G589" s="40"/>
    </row>
    <row r="590" spans="3:7" x14ac:dyDescent="0.3">
      <c r="C590" s="40"/>
      <c r="E590" s="40"/>
      <c r="G590" s="40"/>
    </row>
    <row r="591" spans="3:7" x14ac:dyDescent="0.3">
      <c r="C591" s="40"/>
      <c r="E591" s="40"/>
      <c r="G591" s="40"/>
    </row>
    <row r="592" spans="3:7" x14ac:dyDescent="0.3">
      <c r="C592" s="40"/>
      <c r="E592" s="40"/>
      <c r="G592" s="40"/>
    </row>
    <row r="593" spans="3:7" x14ac:dyDescent="0.3">
      <c r="C593" s="40"/>
      <c r="E593" s="40"/>
      <c r="G593" s="40"/>
    </row>
    <row r="594" spans="3:7" x14ac:dyDescent="0.3">
      <c r="C594" s="40"/>
      <c r="E594" s="40"/>
      <c r="G594" s="40"/>
    </row>
    <row r="595" spans="3:7" x14ac:dyDescent="0.3">
      <c r="C595" s="40"/>
      <c r="E595" s="40"/>
      <c r="G595" s="40"/>
    </row>
    <row r="596" spans="3:7" x14ac:dyDescent="0.3">
      <c r="C596" s="40"/>
      <c r="E596" s="40"/>
      <c r="G596" s="40"/>
    </row>
    <row r="597" spans="3:7" x14ac:dyDescent="0.3">
      <c r="C597" s="40"/>
      <c r="E597" s="40"/>
      <c r="G597" s="40"/>
    </row>
    <row r="598" spans="3:7" x14ac:dyDescent="0.3">
      <c r="C598" s="40"/>
      <c r="E598" s="40"/>
      <c r="G598" s="40"/>
    </row>
    <row r="599" spans="3:7" x14ac:dyDescent="0.3">
      <c r="C599" s="40"/>
      <c r="E599" s="40"/>
      <c r="G599" s="40"/>
    </row>
    <row r="600" spans="3:7" x14ac:dyDescent="0.3">
      <c r="C600" s="40"/>
      <c r="E600" s="40"/>
      <c r="G600" s="40"/>
    </row>
    <row r="601" spans="3:7" x14ac:dyDescent="0.3">
      <c r="C601" s="40"/>
      <c r="E601" s="40"/>
      <c r="G601" s="40"/>
    </row>
    <row r="602" spans="3:7" x14ac:dyDescent="0.3">
      <c r="C602" s="40"/>
      <c r="E602" s="40"/>
      <c r="G602" s="40"/>
    </row>
    <row r="603" spans="3:7" x14ac:dyDescent="0.3">
      <c r="C603" s="40"/>
      <c r="E603" s="40"/>
      <c r="G603" s="40"/>
    </row>
    <row r="604" spans="3:7" x14ac:dyDescent="0.3">
      <c r="C604" s="40"/>
      <c r="E604" s="40"/>
      <c r="G604" s="40"/>
    </row>
    <row r="605" spans="3:7" x14ac:dyDescent="0.3">
      <c r="C605" s="40"/>
      <c r="E605" s="40"/>
      <c r="G605" s="40"/>
    </row>
    <row r="606" spans="3:7" x14ac:dyDescent="0.3">
      <c r="C606" s="40"/>
      <c r="E606" s="40"/>
      <c r="G606" s="40"/>
    </row>
    <row r="607" spans="3:7" x14ac:dyDescent="0.3">
      <c r="C607" s="40"/>
      <c r="E607" s="40"/>
      <c r="G607" s="40"/>
    </row>
    <row r="608" spans="3:7" x14ac:dyDescent="0.3">
      <c r="C608" s="40"/>
      <c r="E608" s="40"/>
      <c r="G608" s="40"/>
    </row>
    <row r="609" spans="3:7" x14ac:dyDescent="0.3">
      <c r="C609" s="40"/>
      <c r="E609" s="40"/>
      <c r="G609" s="40"/>
    </row>
    <row r="610" spans="3:7" x14ac:dyDescent="0.3">
      <c r="C610" s="40"/>
      <c r="E610" s="40"/>
      <c r="G610" s="40"/>
    </row>
    <row r="611" spans="3:7" x14ac:dyDescent="0.3">
      <c r="C611" s="40"/>
      <c r="E611" s="40"/>
      <c r="G611" s="40"/>
    </row>
    <row r="612" spans="3:7" x14ac:dyDescent="0.3">
      <c r="C612" s="40"/>
      <c r="E612" s="40"/>
      <c r="G612" s="40"/>
    </row>
    <row r="613" spans="3:7" x14ac:dyDescent="0.3">
      <c r="C613" s="40"/>
      <c r="E613" s="40"/>
      <c r="G613" s="40"/>
    </row>
    <row r="614" spans="3:7" x14ac:dyDescent="0.3">
      <c r="C614" s="40"/>
      <c r="E614" s="40"/>
      <c r="G614" s="40"/>
    </row>
    <row r="615" spans="3:7" x14ac:dyDescent="0.3">
      <c r="C615" s="40"/>
      <c r="E615" s="40"/>
      <c r="G615" s="40"/>
    </row>
    <row r="616" spans="3:7" x14ac:dyDescent="0.3">
      <c r="C616" s="40"/>
      <c r="E616" s="40"/>
      <c r="G616" s="40"/>
    </row>
    <row r="617" spans="3:7" x14ac:dyDescent="0.3">
      <c r="C617" s="40"/>
      <c r="E617" s="40"/>
      <c r="G617" s="40"/>
    </row>
    <row r="618" spans="3:7" x14ac:dyDescent="0.3">
      <c r="C618" s="40"/>
      <c r="E618" s="40"/>
      <c r="G618" s="40"/>
    </row>
    <row r="619" spans="3:7" x14ac:dyDescent="0.3">
      <c r="C619" s="40"/>
      <c r="E619" s="40"/>
      <c r="G619" s="40"/>
    </row>
    <row r="620" spans="3:7" x14ac:dyDescent="0.3">
      <c r="C620" s="40"/>
      <c r="E620" s="40"/>
      <c r="G620" s="40"/>
    </row>
    <row r="621" spans="3:7" x14ac:dyDescent="0.3">
      <c r="C621" s="40"/>
      <c r="E621" s="40"/>
      <c r="G621" s="40"/>
    </row>
    <row r="622" spans="3:7" x14ac:dyDescent="0.3">
      <c r="C622" s="40"/>
      <c r="E622" s="40"/>
      <c r="G622" s="40"/>
    </row>
    <row r="623" spans="3:7" x14ac:dyDescent="0.3">
      <c r="C623" s="40"/>
      <c r="E623" s="40"/>
      <c r="G623" s="40"/>
    </row>
    <row r="624" spans="3:7" x14ac:dyDescent="0.3">
      <c r="C624" s="40"/>
      <c r="E624" s="40"/>
      <c r="G624" s="40"/>
    </row>
    <row r="625" spans="3:7" x14ac:dyDescent="0.3">
      <c r="C625" s="40"/>
      <c r="E625" s="40"/>
      <c r="G625" s="40"/>
    </row>
    <row r="626" spans="3:7" x14ac:dyDescent="0.3">
      <c r="C626" s="40"/>
      <c r="E626" s="40"/>
      <c r="G626" s="40"/>
    </row>
    <row r="627" spans="3:7" x14ac:dyDescent="0.3">
      <c r="C627" s="40"/>
      <c r="E627" s="40"/>
      <c r="G627" s="40"/>
    </row>
    <row r="628" spans="3:7" x14ac:dyDescent="0.3">
      <c r="C628" s="40"/>
      <c r="E628" s="40"/>
      <c r="G628" s="40"/>
    </row>
    <row r="629" spans="3:7" x14ac:dyDescent="0.3">
      <c r="C629" s="40"/>
      <c r="E629" s="40"/>
      <c r="G629" s="40"/>
    </row>
    <row r="630" spans="3:7" x14ac:dyDescent="0.3">
      <c r="C630" s="40"/>
      <c r="E630" s="40"/>
      <c r="G630" s="40"/>
    </row>
    <row r="631" spans="3:7" x14ac:dyDescent="0.3">
      <c r="C631" s="40"/>
      <c r="E631" s="40"/>
      <c r="G631" s="40"/>
    </row>
    <row r="632" spans="3:7" x14ac:dyDescent="0.3">
      <c r="C632" s="40"/>
      <c r="E632" s="40"/>
      <c r="G632" s="40"/>
    </row>
    <row r="633" spans="3:7" x14ac:dyDescent="0.3">
      <c r="C633" s="40"/>
      <c r="E633" s="40"/>
      <c r="G633" s="40"/>
    </row>
    <row r="634" spans="3:7" x14ac:dyDescent="0.3">
      <c r="C634" s="40"/>
      <c r="E634" s="40"/>
      <c r="G634" s="40"/>
    </row>
    <row r="635" spans="3:7" x14ac:dyDescent="0.3">
      <c r="C635" s="40"/>
      <c r="E635" s="40"/>
      <c r="G635" s="40"/>
    </row>
    <row r="636" spans="3:7" x14ac:dyDescent="0.3">
      <c r="C636" s="40"/>
      <c r="E636" s="40"/>
      <c r="G636" s="40"/>
    </row>
    <row r="637" spans="3:7" x14ac:dyDescent="0.3">
      <c r="C637" s="40"/>
      <c r="E637" s="40"/>
      <c r="G637" s="40"/>
    </row>
    <row r="638" spans="3:7" x14ac:dyDescent="0.3">
      <c r="C638" s="40"/>
      <c r="E638" s="40"/>
      <c r="G638" s="40"/>
    </row>
    <row r="639" spans="3:7" x14ac:dyDescent="0.3">
      <c r="C639" s="40"/>
      <c r="E639" s="40"/>
      <c r="G639" s="40"/>
    </row>
    <row r="640" spans="3:7" x14ac:dyDescent="0.3">
      <c r="C640" s="40"/>
      <c r="E640" s="40"/>
      <c r="G640" s="40"/>
    </row>
    <row r="641" spans="3:7" x14ac:dyDescent="0.3">
      <c r="C641" s="40"/>
      <c r="E641" s="40"/>
      <c r="G641" s="40"/>
    </row>
    <row r="642" spans="3:7" x14ac:dyDescent="0.3">
      <c r="C642" s="40"/>
      <c r="E642" s="40"/>
      <c r="G642" s="40"/>
    </row>
    <row r="643" spans="3:7" x14ac:dyDescent="0.3">
      <c r="C643" s="40"/>
      <c r="E643" s="40"/>
      <c r="G643" s="40"/>
    </row>
    <row r="644" spans="3:7" x14ac:dyDescent="0.3">
      <c r="C644" s="40"/>
      <c r="E644" s="40"/>
      <c r="G644" s="40"/>
    </row>
    <row r="645" spans="3:7" x14ac:dyDescent="0.3">
      <c r="C645" s="40"/>
      <c r="E645" s="40"/>
      <c r="G645" s="40"/>
    </row>
    <row r="646" spans="3:7" x14ac:dyDescent="0.3">
      <c r="C646" s="40"/>
      <c r="E646" s="40"/>
      <c r="G646" s="40"/>
    </row>
    <row r="647" spans="3:7" x14ac:dyDescent="0.3">
      <c r="C647" s="40"/>
      <c r="E647" s="40"/>
      <c r="G647" s="40"/>
    </row>
    <row r="648" spans="3:7" x14ac:dyDescent="0.3">
      <c r="C648" s="40"/>
      <c r="E648" s="40"/>
      <c r="G648" s="40"/>
    </row>
    <row r="649" spans="3:7" x14ac:dyDescent="0.3">
      <c r="C649" s="40"/>
      <c r="E649" s="40"/>
      <c r="G649" s="40"/>
    </row>
    <row r="650" spans="3:7" x14ac:dyDescent="0.3">
      <c r="C650" s="40"/>
      <c r="E650" s="40"/>
      <c r="G650" s="40"/>
    </row>
    <row r="651" spans="3:7" x14ac:dyDescent="0.3">
      <c r="C651" s="40"/>
      <c r="E651" s="40"/>
      <c r="G651" s="40"/>
    </row>
    <row r="652" spans="3:7" x14ac:dyDescent="0.3">
      <c r="C652" s="40"/>
      <c r="E652" s="40"/>
      <c r="G652" s="40"/>
    </row>
    <row r="653" spans="3:7" x14ac:dyDescent="0.3">
      <c r="C653" s="40"/>
      <c r="E653" s="40"/>
      <c r="G653" s="40"/>
    </row>
    <row r="654" spans="3:7" x14ac:dyDescent="0.3">
      <c r="C654" s="40"/>
      <c r="E654" s="40"/>
      <c r="G654" s="40"/>
    </row>
    <row r="655" spans="3:7" x14ac:dyDescent="0.3">
      <c r="C655" s="40"/>
      <c r="E655" s="40"/>
      <c r="G655" s="40"/>
    </row>
    <row r="656" spans="3:7" x14ac:dyDescent="0.3">
      <c r="C656" s="40"/>
      <c r="E656" s="40"/>
      <c r="G656" s="40"/>
    </row>
    <row r="657" spans="3:7" x14ac:dyDescent="0.3">
      <c r="C657" s="40"/>
      <c r="E657" s="40"/>
      <c r="G657" s="40"/>
    </row>
    <row r="658" spans="3:7" x14ac:dyDescent="0.3">
      <c r="C658" s="40"/>
      <c r="E658" s="40"/>
      <c r="G658" s="40"/>
    </row>
    <row r="659" spans="3:7" x14ac:dyDescent="0.3">
      <c r="C659" s="40"/>
      <c r="E659" s="40"/>
      <c r="G659" s="40"/>
    </row>
    <row r="660" spans="3:7" x14ac:dyDescent="0.3">
      <c r="C660" s="40"/>
      <c r="E660" s="40"/>
      <c r="G660" s="40"/>
    </row>
    <row r="661" spans="3:7" x14ac:dyDescent="0.3">
      <c r="C661" s="40"/>
      <c r="E661" s="40"/>
      <c r="G661" s="40"/>
    </row>
    <row r="662" spans="3:7" x14ac:dyDescent="0.3">
      <c r="C662" s="40"/>
      <c r="E662" s="40"/>
      <c r="G662" s="40"/>
    </row>
    <row r="663" spans="3:7" x14ac:dyDescent="0.3">
      <c r="C663" s="40"/>
      <c r="E663" s="40"/>
      <c r="G663" s="40"/>
    </row>
    <row r="664" spans="3:7" x14ac:dyDescent="0.3">
      <c r="C664" s="40"/>
      <c r="E664" s="40"/>
      <c r="G664" s="40"/>
    </row>
    <row r="665" spans="3:7" x14ac:dyDescent="0.3">
      <c r="C665" s="40"/>
      <c r="E665" s="40"/>
      <c r="G665" s="40"/>
    </row>
    <row r="666" spans="3:7" x14ac:dyDescent="0.3">
      <c r="C666" s="40"/>
      <c r="E666" s="40"/>
      <c r="G666" s="40"/>
    </row>
    <row r="667" spans="3:7" x14ac:dyDescent="0.3">
      <c r="C667" s="40"/>
      <c r="E667" s="40"/>
      <c r="G667" s="40"/>
    </row>
    <row r="668" spans="3:7" x14ac:dyDescent="0.3">
      <c r="C668" s="40"/>
      <c r="E668" s="40"/>
      <c r="G668" s="40"/>
    </row>
    <row r="669" spans="3:7" x14ac:dyDescent="0.3">
      <c r="C669" s="40"/>
      <c r="E669" s="40"/>
      <c r="G669" s="40"/>
    </row>
    <row r="670" spans="3:7" x14ac:dyDescent="0.3">
      <c r="C670" s="40"/>
      <c r="E670" s="40"/>
      <c r="G670" s="40"/>
    </row>
    <row r="671" spans="3:7" x14ac:dyDescent="0.3">
      <c r="C671" s="40"/>
      <c r="E671" s="40"/>
      <c r="G671" s="40"/>
    </row>
    <row r="672" spans="3:7" x14ac:dyDescent="0.3">
      <c r="C672" s="40"/>
      <c r="E672" s="40"/>
      <c r="G672" s="40"/>
    </row>
    <row r="673" spans="3:7" x14ac:dyDescent="0.3">
      <c r="C673" s="40"/>
      <c r="E673" s="40"/>
      <c r="G673" s="40"/>
    </row>
    <row r="674" spans="3:7" x14ac:dyDescent="0.3">
      <c r="C674" s="40"/>
      <c r="E674" s="40"/>
      <c r="G674" s="40"/>
    </row>
    <row r="675" spans="3:7" x14ac:dyDescent="0.3">
      <c r="C675" s="40"/>
      <c r="E675" s="40"/>
      <c r="G675" s="40"/>
    </row>
    <row r="676" spans="3:7" x14ac:dyDescent="0.3">
      <c r="C676" s="40"/>
      <c r="E676" s="40"/>
      <c r="G676" s="40"/>
    </row>
    <row r="677" spans="3:7" x14ac:dyDescent="0.3">
      <c r="C677" s="40"/>
      <c r="E677" s="40"/>
      <c r="G677" s="40"/>
    </row>
    <row r="678" spans="3:7" x14ac:dyDescent="0.3">
      <c r="C678" s="40"/>
      <c r="E678" s="40"/>
      <c r="G678" s="40"/>
    </row>
    <row r="679" spans="3:7" x14ac:dyDescent="0.3">
      <c r="C679" s="40"/>
      <c r="E679" s="40"/>
      <c r="G679" s="40"/>
    </row>
    <row r="680" spans="3:7" x14ac:dyDescent="0.3">
      <c r="C680" s="40"/>
      <c r="E680" s="40"/>
      <c r="G680" s="40"/>
    </row>
    <row r="681" spans="3:7" x14ac:dyDescent="0.3">
      <c r="C681" s="40"/>
      <c r="E681" s="40"/>
      <c r="G681" s="40"/>
    </row>
    <row r="682" spans="3:7" x14ac:dyDescent="0.3">
      <c r="C682" s="40"/>
      <c r="E682" s="40"/>
      <c r="G682" s="40"/>
    </row>
    <row r="683" spans="3:7" x14ac:dyDescent="0.3">
      <c r="C683" s="40"/>
      <c r="E683" s="40"/>
      <c r="G683" s="40"/>
    </row>
    <row r="684" spans="3:7" x14ac:dyDescent="0.3">
      <c r="C684" s="40"/>
      <c r="E684" s="40"/>
      <c r="G684" s="40"/>
    </row>
    <row r="685" spans="3:7" x14ac:dyDescent="0.3">
      <c r="C685" s="40"/>
      <c r="E685" s="40"/>
      <c r="G685" s="40"/>
    </row>
    <row r="686" spans="3:7" x14ac:dyDescent="0.3">
      <c r="C686" s="40"/>
      <c r="E686" s="40"/>
      <c r="G686" s="40"/>
    </row>
    <row r="687" spans="3:7" x14ac:dyDescent="0.3">
      <c r="C687" s="40"/>
      <c r="E687" s="40"/>
      <c r="G687" s="40"/>
    </row>
    <row r="688" spans="3:7" x14ac:dyDescent="0.3">
      <c r="C688" s="40"/>
      <c r="E688" s="40"/>
      <c r="G688" s="40"/>
    </row>
    <row r="689" spans="3:7" x14ac:dyDescent="0.3">
      <c r="C689" s="40"/>
      <c r="E689" s="40"/>
      <c r="G689" s="40"/>
    </row>
    <row r="690" spans="3:7" x14ac:dyDescent="0.3">
      <c r="C690" s="40"/>
      <c r="E690" s="40"/>
      <c r="G690" s="40"/>
    </row>
    <row r="691" spans="3:7" x14ac:dyDescent="0.3">
      <c r="C691" s="40"/>
      <c r="E691" s="40"/>
      <c r="G691" s="40"/>
    </row>
    <row r="692" spans="3:7" x14ac:dyDescent="0.3">
      <c r="C692" s="40"/>
      <c r="E692" s="40"/>
      <c r="G692" s="40"/>
    </row>
    <row r="693" spans="3:7" x14ac:dyDescent="0.3">
      <c r="C693" s="40"/>
      <c r="E693" s="40"/>
      <c r="G693" s="40"/>
    </row>
    <row r="694" spans="3:7" x14ac:dyDescent="0.3">
      <c r="C694" s="40"/>
      <c r="E694" s="40"/>
      <c r="G694" s="40"/>
    </row>
    <row r="695" spans="3:7" x14ac:dyDescent="0.3">
      <c r="C695" s="40"/>
      <c r="E695" s="40"/>
      <c r="G695" s="40"/>
    </row>
    <row r="696" spans="3:7" x14ac:dyDescent="0.3">
      <c r="C696" s="40"/>
      <c r="E696" s="40"/>
      <c r="G696" s="40"/>
    </row>
    <row r="697" spans="3:7" x14ac:dyDescent="0.3">
      <c r="C697" s="40"/>
      <c r="E697" s="40"/>
      <c r="G697" s="40"/>
    </row>
    <row r="698" spans="3:7" x14ac:dyDescent="0.3">
      <c r="C698" s="40"/>
      <c r="E698" s="40"/>
      <c r="G698" s="40"/>
    </row>
    <row r="699" spans="3:7" x14ac:dyDescent="0.3">
      <c r="C699" s="40"/>
      <c r="E699" s="40"/>
      <c r="G699" s="40"/>
    </row>
    <row r="700" spans="3:7" x14ac:dyDescent="0.3">
      <c r="C700" s="40"/>
      <c r="E700" s="40"/>
      <c r="G700" s="40"/>
    </row>
    <row r="701" spans="3:7" x14ac:dyDescent="0.3">
      <c r="C701" s="40"/>
      <c r="E701" s="40"/>
      <c r="G701" s="40"/>
    </row>
    <row r="702" spans="3:7" x14ac:dyDescent="0.3">
      <c r="C702" s="40"/>
      <c r="E702" s="40"/>
      <c r="G702" s="40"/>
    </row>
    <row r="703" spans="3:7" x14ac:dyDescent="0.3">
      <c r="C703" s="40"/>
      <c r="E703" s="40"/>
      <c r="G703" s="40"/>
    </row>
    <row r="704" spans="3:7" x14ac:dyDescent="0.3">
      <c r="C704" s="40"/>
      <c r="E704" s="40"/>
      <c r="G704" s="40"/>
    </row>
    <row r="705" spans="3:7" x14ac:dyDescent="0.3">
      <c r="C705" s="40"/>
      <c r="E705" s="40"/>
      <c r="G705" s="40"/>
    </row>
    <row r="706" spans="3:7" x14ac:dyDescent="0.3">
      <c r="C706" s="40"/>
      <c r="E706" s="40"/>
      <c r="G706" s="40"/>
    </row>
    <row r="707" spans="3:7" x14ac:dyDescent="0.3">
      <c r="C707" s="40"/>
      <c r="E707" s="40"/>
      <c r="G707" s="40"/>
    </row>
    <row r="708" spans="3:7" x14ac:dyDescent="0.3">
      <c r="C708" s="40"/>
      <c r="E708" s="40"/>
      <c r="G708" s="40"/>
    </row>
    <row r="709" spans="3:7" x14ac:dyDescent="0.3">
      <c r="C709" s="40"/>
      <c r="E709" s="40"/>
      <c r="G709" s="40"/>
    </row>
    <row r="710" spans="3:7" x14ac:dyDescent="0.3">
      <c r="C710" s="40"/>
      <c r="E710" s="40"/>
      <c r="G710" s="40"/>
    </row>
    <row r="711" spans="3:7" x14ac:dyDescent="0.3">
      <c r="C711" s="40"/>
      <c r="E711" s="40"/>
      <c r="G711" s="40"/>
    </row>
    <row r="712" spans="3:7" x14ac:dyDescent="0.3">
      <c r="C712" s="40"/>
      <c r="E712" s="40"/>
      <c r="G712" s="40"/>
    </row>
    <row r="713" spans="3:7" x14ac:dyDescent="0.3">
      <c r="C713" s="40"/>
      <c r="E713" s="40"/>
      <c r="G713" s="40"/>
    </row>
    <row r="714" spans="3:7" x14ac:dyDescent="0.3">
      <c r="C714" s="40"/>
      <c r="E714" s="40"/>
      <c r="G714" s="40"/>
    </row>
    <row r="715" spans="3:7" x14ac:dyDescent="0.3">
      <c r="C715" s="40"/>
      <c r="E715" s="40"/>
      <c r="G715" s="40"/>
    </row>
    <row r="716" spans="3:7" x14ac:dyDescent="0.3">
      <c r="C716" s="40"/>
      <c r="E716" s="40"/>
      <c r="G716" s="40"/>
    </row>
    <row r="717" spans="3:7" x14ac:dyDescent="0.3">
      <c r="C717" s="40"/>
      <c r="E717" s="40"/>
      <c r="G717" s="40"/>
    </row>
    <row r="718" spans="3:7" x14ac:dyDescent="0.3">
      <c r="C718" s="40"/>
      <c r="E718" s="40"/>
      <c r="G718" s="40"/>
    </row>
    <row r="719" spans="3:7" x14ac:dyDescent="0.3">
      <c r="C719" s="40"/>
      <c r="E719" s="40"/>
      <c r="G719" s="40"/>
    </row>
    <row r="720" spans="3:7" x14ac:dyDescent="0.3">
      <c r="C720" s="40"/>
      <c r="E720" s="40"/>
      <c r="G720" s="40"/>
    </row>
    <row r="721" spans="3:7" x14ac:dyDescent="0.3">
      <c r="C721" s="40"/>
      <c r="E721" s="40"/>
      <c r="G721" s="40"/>
    </row>
    <row r="722" spans="3:7" x14ac:dyDescent="0.3">
      <c r="C722" s="40"/>
      <c r="E722" s="40"/>
      <c r="G722" s="40"/>
    </row>
    <row r="723" spans="3:7" x14ac:dyDescent="0.3">
      <c r="C723" s="40"/>
      <c r="E723" s="40"/>
      <c r="G723" s="40"/>
    </row>
    <row r="724" spans="3:7" x14ac:dyDescent="0.3">
      <c r="C724" s="40"/>
      <c r="E724" s="40"/>
      <c r="G724" s="40"/>
    </row>
    <row r="725" spans="3:7" x14ac:dyDescent="0.3">
      <c r="C725" s="40"/>
      <c r="E725" s="40"/>
      <c r="G725" s="40"/>
    </row>
    <row r="726" spans="3:7" x14ac:dyDescent="0.3">
      <c r="C726" s="40"/>
      <c r="E726" s="40"/>
      <c r="G726" s="40"/>
    </row>
    <row r="727" spans="3:7" x14ac:dyDescent="0.3">
      <c r="C727" s="40"/>
      <c r="E727" s="40"/>
      <c r="G727" s="40"/>
    </row>
    <row r="728" spans="3:7" x14ac:dyDescent="0.3">
      <c r="C728" s="40"/>
      <c r="E728" s="40"/>
      <c r="G728" s="40"/>
    </row>
    <row r="729" spans="3:7" x14ac:dyDescent="0.3">
      <c r="C729" s="40"/>
      <c r="E729" s="40"/>
      <c r="G729" s="40"/>
    </row>
    <row r="730" spans="3:7" x14ac:dyDescent="0.3">
      <c r="C730" s="40"/>
      <c r="E730" s="40"/>
      <c r="G730" s="40"/>
    </row>
    <row r="731" spans="3:7" x14ac:dyDescent="0.3">
      <c r="C731" s="40"/>
      <c r="E731" s="40"/>
      <c r="G731" s="40"/>
    </row>
    <row r="732" spans="3:7" x14ac:dyDescent="0.3">
      <c r="C732" s="40"/>
      <c r="E732" s="40"/>
      <c r="G732" s="40"/>
    </row>
    <row r="733" spans="3:7" x14ac:dyDescent="0.3">
      <c r="C733" s="40"/>
      <c r="E733" s="40"/>
      <c r="G733" s="40"/>
    </row>
    <row r="734" spans="3:7" x14ac:dyDescent="0.3">
      <c r="C734" s="40"/>
      <c r="E734" s="40"/>
      <c r="G734" s="40"/>
    </row>
    <row r="735" spans="3:7" x14ac:dyDescent="0.3">
      <c r="C735" s="40"/>
      <c r="E735" s="40"/>
      <c r="G735" s="40"/>
    </row>
    <row r="736" spans="3:7" x14ac:dyDescent="0.3">
      <c r="C736" s="40"/>
      <c r="E736" s="40"/>
      <c r="G736" s="40"/>
    </row>
    <row r="737" spans="3:7" x14ac:dyDescent="0.3">
      <c r="C737" s="40"/>
      <c r="E737" s="40"/>
      <c r="G737" s="40"/>
    </row>
    <row r="738" spans="3:7" x14ac:dyDescent="0.3">
      <c r="C738" s="40"/>
      <c r="E738" s="40"/>
      <c r="G738" s="40"/>
    </row>
    <row r="739" spans="3:7" x14ac:dyDescent="0.3">
      <c r="C739" s="40"/>
      <c r="E739" s="40"/>
      <c r="G739" s="40"/>
    </row>
    <row r="740" spans="3:7" x14ac:dyDescent="0.3">
      <c r="C740" s="40"/>
      <c r="E740" s="40"/>
      <c r="G740" s="40"/>
    </row>
    <row r="741" spans="3:7" x14ac:dyDescent="0.3">
      <c r="C741" s="40"/>
      <c r="E741" s="40"/>
      <c r="G741" s="40"/>
    </row>
    <row r="742" spans="3:7" x14ac:dyDescent="0.3">
      <c r="C742" s="40"/>
      <c r="E742" s="40"/>
      <c r="G742" s="40"/>
    </row>
    <row r="743" spans="3:7" x14ac:dyDescent="0.3">
      <c r="C743" s="40"/>
      <c r="E743" s="40"/>
      <c r="G743" s="40"/>
    </row>
    <row r="744" spans="3:7" x14ac:dyDescent="0.3">
      <c r="C744" s="40"/>
      <c r="E744" s="40"/>
      <c r="G744" s="40"/>
    </row>
    <row r="745" spans="3:7" x14ac:dyDescent="0.3">
      <c r="C745" s="40"/>
      <c r="E745" s="40"/>
      <c r="G745" s="40"/>
    </row>
    <row r="746" spans="3:7" x14ac:dyDescent="0.3">
      <c r="C746" s="40"/>
      <c r="E746" s="40"/>
      <c r="G746" s="40"/>
    </row>
    <row r="747" spans="3:7" x14ac:dyDescent="0.3">
      <c r="C747" s="40"/>
      <c r="E747" s="40"/>
      <c r="G747" s="40"/>
    </row>
    <row r="748" spans="3:7" x14ac:dyDescent="0.3">
      <c r="C748" s="40"/>
      <c r="E748" s="40"/>
      <c r="G748" s="40"/>
    </row>
    <row r="749" spans="3:7" x14ac:dyDescent="0.3">
      <c r="C749" s="40"/>
      <c r="E749" s="40"/>
      <c r="G749" s="40"/>
    </row>
    <row r="750" spans="3:7" x14ac:dyDescent="0.3">
      <c r="C750" s="40"/>
      <c r="E750" s="40"/>
      <c r="G750" s="40"/>
    </row>
    <row r="751" spans="3:7" x14ac:dyDescent="0.3">
      <c r="C751" s="40"/>
      <c r="E751" s="40"/>
      <c r="G751" s="40"/>
    </row>
    <row r="752" spans="3:7" x14ac:dyDescent="0.3">
      <c r="C752" s="40"/>
      <c r="E752" s="40"/>
      <c r="G752" s="40"/>
    </row>
    <row r="753" spans="3:7" x14ac:dyDescent="0.3">
      <c r="C753" s="40"/>
      <c r="E753" s="40"/>
      <c r="G753" s="40"/>
    </row>
    <row r="754" spans="3:7" x14ac:dyDescent="0.3">
      <c r="C754" s="40"/>
      <c r="E754" s="40"/>
      <c r="G754" s="40"/>
    </row>
    <row r="755" spans="3:7" x14ac:dyDescent="0.3">
      <c r="C755" s="40"/>
      <c r="E755" s="40"/>
      <c r="G755" s="40"/>
    </row>
    <row r="756" spans="3:7" x14ac:dyDescent="0.3">
      <c r="C756" s="40"/>
      <c r="E756" s="40"/>
      <c r="G756" s="40"/>
    </row>
    <row r="757" spans="3:7" x14ac:dyDescent="0.3">
      <c r="C757" s="40"/>
      <c r="E757" s="40"/>
      <c r="G757" s="40"/>
    </row>
    <row r="758" spans="3:7" x14ac:dyDescent="0.3">
      <c r="C758" s="40"/>
      <c r="E758" s="40"/>
      <c r="G758" s="40"/>
    </row>
    <row r="759" spans="3:7" x14ac:dyDescent="0.3">
      <c r="C759" s="40"/>
      <c r="E759" s="40"/>
      <c r="G759" s="40"/>
    </row>
    <row r="760" spans="3:7" x14ac:dyDescent="0.3">
      <c r="C760" s="40"/>
      <c r="E760" s="40"/>
      <c r="G760" s="40"/>
    </row>
    <row r="761" spans="3:7" x14ac:dyDescent="0.3">
      <c r="C761" s="40"/>
      <c r="E761" s="40"/>
      <c r="G761" s="40"/>
    </row>
    <row r="762" spans="3:7" x14ac:dyDescent="0.3">
      <c r="C762" s="40"/>
      <c r="E762" s="40"/>
      <c r="G762" s="40"/>
    </row>
    <row r="763" spans="3:7" x14ac:dyDescent="0.3">
      <c r="C763" s="40"/>
      <c r="E763" s="40"/>
      <c r="G763" s="40"/>
    </row>
    <row r="764" spans="3:7" x14ac:dyDescent="0.3">
      <c r="C764" s="40"/>
      <c r="E764" s="40"/>
      <c r="G764" s="40"/>
    </row>
    <row r="765" spans="3:7" x14ac:dyDescent="0.3">
      <c r="C765" s="40"/>
      <c r="E765" s="40"/>
      <c r="G765" s="40"/>
    </row>
    <row r="766" spans="3:7" x14ac:dyDescent="0.3">
      <c r="C766" s="40"/>
      <c r="E766" s="40"/>
      <c r="G766" s="40"/>
    </row>
    <row r="767" spans="3:7" x14ac:dyDescent="0.3">
      <c r="C767" s="40"/>
      <c r="E767" s="40"/>
      <c r="G767" s="40"/>
    </row>
    <row r="768" spans="3:7" x14ac:dyDescent="0.3">
      <c r="C768" s="40"/>
      <c r="E768" s="40"/>
      <c r="G768" s="40"/>
    </row>
    <row r="769" spans="3:7" x14ac:dyDescent="0.3">
      <c r="C769" s="40"/>
      <c r="E769" s="40"/>
      <c r="G769" s="40"/>
    </row>
    <row r="770" spans="3:7" x14ac:dyDescent="0.3">
      <c r="C770" s="40"/>
      <c r="E770" s="40"/>
      <c r="G770" s="40"/>
    </row>
    <row r="771" spans="3:7" x14ac:dyDescent="0.3">
      <c r="C771" s="40"/>
      <c r="E771" s="40"/>
      <c r="G771" s="40"/>
    </row>
    <row r="772" spans="3:7" x14ac:dyDescent="0.3">
      <c r="C772" s="40"/>
      <c r="E772" s="40"/>
      <c r="G772" s="40"/>
    </row>
    <row r="773" spans="3:7" x14ac:dyDescent="0.3">
      <c r="C773" s="40"/>
      <c r="E773" s="40"/>
      <c r="G773" s="40"/>
    </row>
    <row r="774" spans="3:7" x14ac:dyDescent="0.3">
      <c r="C774" s="40"/>
      <c r="E774" s="40"/>
      <c r="G774" s="40"/>
    </row>
    <row r="775" spans="3:7" x14ac:dyDescent="0.3">
      <c r="C775" s="40"/>
      <c r="E775" s="40"/>
      <c r="G775" s="40"/>
    </row>
    <row r="776" spans="3:7" x14ac:dyDescent="0.3">
      <c r="C776" s="40"/>
      <c r="E776" s="40"/>
      <c r="G776" s="40"/>
    </row>
    <row r="777" spans="3:7" x14ac:dyDescent="0.3">
      <c r="C777" s="40"/>
      <c r="E777" s="40"/>
      <c r="G777" s="40"/>
    </row>
    <row r="778" spans="3:7" x14ac:dyDescent="0.3">
      <c r="C778" s="40"/>
      <c r="E778" s="40"/>
      <c r="G778" s="40"/>
    </row>
    <row r="779" spans="3:7" x14ac:dyDescent="0.3">
      <c r="C779" s="40"/>
      <c r="E779" s="40"/>
      <c r="G779" s="40"/>
    </row>
    <row r="780" spans="3:7" x14ac:dyDescent="0.3">
      <c r="C780" s="40"/>
      <c r="E780" s="40"/>
      <c r="G780" s="40"/>
    </row>
    <row r="781" spans="3:7" x14ac:dyDescent="0.3">
      <c r="C781" s="40"/>
      <c r="E781" s="40"/>
      <c r="G781" s="40"/>
    </row>
    <row r="782" spans="3:7" x14ac:dyDescent="0.3">
      <c r="C782" s="40"/>
      <c r="E782" s="40"/>
      <c r="G782" s="40"/>
    </row>
    <row r="783" spans="3:7" x14ac:dyDescent="0.3">
      <c r="C783" s="40"/>
      <c r="E783" s="40"/>
      <c r="G783" s="40"/>
    </row>
    <row r="784" spans="3:7" x14ac:dyDescent="0.3">
      <c r="C784" s="40"/>
      <c r="E784" s="40"/>
      <c r="G784" s="40"/>
    </row>
    <row r="785" spans="3:7" x14ac:dyDescent="0.3">
      <c r="C785" s="40"/>
      <c r="E785" s="40"/>
      <c r="G785" s="40"/>
    </row>
    <row r="786" spans="3:7" x14ac:dyDescent="0.3">
      <c r="C786" s="40"/>
      <c r="E786" s="40"/>
      <c r="G786" s="40"/>
    </row>
    <row r="787" spans="3:7" x14ac:dyDescent="0.3">
      <c r="C787" s="40"/>
      <c r="E787" s="40"/>
      <c r="G787" s="40"/>
    </row>
    <row r="788" spans="3:7" x14ac:dyDescent="0.3">
      <c r="C788" s="40"/>
      <c r="E788" s="40"/>
      <c r="G788" s="40"/>
    </row>
    <row r="789" spans="3:7" x14ac:dyDescent="0.3">
      <c r="C789" s="40"/>
      <c r="E789" s="40"/>
      <c r="G789" s="40"/>
    </row>
    <row r="790" spans="3:7" x14ac:dyDescent="0.3">
      <c r="C790" s="40"/>
      <c r="E790" s="40"/>
      <c r="G790" s="40"/>
    </row>
    <row r="791" spans="3:7" x14ac:dyDescent="0.3">
      <c r="C791" s="40"/>
      <c r="E791" s="40"/>
      <c r="G791" s="40"/>
    </row>
    <row r="792" spans="3:7" x14ac:dyDescent="0.3">
      <c r="C792" s="40"/>
      <c r="E792" s="40"/>
      <c r="G792" s="40"/>
    </row>
    <row r="793" spans="3:7" x14ac:dyDescent="0.3">
      <c r="C793" s="40"/>
      <c r="E793" s="40"/>
      <c r="G793" s="40"/>
    </row>
    <row r="794" spans="3:7" x14ac:dyDescent="0.3">
      <c r="C794" s="40"/>
      <c r="E794" s="40"/>
      <c r="G794" s="40"/>
    </row>
    <row r="795" spans="3:7" x14ac:dyDescent="0.3">
      <c r="C795" s="40"/>
      <c r="E795" s="40"/>
      <c r="G795" s="40"/>
    </row>
    <row r="796" spans="3:7" x14ac:dyDescent="0.3">
      <c r="C796" s="40"/>
      <c r="E796" s="40"/>
      <c r="G796" s="40"/>
    </row>
    <row r="797" spans="3:7" x14ac:dyDescent="0.3">
      <c r="C797" s="40"/>
      <c r="E797" s="40"/>
      <c r="G797" s="40"/>
    </row>
    <row r="798" spans="3:7" x14ac:dyDescent="0.3">
      <c r="C798" s="40"/>
      <c r="E798" s="40"/>
      <c r="G798" s="40"/>
    </row>
    <row r="799" spans="3:7" x14ac:dyDescent="0.3">
      <c r="C799" s="40"/>
      <c r="E799" s="40"/>
      <c r="G799" s="40"/>
    </row>
    <row r="800" spans="3:7" x14ac:dyDescent="0.3">
      <c r="C800" s="40"/>
      <c r="E800" s="40"/>
      <c r="G800" s="40"/>
    </row>
    <row r="801" spans="3:7" x14ac:dyDescent="0.3">
      <c r="C801" s="40"/>
      <c r="E801" s="40"/>
      <c r="G801" s="40"/>
    </row>
    <row r="802" spans="3:7" x14ac:dyDescent="0.3">
      <c r="C802" s="40"/>
      <c r="E802" s="40"/>
      <c r="G802" s="40"/>
    </row>
    <row r="803" spans="3:7" x14ac:dyDescent="0.3">
      <c r="C803" s="40"/>
      <c r="E803" s="40"/>
      <c r="G803" s="40"/>
    </row>
    <row r="804" spans="3:7" x14ac:dyDescent="0.3">
      <c r="C804" s="40"/>
      <c r="E804" s="40"/>
      <c r="G804" s="40"/>
    </row>
    <row r="805" spans="3:7" x14ac:dyDescent="0.3">
      <c r="C805" s="40"/>
      <c r="E805" s="40"/>
      <c r="G805" s="40"/>
    </row>
    <row r="806" spans="3:7" x14ac:dyDescent="0.3">
      <c r="C806" s="40"/>
      <c r="E806" s="40"/>
      <c r="G806" s="40"/>
    </row>
    <row r="807" spans="3:7" x14ac:dyDescent="0.3">
      <c r="C807" s="40"/>
      <c r="E807" s="40"/>
      <c r="G807" s="40"/>
    </row>
    <row r="808" spans="3:7" x14ac:dyDescent="0.3">
      <c r="C808" s="40"/>
      <c r="E808" s="40"/>
      <c r="G808" s="40"/>
    </row>
    <row r="809" spans="3:7" x14ac:dyDescent="0.3">
      <c r="C809" s="40"/>
      <c r="E809" s="40"/>
      <c r="G809" s="40"/>
    </row>
    <row r="810" spans="3:7" x14ac:dyDescent="0.3">
      <c r="C810" s="40"/>
      <c r="E810" s="40"/>
      <c r="G810" s="40"/>
    </row>
    <row r="811" spans="3:7" x14ac:dyDescent="0.3">
      <c r="C811" s="40"/>
      <c r="E811" s="40"/>
      <c r="G811" s="40"/>
    </row>
    <row r="812" spans="3:7" x14ac:dyDescent="0.3">
      <c r="C812" s="40"/>
      <c r="E812" s="40"/>
      <c r="G812" s="40"/>
    </row>
    <row r="813" spans="3:7" x14ac:dyDescent="0.3">
      <c r="C813" s="40"/>
      <c r="E813" s="40"/>
      <c r="G813" s="40"/>
    </row>
    <row r="814" spans="3:7" x14ac:dyDescent="0.3">
      <c r="C814" s="40"/>
      <c r="E814" s="40"/>
      <c r="G814" s="40"/>
    </row>
    <row r="815" spans="3:7" x14ac:dyDescent="0.3">
      <c r="C815" s="40"/>
      <c r="E815" s="40"/>
      <c r="G815" s="40"/>
    </row>
    <row r="816" spans="3:7" x14ac:dyDescent="0.3">
      <c r="C816" s="40"/>
      <c r="E816" s="40"/>
      <c r="G816" s="40"/>
    </row>
    <row r="817" spans="3:7" x14ac:dyDescent="0.3">
      <c r="C817" s="40"/>
      <c r="E817" s="40"/>
      <c r="G817" s="40"/>
    </row>
    <row r="818" spans="3:7" x14ac:dyDescent="0.3">
      <c r="C818" s="40"/>
      <c r="E818" s="40"/>
      <c r="G818" s="40"/>
    </row>
    <row r="819" spans="3:7" x14ac:dyDescent="0.3">
      <c r="C819" s="40"/>
      <c r="E819" s="40"/>
      <c r="G819" s="40"/>
    </row>
    <row r="820" spans="3:7" x14ac:dyDescent="0.3">
      <c r="C820" s="40"/>
      <c r="E820" s="40"/>
      <c r="G820" s="40"/>
    </row>
    <row r="821" spans="3:7" x14ac:dyDescent="0.3">
      <c r="C821" s="40"/>
      <c r="E821" s="40"/>
      <c r="G821" s="40"/>
    </row>
    <row r="822" spans="3:7" x14ac:dyDescent="0.3">
      <c r="C822" s="40"/>
      <c r="E822" s="40"/>
      <c r="G822" s="40"/>
    </row>
    <row r="823" spans="3:7" x14ac:dyDescent="0.3">
      <c r="C823" s="40"/>
      <c r="E823" s="40"/>
      <c r="G823" s="40"/>
    </row>
    <row r="824" spans="3:7" x14ac:dyDescent="0.3">
      <c r="C824" s="40"/>
      <c r="E824" s="40"/>
      <c r="G824" s="40"/>
    </row>
    <row r="825" spans="3:7" x14ac:dyDescent="0.3">
      <c r="C825" s="40"/>
      <c r="E825" s="40"/>
      <c r="G825" s="40"/>
    </row>
    <row r="826" spans="3:7" x14ac:dyDescent="0.3">
      <c r="C826" s="40"/>
      <c r="E826" s="40"/>
      <c r="G826" s="40"/>
    </row>
    <row r="827" spans="3:7" x14ac:dyDescent="0.3">
      <c r="C827" s="40"/>
      <c r="E827" s="40"/>
      <c r="G827" s="40"/>
    </row>
    <row r="828" spans="3:7" x14ac:dyDescent="0.3">
      <c r="C828" s="40"/>
      <c r="E828" s="40"/>
      <c r="G828" s="40"/>
    </row>
    <row r="829" spans="3:7" x14ac:dyDescent="0.3">
      <c r="C829" s="40"/>
      <c r="E829" s="40"/>
      <c r="G829" s="40"/>
    </row>
    <row r="830" spans="3:7" x14ac:dyDescent="0.3">
      <c r="C830" s="40"/>
      <c r="E830" s="40"/>
      <c r="G830" s="40"/>
    </row>
    <row r="831" spans="3:7" x14ac:dyDescent="0.3">
      <c r="C831" s="40"/>
      <c r="E831" s="40"/>
      <c r="G831" s="40"/>
    </row>
    <row r="832" spans="3:7" x14ac:dyDescent="0.3">
      <c r="C832" s="40"/>
      <c r="E832" s="40"/>
      <c r="G832" s="40"/>
    </row>
    <row r="833" spans="3:7" x14ac:dyDescent="0.3">
      <c r="C833" s="40"/>
      <c r="E833" s="40"/>
      <c r="G833" s="40"/>
    </row>
    <row r="834" spans="3:7" x14ac:dyDescent="0.3">
      <c r="C834" s="40"/>
      <c r="E834" s="40"/>
      <c r="G834" s="40"/>
    </row>
    <row r="835" spans="3:7" x14ac:dyDescent="0.3">
      <c r="C835" s="40"/>
      <c r="E835" s="40"/>
      <c r="G835" s="40"/>
    </row>
    <row r="836" spans="3:7" x14ac:dyDescent="0.3">
      <c r="C836" s="40"/>
      <c r="E836" s="40"/>
      <c r="G836" s="40"/>
    </row>
    <row r="837" spans="3:7" x14ac:dyDescent="0.3">
      <c r="C837" s="40"/>
      <c r="E837" s="40"/>
      <c r="G837" s="40"/>
    </row>
    <row r="838" spans="3:7" x14ac:dyDescent="0.3">
      <c r="C838" s="40"/>
      <c r="E838" s="40"/>
      <c r="G838" s="40"/>
    </row>
    <row r="839" spans="3:7" x14ac:dyDescent="0.3">
      <c r="C839" s="40"/>
      <c r="E839" s="40"/>
      <c r="G839" s="40"/>
    </row>
    <row r="840" spans="3:7" x14ac:dyDescent="0.3">
      <c r="C840" s="40"/>
      <c r="E840" s="40"/>
      <c r="G840" s="40"/>
    </row>
    <row r="841" spans="3:7" x14ac:dyDescent="0.3">
      <c r="C841" s="40"/>
      <c r="E841" s="40"/>
      <c r="G841" s="40"/>
    </row>
    <row r="842" spans="3:7" x14ac:dyDescent="0.3">
      <c r="C842" s="40"/>
      <c r="E842" s="40"/>
      <c r="G842" s="40"/>
    </row>
    <row r="843" spans="3:7" x14ac:dyDescent="0.3">
      <c r="C843" s="40"/>
      <c r="E843" s="40"/>
      <c r="G843" s="40"/>
    </row>
    <row r="844" spans="3:7" x14ac:dyDescent="0.3">
      <c r="C844" s="40"/>
      <c r="E844" s="40"/>
      <c r="G844" s="40"/>
    </row>
    <row r="845" spans="3:7" x14ac:dyDescent="0.3">
      <c r="C845" s="40"/>
      <c r="E845" s="40"/>
      <c r="G845" s="40"/>
    </row>
    <row r="846" spans="3:7" x14ac:dyDescent="0.3">
      <c r="C846" s="40"/>
      <c r="E846" s="40"/>
      <c r="G846" s="40"/>
    </row>
    <row r="847" spans="3:7" x14ac:dyDescent="0.3">
      <c r="C847" s="40"/>
      <c r="E847" s="40"/>
      <c r="G847" s="40"/>
    </row>
    <row r="848" spans="3:7" x14ac:dyDescent="0.3">
      <c r="C848" s="40"/>
      <c r="E848" s="40"/>
      <c r="G848" s="40"/>
    </row>
    <row r="849" spans="3:7" x14ac:dyDescent="0.3">
      <c r="C849" s="40"/>
      <c r="E849" s="40"/>
      <c r="G849" s="40"/>
    </row>
    <row r="850" spans="3:7" x14ac:dyDescent="0.3">
      <c r="C850" s="40"/>
      <c r="E850" s="40"/>
      <c r="G850" s="40"/>
    </row>
    <row r="851" spans="3:7" x14ac:dyDescent="0.3">
      <c r="C851" s="40"/>
      <c r="E851" s="40"/>
      <c r="G851" s="40"/>
    </row>
    <row r="852" spans="3:7" x14ac:dyDescent="0.3">
      <c r="C852" s="40"/>
      <c r="E852" s="40"/>
      <c r="G852" s="40"/>
    </row>
    <row r="853" spans="3:7" x14ac:dyDescent="0.3">
      <c r="C853" s="40"/>
      <c r="E853" s="40"/>
      <c r="G853" s="40"/>
    </row>
    <row r="854" spans="3:7" x14ac:dyDescent="0.3">
      <c r="C854" s="40"/>
      <c r="E854" s="40"/>
      <c r="G854" s="40"/>
    </row>
    <row r="855" spans="3:7" x14ac:dyDescent="0.3">
      <c r="C855" s="40"/>
      <c r="E855" s="40"/>
      <c r="G855" s="40"/>
    </row>
    <row r="856" spans="3:7" x14ac:dyDescent="0.3">
      <c r="C856" s="40"/>
      <c r="E856" s="40"/>
      <c r="G856" s="40"/>
    </row>
    <row r="857" spans="3:7" x14ac:dyDescent="0.3">
      <c r="C857" s="40"/>
      <c r="E857" s="40"/>
      <c r="G857" s="40"/>
    </row>
    <row r="858" spans="3:7" x14ac:dyDescent="0.3">
      <c r="C858" s="40"/>
      <c r="E858" s="40"/>
      <c r="G858" s="40"/>
    </row>
    <row r="859" spans="3:7" x14ac:dyDescent="0.3">
      <c r="C859" s="40"/>
      <c r="E859" s="40"/>
      <c r="G859" s="40"/>
    </row>
    <row r="860" spans="3:7" x14ac:dyDescent="0.3">
      <c r="C860" s="40"/>
      <c r="E860" s="40"/>
      <c r="G860" s="40"/>
    </row>
    <row r="861" spans="3:7" x14ac:dyDescent="0.3">
      <c r="C861" s="40"/>
      <c r="E861" s="40"/>
      <c r="G861" s="40"/>
    </row>
    <row r="862" spans="3:7" x14ac:dyDescent="0.3">
      <c r="C862" s="40"/>
      <c r="E862" s="40"/>
      <c r="G862" s="40"/>
    </row>
    <row r="863" spans="3:7" x14ac:dyDescent="0.3">
      <c r="C863" s="40"/>
      <c r="E863" s="40"/>
      <c r="G863" s="40"/>
    </row>
    <row r="864" spans="3:7" x14ac:dyDescent="0.3">
      <c r="C864" s="40"/>
      <c r="E864" s="40"/>
      <c r="G864" s="40"/>
    </row>
    <row r="865" spans="3:7" x14ac:dyDescent="0.3">
      <c r="C865" s="40"/>
      <c r="E865" s="40"/>
      <c r="G865" s="40"/>
    </row>
    <row r="866" spans="3:7" x14ac:dyDescent="0.3">
      <c r="C866" s="40"/>
      <c r="E866" s="40"/>
      <c r="G866" s="40"/>
    </row>
    <row r="867" spans="3:7" x14ac:dyDescent="0.3">
      <c r="C867" s="40"/>
      <c r="E867" s="40"/>
      <c r="G867" s="40"/>
    </row>
    <row r="868" spans="3:7" x14ac:dyDescent="0.3">
      <c r="C868" s="40"/>
      <c r="E868" s="40"/>
      <c r="G868" s="40"/>
    </row>
    <row r="869" spans="3:7" x14ac:dyDescent="0.3">
      <c r="C869" s="40"/>
      <c r="E869" s="40"/>
      <c r="G869" s="40"/>
    </row>
    <row r="870" spans="3:7" x14ac:dyDescent="0.3">
      <c r="C870" s="40"/>
      <c r="E870" s="40"/>
      <c r="G870" s="40"/>
    </row>
    <row r="871" spans="3:7" x14ac:dyDescent="0.3">
      <c r="C871" s="40"/>
      <c r="E871" s="40"/>
      <c r="G871" s="40"/>
    </row>
    <row r="872" spans="3:7" x14ac:dyDescent="0.3">
      <c r="C872" s="40"/>
      <c r="E872" s="40"/>
      <c r="G872" s="40"/>
    </row>
    <row r="873" spans="3:7" x14ac:dyDescent="0.3">
      <c r="C873" s="40"/>
      <c r="E873" s="40"/>
      <c r="G873" s="40"/>
    </row>
    <row r="874" spans="3:7" x14ac:dyDescent="0.3">
      <c r="C874" s="40"/>
      <c r="E874" s="40"/>
      <c r="G874" s="40"/>
    </row>
    <row r="875" spans="3:7" x14ac:dyDescent="0.3">
      <c r="C875" s="40"/>
      <c r="E875" s="40"/>
      <c r="G875" s="40"/>
    </row>
    <row r="876" spans="3:7" x14ac:dyDescent="0.3">
      <c r="C876" s="40"/>
      <c r="E876" s="40"/>
      <c r="G876" s="40"/>
    </row>
    <row r="877" spans="3:7" x14ac:dyDescent="0.3">
      <c r="C877" s="40"/>
      <c r="E877" s="40"/>
      <c r="G877" s="40"/>
    </row>
    <row r="878" spans="3:7" x14ac:dyDescent="0.3">
      <c r="C878" s="40"/>
      <c r="E878" s="40"/>
      <c r="G878" s="40"/>
    </row>
    <row r="879" spans="3:7" x14ac:dyDescent="0.3">
      <c r="C879" s="40"/>
      <c r="E879" s="40"/>
      <c r="G879" s="40"/>
    </row>
    <row r="880" spans="3:7" x14ac:dyDescent="0.3">
      <c r="C880" s="40"/>
      <c r="E880" s="40"/>
      <c r="G880" s="40"/>
    </row>
    <row r="881" spans="3:7" x14ac:dyDescent="0.3">
      <c r="C881" s="40"/>
      <c r="E881" s="40"/>
      <c r="G881" s="40"/>
    </row>
    <row r="882" spans="3:7" x14ac:dyDescent="0.3">
      <c r="C882" s="40"/>
      <c r="E882" s="40"/>
      <c r="G882" s="40"/>
    </row>
    <row r="883" spans="3:7" x14ac:dyDescent="0.3">
      <c r="C883" s="40"/>
      <c r="E883" s="40"/>
      <c r="G883" s="40"/>
    </row>
    <row r="884" spans="3:7" x14ac:dyDescent="0.3">
      <c r="C884" s="40"/>
      <c r="E884" s="40"/>
      <c r="G884" s="40"/>
    </row>
    <row r="885" spans="3:7" x14ac:dyDescent="0.3">
      <c r="C885" s="40"/>
      <c r="E885" s="40"/>
      <c r="G885" s="40"/>
    </row>
    <row r="886" spans="3:7" x14ac:dyDescent="0.3">
      <c r="C886" s="40"/>
      <c r="E886" s="40"/>
      <c r="G886" s="40"/>
    </row>
    <row r="887" spans="3:7" x14ac:dyDescent="0.3">
      <c r="C887" s="40"/>
      <c r="E887" s="40"/>
      <c r="G887" s="40"/>
    </row>
    <row r="888" spans="3:7" x14ac:dyDescent="0.3">
      <c r="C888" s="40"/>
      <c r="E888" s="40"/>
      <c r="G888" s="40"/>
    </row>
    <row r="889" spans="3:7" x14ac:dyDescent="0.3">
      <c r="C889" s="40"/>
      <c r="E889" s="40"/>
      <c r="G889" s="40"/>
    </row>
    <row r="890" spans="3:7" x14ac:dyDescent="0.3">
      <c r="C890" s="40"/>
      <c r="E890" s="40"/>
      <c r="G890" s="40"/>
    </row>
    <row r="891" spans="3:7" x14ac:dyDescent="0.3">
      <c r="C891" s="40"/>
      <c r="E891" s="40"/>
      <c r="G891" s="40"/>
    </row>
    <row r="892" spans="3:7" x14ac:dyDescent="0.3">
      <c r="C892" s="40"/>
      <c r="E892" s="40"/>
      <c r="G892" s="40"/>
    </row>
    <row r="893" spans="3:7" x14ac:dyDescent="0.3">
      <c r="C893" s="40"/>
      <c r="E893" s="40"/>
      <c r="G893" s="40"/>
    </row>
    <row r="894" spans="3:7" x14ac:dyDescent="0.3">
      <c r="C894" s="40"/>
      <c r="E894" s="40"/>
      <c r="G894" s="40"/>
    </row>
    <row r="895" spans="3:7" x14ac:dyDescent="0.3">
      <c r="C895" s="40"/>
      <c r="E895" s="40"/>
      <c r="G895" s="40"/>
    </row>
    <row r="896" spans="3:7" x14ac:dyDescent="0.3">
      <c r="C896" s="40"/>
      <c r="E896" s="40"/>
      <c r="G896" s="40"/>
    </row>
    <row r="897" spans="3:7" x14ac:dyDescent="0.3">
      <c r="C897" s="40"/>
      <c r="E897" s="40"/>
      <c r="G897" s="40"/>
    </row>
    <row r="898" spans="3:7" x14ac:dyDescent="0.3">
      <c r="C898" s="40"/>
      <c r="E898" s="40"/>
      <c r="G898" s="40"/>
    </row>
    <row r="899" spans="3:7" x14ac:dyDescent="0.3">
      <c r="C899" s="40"/>
      <c r="E899" s="40"/>
      <c r="G899" s="40"/>
    </row>
    <row r="900" spans="3:7" x14ac:dyDescent="0.3">
      <c r="C900" s="40"/>
      <c r="E900" s="40"/>
      <c r="G900" s="40"/>
    </row>
    <row r="901" spans="3:7" x14ac:dyDescent="0.3">
      <c r="C901" s="40"/>
      <c r="E901" s="40"/>
      <c r="G901" s="40"/>
    </row>
    <row r="902" spans="3:7" x14ac:dyDescent="0.3">
      <c r="C902" s="40"/>
      <c r="E902" s="40"/>
      <c r="G902" s="40"/>
    </row>
    <row r="903" spans="3:7" x14ac:dyDescent="0.3">
      <c r="C903" s="40"/>
      <c r="E903" s="40"/>
      <c r="G903" s="40"/>
    </row>
    <row r="904" spans="3:7" x14ac:dyDescent="0.3">
      <c r="C904" s="40"/>
      <c r="E904" s="40"/>
      <c r="G904" s="40"/>
    </row>
    <row r="905" spans="3:7" x14ac:dyDescent="0.3">
      <c r="C905" s="40"/>
      <c r="E905" s="40"/>
      <c r="G905" s="40"/>
    </row>
    <row r="906" spans="3:7" x14ac:dyDescent="0.3">
      <c r="C906" s="40"/>
      <c r="E906" s="40"/>
      <c r="G906" s="40"/>
    </row>
    <row r="907" spans="3:7" x14ac:dyDescent="0.3">
      <c r="C907" s="40"/>
      <c r="E907" s="40"/>
      <c r="G907" s="40"/>
    </row>
    <row r="908" spans="3:7" x14ac:dyDescent="0.3">
      <c r="C908" s="40"/>
      <c r="E908" s="40"/>
      <c r="G908" s="40"/>
    </row>
    <row r="909" spans="3:7" x14ac:dyDescent="0.3">
      <c r="C909" s="40"/>
      <c r="E909" s="40"/>
      <c r="G909" s="40"/>
    </row>
    <row r="910" spans="3:7" x14ac:dyDescent="0.3">
      <c r="C910" s="40"/>
      <c r="E910" s="40"/>
      <c r="G910" s="40"/>
    </row>
    <row r="911" spans="3:7" x14ac:dyDescent="0.3">
      <c r="C911" s="40"/>
      <c r="E911" s="40"/>
      <c r="G911" s="40"/>
    </row>
    <row r="912" spans="3:7" x14ac:dyDescent="0.3">
      <c r="C912" s="40"/>
      <c r="E912" s="40"/>
      <c r="G912" s="40"/>
    </row>
    <row r="913" spans="3:7" x14ac:dyDescent="0.3">
      <c r="C913" s="40"/>
      <c r="E913" s="40"/>
      <c r="G913" s="40"/>
    </row>
    <row r="914" spans="3:7" x14ac:dyDescent="0.3">
      <c r="C914" s="40"/>
      <c r="E914" s="40"/>
      <c r="G914" s="40"/>
    </row>
    <row r="915" spans="3:7" x14ac:dyDescent="0.3">
      <c r="C915" s="40"/>
      <c r="E915" s="40"/>
      <c r="G915" s="40"/>
    </row>
    <row r="916" spans="3:7" x14ac:dyDescent="0.3">
      <c r="C916" s="40"/>
      <c r="E916" s="40"/>
      <c r="G916" s="40"/>
    </row>
    <row r="917" spans="3:7" x14ac:dyDescent="0.3">
      <c r="C917" s="40"/>
      <c r="E917" s="40"/>
      <c r="G917" s="40"/>
    </row>
    <row r="918" spans="3:7" x14ac:dyDescent="0.3">
      <c r="C918" s="40"/>
      <c r="E918" s="40"/>
      <c r="G918" s="40"/>
    </row>
    <row r="919" spans="3:7" x14ac:dyDescent="0.3">
      <c r="C919" s="40"/>
      <c r="E919" s="40"/>
      <c r="G919" s="40"/>
    </row>
    <row r="920" spans="3:7" x14ac:dyDescent="0.3">
      <c r="C920" s="40"/>
      <c r="E920" s="40"/>
      <c r="G920" s="40"/>
    </row>
    <row r="921" spans="3:7" x14ac:dyDescent="0.3">
      <c r="C921" s="40"/>
      <c r="E921" s="40"/>
      <c r="G921" s="40"/>
    </row>
    <row r="922" spans="3:7" x14ac:dyDescent="0.3">
      <c r="C922" s="40"/>
      <c r="E922" s="40"/>
      <c r="G922" s="40"/>
    </row>
    <row r="923" spans="3:7" x14ac:dyDescent="0.3">
      <c r="C923" s="40"/>
      <c r="E923" s="40"/>
      <c r="G923" s="40"/>
    </row>
    <row r="924" spans="3:7" x14ac:dyDescent="0.3">
      <c r="C924" s="40"/>
      <c r="E924" s="40"/>
      <c r="G924" s="40"/>
    </row>
    <row r="925" spans="3:7" x14ac:dyDescent="0.3">
      <c r="C925" s="40"/>
      <c r="E925" s="40"/>
      <c r="G925" s="40"/>
    </row>
    <row r="926" spans="3:7" x14ac:dyDescent="0.3">
      <c r="C926" s="40"/>
      <c r="E926" s="40"/>
      <c r="G926" s="40"/>
    </row>
    <row r="927" spans="3:7" x14ac:dyDescent="0.3">
      <c r="C927" s="40"/>
      <c r="E927" s="40"/>
      <c r="G927" s="40"/>
    </row>
    <row r="928" spans="3:7" x14ac:dyDescent="0.3">
      <c r="C928" s="40"/>
      <c r="E928" s="40"/>
      <c r="G928" s="40"/>
    </row>
    <row r="929" spans="3:7" x14ac:dyDescent="0.3">
      <c r="C929" s="40"/>
      <c r="E929" s="40"/>
      <c r="G929" s="40"/>
    </row>
    <row r="930" spans="3:7" x14ac:dyDescent="0.3">
      <c r="C930" s="40"/>
      <c r="E930" s="40"/>
      <c r="G930" s="40"/>
    </row>
    <row r="931" spans="3:7" x14ac:dyDescent="0.3">
      <c r="C931" s="40"/>
      <c r="E931" s="40"/>
      <c r="G931" s="40"/>
    </row>
    <row r="932" spans="3:7" x14ac:dyDescent="0.3">
      <c r="C932" s="40"/>
      <c r="E932" s="40"/>
      <c r="G932" s="40"/>
    </row>
    <row r="933" spans="3:7" x14ac:dyDescent="0.3">
      <c r="C933" s="40"/>
      <c r="E933" s="40"/>
      <c r="G933" s="40"/>
    </row>
    <row r="934" spans="3:7" x14ac:dyDescent="0.3">
      <c r="C934" s="40"/>
      <c r="E934" s="40"/>
      <c r="G934" s="40"/>
    </row>
    <row r="935" spans="3:7" x14ac:dyDescent="0.3">
      <c r="C935" s="40"/>
      <c r="E935" s="40"/>
      <c r="G935" s="40"/>
    </row>
    <row r="936" spans="3:7" x14ac:dyDescent="0.3">
      <c r="C936" s="40"/>
      <c r="E936" s="40"/>
      <c r="G936" s="40"/>
    </row>
    <row r="937" spans="3:7" x14ac:dyDescent="0.3">
      <c r="C937" s="40"/>
      <c r="E937" s="40"/>
      <c r="G937" s="40"/>
    </row>
    <row r="938" spans="3:7" x14ac:dyDescent="0.3">
      <c r="C938" s="40"/>
      <c r="E938" s="40"/>
      <c r="G938" s="40"/>
    </row>
    <row r="939" spans="3:7" x14ac:dyDescent="0.3">
      <c r="C939" s="40"/>
      <c r="E939" s="40"/>
      <c r="G939" s="40"/>
    </row>
    <row r="940" spans="3:7" x14ac:dyDescent="0.3">
      <c r="C940" s="40"/>
      <c r="E940" s="40"/>
      <c r="G940" s="40"/>
    </row>
    <row r="941" spans="3:7" x14ac:dyDescent="0.3">
      <c r="C941" s="40"/>
      <c r="E941" s="40"/>
      <c r="G941" s="40"/>
    </row>
    <row r="942" spans="3:7" x14ac:dyDescent="0.3">
      <c r="C942" s="40"/>
      <c r="E942" s="40"/>
      <c r="G942" s="40"/>
    </row>
    <row r="943" spans="3:7" x14ac:dyDescent="0.3">
      <c r="C943" s="40"/>
      <c r="E943" s="40"/>
      <c r="G943" s="40"/>
    </row>
    <row r="944" spans="3:7" x14ac:dyDescent="0.3">
      <c r="C944" s="40"/>
      <c r="E944" s="40"/>
      <c r="G944" s="40"/>
    </row>
    <row r="945" spans="3:7" x14ac:dyDescent="0.3">
      <c r="C945" s="40"/>
      <c r="E945" s="40"/>
      <c r="G945" s="40"/>
    </row>
    <row r="946" spans="3:7" x14ac:dyDescent="0.3">
      <c r="C946" s="40"/>
      <c r="E946" s="40"/>
      <c r="G946" s="40"/>
    </row>
    <row r="947" spans="3:7" x14ac:dyDescent="0.3">
      <c r="C947" s="40"/>
      <c r="E947" s="40"/>
      <c r="G947" s="40"/>
    </row>
    <row r="948" spans="3:7" x14ac:dyDescent="0.3">
      <c r="C948" s="40"/>
      <c r="E948" s="40"/>
      <c r="G948" s="40"/>
    </row>
    <row r="949" spans="3:7" x14ac:dyDescent="0.3">
      <c r="C949" s="40"/>
      <c r="E949" s="40"/>
      <c r="G949" s="40"/>
    </row>
    <row r="950" spans="3:7" x14ac:dyDescent="0.3">
      <c r="C950" s="40"/>
      <c r="E950" s="40"/>
      <c r="G950" s="40"/>
    </row>
    <row r="951" spans="3:7" x14ac:dyDescent="0.3">
      <c r="C951" s="40"/>
      <c r="E951" s="40"/>
      <c r="G951" s="40"/>
    </row>
    <row r="952" spans="3:7" x14ac:dyDescent="0.3">
      <c r="C952" s="40"/>
      <c r="E952" s="40"/>
      <c r="G952" s="40"/>
    </row>
    <row r="953" spans="3:7" x14ac:dyDescent="0.3">
      <c r="C953" s="40"/>
      <c r="E953" s="40"/>
      <c r="G953" s="40"/>
    </row>
    <row r="954" spans="3:7" x14ac:dyDescent="0.3">
      <c r="C954" s="40"/>
      <c r="E954" s="40"/>
      <c r="G954" s="40"/>
    </row>
    <row r="955" spans="3:7" x14ac:dyDescent="0.3">
      <c r="C955" s="40"/>
      <c r="E955" s="40"/>
      <c r="G955" s="40"/>
    </row>
    <row r="956" spans="3:7" x14ac:dyDescent="0.3">
      <c r="C956" s="40"/>
      <c r="E956" s="40"/>
      <c r="G956" s="40"/>
    </row>
    <row r="957" spans="3:7" x14ac:dyDescent="0.3">
      <c r="C957" s="40"/>
      <c r="E957" s="40"/>
      <c r="G957" s="40"/>
    </row>
    <row r="958" spans="3:7" x14ac:dyDescent="0.3">
      <c r="C958" s="40"/>
      <c r="E958" s="40"/>
      <c r="G958" s="40"/>
    </row>
    <row r="959" spans="3:7" x14ac:dyDescent="0.3">
      <c r="C959" s="40"/>
      <c r="E959" s="40"/>
      <c r="G959" s="40"/>
    </row>
    <row r="960" spans="3:7" x14ac:dyDescent="0.3">
      <c r="C960" s="40"/>
      <c r="E960" s="40"/>
      <c r="G960" s="40"/>
    </row>
    <row r="961" spans="3:7" x14ac:dyDescent="0.3">
      <c r="C961" s="40"/>
      <c r="E961" s="40"/>
      <c r="G961" s="40"/>
    </row>
    <row r="962" spans="3:7" x14ac:dyDescent="0.3">
      <c r="C962" s="40"/>
      <c r="E962" s="40"/>
      <c r="G962" s="40"/>
    </row>
    <row r="963" spans="3:7" x14ac:dyDescent="0.3">
      <c r="C963" s="40"/>
      <c r="E963" s="40"/>
      <c r="G963" s="40"/>
    </row>
    <row r="964" spans="3:7" x14ac:dyDescent="0.3">
      <c r="C964" s="40"/>
      <c r="E964" s="40"/>
      <c r="G964" s="40"/>
    </row>
    <row r="965" spans="3:7" x14ac:dyDescent="0.3">
      <c r="C965" s="40"/>
      <c r="E965" s="40"/>
      <c r="G965" s="40"/>
    </row>
    <row r="966" spans="3:7" x14ac:dyDescent="0.3">
      <c r="C966" s="40"/>
      <c r="E966" s="40"/>
      <c r="G966" s="40"/>
    </row>
    <row r="967" spans="3:7" x14ac:dyDescent="0.3">
      <c r="C967" s="40"/>
      <c r="E967" s="40"/>
      <c r="G967" s="40"/>
    </row>
    <row r="968" spans="3:7" x14ac:dyDescent="0.3">
      <c r="C968" s="40"/>
      <c r="E968" s="40"/>
      <c r="G968" s="40"/>
    </row>
    <row r="969" spans="3:7" x14ac:dyDescent="0.3">
      <c r="C969" s="40"/>
      <c r="E969" s="40"/>
      <c r="G969" s="40"/>
    </row>
    <row r="970" spans="3:7" x14ac:dyDescent="0.3">
      <c r="C970" s="40"/>
      <c r="E970" s="40"/>
      <c r="G970" s="40"/>
    </row>
    <row r="971" spans="3:7" x14ac:dyDescent="0.3">
      <c r="C971" s="40"/>
      <c r="E971" s="40"/>
      <c r="G971" s="40"/>
    </row>
    <row r="972" spans="3:7" x14ac:dyDescent="0.3">
      <c r="C972" s="40"/>
      <c r="E972" s="40"/>
      <c r="G972" s="40"/>
    </row>
    <row r="973" spans="3:7" x14ac:dyDescent="0.3">
      <c r="C973" s="40"/>
      <c r="E973" s="40"/>
      <c r="G973" s="40"/>
    </row>
    <row r="974" spans="3:7" x14ac:dyDescent="0.3">
      <c r="C974" s="40"/>
      <c r="E974" s="40"/>
      <c r="G974" s="40"/>
    </row>
    <row r="975" spans="3:7" x14ac:dyDescent="0.3">
      <c r="C975" s="40"/>
      <c r="E975" s="40"/>
      <c r="G975" s="40"/>
    </row>
    <row r="976" spans="3:7" x14ac:dyDescent="0.3">
      <c r="C976" s="40"/>
      <c r="E976" s="40"/>
      <c r="G976" s="40"/>
    </row>
    <row r="977" spans="3:7" x14ac:dyDescent="0.3">
      <c r="C977" s="40"/>
      <c r="E977" s="40"/>
      <c r="G977" s="40"/>
    </row>
    <row r="978" spans="3:7" x14ac:dyDescent="0.3">
      <c r="C978" s="40"/>
      <c r="E978" s="40"/>
      <c r="G978" s="40"/>
    </row>
    <row r="979" spans="3:7" x14ac:dyDescent="0.3">
      <c r="C979" s="40"/>
      <c r="E979" s="40"/>
      <c r="G979" s="40"/>
    </row>
    <row r="980" spans="3:7" x14ac:dyDescent="0.3">
      <c r="C980" s="40"/>
      <c r="E980" s="40"/>
      <c r="G980" s="40"/>
    </row>
    <row r="981" spans="3:7" x14ac:dyDescent="0.3">
      <c r="C981" s="40"/>
      <c r="E981" s="40"/>
      <c r="G981" s="40"/>
    </row>
    <row r="982" spans="3:7" x14ac:dyDescent="0.3">
      <c r="C982" s="40"/>
      <c r="E982" s="40"/>
      <c r="G982" s="40"/>
    </row>
    <row r="983" spans="3:7" x14ac:dyDescent="0.3">
      <c r="C983" s="40"/>
      <c r="E983" s="40"/>
      <c r="G983" s="40"/>
    </row>
    <row r="984" spans="3:7" x14ac:dyDescent="0.3">
      <c r="C984" s="40"/>
      <c r="E984" s="40"/>
      <c r="G984" s="40"/>
    </row>
    <row r="985" spans="3:7" x14ac:dyDescent="0.3">
      <c r="C985" s="40"/>
      <c r="E985" s="40"/>
      <c r="G985" s="40"/>
    </row>
    <row r="986" spans="3:7" x14ac:dyDescent="0.3">
      <c r="C986" s="40"/>
      <c r="E986" s="40"/>
      <c r="G986" s="40"/>
    </row>
    <row r="987" spans="3:7" x14ac:dyDescent="0.3">
      <c r="C987" s="40"/>
      <c r="E987" s="40"/>
      <c r="G987" s="40"/>
    </row>
    <row r="988" spans="3:7" x14ac:dyDescent="0.3">
      <c r="C988" s="40"/>
      <c r="E988" s="40"/>
      <c r="G988" s="40"/>
    </row>
    <row r="989" spans="3:7" x14ac:dyDescent="0.3">
      <c r="C989" s="40"/>
      <c r="E989" s="40"/>
      <c r="G989" s="40"/>
    </row>
    <row r="990" spans="3:7" x14ac:dyDescent="0.3">
      <c r="C990" s="40"/>
      <c r="E990" s="40"/>
      <c r="G990" s="40"/>
    </row>
    <row r="991" spans="3:7" x14ac:dyDescent="0.3">
      <c r="C991" s="40"/>
      <c r="E991" s="40"/>
      <c r="G991" s="40"/>
    </row>
    <row r="992" spans="3:7" x14ac:dyDescent="0.3">
      <c r="C992" s="40"/>
      <c r="E992" s="40"/>
      <c r="G992" s="40"/>
    </row>
    <row r="993" spans="3:7" x14ac:dyDescent="0.3">
      <c r="C993" s="40"/>
      <c r="E993" s="40"/>
      <c r="G993" s="40"/>
    </row>
    <row r="994" spans="3:7" x14ac:dyDescent="0.3">
      <c r="C994" s="40"/>
      <c r="E994" s="40"/>
      <c r="G994" s="40"/>
    </row>
    <row r="995" spans="3:7" x14ac:dyDescent="0.3">
      <c r="C995" s="40"/>
      <c r="E995" s="40"/>
      <c r="G995" s="40"/>
    </row>
    <row r="996" spans="3:7" x14ac:dyDescent="0.3">
      <c r="C996" s="40"/>
      <c r="E996" s="40"/>
      <c r="G996" s="40"/>
    </row>
    <row r="997" spans="3:7" x14ac:dyDescent="0.3">
      <c r="C997" s="40"/>
      <c r="E997" s="40"/>
      <c r="G997" s="40"/>
    </row>
    <row r="998" spans="3:7" x14ac:dyDescent="0.3">
      <c r="C998" s="40"/>
      <c r="E998" s="40"/>
      <c r="G998" s="40"/>
    </row>
    <row r="999" spans="3:7" x14ac:dyDescent="0.3">
      <c r="C999" s="40"/>
      <c r="E999" s="40"/>
      <c r="G999" s="40"/>
    </row>
    <row r="1000" spans="3:7" x14ac:dyDescent="0.3">
      <c r="C1000" s="40"/>
      <c r="E1000" s="40"/>
      <c r="G1000" s="40"/>
    </row>
    <row r="1001" spans="3:7" x14ac:dyDescent="0.3">
      <c r="C1001" s="40"/>
      <c r="E1001" s="40"/>
      <c r="G1001" s="40"/>
    </row>
    <row r="1002" spans="3:7" x14ac:dyDescent="0.3">
      <c r="C1002" s="40"/>
      <c r="E1002" s="40"/>
      <c r="G1002" s="40"/>
    </row>
    <row r="1003" spans="3:7" x14ac:dyDescent="0.3">
      <c r="C1003" s="40"/>
      <c r="E1003" s="40"/>
      <c r="G1003" s="40"/>
    </row>
    <row r="1004" spans="3:7" x14ac:dyDescent="0.3">
      <c r="C1004" s="40"/>
      <c r="E1004" s="40"/>
      <c r="G1004" s="40"/>
    </row>
    <row r="1005" spans="3:7" x14ac:dyDescent="0.3">
      <c r="C1005" s="40"/>
      <c r="E1005" s="40"/>
      <c r="G1005" s="40"/>
    </row>
    <row r="1006" spans="3:7" x14ac:dyDescent="0.3">
      <c r="C1006" s="40"/>
      <c r="E1006" s="40"/>
      <c r="G1006" s="40"/>
    </row>
    <row r="1007" spans="3:7" x14ac:dyDescent="0.3">
      <c r="C1007" s="40"/>
      <c r="E1007" s="40"/>
      <c r="G1007" s="40"/>
    </row>
    <row r="1008" spans="3:7" x14ac:dyDescent="0.3">
      <c r="C1008" s="40"/>
      <c r="E1008" s="40"/>
      <c r="G1008" s="40"/>
    </row>
    <row r="1009" spans="3:7" x14ac:dyDescent="0.3">
      <c r="C1009" s="40"/>
      <c r="E1009" s="40"/>
      <c r="G1009" s="40"/>
    </row>
    <row r="1010" spans="3:7" x14ac:dyDescent="0.3">
      <c r="C1010" s="40"/>
      <c r="E1010" s="40"/>
      <c r="G1010" s="40"/>
    </row>
    <row r="1011" spans="3:7" x14ac:dyDescent="0.3">
      <c r="C1011" s="40"/>
      <c r="E1011" s="40"/>
      <c r="G1011" s="40"/>
    </row>
    <row r="1012" spans="3:7" x14ac:dyDescent="0.3">
      <c r="C1012" s="40"/>
      <c r="E1012" s="40"/>
      <c r="G1012" s="40"/>
    </row>
    <row r="1013" spans="3:7" x14ac:dyDescent="0.3">
      <c r="C1013" s="40"/>
      <c r="E1013" s="40"/>
      <c r="G1013" s="40"/>
    </row>
    <row r="1014" spans="3:7" x14ac:dyDescent="0.3">
      <c r="C1014" s="40"/>
      <c r="E1014" s="40"/>
      <c r="G1014" s="40"/>
    </row>
    <row r="1015" spans="3:7" x14ac:dyDescent="0.3">
      <c r="C1015" s="40"/>
      <c r="E1015" s="40"/>
      <c r="G1015" s="40"/>
    </row>
    <row r="1016" spans="3:7" x14ac:dyDescent="0.3">
      <c r="C1016" s="40"/>
      <c r="E1016" s="40"/>
      <c r="G1016" s="40"/>
    </row>
    <row r="1017" spans="3:7" x14ac:dyDescent="0.3">
      <c r="C1017" s="40"/>
      <c r="E1017" s="40"/>
      <c r="G1017" s="40"/>
    </row>
    <row r="1018" spans="3:7" x14ac:dyDescent="0.3">
      <c r="C1018" s="40"/>
      <c r="E1018" s="40"/>
      <c r="G1018" s="40"/>
    </row>
    <row r="1019" spans="3:7" x14ac:dyDescent="0.3">
      <c r="C1019" s="40"/>
      <c r="E1019" s="40"/>
      <c r="G1019" s="40"/>
    </row>
    <row r="1020" spans="3:7" x14ac:dyDescent="0.3">
      <c r="C1020" s="40"/>
      <c r="E1020" s="40"/>
      <c r="G1020" s="40"/>
    </row>
    <row r="1021" spans="3:7" x14ac:dyDescent="0.3">
      <c r="C1021" s="40"/>
      <c r="E1021" s="40"/>
      <c r="G1021" s="40"/>
    </row>
    <row r="1022" spans="3:7" x14ac:dyDescent="0.3">
      <c r="C1022" s="40"/>
      <c r="E1022" s="40"/>
      <c r="G1022" s="40"/>
    </row>
    <row r="1023" spans="3:7" x14ac:dyDescent="0.3">
      <c r="C1023" s="40"/>
      <c r="E1023" s="40"/>
      <c r="G1023" s="40"/>
    </row>
    <row r="1024" spans="3:7" x14ac:dyDescent="0.3">
      <c r="C1024" s="40"/>
      <c r="E1024" s="40"/>
      <c r="G1024" s="40"/>
    </row>
    <row r="1025" spans="3:7" x14ac:dyDescent="0.3">
      <c r="C1025" s="40"/>
      <c r="E1025" s="40"/>
      <c r="G1025" s="40"/>
    </row>
    <row r="1026" spans="3:7" x14ac:dyDescent="0.3">
      <c r="C1026" s="40"/>
      <c r="E1026" s="40"/>
      <c r="G1026" s="40"/>
    </row>
    <row r="1027" spans="3:7" x14ac:dyDescent="0.3">
      <c r="C1027" s="40"/>
      <c r="E1027" s="40"/>
      <c r="G1027" s="40"/>
    </row>
    <row r="1028" spans="3:7" x14ac:dyDescent="0.3">
      <c r="C1028" s="40"/>
      <c r="E1028" s="40"/>
      <c r="G1028" s="40"/>
    </row>
    <row r="1029" spans="3:7" x14ac:dyDescent="0.3">
      <c r="C1029" s="40"/>
      <c r="E1029" s="40"/>
      <c r="G1029" s="40"/>
    </row>
    <row r="1030" spans="3:7" x14ac:dyDescent="0.3">
      <c r="C1030" s="40"/>
      <c r="E1030" s="40"/>
      <c r="G1030" s="40"/>
    </row>
    <row r="1031" spans="3:7" x14ac:dyDescent="0.3">
      <c r="C1031" s="40"/>
      <c r="E1031" s="40"/>
      <c r="G1031" s="40"/>
    </row>
    <row r="1032" spans="3:7" x14ac:dyDescent="0.3">
      <c r="C1032" s="40"/>
      <c r="E1032" s="40"/>
      <c r="G1032" s="40"/>
    </row>
    <row r="1033" spans="3:7" x14ac:dyDescent="0.3">
      <c r="C1033" s="40"/>
      <c r="E1033" s="40"/>
      <c r="G1033" s="40"/>
    </row>
    <row r="1034" spans="3:7" x14ac:dyDescent="0.3">
      <c r="C1034" s="40"/>
      <c r="E1034" s="40"/>
      <c r="G1034" s="40"/>
    </row>
    <row r="1035" spans="3:7" x14ac:dyDescent="0.3">
      <c r="C1035" s="40"/>
      <c r="E1035" s="40"/>
      <c r="G1035" s="40"/>
    </row>
    <row r="1036" spans="3:7" x14ac:dyDescent="0.3">
      <c r="C1036" s="40"/>
      <c r="E1036" s="40"/>
      <c r="G1036" s="40"/>
    </row>
    <row r="1037" spans="3:7" x14ac:dyDescent="0.3">
      <c r="C1037" s="40"/>
      <c r="E1037" s="40"/>
      <c r="G1037" s="40"/>
    </row>
    <row r="1038" spans="3:7" x14ac:dyDescent="0.3">
      <c r="C1038" s="40"/>
      <c r="E1038" s="40"/>
      <c r="G1038" s="40"/>
    </row>
    <row r="1039" spans="3:7" x14ac:dyDescent="0.3">
      <c r="C1039" s="40"/>
      <c r="E1039" s="40"/>
      <c r="G1039" s="40"/>
    </row>
    <row r="1040" spans="3:7" x14ac:dyDescent="0.3">
      <c r="C1040" s="40"/>
      <c r="E1040" s="40"/>
      <c r="G1040" s="40"/>
    </row>
    <row r="1041" spans="3:7" x14ac:dyDescent="0.3">
      <c r="C1041" s="40"/>
      <c r="E1041" s="40"/>
      <c r="G1041" s="40"/>
    </row>
    <row r="1042" spans="3:7" x14ac:dyDescent="0.3">
      <c r="C1042" s="40"/>
      <c r="E1042" s="40"/>
      <c r="G1042" s="40"/>
    </row>
    <row r="1043" spans="3:7" x14ac:dyDescent="0.3">
      <c r="C1043" s="40"/>
      <c r="E1043" s="40"/>
      <c r="G1043" s="40"/>
    </row>
    <row r="1044" spans="3:7" x14ac:dyDescent="0.3">
      <c r="C1044" s="40"/>
      <c r="E1044" s="40"/>
      <c r="G1044" s="40"/>
    </row>
    <row r="1045" spans="3:7" x14ac:dyDescent="0.3">
      <c r="C1045" s="40"/>
      <c r="E1045" s="40"/>
      <c r="G1045" s="40"/>
    </row>
    <row r="1046" spans="3:7" x14ac:dyDescent="0.3">
      <c r="C1046" s="40"/>
      <c r="E1046" s="40"/>
      <c r="G1046" s="40"/>
    </row>
    <row r="1047" spans="3:7" x14ac:dyDescent="0.3">
      <c r="C1047" s="40"/>
      <c r="E1047" s="40"/>
      <c r="G1047" s="40"/>
    </row>
    <row r="1048" spans="3:7" x14ac:dyDescent="0.3">
      <c r="C1048" s="40"/>
      <c r="E1048" s="40"/>
      <c r="G1048" s="40"/>
    </row>
    <row r="1049" spans="3:7" x14ac:dyDescent="0.3">
      <c r="C1049" s="40"/>
      <c r="E1049" s="40"/>
      <c r="G1049" s="40"/>
    </row>
    <row r="1050" spans="3:7" x14ac:dyDescent="0.3">
      <c r="C1050" s="40"/>
      <c r="E1050" s="40"/>
      <c r="G1050" s="40"/>
    </row>
    <row r="1051" spans="3:7" x14ac:dyDescent="0.3">
      <c r="C1051" s="40"/>
      <c r="E1051" s="40"/>
      <c r="G1051" s="40"/>
    </row>
    <row r="1052" spans="3:7" x14ac:dyDescent="0.3">
      <c r="C1052" s="40"/>
      <c r="E1052" s="40"/>
      <c r="G1052" s="40"/>
    </row>
    <row r="1053" spans="3:7" x14ac:dyDescent="0.3">
      <c r="C1053" s="40"/>
      <c r="E1053" s="40"/>
      <c r="G1053" s="40"/>
    </row>
    <row r="1054" spans="3:7" x14ac:dyDescent="0.3">
      <c r="C1054" s="40"/>
      <c r="E1054" s="40"/>
      <c r="G1054" s="40"/>
    </row>
    <row r="1055" spans="3:7" x14ac:dyDescent="0.3">
      <c r="C1055" s="40"/>
      <c r="E1055" s="40"/>
      <c r="G1055" s="40"/>
    </row>
    <row r="1056" spans="3:7" x14ac:dyDescent="0.3">
      <c r="C1056" s="40"/>
      <c r="E1056" s="40"/>
      <c r="G1056" s="40"/>
    </row>
    <row r="1057" spans="3:7" x14ac:dyDescent="0.3">
      <c r="C1057" s="40"/>
      <c r="E1057" s="40"/>
      <c r="G1057" s="40"/>
    </row>
    <row r="1058" spans="3:7" x14ac:dyDescent="0.3">
      <c r="C1058" s="40"/>
      <c r="E1058" s="40"/>
      <c r="G1058" s="40"/>
    </row>
    <row r="1059" spans="3:7" x14ac:dyDescent="0.3">
      <c r="C1059" s="40"/>
      <c r="E1059" s="40"/>
      <c r="G1059" s="40"/>
    </row>
    <row r="1060" spans="3:7" x14ac:dyDescent="0.3">
      <c r="C1060" s="40"/>
      <c r="E1060" s="40"/>
      <c r="G1060" s="40"/>
    </row>
    <row r="1061" spans="3:7" x14ac:dyDescent="0.3">
      <c r="C1061" s="40"/>
      <c r="E1061" s="40"/>
      <c r="G1061" s="40"/>
    </row>
    <row r="1062" spans="3:7" x14ac:dyDescent="0.3">
      <c r="C1062" s="40"/>
      <c r="E1062" s="40"/>
      <c r="G1062" s="40"/>
    </row>
    <row r="1063" spans="3:7" x14ac:dyDescent="0.3">
      <c r="C1063" s="40"/>
      <c r="E1063" s="40"/>
      <c r="G1063" s="40"/>
    </row>
    <row r="1064" spans="3:7" x14ac:dyDescent="0.3">
      <c r="C1064" s="40"/>
      <c r="E1064" s="40"/>
      <c r="G1064" s="40"/>
    </row>
    <row r="1065" spans="3:7" x14ac:dyDescent="0.3">
      <c r="C1065" s="40"/>
      <c r="E1065" s="40"/>
      <c r="G1065" s="40"/>
    </row>
    <row r="1066" spans="3:7" x14ac:dyDescent="0.3">
      <c r="C1066" s="40"/>
      <c r="E1066" s="40"/>
      <c r="G1066" s="40"/>
    </row>
    <row r="1067" spans="3:7" x14ac:dyDescent="0.3">
      <c r="C1067" s="40"/>
      <c r="E1067" s="40"/>
      <c r="G1067" s="40"/>
    </row>
    <row r="1068" spans="3:7" x14ac:dyDescent="0.3">
      <c r="C1068" s="40"/>
      <c r="E1068" s="40"/>
      <c r="G1068" s="40"/>
    </row>
    <row r="1069" spans="3:7" x14ac:dyDescent="0.3">
      <c r="C1069" s="40"/>
      <c r="E1069" s="40"/>
      <c r="G1069" s="40"/>
    </row>
    <row r="1070" spans="3:7" x14ac:dyDescent="0.3">
      <c r="C1070" s="40"/>
      <c r="E1070" s="40"/>
      <c r="G1070" s="40"/>
    </row>
    <row r="1071" spans="3:7" x14ac:dyDescent="0.3">
      <c r="C1071" s="40"/>
      <c r="E1071" s="40"/>
      <c r="G1071" s="40"/>
    </row>
    <row r="1072" spans="3:7" x14ac:dyDescent="0.3">
      <c r="C1072" s="40"/>
      <c r="E1072" s="40"/>
      <c r="G1072" s="40"/>
    </row>
    <row r="1073" spans="3:7" x14ac:dyDescent="0.3">
      <c r="C1073" s="40"/>
      <c r="E1073" s="40"/>
      <c r="G1073" s="40"/>
    </row>
    <row r="1074" spans="3:7" x14ac:dyDescent="0.3">
      <c r="C1074" s="40"/>
      <c r="E1074" s="40"/>
      <c r="G1074" s="40"/>
    </row>
    <row r="1075" spans="3:7" x14ac:dyDescent="0.3">
      <c r="C1075" s="40"/>
      <c r="E1075" s="40"/>
      <c r="G1075" s="40"/>
    </row>
    <row r="1076" spans="3:7" x14ac:dyDescent="0.3">
      <c r="C1076" s="40"/>
      <c r="E1076" s="40"/>
      <c r="G1076" s="40"/>
    </row>
    <row r="1077" spans="3:7" x14ac:dyDescent="0.3">
      <c r="C1077" s="40"/>
      <c r="E1077" s="40"/>
      <c r="G1077" s="40"/>
    </row>
    <row r="1078" spans="3:7" x14ac:dyDescent="0.3">
      <c r="C1078" s="40"/>
      <c r="E1078" s="40"/>
      <c r="G1078" s="40"/>
    </row>
    <row r="1079" spans="3:7" x14ac:dyDescent="0.3">
      <c r="C1079" s="40"/>
      <c r="E1079" s="40"/>
      <c r="G1079" s="40"/>
    </row>
    <row r="1080" spans="3:7" x14ac:dyDescent="0.3">
      <c r="C1080" s="40"/>
      <c r="E1080" s="40"/>
      <c r="G1080" s="40"/>
    </row>
    <row r="1081" spans="3:7" x14ac:dyDescent="0.3">
      <c r="C1081" s="40"/>
      <c r="E1081" s="40"/>
      <c r="G1081" s="40"/>
    </row>
    <row r="1082" spans="3:7" x14ac:dyDescent="0.3">
      <c r="C1082" s="40"/>
      <c r="E1082" s="40"/>
      <c r="G1082" s="40"/>
    </row>
    <row r="1083" spans="3:7" x14ac:dyDescent="0.3">
      <c r="C1083" s="40"/>
      <c r="E1083" s="40"/>
      <c r="G1083" s="40"/>
    </row>
    <row r="1084" spans="3:7" x14ac:dyDescent="0.3">
      <c r="C1084" s="40"/>
      <c r="E1084" s="40"/>
      <c r="G1084" s="40"/>
    </row>
    <row r="1085" spans="3:7" x14ac:dyDescent="0.3">
      <c r="C1085" s="40"/>
      <c r="E1085" s="40"/>
      <c r="G1085" s="40"/>
    </row>
    <row r="1086" spans="3:7" x14ac:dyDescent="0.3">
      <c r="C1086" s="40"/>
      <c r="E1086" s="40"/>
      <c r="G1086" s="40"/>
    </row>
    <row r="1087" spans="3:7" x14ac:dyDescent="0.3">
      <c r="C1087" s="40"/>
      <c r="E1087" s="40"/>
      <c r="G1087" s="40"/>
    </row>
    <row r="1088" spans="3:7" x14ac:dyDescent="0.3">
      <c r="C1088" s="40"/>
      <c r="E1088" s="40"/>
      <c r="G1088" s="40"/>
    </row>
    <row r="1089" spans="3:7" x14ac:dyDescent="0.3">
      <c r="C1089" s="40"/>
      <c r="E1089" s="40"/>
      <c r="G1089" s="40"/>
    </row>
    <row r="1090" spans="3:7" x14ac:dyDescent="0.3">
      <c r="C1090" s="40"/>
      <c r="E1090" s="40"/>
      <c r="G1090" s="40"/>
    </row>
    <row r="1091" spans="3:7" x14ac:dyDescent="0.3">
      <c r="C1091" s="40"/>
      <c r="E1091" s="40"/>
      <c r="G1091" s="40"/>
    </row>
    <row r="1092" spans="3:7" x14ac:dyDescent="0.3">
      <c r="C1092" s="40"/>
      <c r="E1092" s="40"/>
      <c r="G1092" s="40"/>
    </row>
    <row r="1093" spans="3:7" x14ac:dyDescent="0.3">
      <c r="C1093" s="40"/>
      <c r="E1093" s="40"/>
      <c r="G1093" s="40"/>
    </row>
    <row r="1094" spans="3:7" x14ac:dyDescent="0.3">
      <c r="C1094" s="40"/>
      <c r="E1094" s="40"/>
      <c r="G1094" s="40"/>
    </row>
    <row r="1095" spans="3:7" x14ac:dyDescent="0.3">
      <c r="C1095" s="40"/>
      <c r="E1095" s="40"/>
      <c r="G1095" s="40"/>
    </row>
    <row r="1096" spans="3:7" x14ac:dyDescent="0.3">
      <c r="C1096" s="40"/>
      <c r="E1096" s="40"/>
      <c r="G1096" s="40"/>
    </row>
    <row r="1097" spans="3:7" x14ac:dyDescent="0.3">
      <c r="C1097" s="40"/>
      <c r="E1097" s="40"/>
      <c r="G1097" s="40"/>
    </row>
    <row r="1098" spans="3:7" x14ac:dyDescent="0.3">
      <c r="C1098" s="40"/>
      <c r="E1098" s="40"/>
      <c r="G1098" s="40"/>
    </row>
    <row r="1099" spans="3:7" x14ac:dyDescent="0.3">
      <c r="C1099" s="40"/>
      <c r="E1099" s="40"/>
      <c r="G1099" s="40"/>
    </row>
    <row r="1100" spans="3:7" x14ac:dyDescent="0.3">
      <c r="C1100" s="40"/>
      <c r="E1100" s="40"/>
      <c r="G1100" s="40"/>
    </row>
    <row r="1101" spans="3:7" x14ac:dyDescent="0.3">
      <c r="C1101" s="40"/>
      <c r="E1101" s="40"/>
      <c r="G1101" s="40"/>
    </row>
    <row r="1102" spans="3:7" x14ac:dyDescent="0.3">
      <c r="C1102" s="40"/>
      <c r="E1102" s="40"/>
      <c r="G1102" s="40"/>
    </row>
    <row r="1103" spans="3:7" x14ac:dyDescent="0.3">
      <c r="C1103" s="40"/>
      <c r="E1103" s="40"/>
      <c r="G1103" s="40"/>
    </row>
    <row r="1104" spans="3:7" x14ac:dyDescent="0.3">
      <c r="C1104" s="40"/>
      <c r="E1104" s="40"/>
      <c r="G1104" s="40"/>
    </row>
    <row r="1105" spans="3:7" x14ac:dyDescent="0.3">
      <c r="C1105" s="40"/>
      <c r="E1105" s="40"/>
      <c r="G1105" s="40"/>
    </row>
    <row r="1106" spans="3:7" x14ac:dyDescent="0.3">
      <c r="C1106" s="40"/>
      <c r="E1106" s="40"/>
      <c r="G1106" s="40"/>
    </row>
    <row r="1107" spans="3:7" x14ac:dyDescent="0.3">
      <c r="C1107" s="40"/>
      <c r="E1107" s="40"/>
      <c r="G1107" s="40"/>
    </row>
    <row r="1108" spans="3:7" x14ac:dyDescent="0.3">
      <c r="C1108" s="40"/>
      <c r="E1108" s="40"/>
      <c r="G1108" s="40"/>
    </row>
    <row r="1109" spans="3:7" x14ac:dyDescent="0.3">
      <c r="C1109" s="40"/>
      <c r="E1109" s="40"/>
      <c r="G1109" s="40"/>
    </row>
    <row r="1110" spans="3:7" x14ac:dyDescent="0.3">
      <c r="C1110" s="40"/>
      <c r="E1110" s="40"/>
      <c r="G1110" s="40"/>
    </row>
    <row r="1111" spans="3:7" x14ac:dyDescent="0.3">
      <c r="C1111" s="40"/>
      <c r="E1111" s="40"/>
      <c r="G1111" s="40"/>
    </row>
    <row r="1112" spans="3:7" x14ac:dyDescent="0.3">
      <c r="C1112" s="40"/>
      <c r="E1112" s="40"/>
      <c r="G1112" s="40"/>
    </row>
    <row r="1113" spans="3:7" x14ac:dyDescent="0.3">
      <c r="C1113" s="40"/>
      <c r="E1113" s="40"/>
      <c r="G1113" s="40"/>
    </row>
    <row r="1114" spans="3:7" x14ac:dyDescent="0.3">
      <c r="C1114" s="40"/>
      <c r="E1114" s="40"/>
      <c r="G1114" s="40"/>
    </row>
    <row r="1115" spans="3:7" x14ac:dyDescent="0.3">
      <c r="C1115" s="40"/>
      <c r="E1115" s="40"/>
      <c r="G1115" s="40"/>
    </row>
    <row r="1116" spans="3:7" x14ac:dyDescent="0.3">
      <c r="C1116" s="40"/>
      <c r="E1116" s="40"/>
      <c r="G1116" s="40"/>
    </row>
    <row r="1117" spans="3:7" x14ac:dyDescent="0.3">
      <c r="C1117" s="40"/>
      <c r="E1117" s="40"/>
      <c r="G1117" s="40"/>
    </row>
    <row r="1118" spans="3:7" x14ac:dyDescent="0.3">
      <c r="C1118" s="40"/>
      <c r="E1118" s="40"/>
      <c r="G1118" s="40"/>
    </row>
    <row r="1119" spans="3:7" x14ac:dyDescent="0.3">
      <c r="C1119" s="40"/>
      <c r="E1119" s="40"/>
      <c r="G1119" s="40"/>
    </row>
    <row r="1120" spans="3:7" x14ac:dyDescent="0.3">
      <c r="C1120" s="40"/>
      <c r="E1120" s="40"/>
      <c r="G1120" s="40"/>
    </row>
    <row r="1121" spans="3:7" x14ac:dyDescent="0.3">
      <c r="C1121" s="40"/>
      <c r="E1121" s="40"/>
      <c r="G1121" s="40"/>
    </row>
    <row r="1122" spans="3:7" x14ac:dyDescent="0.3">
      <c r="C1122" s="40"/>
      <c r="E1122" s="40"/>
      <c r="G1122" s="40"/>
    </row>
    <row r="1123" spans="3:7" x14ac:dyDescent="0.3">
      <c r="C1123" s="40"/>
      <c r="E1123" s="40"/>
      <c r="G1123" s="40"/>
    </row>
    <row r="1124" spans="3:7" x14ac:dyDescent="0.3">
      <c r="C1124" s="40"/>
      <c r="E1124" s="40"/>
      <c r="G1124" s="40"/>
    </row>
    <row r="1125" spans="3:7" x14ac:dyDescent="0.3">
      <c r="C1125" s="40"/>
      <c r="E1125" s="40"/>
      <c r="G1125" s="40"/>
    </row>
    <row r="1126" spans="3:7" x14ac:dyDescent="0.3">
      <c r="C1126" s="40"/>
      <c r="E1126" s="40"/>
      <c r="G1126" s="40"/>
    </row>
    <row r="1127" spans="3:7" x14ac:dyDescent="0.3">
      <c r="C1127" s="40"/>
      <c r="E1127" s="40"/>
      <c r="G1127" s="40"/>
    </row>
    <row r="1128" spans="3:7" x14ac:dyDescent="0.3">
      <c r="C1128" s="40"/>
      <c r="E1128" s="40"/>
      <c r="G1128" s="40"/>
    </row>
    <row r="1129" spans="3:7" x14ac:dyDescent="0.3">
      <c r="C1129" s="40"/>
      <c r="E1129" s="40"/>
      <c r="G1129" s="40"/>
    </row>
    <row r="1130" spans="3:7" x14ac:dyDescent="0.3">
      <c r="C1130" s="40"/>
      <c r="E1130" s="40"/>
      <c r="G1130" s="40"/>
    </row>
    <row r="1131" spans="3:7" x14ac:dyDescent="0.3">
      <c r="C1131" s="40"/>
      <c r="E1131" s="40"/>
      <c r="G1131" s="40"/>
    </row>
    <row r="1132" spans="3:7" x14ac:dyDescent="0.3">
      <c r="C1132" s="40"/>
      <c r="E1132" s="40"/>
      <c r="G1132" s="40"/>
    </row>
    <row r="1133" spans="3:7" x14ac:dyDescent="0.3">
      <c r="C1133" s="40"/>
      <c r="E1133" s="40"/>
      <c r="G1133" s="40"/>
    </row>
    <row r="1134" spans="3:7" x14ac:dyDescent="0.3">
      <c r="C1134" s="40"/>
      <c r="E1134" s="40"/>
      <c r="G1134" s="40"/>
    </row>
    <row r="1135" spans="3:7" x14ac:dyDescent="0.3">
      <c r="C1135" s="40"/>
      <c r="E1135" s="40"/>
      <c r="G1135" s="40"/>
    </row>
    <row r="1136" spans="3:7" x14ac:dyDescent="0.3">
      <c r="C1136" s="40"/>
      <c r="E1136" s="40"/>
      <c r="G1136" s="40"/>
    </row>
    <row r="1137" spans="3:7" x14ac:dyDescent="0.3">
      <c r="C1137" s="40"/>
      <c r="E1137" s="40"/>
      <c r="G1137" s="40"/>
    </row>
    <row r="1138" spans="3:7" x14ac:dyDescent="0.3">
      <c r="C1138" s="40"/>
      <c r="E1138" s="40"/>
      <c r="G1138" s="40"/>
    </row>
    <row r="1139" spans="3:7" x14ac:dyDescent="0.3">
      <c r="C1139" s="40"/>
      <c r="E1139" s="40"/>
      <c r="G1139" s="40"/>
    </row>
    <row r="1140" spans="3:7" x14ac:dyDescent="0.3">
      <c r="C1140" s="40"/>
      <c r="E1140" s="40"/>
      <c r="G1140" s="40"/>
    </row>
    <row r="1141" spans="3:7" x14ac:dyDescent="0.3">
      <c r="C1141" s="40"/>
      <c r="E1141" s="40"/>
      <c r="G1141" s="40"/>
    </row>
    <row r="1142" spans="3:7" x14ac:dyDescent="0.3">
      <c r="C1142" s="40"/>
      <c r="E1142" s="40"/>
      <c r="G1142" s="40"/>
    </row>
    <row r="1143" spans="3:7" x14ac:dyDescent="0.3">
      <c r="C1143" s="40"/>
      <c r="E1143" s="40"/>
      <c r="G1143" s="40"/>
    </row>
    <row r="1144" spans="3:7" x14ac:dyDescent="0.3">
      <c r="C1144" s="40"/>
      <c r="E1144" s="40"/>
      <c r="G1144" s="40"/>
    </row>
    <row r="1145" spans="3:7" x14ac:dyDescent="0.3">
      <c r="C1145" s="40"/>
      <c r="E1145" s="40"/>
      <c r="G1145" s="40"/>
    </row>
    <row r="1146" spans="3:7" x14ac:dyDescent="0.3">
      <c r="C1146" s="40"/>
      <c r="E1146" s="40"/>
      <c r="G1146" s="40"/>
    </row>
    <row r="1147" spans="3:7" x14ac:dyDescent="0.3">
      <c r="C1147" s="40"/>
      <c r="E1147" s="40"/>
      <c r="G1147" s="40"/>
    </row>
    <row r="1148" spans="3:7" x14ac:dyDescent="0.3">
      <c r="C1148" s="40"/>
      <c r="E1148" s="40"/>
      <c r="G1148" s="40"/>
    </row>
    <row r="1149" spans="3:7" x14ac:dyDescent="0.3">
      <c r="C1149" s="40"/>
      <c r="E1149" s="40"/>
      <c r="G1149" s="40"/>
    </row>
    <row r="1150" spans="3:7" x14ac:dyDescent="0.3">
      <c r="C1150" s="40"/>
      <c r="E1150" s="40"/>
      <c r="G1150" s="40"/>
    </row>
    <row r="1151" spans="3:7" x14ac:dyDescent="0.3">
      <c r="C1151" s="40"/>
      <c r="E1151" s="40"/>
      <c r="G1151" s="40"/>
    </row>
    <row r="1152" spans="3:7" x14ac:dyDescent="0.3">
      <c r="C1152" s="40"/>
      <c r="E1152" s="40"/>
      <c r="G1152" s="40"/>
    </row>
    <row r="1153" spans="3:7" x14ac:dyDescent="0.3">
      <c r="C1153" s="40"/>
      <c r="E1153" s="40"/>
      <c r="G1153" s="40"/>
    </row>
    <row r="1154" spans="3:7" x14ac:dyDescent="0.3">
      <c r="C1154" s="40"/>
      <c r="E1154" s="40"/>
      <c r="G1154" s="40"/>
    </row>
    <row r="1155" spans="3:7" x14ac:dyDescent="0.3">
      <c r="C1155" s="40"/>
      <c r="E1155" s="40"/>
      <c r="G1155" s="40"/>
    </row>
    <row r="1156" spans="3:7" x14ac:dyDescent="0.3">
      <c r="C1156" s="40"/>
      <c r="E1156" s="40"/>
      <c r="G1156" s="40"/>
    </row>
    <row r="1157" spans="3:7" x14ac:dyDescent="0.3">
      <c r="C1157" s="40"/>
      <c r="E1157" s="40"/>
      <c r="G1157" s="40"/>
    </row>
    <row r="1158" spans="3:7" x14ac:dyDescent="0.3">
      <c r="C1158" s="40"/>
      <c r="E1158" s="40"/>
      <c r="G1158" s="40"/>
    </row>
    <row r="1159" spans="3:7" x14ac:dyDescent="0.3">
      <c r="C1159" s="40"/>
      <c r="E1159" s="40"/>
      <c r="G1159" s="40"/>
    </row>
    <row r="1160" spans="3:7" x14ac:dyDescent="0.3">
      <c r="C1160" s="40"/>
      <c r="E1160" s="40"/>
      <c r="G1160" s="40"/>
    </row>
    <row r="1161" spans="3:7" x14ac:dyDescent="0.3">
      <c r="C1161" s="40"/>
      <c r="E1161" s="40"/>
      <c r="G1161" s="40"/>
    </row>
    <row r="1162" spans="3:7" x14ac:dyDescent="0.3">
      <c r="C1162" s="40"/>
      <c r="E1162" s="40"/>
      <c r="G1162" s="40"/>
    </row>
    <row r="1163" spans="3:7" x14ac:dyDescent="0.3">
      <c r="C1163" s="40"/>
      <c r="E1163" s="40"/>
      <c r="G1163" s="40"/>
    </row>
    <row r="1164" spans="3:7" x14ac:dyDescent="0.3">
      <c r="C1164" s="40"/>
      <c r="E1164" s="40"/>
      <c r="G1164" s="40"/>
    </row>
    <row r="1165" spans="3:7" x14ac:dyDescent="0.3">
      <c r="C1165" s="40"/>
      <c r="E1165" s="40"/>
      <c r="G1165" s="40"/>
    </row>
    <row r="1166" spans="3:7" x14ac:dyDescent="0.3">
      <c r="C1166" s="40"/>
      <c r="E1166" s="40"/>
      <c r="G1166" s="40"/>
    </row>
    <row r="1167" spans="3:7" x14ac:dyDescent="0.3">
      <c r="C1167" s="40"/>
      <c r="E1167" s="40"/>
      <c r="G1167" s="40"/>
    </row>
    <row r="1168" spans="3:7" x14ac:dyDescent="0.3">
      <c r="C1168" s="40"/>
      <c r="E1168" s="40"/>
      <c r="G1168" s="40"/>
    </row>
    <row r="1169" spans="3:7" x14ac:dyDescent="0.3">
      <c r="C1169" s="40"/>
      <c r="E1169" s="40"/>
      <c r="G1169" s="40"/>
    </row>
    <row r="1170" spans="3:7" x14ac:dyDescent="0.3">
      <c r="C1170" s="40"/>
      <c r="E1170" s="40"/>
      <c r="G1170" s="40"/>
    </row>
    <row r="1171" spans="3:7" x14ac:dyDescent="0.3">
      <c r="C1171" s="40"/>
      <c r="E1171" s="40"/>
      <c r="G1171" s="40"/>
    </row>
    <row r="1172" spans="3:7" x14ac:dyDescent="0.3">
      <c r="C1172" s="40"/>
      <c r="E1172" s="40"/>
      <c r="G1172" s="40"/>
    </row>
    <row r="1173" spans="3:7" x14ac:dyDescent="0.3">
      <c r="C1173" s="40"/>
      <c r="E1173" s="40"/>
      <c r="G1173" s="40"/>
    </row>
    <row r="1174" spans="3:7" x14ac:dyDescent="0.3">
      <c r="C1174" s="40"/>
      <c r="E1174" s="40"/>
      <c r="G1174" s="40"/>
    </row>
    <row r="1175" spans="3:7" x14ac:dyDescent="0.3">
      <c r="C1175" s="40"/>
      <c r="E1175" s="40"/>
      <c r="G1175" s="40"/>
    </row>
    <row r="1176" spans="3:7" x14ac:dyDescent="0.3">
      <c r="C1176" s="40"/>
      <c r="E1176" s="40"/>
      <c r="G1176" s="40"/>
    </row>
    <row r="1177" spans="3:7" x14ac:dyDescent="0.3">
      <c r="C1177" s="40"/>
      <c r="E1177" s="40"/>
      <c r="G1177" s="40"/>
    </row>
    <row r="1178" spans="3:7" x14ac:dyDescent="0.3">
      <c r="C1178" s="40"/>
      <c r="E1178" s="40"/>
      <c r="G1178" s="40"/>
    </row>
    <row r="1179" spans="3:7" x14ac:dyDescent="0.3">
      <c r="C1179" s="40"/>
      <c r="E1179" s="40"/>
      <c r="G1179" s="40"/>
    </row>
    <row r="1180" spans="3:7" x14ac:dyDescent="0.3">
      <c r="C1180" s="40"/>
      <c r="E1180" s="40"/>
      <c r="G1180" s="40"/>
    </row>
    <row r="1181" spans="3:7" x14ac:dyDescent="0.3">
      <c r="C1181" s="40"/>
      <c r="E1181" s="40"/>
      <c r="G1181" s="40"/>
    </row>
    <row r="1182" spans="3:7" x14ac:dyDescent="0.3">
      <c r="C1182" s="40"/>
      <c r="E1182" s="40"/>
      <c r="G1182" s="40"/>
    </row>
    <row r="1183" spans="3:7" x14ac:dyDescent="0.3">
      <c r="C1183" s="40"/>
      <c r="E1183" s="40"/>
      <c r="G1183" s="40"/>
    </row>
    <row r="1184" spans="3:7" x14ac:dyDescent="0.3">
      <c r="C1184" s="40"/>
      <c r="E1184" s="40"/>
      <c r="G1184" s="40"/>
    </row>
    <row r="1185" spans="3:7" x14ac:dyDescent="0.3">
      <c r="C1185" s="40"/>
      <c r="E1185" s="40"/>
      <c r="G1185" s="40"/>
    </row>
    <row r="1186" spans="3:7" x14ac:dyDescent="0.3">
      <c r="C1186" s="40"/>
      <c r="E1186" s="40"/>
      <c r="G1186" s="40"/>
    </row>
    <row r="1187" spans="3:7" x14ac:dyDescent="0.3">
      <c r="C1187" s="40"/>
      <c r="E1187" s="40"/>
      <c r="G1187" s="40"/>
    </row>
    <row r="1188" spans="3:7" x14ac:dyDescent="0.3">
      <c r="C1188" s="40"/>
      <c r="E1188" s="40"/>
      <c r="G1188" s="40"/>
    </row>
    <row r="1189" spans="3:7" x14ac:dyDescent="0.3">
      <c r="C1189" s="40"/>
      <c r="E1189" s="40"/>
      <c r="G1189" s="40"/>
    </row>
    <row r="1190" spans="3:7" x14ac:dyDescent="0.3">
      <c r="C1190" s="40"/>
      <c r="E1190" s="40"/>
      <c r="G1190" s="40"/>
    </row>
    <row r="1191" spans="3:7" x14ac:dyDescent="0.3">
      <c r="C1191" s="40"/>
      <c r="E1191" s="40"/>
      <c r="G1191" s="40"/>
    </row>
    <row r="1192" spans="3:7" x14ac:dyDescent="0.3">
      <c r="C1192" s="40"/>
      <c r="E1192" s="40"/>
      <c r="G1192" s="40"/>
    </row>
    <row r="1193" spans="3:7" x14ac:dyDescent="0.3">
      <c r="C1193" s="40"/>
      <c r="E1193" s="40"/>
      <c r="G1193" s="40"/>
    </row>
    <row r="1194" spans="3:7" x14ac:dyDescent="0.3">
      <c r="C1194" s="40"/>
      <c r="E1194" s="40"/>
      <c r="G1194" s="40"/>
    </row>
    <row r="1195" spans="3:7" x14ac:dyDescent="0.3">
      <c r="C1195" s="40"/>
      <c r="E1195" s="40"/>
      <c r="G1195" s="40"/>
    </row>
    <row r="1196" spans="3:7" x14ac:dyDescent="0.3">
      <c r="C1196" s="40"/>
      <c r="E1196" s="40"/>
      <c r="G1196" s="40"/>
    </row>
    <row r="1197" spans="3:7" x14ac:dyDescent="0.3">
      <c r="C1197" s="40"/>
      <c r="E1197" s="40"/>
      <c r="G1197" s="40"/>
    </row>
    <row r="1198" spans="3:7" x14ac:dyDescent="0.3">
      <c r="C1198" s="40"/>
      <c r="E1198" s="40"/>
      <c r="G1198" s="40"/>
    </row>
    <row r="1199" spans="3:7" x14ac:dyDescent="0.3">
      <c r="C1199" s="40"/>
      <c r="E1199" s="40"/>
      <c r="G1199" s="40"/>
    </row>
    <row r="1200" spans="3:7" x14ac:dyDescent="0.3">
      <c r="C1200" s="40"/>
      <c r="E1200" s="40"/>
      <c r="G1200" s="40"/>
    </row>
    <row r="1201" spans="3:7" x14ac:dyDescent="0.3">
      <c r="C1201" s="40"/>
      <c r="E1201" s="40"/>
      <c r="G1201" s="40"/>
    </row>
    <row r="1202" spans="3:7" x14ac:dyDescent="0.3">
      <c r="C1202" s="40"/>
      <c r="E1202" s="40"/>
      <c r="G1202" s="40"/>
    </row>
    <row r="1203" spans="3:7" x14ac:dyDescent="0.3">
      <c r="C1203" s="40"/>
      <c r="E1203" s="40"/>
      <c r="G1203" s="40"/>
    </row>
    <row r="1204" spans="3:7" x14ac:dyDescent="0.3">
      <c r="C1204" s="40"/>
      <c r="E1204" s="40"/>
      <c r="G1204" s="40"/>
    </row>
    <row r="1205" spans="3:7" x14ac:dyDescent="0.3">
      <c r="C1205" s="40"/>
      <c r="E1205" s="40"/>
      <c r="G1205" s="40"/>
    </row>
    <row r="1206" spans="3:7" x14ac:dyDescent="0.3">
      <c r="C1206" s="40"/>
      <c r="E1206" s="40"/>
      <c r="G1206" s="40"/>
    </row>
    <row r="1207" spans="3:7" x14ac:dyDescent="0.3">
      <c r="C1207" s="40"/>
      <c r="E1207" s="40"/>
      <c r="G1207" s="40"/>
    </row>
    <row r="1208" spans="3:7" x14ac:dyDescent="0.3">
      <c r="C1208" s="40"/>
      <c r="E1208" s="40"/>
      <c r="G1208" s="40"/>
    </row>
    <row r="1209" spans="3:7" x14ac:dyDescent="0.3">
      <c r="C1209" s="40"/>
      <c r="E1209" s="40"/>
      <c r="G1209" s="40"/>
    </row>
    <row r="1210" spans="3:7" x14ac:dyDescent="0.3">
      <c r="C1210" s="40"/>
      <c r="E1210" s="40"/>
      <c r="G1210" s="40"/>
    </row>
    <row r="1211" spans="3:7" x14ac:dyDescent="0.3">
      <c r="C1211" s="40"/>
      <c r="E1211" s="40"/>
      <c r="G1211" s="40"/>
    </row>
    <row r="1212" spans="3:7" x14ac:dyDescent="0.3">
      <c r="C1212" s="40"/>
      <c r="E1212" s="40"/>
      <c r="G1212" s="40"/>
    </row>
    <row r="1213" spans="3:7" x14ac:dyDescent="0.3">
      <c r="C1213" s="40"/>
      <c r="E1213" s="40"/>
      <c r="G1213" s="40"/>
    </row>
    <row r="1214" spans="3:7" x14ac:dyDescent="0.3">
      <c r="C1214" s="40"/>
      <c r="E1214" s="40"/>
      <c r="G1214" s="40"/>
    </row>
    <row r="1215" spans="3:7" x14ac:dyDescent="0.3">
      <c r="C1215" s="40"/>
      <c r="E1215" s="40"/>
      <c r="G1215" s="40"/>
    </row>
    <row r="1216" spans="3:7" x14ac:dyDescent="0.3">
      <c r="C1216" s="40"/>
      <c r="E1216" s="40"/>
      <c r="G1216" s="40"/>
    </row>
    <row r="1217" spans="3:7" x14ac:dyDescent="0.3">
      <c r="C1217" s="40"/>
      <c r="E1217" s="40"/>
      <c r="G1217" s="40"/>
    </row>
    <row r="1218" spans="3:7" x14ac:dyDescent="0.3">
      <c r="C1218" s="40"/>
      <c r="E1218" s="40"/>
      <c r="G1218" s="40"/>
    </row>
    <row r="1219" spans="3:7" x14ac:dyDescent="0.3">
      <c r="C1219" s="40"/>
      <c r="E1219" s="40"/>
      <c r="G1219" s="40"/>
    </row>
    <row r="1220" spans="3:7" x14ac:dyDescent="0.3">
      <c r="C1220" s="40"/>
      <c r="E1220" s="40"/>
      <c r="G1220" s="40"/>
    </row>
    <row r="1221" spans="3:7" x14ac:dyDescent="0.3">
      <c r="C1221" s="40"/>
      <c r="E1221" s="40"/>
      <c r="G1221" s="40"/>
    </row>
    <row r="1222" spans="3:7" x14ac:dyDescent="0.3">
      <c r="C1222" s="40"/>
      <c r="E1222" s="40"/>
      <c r="G1222" s="40"/>
    </row>
    <row r="1223" spans="3:7" x14ac:dyDescent="0.3">
      <c r="C1223" s="40"/>
      <c r="E1223" s="40"/>
      <c r="G1223" s="40"/>
    </row>
    <row r="1224" spans="3:7" x14ac:dyDescent="0.3">
      <c r="C1224" s="40"/>
      <c r="E1224" s="40"/>
      <c r="G1224" s="40"/>
    </row>
    <row r="1225" spans="3:7" x14ac:dyDescent="0.3">
      <c r="C1225" s="40"/>
      <c r="E1225" s="40"/>
      <c r="G1225" s="40"/>
    </row>
    <row r="1226" spans="3:7" x14ac:dyDescent="0.3">
      <c r="C1226" s="40"/>
      <c r="E1226" s="40"/>
      <c r="G1226" s="40"/>
    </row>
    <row r="1227" spans="3:7" x14ac:dyDescent="0.3">
      <c r="C1227" s="40"/>
      <c r="E1227" s="40"/>
      <c r="G1227" s="40"/>
    </row>
    <row r="1228" spans="3:7" x14ac:dyDescent="0.3">
      <c r="C1228" s="40"/>
      <c r="E1228" s="40"/>
      <c r="G1228" s="40"/>
    </row>
    <row r="1229" spans="3:7" x14ac:dyDescent="0.3">
      <c r="C1229" s="40"/>
      <c r="E1229" s="40"/>
      <c r="G1229" s="40"/>
    </row>
    <row r="1230" spans="3:7" x14ac:dyDescent="0.3">
      <c r="C1230" s="40"/>
      <c r="E1230" s="40"/>
      <c r="G1230" s="40"/>
    </row>
    <row r="1231" spans="3:7" x14ac:dyDescent="0.3">
      <c r="C1231" s="40"/>
      <c r="E1231" s="40"/>
      <c r="G1231" s="40"/>
    </row>
    <row r="1232" spans="3:7" x14ac:dyDescent="0.3">
      <c r="C1232" s="40"/>
      <c r="E1232" s="40"/>
      <c r="G1232" s="40"/>
    </row>
    <row r="1233" spans="3:7" x14ac:dyDescent="0.3">
      <c r="C1233" s="40"/>
      <c r="E1233" s="40"/>
      <c r="G1233" s="40"/>
    </row>
    <row r="1234" spans="3:7" x14ac:dyDescent="0.3">
      <c r="C1234" s="40"/>
      <c r="E1234" s="40"/>
      <c r="G1234" s="40"/>
    </row>
    <row r="1235" spans="3:7" x14ac:dyDescent="0.3">
      <c r="C1235" s="40"/>
      <c r="E1235" s="40"/>
      <c r="G1235" s="40"/>
    </row>
    <row r="1236" spans="3:7" x14ac:dyDescent="0.3">
      <c r="C1236" s="40"/>
      <c r="E1236" s="40"/>
      <c r="G1236" s="40"/>
    </row>
    <row r="1237" spans="3:7" x14ac:dyDescent="0.3">
      <c r="C1237" s="40"/>
      <c r="E1237" s="40"/>
      <c r="G1237" s="40"/>
    </row>
    <row r="1238" spans="3:7" x14ac:dyDescent="0.3">
      <c r="C1238" s="40"/>
      <c r="E1238" s="40"/>
      <c r="G1238" s="40"/>
    </row>
    <row r="1239" spans="3:7" x14ac:dyDescent="0.3">
      <c r="C1239" s="40"/>
      <c r="E1239" s="40"/>
      <c r="G1239" s="40"/>
    </row>
    <row r="1240" spans="3:7" x14ac:dyDescent="0.3">
      <c r="C1240" s="40"/>
      <c r="E1240" s="40"/>
      <c r="G1240" s="40"/>
    </row>
    <row r="1241" spans="3:7" x14ac:dyDescent="0.3">
      <c r="C1241" s="40"/>
      <c r="E1241" s="40"/>
      <c r="G1241" s="40"/>
    </row>
    <row r="1242" spans="3:7" x14ac:dyDescent="0.3">
      <c r="C1242" s="40"/>
      <c r="E1242" s="40"/>
      <c r="G1242" s="40"/>
    </row>
    <row r="1243" spans="3:7" x14ac:dyDescent="0.3">
      <c r="C1243" s="40"/>
      <c r="E1243" s="40"/>
      <c r="G1243" s="40"/>
    </row>
    <row r="1244" spans="3:7" x14ac:dyDescent="0.3">
      <c r="C1244" s="40"/>
      <c r="E1244" s="40"/>
      <c r="G1244" s="40"/>
    </row>
    <row r="1245" spans="3:7" x14ac:dyDescent="0.3">
      <c r="C1245" s="40"/>
      <c r="E1245" s="40"/>
      <c r="G1245" s="40"/>
    </row>
    <row r="1246" spans="3:7" x14ac:dyDescent="0.3">
      <c r="C1246" s="40"/>
      <c r="E1246" s="40"/>
      <c r="G1246" s="40"/>
    </row>
    <row r="1247" spans="3:7" x14ac:dyDescent="0.3">
      <c r="C1247" s="40"/>
      <c r="E1247" s="40"/>
      <c r="G1247" s="40"/>
    </row>
    <row r="1248" spans="3:7" x14ac:dyDescent="0.3">
      <c r="C1248" s="40"/>
      <c r="E1248" s="40"/>
      <c r="G1248" s="40"/>
    </row>
    <row r="1249" spans="3:7" x14ac:dyDescent="0.3">
      <c r="C1249" s="40"/>
      <c r="E1249" s="40"/>
      <c r="G1249" s="40"/>
    </row>
    <row r="1250" spans="3:7" x14ac:dyDescent="0.3">
      <c r="C1250" s="40"/>
      <c r="E1250" s="40"/>
      <c r="G1250" s="40"/>
    </row>
    <row r="1251" spans="3:7" x14ac:dyDescent="0.3">
      <c r="C1251" s="40"/>
      <c r="E1251" s="40"/>
      <c r="G1251" s="40"/>
    </row>
    <row r="1252" spans="3:7" x14ac:dyDescent="0.3">
      <c r="C1252" s="40"/>
      <c r="E1252" s="40"/>
      <c r="G1252" s="40"/>
    </row>
    <row r="1253" spans="3:7" x14ac:dyDescent="0.3">
      <c r="C1253" s="40"/>
      <c r="E1253" s="40"/>
      <c r="G1253" s="40"/>
    </row>
    <row r="1254" spans="3:7" x14ac:dyDescent="0.3">
      <c r="C1254" s="40"/>
      <c r="E1254" s="40"/>
      <c r="G1254" s="40"/>
    </row>
    <row r="1255" spans="3:7" x14ac:dyDescent="0.3">
      <c r="C1255" s="40"/>
      <c r="E1255" s="40"/>
      <c r="G1255" s="40"/>
    </row>
    <row r="1256" spans="3:7" x14ac:dyDescent="0.3">
      <c r="C1256" s="40"/>
      <c r="E1256" s="40"/>
      <c r="G1256" s="40"/>
    </row>
    <row r="1257" spans="3:7" x14ac:dyDescent="0.3">
      <c r="C1257" s="40"/>
      <c r="E1257" s="40"/>
      <c r="G1257" s="40"/>
    </row>
    <row r="1258" spans="3:7" x14ac:dyDescent="0.3">
      <c r="C1258" s="40"/>
      <c r="E1258" s="40"/>
      <c r="G1258" s="40"/>
    </row>
    <row r="1259" spans="3:7" x14ac:dyDescent="0.3">
      <c r="C1259" s="40"/>
      <c r="E1259" s="40"/>
      <c r="G1259" s="40"/>
    </row>
    <row r="1260" spans="3:7" x14ac:dyDescent="0.3">
      <c r="C1260" s="40"/>
      <c r="E1260" s="40"/>
      <c r="G1260" s="40"/>
    </row>
    <row r="1261" spans="3:7" x14ac:dyDescent="0.3">
      <c r="C1261" s="40"/>
      <c r="E1261" s="40"/>
      <c r="G1261" s="40"/>
    </row>
    <row r="1262" spans="3:7" x14ac:dyDescent="0.3">
      <c r="C1262" s="40"/>
      <c r="E1262" s="40"/>
      <c r="G1262" s="40"/>
    </row>
    <row r="1263" spans="3:7" x14ac:dyDescent="0.3">
      <c r="C1263" s="40"/>
      <c r="E1263" s="40"/>
      <c r="G1263" s="40"/>
    </row>
    <row r="1264" spans="3:7" x14ac:dyDescent="0.3">
      <c r="C1264" s="40"/>
      <c r="E1264" s="40"/>
      <c r="G1264" s="40"/>
    </row>
    <row r="1265" spans="3:7" x14ac:dyDescent="0.3">
      <c r="C1265" s="40"/>
      <c r="E1265" s="40"/>
      <c r="G1265" s="40"/>
    </row>
    <row r="1266" spans="3:7" x14ac:dyDescent="0.3">
      <c r="C1266" s="40"/>
      <c r="E1266" s="40"/>
      <c r="G1266" s="40"/>
    </row>
    <row r="1267" spans="3:7" x14ac:dyDescent="0.3">
      <c r="C1267" s="40"/>
      <c r="E1267" s="40"/>
      <c r="G1267" s="40"/>
    </row>
    <row r="1268" spans="3:7" x14ac:dyDescent="0.3">
      <c r="C1268" s="40"/>
      <c r="E1268" s="40"/>
      <c r="G1268" s="40"/>
    </row>
    <row r="1269" spans="3:7" x14ac:dyDescent="0.3">
      <c r="C1269" s="40"/>
      <c r="E1269" s="40"/>
      <c r="G1269" s="40"/>
    </row>
    <row r="1270" spans="3:7" x14ac:dyDescent="0.3">
      <c r="C1270" s="40"/>
      <c r="E1270" s="40"/>
      <c r="G1270" s="40"/>
    </row>
    <row r="1271" spans="3:7" x14ac:dyDescent="0.3">
      <c r="C1271" s="40"/>
      <c r="E1271" s="40"/>
      <c r="G1271" s="40"/>
    </row>
    <row r="1272" spans="3:7" x14ac:dyDescent="0.3">
      <c r="C1272" s="40"/>
      <c r="E1272" s="40"/>
      <c r="G1272" s="40"/>
    </row>
    <row r="1273" spans="3:7" x14ac:dyDescent="0.3">
      <c r="C1273" s="40"/>
      <c r="E1273" s="40"/>
      <c r="G1273" s="40"/>
    </row>
    <row r="1274" spans="3:7" x14ac:dyDescent="0.3">
      <c r="C1274" s="40"/>
      <c r="E1274" s="40"/>
      <c r="G1274" s="40"/>
    </row>
    <row r="1275" spans="3:7" x14ac:dyDescent="0.3">
      <c r="C1275" s="40"/>
      <c r="E1275" s="40"/>
      <c r="G1275" s="40"/>
    </row>
    <row r="1276" spans="3:7" x14ac:dyDescent="0.3">
      <c r="C1276" s="40"/>
      <c r="E1276" s="40"/>
      <c r="G1276" s="40"/>
    </row>
    <row r="1277" spans="3:7" x14ac:dyDescent="0.3">
      <c r="C1277" s="40"/>
      <c r="E1277" s="40"/>
      <c r="G1277" s="40"/>
    </row>
    <row r="1278" spans="3:7" x14ac:dyDescent="0.3">
      <c r="C1278" s="40"/>
      <c r="E1278" s="40"/>
      <c r="G1278" s="40"/>
    </row>
    <row r="1279" spans="3:7" x14ac:dyDescent="0.3">
      <c r="C1279" s="40"/>
      <c r="E1279" s="40"/>
      <c r="G1279" s="40"/>
    </row>
    <row r="1280" spans="3:7" x14ac:dyDescent="0.3">
      <c r="C1280" s="40"/>
      <c r="E1280" s="40"/>
      <c r="G1280" s="40"/>
    </row>
    <row r="1281" spans="3:7" x14ac:dyDescent="0.3">
      <c r="C1281" s="40"/>
      <c r="E1281" s="40"/>
      <c r="G1281" s="40"/>
    </row>
    <row r="1282" spans="3:7" x14ac:dyDescent="0.3">
      <c r="C1282" s="40"/>
      <c r="E1282" s="40"/>
      <c r="G1282" s="40"/>
    </row>
    <row r="1283" spans="3:7" x14ac:dyDescent="0.3">
      <c r="C1283" s="40"/>
      <c r="E1283" s="40"/>
      <c r="G1283" s="40"/>
    </row>
    <row r="1284" spans="3:7" x14ac:dyDescent="0.3">
      <c r="C1284" s="40"/>
      <c r="E1284" s="40"/>
      <c r="G1284" s="40"/>
    </row>
    <row r="1285" spans="3:7" x14ac:dyDescent="0.3">
      <c r="C1285" s="40"/>
      <c r="E1285" s="40"/>
      <c r="G1285" s="40"/>
    </row>
    <row r="1286" spans="3:7" x14ac:dyDescent="0.3">
      <c r="C1286" s="40"/>
      <c r="E1286" s="40"/>
      <c r="G1286" s="40"/>
    </row>
    <row r="1287" spans="3:7" x14ac:dyDescent="0.3">
      <c r="C1287" s="40"/>
      <c r="E1287" s="40"/>
      <c r="G1287" s="40"/>
    </row>
    <row r="1288" spans="3:7" x14ac:dyDescent="0.3">
      <c r="C1288" s="40"/>
      <c r="E1288" s="40"/>
      <c r="G1288" s="40"/>
    </row>
    <row r="1289" spans="3:7" x14ac:dyDescent="0.3">
      <c r="C1289" s="40"/>
      <c r="E1289" s="40"/>
      <c r="G1289" s="40"/>
    </row>
    <row r="1290" spans="3:7" x14ac:dyDescent="0.3">
      <c r="C1290" s="40"/>
      <c r="E1290" s="40"/>
      <c r="G1290" s="40"/>
    </row>
    <row r="1291" spans="3:7" x14ac:dyDescent="0.3">
      <c r="C1291" s="40"/>
      <c r="E1291" s="40"/>
      <c r="G1291" s="40"/>
    </row>
    <row r="1292" spans="3:7" x14ac:dyDescent="0.3">
      <c r="C1292" s="40"/>
      <c r="E1292" s="40"/>
      <c r="G1292" s="40"/>
    </row>
    <row r="1293" spans="3:7" x14ac:dyDescent="0.3">
      <c r="C1293" s="40"/>
      <c r="E1293" s="40"/>
      <c r="G1293" s="40"/>
    </row>
    <row r="1294" spans="3:7" x14ac:dyDescent="0.3">
      <c r="C1294" s="40"/>
      <c r="E1294" s="40"/>
      <c r="G1294" s="40"/>
    </row>
    <row r="1295" spans="3:7" x14ac:dyDescent="0.3">
      <c r="C1295" s="40"/>
      <c r="E1295" s="40"/>
      <c r="G1295" s="40"/>
    </row>
    <row r="1296" spans="3:7" x14ac:dyDescent="0.3">
      <c r="C1296" s="40"/>
      <c r="E1296" s="40"/>
      <c r="G1296" s="40"/>
    </row>
    <row r="1297" spans="3:7" x14ac:dyDescent="0.3">
      <c r="C1297" s="40"/>
      <c r="E1297" s="40"/>
      <c r="G1297" s="40"/>
    </row>
    <row r="1298" spans="3:7" x14ac:dyDescent="0.3">
      <c r="C1298" s="40"/>
      <c r="E1298" s="40"/>
      <c r="G1298" s="40"/>
    </row>
    <row r="1299" spans="3:7" x14ac:dyDescent="0.3">
      <c r="C1299" s="40"/>
      <c r="E1299" s="40"/>
      <c r="G1299" s="40"/>
    </row>
    <row r="1300" spans="3:7" x14ac:dyDescent="0.3">
      <c r="C1300" s="40"/>
      <c r="E1300" s="40"/>
      <c r="G1300" s="40"/>
    </row>
    <row r="1301" spans="3:7" x14ac:dyDescent="0.3">
      <c r="C1301" s="40"/>
      <c r="E1301" s="40"/>
      <c r="G1301" s="40"/>
    </row>
    <row r="1302" spans="3:7" x14ac:dyDescent="0.3">
      <c r="C1302" s="40"/>
      <c r="E1302" s="40"/>
      <c r="G1302" s="40"/>
    </row>
    <row r="1303" spans="3:7" x14ac:dyDescent="0.3">
      <c r="C1303" s="40"/>
      <c r="E1303" s="40"/>
      <c r="G1303" s="40"/>
    </row>
    <row r="1304" spans="3:7" x14ac:dyDescent="0.3">
      <c r="C1304" s="40"/>
      <c r="E1304" s="40"/>
      <c r="G1304" s="40"/>
    </row>
    <row r="1305" spans="3:7" x14ac:dyDescent="0.3">
      <c r="C1305" s="40"/>
      <c r="E1305" s="40"/>
      <c r="G1305" s="40"/>
    </row>
    <row r="1306" spans="3:7" x14ac:dyDescent="0.3">
      <c r="C1306" s="40"/>
      <c r="E1306" s="40"/>
      <c r="G1306" s="40"/>
    </row>
    <row r="1307" spans="3:7" x14ac:dyDescent="0.3">
      <c r="C1307" s="40"/>
      <c r="E1307" s="40"/>
      <c r="G1307" s="40"/>
    </row>
    <row r="1308" spans="3:7" x14ac:dyDescent="0.3">
      <c r="C1308" s="40"/>
      <c r="E1308" s="40"/>
      <c r="G1308" s="40"/>
    </row>
    <row r="1309" spans="3:7" x14ac:dyDescent="0.3">
      <c r="C1309" s="40"/>
      <c r="E1309" s="40"/>
      <c r="G1309" s="40"/>
    </row>
    <row r="1310" spans="3:7" x14ac:dyDescent="0.3">
      <c r="C1310" s="40"/>
      <c r="E1310" s="40"/>
      <c r="G1310" s="40"/>
    </row>
    <row r="1311" spans="3:7" x14ac:dyDescent="0.3">
      <c r="C1311" s="40"/>
      <c r="E1311" s="40"/>
      <c r="G1311" s="40"/>
    </row>
    <row r="1312" spans="3:7" x14ac:dyDescent="0.3">
      <c r="C1312" s="40"/>
      <c r="E1312" s="40"/>
      <c r="G1312" s="40"/>
    </row>
    <row r="1313" spans="3:7" x14ac:dyDescent="0.3">
      <c r="C1313" s="40"/>
      <c r="E1313" s="40"/>
      <c r="G1313" s="40"/>
    </row>
    <row r="1314" spans="3:7" x14ac:dyDescent="0.3">
      <c r="C1314" s="40"/>
      <c r="E1314" s="40"/>
      <c r="G1314" s="40"/>
    </row>
    <row r="1315" spans="3:7" x14ac:dyDescent="0.3">
      <c r="C1315" s="40"/>
      <c r="E1315" s="40"/>
      <c r="G1315" s="40"/>
    </row>
    <row r="1316" spans="3:7" x14ac:dyDescent="0.3">
      <c r="C1316" s="40"/>
      <c r="E1316" s="40"/>
      <c r="G1316" s="40"/>
    </row>
    <row r="1317" spans="3:7" x14ac:dyDescent="0.3">
      <c r="C1317" s="40"/>
      <c r="E1317" s="40"/>
      <c r="G1317" s="40"/>
    </row>
    <row r="1318" spans="3:7" x14ac:dyDescent="0.3">
      <c r="C1318" s="40"/>
      <c r="E1318" s="40"/>
      <c r="G1318" s="40"/>
    </row>
    <row r="1319" spans="3:7" x14ac:dyDescent="0.3">
      <c r="C1319" s="40"/>
      <c r="E1319" s="40"/>
      <c r="G1319" s="40"/>
    </row>
    <row r="1320" spans="3:7" x14ac:dyDescent="0.3">
      <c r="C1320" s="40"/>
      <c r="E1320" s="40"/>
      <c r="G1320" s="40"/>
    </row>
    <row r="1321" spans="3:7" x14ac:dyDescent="0.3">
      <c r="C1321" s="40"/>
      <c r="E1321" s="40"/>
      <c r="G1321" s="40"/>
    </row>
    <row r="1322" spans="3:7" x14ac:dyDescent="0.3">
      <c r="C1322" s="40"/>
      <c r="E1322" s="40"/>
      <c r="G1322" s="40"/>
    </row>
    <row r="1323" spans="3:7" x14ac:dyDescent="0.3">
      <c r="C1323" s="40"/>
      <c r="E1323" s="40"/>
      <c r="G1323" s="40"/>
    </row>
    <row r="1324" spans="3:7" x14ac:dyDescent="0.3">
      <c r="C1324" s="40"/>
      <c r="E1324" s="40"/>
      <c r="G1324" s="40"/>
    </row>
    <row r="1325" spans="3:7" x14ac:dyDescent="0.3">
      <c r="C1325" s="40"/>
      <c r="E1325" s="40"/>
      <c r="G1325" s="40"/>
    </row>
    <row r="1326" spans="3:7" x14ac:dyDescent="0.3">
      <c r="C1326" s="40"/>
      <c r="E1326" s="40"/>
      <c r="G1326" s="40"/>
    </row>
    <row r="1327" spans="3:7" x14ac:dyDescent="0.3">
      <c r="C1327" s="40"/>
      <c r="E1327" s="40"/>
      <c r="G1327" s="40"/>
    </row>
    <row r="1328" spans="3:7" x14ac:dyDescent="0.3">
      <c r="C1328" s="40"/>
      <c r="E1328" s="40"/>
      <c r="G1328" s="40"/>
    </row>
    <row r="1329" spans="3:7" x14ac:dyDescent="0.3">
      <c r="C1329" s="40"/>
      <c r="E1329" s="40"/>
      <c r="G1329" s="40"/>
    </row>
    <row r="1330" spans="3:7" x14ac:dyDescent="0.3">
      <c r="C1330" s="40"/>
      <c r="E1330" s="40"/>
      <c r="G1330" s="40"/>
    </row>
    <row r="1331" spans="3:7" x14ac:dyDescent="0.3">
      <c r="C1331" s="40"/>
      <c r="E1331" s="40"/>
      <c r="G1331" s="40"/>
    </row>
    <row r="1332" spans="3:7" x14ac:dyDescent="0.3">
      <c r="C1332" s="40"/>
      <c r="E1332" s="40"/>
      <c r="G1332" s="40"/>
    </row>
    <row r="1333" spans="3:7" x14ac:dyDescent="0.3">
      <c r="C1333" s="40"/>
      <c r="E1333" s="40"/>
      <c r="G1333" s="40"/>
    </row>
    <row r="1334" spans="3:7" x14ac:dyDescent="0.3">
      <c r="C1334" s="40"/>
      <c r="E1334" s="40"/>
      <c r="G1334" s="40"/>
    </row>
    <row r="1335" spans="3:7" x14ac:dyDescent="0.3">
      <c r="C1335" s="40"/>
      <c r="E1335" s="40"/>
      <c r="G1335" s="40"/>
    </row>
    <row r="1336" spans="3:7" x14ac:dyDescent="0.3">
      <c r="C1336" s="40"/>
      <c r="E1336" s="40"/>
      <c r="G1336" s="40"/>
    </row>
    <row r="1337" spans="3:7" x14ac:dyDescent="0.3">
      <c r="C1337" s="40"/>
      <c r="E1337" s="40"/>
      <c r="G1337" s="40"/>
    </row>
    <row r="1338" spans="3:7" x14ac:dyDescent="0.3">
      <c r="C1338" s="40"/>
      <c r="E1338" s="40"/>
      <c r="G1338" s="40"/>
    </row>
    <row r="1339" spans="3:7" x14ac:dyDescent="0.3">
      <c r="C1339" s="40"/>
      <c r="E1339" s="40"/>
      <c r="G1339" s="40"/>
    </row>
    <row r="1340" spans="3:7" x14ac:dyDescent="0.3">
      <c r="C1340" s="40"/>
      <c r="E1340" s="40"/>
      <c r="G1340" s="40"/>
    </row>
    <row r="1341" spans="3:7" x14ac:dyDescent="0.3">
      <c r="C1341" s="40"/>
      <c r="E1341" s="40"/>
      <c r="G1341" s="40"/>
    </row>
    <row r="1342" spans="3:7" x14ac:dyDescent="0.3">
      <c r="C1342" s="40"/>
      <c r="E1342" s="40"/>
      <c r="G1342" s="40"/>
    </row>
    <row r="1343" spans="3:7" x14ac:dyDescent="0.3">
      <c r="C1343" s="40"/>
      <c r="E1343" s="40"/>
      <c r="G1343" s="40"/>
    </row>
    <row r="1344" spans="3:7" x14ac:dyDescent="0.3">
      <c r="C1344" s="40"/>
      <c r="E1344" s="40"/>
      <c r="G1344" s="40"/>
    </row>
    <row r="1345" spans="3:7" x14ac:dyDescent="0.3">
      <c r="C1345" s="40"/>
      <c r="E1345" s="40"/>
      <c r="G1345" s="40"/>
    </row>
    <row r="1346" spans="3:7" x14ac:dyDescent="0.3">
      <c r="C1346" s="40"/>
      <c r="E1346" s="40"/>
      <c r="G1346" s="40"/>
    </row>
    <row r="1347" spans="3:7" x14ac:dyDescent="0.3">
      <c r="C1347" s="40"/>
      <c r="E1347" s="40"/>
      <c r="G1347" s="40"/>
    </row>
    <row r="1348" spans="3:7" x14ac:dyDescent="0.3">
      <c r="C1348" s="40"/>
      <c r="E1348" s="40"/>
      <c r="G1348" s="40"/>
    </row>
    <row r="1349" spans="3:7" x14ac:dyDescent="0.3">
      <c r="C1349" s="40"/>
      <c r="E1349" s="40"/>
      <c r="G1349" s="40"/>
    </row>
    <row r="1350" spans="3:7" x14ac:dyDescent="0.3">
      <c r="C1350" s="40"/>
      <c r="E1350" s="40"/>
      <c r="G1350" s="40"/>
    </row>
    <row r="1351" spans="3:7" x14ac:dyDescent="0.3">
      <c r="C1351" s="40"/>
      <c r="E1351" s="40"/>
      <c r="G1351" s="40"/>
    </row>
    <row r="1352" spans="3:7" x14ac:dyDescent="0.3">
      <c r="C1352" s="40"/>
      <c r="E1352" s="40"/>
      <c r="G1352" s="40"/>
    </row>
    <row r="1353" spans="3:7" x14ac:dyDescent="0.3">
      <c r="C1353" s="40"/>
      <c r="E1353" s="40"/>
      <c r="G1353" s="40"/>
    </row>
    <row r="1354" spans="3:7" x14ac:dyDescent="0.3">
      <c r="C1354" s="40"/>
      <c r="E1354" s="40"/>
      <c r="G1354" s="40"/>
    </row>
    <row r="1355" spans="3:7" x14ac:dyDescent="0.3">
      <c r="C1355" s="40"/>
      <c r="E1355" s="40"/>
      <c r="G1355" s="40"/>
    </row>
    <row r="1356" spans="3:7" x14ac:dyDescent="0.3">
      <c r="C1356" s="40"/>
      <c r="E1356" s="40"/>
      <c r="G1356" s="40"/>
    </row>
    <row r="1357" spans="3:7" x14ac:dyDescent="0.3">
      <c r="C1357" s="40"/>
      <c r="E1357" s="40"/>
      <c r="G1357" s="40"/>
    </row>
    <row r="1358" spans="3:7" x14ac:dyDescent="0.3">
      <c r="C1358" s="40"/>
      <c r="E1358" s="40"/>
      <c r="G1358" s="40"/>
    </row>
    <row r="1359" spans="3:7" x14ac:dyDescent="0.3">
      <c r="C1359" s="40"/>
      <c r="E1359" s="40"/>
      <c r="G1359" s="40"/>
    </row>
    <row r="1360" spans="3:7" x14ac:dyDescent="0.3">
      <c r="C1360" s="40"/>
      <c r="E1360" s="40"/>
      <c r="G1360" s="40"/>
    </row>
    <row r="1361" spans="3:7" x14ac:dyDescent="0.3">
      <c r="C1361" s="40"/>
      <c r="E1361" s="40"/>
      <c r="G1361" s="40"/>
    </row>
    <row r="1362" spans="3:7" x14ac:dyDescent="0.3">
      <c r="C1362" s="40"/>
      <c r="E1362" s="40"/>
      <c r="G1362" s="40"/>
    </row>
    <row r="1363" spans="3:7" x14ac:dyDescent="0.3">
      <c r="C1363" s="40"/>
      <c r="E1363" s="40"/>
      <c r="G1363" s="40"/>
    </row>
    <row r="1364" spans="3:7" x14ac:dyDescent="0.3">
      <c r="C1364" s="40"/>
      <c r="E1364" s="40"/>
      <c r="G1364" s="40"/>
    </row>
    <row r="1365" spans="3:7" x14ac:dyDescent="0.3">
      <c r="C1365" s="40"/>
      <c r="E1365" s="40"/>
      <c r="G1365" s="40"/>
    </row>
    <row r="1366" spans="3:7" x14ac:dyDescent="0.3">
      <c r="C1366" s="40"/>
      <c r="E1366" s="40"/>
      <c r="G1366" s="40"/>
    </row>
    <row r="1367" spans="3:7" x14ac:dyDescent="0.3">
      <c r="C1367" s="40"/>
      <c r="E1367" s="40"/>
      <c r="G1367" s="40"/>
    </row>
    <row r="1368" spans="3:7" x14ac:dyDescent="0.3">
      <c r="C1368" s="40"/>
      <c r="E1368" s="40"/>
      <c r="G1368" s="40"/>
    </row>
    <row r="1369" spans="3:7" x14ac:dyDescent="0.3">
      <c r="C1369" s="40"/>
      <c r="E1369" s="40"/>
      <c r="G1369" s="40"/>
    </row>
    <row r="1370" spans="3:7" x14ac:dyDescent="0.3">
      <c r="C1370" s="40"/>
      <c r="E1370" s="40"/>
      <c r="G1370" s="40"/>
    </row>
    <row r="1371" spans="3:7" x14ac:dyDescent="0.3">
      <c r="C1371" s="40"/>
      <c r="E1371" s="40"/>
      <c r="G1371" s="40"/>
    </row>
    <row r="1372" spans="3:7" x14ac:dyDescent="0.3">
      <c r="C1372" s="40"/>
      <c r="E1372" s="40"/>
      <c r="G1372" s="40"/>
    </row>
    <row r="1373" spans="3:7" x14ac:dyDescent="0.3">
      <c r="C1373" s="40"/>
      <c r="E1373" s="40"/>
      <c r="G1373" s="40"/>
    </row>
    <row r="1374" spans="3:7" x14ac:dyDescent="0.3">
      <c r="C1374" s="40"/>
      <c r="E1374" s="40"/>
      <c r="G1374" s="40"/>
    </row>
    <row r="1375" spans="3:7" x14ac:dyDescent="0.3">
      <c r="C1375" s="40"/>
      <c r="E1375" s="40"/>
      <c r="G1375" s="40"/>
    </row>
    <row r="1376" spans="3:7" x14ac:dyDescent="0.3">
      <c r="C1376" s="40"/>
      <c r="E1376" s="40"/>
      <c r="G1376" s="40"/>
    </row>
    <row r="1377" spans="3:7" x14ac:dyDescent="0.3">
      <c r="C1377" s="40"/>
      <c r="E1377" s="40"/>
      <c r="G1377" s="40"/>
    </row>
    <row r="1378" spans="3:7" x14ac:dyDescent="0.3">
      <c r="C1378" s="40"/>
      <c r="E1378" s="40"/>
      <c r="G1378" s="40"/>
    </row>
    <row r="1379" spans="3:7" x14ac:dyDescent="0.3">
      <c r="C1379" s="40"/>
      <c r="E1379" s="40"/>
      <c r="G1379" s="40"/>
    </row>
    <row r="1380" spans="3:7" x14ac:dyDescent="0.3">
      <c r="C1380" s="40"/>
      <c r="E1380" s="40"/>
      <c r="G1380" s="40"/>
    </row>
    <row r="1381" spans="3:7" x14ac:dyDescent="0.3">
      <c r="C1381" s="40"/>
      <c r="E1381" s="40"/>
      <c r="G1381" s="40"/>
    </row>
    <row r="1382" spans="3:7" x14ac:dyDescent="0.3">
      <c r="C1382" s="40"/>
      <c r="E1382" s="40"/>
      <c r="G1382" s="40"/>
    </row>
    <row r="1383" spans="3:7" x14ac:dyDescent="0.3">
      <c r="C1383" s="40"/>
      <c r="E1383" s="40"/>
      <c r="G1383" s="40"/>
    </row>
    <row r="1384" spans="3:7" x14ac:dyDescent="0.3">
      <c r="C1384" s="40"/>
      <c r="E1384" s="40"/>
      <c r="G1384" s="40"/>
    </row>
    <row r="1385" spans="3:7" x14ac:dyDescent="0.3">
      <c r="C1385" s="40"/>
      <c r="E1385" s="40"/>
      <c r="G1385" s="40"/>
    </row>
    <row r="1386" spans="3:7" x14ac:dyDescent="0.3">
      <c r="C1386" s="40"/>
      <c r="E1386" s="40"/>
      <c r="G1386" s="40"/>
    </row>
    <row r="1387" spans="3:7" x14ac:dyDescent="0.3">
      <c r="C1387" s="40"/>
      <c r="E1387" s="40"/>
      <c r="G1387" s="40"/>
    </row>
    <row r="1388" spans="3:7" x14ac:dyDescent="0.3">
      <c r="C1388" s="40"/>
      <c r="E1388" s="40"/>
      <c r="G1388" s="40"/>
    </row>
    <row r="1389" spans="3:7" x14ac:dyDescent="0.3">
      <c r="C1389" s="40"/>
      <c r="E1389" s="40"/>
      <c r="G1389" s="40"/>
    </row>
    <row r="1390" spans="3:7" x14ac:dyDescent="0.3">
      <c r="C1390" s="40"/>
      <c r="E1390" s="40"/>
      <c r="G1390" s="40"/>
    </row>
    <row r="1391" spans="3:7" x14ac:dyDescent="0.3">
      <c r="C1391" s="40"/>
      <c r="E1391" s="40"/>
      <c r="G1391" s="40"/>
    </row>
    <row r="1392" spans="3:7" x14ac:dyDescent="0.3">
      <c r="C1392" s="40"/>
      <c r="E1392" s="40"/>
      <c r="G1392" s="40"/>
    </row>
    <row r="1393" spans="3:7" x14ac:dyDescent="0.3">
      <c r="C1393" s="40"/>
      <c r="E1393" s="40"/>
      <c r="G1393" s="40"/>
    </row>
    <row r="1394" spans="3:7" x14ac:dyDescent="0.3">
      <c r="C1394" s="40"/>
      <c r="E1394" s="40"/>
      <c r="G1394" s="40"/>
    </row>
    <row r="1395" spans="3:7" x14ac:dyDescent="0.3">
      <c r="C1395" s="40"/>
      <c r="E1395" s="40"/>
      <c r="G1395" s="40"/>
    </row>
    <row r="1396" spans="3:7" x14ac:dyDescent="0.3">
      <c r="C1396" s="40"/>
      <c r="E1396" s="40"/>
      <c r="G1396" s="40"/>
    </row>
    <row r="1397" spans="3:7" x14ac:dyDescent="0.3">
      <c r="C1397" s="40"/>
      <c r="E1397" s="40"/>
      <c r="G1397" s="40"/>
    </row>
    <row r="1398" spans="3:7" x14ac:dyDescent="0.3">
      <c r="C1398" s="40"/>
      <c r="E1398" s="40"/>
      <c r="G1398" s="40"/>
    </row>
    <row r="1399" spans="3:7" x14ac:dyDescent="0.3">
      <c r="C1399" s="40"/>
      <c r="E1399" s="40"/>
      <c r="G1399" s="40"/>
    </row>
    <row r="1400" spans="3:7" x14ac:dyDescent="0.3">
      <c r="C1400" s="40"/>
      <c r="E1400" s="40"/>
      <c r="G1400" s="40"/>
    </row>
    <row r="1401" spans="3:7" x14ac:dyDescent="0.3">
      <c r="C1401" s="40"/>
      <c r="E1401" s="40"/>
      <c r="G1401" s="40"/>
    </row>
    <row r="1402" spans="3:7" x14ac:dyDescent="0.3">
      <c r="C1402" s="40"/>
      <c r="E1402" s="40"/>
      <c r="G1402" s="40"/>
    </row>
    <row r="1403" spans="3:7" x14ac:dyDescent="0.3">
      <c r="C1403" s="40"/>
      <c r="E1403" s="40"/>
      <c r="G1403" s="40"/>
    </row>
    <row r="1404" spans="3:7" x14ac:dyDescent="0.3">
      <c r="C1404" s="40"/>
      <c r="E1404" s="40"/>
      <c r="G1404" s="40"/>
    </row>
    <row r="1405" spans="3:7" x14ac:dyDescent="0.3">
      <c r="C1405" s="40"/>
      <c r="E1405" s="40"/>
      <c r="G1405" s="40"/>
    </row>
    <row r="1406" spans="3:7" x14ac:dyDescent="0.3">
      <c r="C1406" s="40"/>
      <c r="E1406" s="40"/>
      <c r="G1406" s="40"/>
    </row>
    <row r="1407" spans="3:7" x14ac:dyDescent="0.3">
      <c r="C1407" s="40"/>
      <c r="E1407" s="40"/>
      <c r="G1407" s="40"/>
    </row>
    <row r="1408" spans="3:7" x14ac:dyDescent="0.3">
      <c r="C1408" s="40"/>
      <c r="E1408" s="40"/>
      <c r="G1408" s="40"/>
    </row>
    <row r="1409" spans="3:7" x14ac:dyDescent="0.3">
      <c r="C1409" s="40"/>
      <c r="E1409" s="40"/>
      <c r="G1409" s="40"/>
    </row>
    <row r="1410" spans="3:7" x14ac:dyDescent="0.3">
      <c r="C1410" s="40"/>
      <c r="E1410" s="40"/>
      <c r="G1410" s="40"/>
    </row>
    <row r="1411" spans="3:7" x14ac:dyDescent="0.3">
      <c r="C1411" s="40"/>
      <c r="E1411" s="40"/>
      <c r="G1411" s="40"/>
    </row>
    <row r="1412" spans="3:7" x14ac:dyDescent="0.3">
      <c r="C1412" s="40"/>
      <c r="E1412" s="40"/>
      <c r="G1412" s="40"/>
    </row>
    <row r="1413" spans="3:7" x14ac:dyDescent="0.3">
      <c r="C1413" s="40"/>
      <c r="E1413" s="40"/>
      <c r="G1413" s="40"/>
    </row>
    <row r="1414" spans="3:7" x14ac:dyDescent="0.3">
      <c r="C1414" s="40"/>
      <c r="E1414" s="40"/>
      <c r="G1414" s="40"/>
    </row>
    <row r="1415" spans="3:7" x14ac:dyDescent="0.3">
      <c r="C1415" s="40"/>
      <c r="E1415" s="40"/>
      <c r="G1415" s="40"/>
    </row>
    <row r="1416" spans="3:7" x14ac:dyDescent="0.3">
      <c r="C1416" s="40"/>
      <c r="E1416" s="40"/>
      <c r="G1416" s="40"/>
    </row>
    <row r="1417" spans="3:7" x14ac:dyDescent="0.3">
      <c r="C1417" s="40"/>
      <c r="E1417" s="40"/>
      <c r="G1417" s="40"/>
    </row>
    <row r="1418" spans="3:7" x14ac:dyDescent="0.3">
      <c r="C1418" s="40"/>
      <c r="E1418" s="40"/>
      <c r="G1418" s="40"/>
    </row>
    <row r="1419" spans="3:7" x14ac:dyDescent="0.3">
      <c r="C1419" s="40"/>
      <c r="E1419" s="40"/>
      <c r="G1419" s="40"/>
    </row>
    <row r="1420" spans="3:7" x14ac:dyDescent="0.3">
      <c r="C1420" s="40"/>
      <c r="E1420" s="40"/>
      <c r="G1420" s="40"/>
    </row>
    <row r="1421" spans="3:7" x14ac:dyDescent="0.3">
      <c r="C1421" s="40"/>
      <c r="E1421" s="40"/>
      <c r="G1421" s="40"/>
    </row>
    <row r="1422" spans="3:7" x14ac:dyDescent="0.3">
      <c r="C1422" s="40"/>
      <c r="E1422" s="40"/>
      <c r="G1422" s="40"/>
    </row>
    <row r="1423" spans="3:7" x14ac:dyDescent="0.3">
      <c r="C1423" s="40"/>
      <c r="E1423" s="40"/>
      <c r="G1423" s="40"/>
    </row>
    <row r="1424" spans="3:7" x14ac:dyDescent="0.3">
      <c r="C1424" s="40"/>
      <c r="E1424" s="40"/>
      <c r="G1424" s="40"/>
    </row>
    <row r="1425" spans="3:7" x14ac:dyDescent="0.3">
      <c r="C1425" s="40"/>
      <c r="E1425" s="40"/>
      <c r="G1425" s="40"/>
    </row>
    <row r="1426" spans="3:7" x14ac:dyDescent="0.3">
      <c r="C1426" s="40"/>
      <c r="E1426" s="40"/>
      <c r="G1426" s="40"/>
    </row>
    <row r="1427" spans="3:7" x14ac:dyDescent="0.3">
      <c r="C1427" s="40"/>
      <c r="E1427" s="40"/>
      <c r="G1427" s="40"/>
    </row>
    <row r="1428" spans="3:7" x14ac:dyDescent="0.3">
      <c r="C1428" s="40"/>
      <c r="E1428" s="40"/>
      <c r="G1428" s="40"/>
    </row>
    <row r="1429" spans="3:7" x14ac:dyDescent="0.3">
      <c r="C1429" s="40"/>
      <c r="E1429" s="40"/>
      <c r="G1429" s="40"/>
    </row>
    <row r="1430" spans="3:7" x14ac:dyDescent="0.3">
      <c r="C1430" s="40"/>
      <c r="E1430" s="40"/>
      <c r="G1430" s="40"/>
    </row>
    <row r="1431" spans="3:7" x14ac:dyDescent="0.3">
      <c r="C1431" s="40"/>
      <c r="E1431" s="40"/>
      <c r="G1431" s="40"/>
    </row>
    <row r="1432" spans="3:7" x14ac:dyDescent="0.3">
      <c r="C1432" s="40"/>
      <c r="E1432" s="40"/>
      <c r="G1432" s="40"/>
    </row>
    <row r="1433" spans="3:7" x14ac:dyDescent="0.3">
      <c r="C1433" s="40"/>
      <c r="E1433" s="40"/>
      <c r="G1433" s="40"/>
    </row>
    <row r="1434" spans="3:7" x14ac:dyDescent="0.3">
      <c r="C1434" s="40"/>
      <c r="E1434" s="40"/>
      <c r="G1434" s="40"/>
    </row>
    <row r="1435" spans="3:7" x14ac:dyDescent="0.3">
      <c r="C1435" s="40"/>
      <c r="E1435" s="40"/>
      <c r="G1435" s="40"/>
    </row>
    <row r="1436" spans="3:7" x14ac:dyDescent="0.3">
      <c r="C1436" s="40"/>
      <c r="E1436" s="40"/>
      <c r="G1436" s="40"/>
    </row>
    <row r="1437" spans="3:7" x14ac:dyDescent="0.3">
      <c r="C1437" s="40"/>
      <c r="E1437" s="40"/>
      <c r="G1437" s="40"/>
    </row>
    <row r="1438" spans="3:7" x14ac:dyDescent="0.3">
      <c r="C1438" s="40"/>
      <c r="E1438" s="40"/>
      <c r="G1438" s="40"/>
    </row>
    <row r="1439" spans="3:7" x14ac:dyDescent="0.3">
      <c r="C1439" s="40"/>
      <c r="E1439" s="40"/>
      <c r="G1439" s="40"/>
    </row>
    <row r="1440" spans="3:7" x14ac:dyDescent="0.3">
      <c r="C1440" s="40"/>
      <c r="E1440" s="40"/>
      <c r="G1440" s="40"/>
    </row>
    <row r="1441" spans="3:7" x14ac:dyDescent="0.3">
      <c r="C1441" s="40"/>
      <c r="E1441" s="40"/>
      <c r="G1441" s="40"/>
    </row>
    <row r="1442" spans="3:7" x14ac:dyDescent="0.3">
      <c r="C1442" s="40"/>
      <c r="E1442" s="40"/>
      <c r="G1442" s="40"/>
    </row>
    <row r="1443" spans="3:7" x14ac:dyDescent="0.3">
      <c r="C1443" s="40"/>
      <c r="E1443" s="40"/>
      <c r="G1443" s="40"/>
    </row>
    <row r="1444" spans="3:7" x14ac:dyDescent="0.3">
      <c r="C1444" s="40"/>
      <c r="E1444" s="40"/>
      <c r="G1444" s="40"/>
    </row>
    <row r="1445" spans="3:7" x14ac:dyDescent="0.3">
      <c r="C1445" s="40"/>
      <c r="E1445" s="40"/>
      <c r="G1445" s="40"/>
    </row>
    <row r="1446" spans="3:7" x14ac:dyDescent="0.3">
      <c r="C1446" s="40"/>
      <c r="E1446" s="40"/>
      <c r="G1446" s="40"/>
    </row>
    <row r="1447" spans="3:7" x14ac:dyDescent="0.3">
      <c r="C1447" s="40"/>
      <c r="E1447" s="40"/>
      <c r="G1447" s="40"/>
    </row>
    <row r="1448" spans="3:7" x14ac:dyDescent="0.3">
      <c r="C1448" s="40"/>
      <c r="E1448" s="40"/>
      <c r="G1448" s="40"/>
    </row>
    <row r="1449" spans="3:7" x14ac:dyDescent="0.3">
      <c r="C1449" s="40"/>
      <c r="E1449" s="40"/>
      <c r="G1449" s="40"/>
    </row>
    <row r="1450" spans="3:7" x14ac:dyDescent="0.3">
      <c r="C1450" s="40"/>
      <c r="E1450" s="40"/>
      <c r="G1450" s="40"/>
    </row>
    <row r="1451" spans="3:7" x14ac:dyDescent="0.3">
      <c r="C1451" s="40"/>
      <c r="E1451" s="40"/>
      <c r="G1451" s="40"/>
    </row>
    <row r="1452" spans="3:7" x14ac:dyDescent="0.3">
      <c r="C1452" s="40"/>
      <c r="E1452" s="40"/>
      <c r="G1452" s="40"/>
    </row>
    <row r="1453" spans="3:7" x14ac:dyDescent="0.3">
      <c r="C1453" s="40"/>
      <c r="E1453" s="40"/>
      <c r="G1453" s="40"/>
    </row>
    <row r="1454" spans="3:7" x14ac:dyDescent="0.3">
      <c r="C1454" s="40"/>
      <c r="E1454" s="40"/>
      <c r="G1454" s="40"/>
    </row>
    <row r="1455" spans="3:7" x14ac:dyDescent="0.3">
      <c r="C1455" s="40"/>
      <c r="E1455" s="40"/>
      <c r="G1455" s="40"/>
    </row>
    <row r="1456" spans="3:7" x14ac:dyDescent="0.3">
      <c r="C1456" s="40"/>
      <c r="E1456" s="40"/>
      <c r="G1456" s="40"/>
    </row>
    <row r="1457" spans="3:7" x14ac:dyDescent="0.3">
      <c r="C1457" s="40"/>
      <c r="E1457" s="40"/>
      <c r="G1457" s="40"/>
    </row>
    <row r="1458" spans="3:7" x14ac:dyDescent="0.3">
      <c r="C1458" s="40"/>
      <c r="E1458" s="40"/>
      <c r="G1458" s="40"/>
    </row>
    <row r="1459" spans="3:7" x14ac:dyDescent="0.3">
      <c r="C1459" s="40"/>
      <c r="E1459" s="40"/>
      <c r="G1459" s="40"/>
    </row>
    <row r="1460" spans="3:7" x14ac:dyDescent="0.3">
      <c r="C1460" s="40"/>
      <c r="E1460" s="40"/>
      <c r="G1460" s="40"/>
    </row>
    <row r="1461" spans="3:7" x14ac:dyDescent="0.3">
      <c r="C1461" s="40"/>
      <c r="E1461" s="40"/>
      <c r="G1461" s="40"/>
    </row>
    <row r="1462" spans="3:7" x14ac:dyDescent="0.3">
      <c r="C1462" s="40"/>
      <c r="E1462" s="40"/>
      <c r="G1462" s="40"/>
    </row>
    <row r="1463" spans="3:7" x14ac:dyDescent="0.3">
      <c r="C1463" s="40"/>
      <c r="E1463" s="40"/>
      <c r="G1463" s="40"/>
    </row>
    <row r="1464" spans="3:7" x14ac:dyDescent="0.3">
      <c r="C1464" s="40"/>
      <c r="E1464" s="40"/>
      <c r="G1464" s="40"/>
    </row>
    <row r="1465" spans="3:7" x14ac:dyDescent="0.3">
      <c r="C1465" s="40"/>
      <c r="E1465" s="40"/>
      <c r="G1465" s="40"/>
    </row>
    <row r="1466" spans="3:7" x14ac:dyDescent="0.3">
      <c r="C1466" s="40"/>
      <c r="E1466" s="40"/>
      <c r="G1466" s="40"/>
    </row>
    <row r="1467" spans="3:7" x14ac:dyDescent="0.3">
      <c r="C1467" s="40"/>
      <c r="E1467" s="40"/>
      <c r="G1467" s="40"/>
    </row>
    <row r="1468" spans="3:7" x14ac:dyDescent="0.3">
      <c r="C1468" s="40"/>
      <c r="E1468" s="40"/>
      <c r="G1468" s="40"/>
    </row>
    <row r="1469" spans="3:7" x14ac:dyDescent="0.3">
      <c r="C1469" s="40"/>
      <c r="E1469" s="40"/>
      <c r="G1469" s="40"/>
    </row>
    <row r="1470" spans="3:7" x14ac:dyDescent="0.3">
      <c r="C1470" s="40"/>
      <c r="E1470" s="40"/>
      <c r="G1470" s="40"/>
    </row>
    <row r="1471" spans="3:7" x14ac:dyDescent="0.3">
      <c r="C1471" s="40"/>
      <c r="E1471" s="40"/>
      <c r="G1471" s="40"/>
    </row>
    <row r="1472" spans="3:7" x14ac:dyDescent="0.3">
      <c r="C1472" s="40"/>
      <c r="E1472" s="40"/>
      <c r="G1472" s="40"/>
    </row>
    <row r="1473" spans="3:7" x14ac:dyDescent="0.3">
      <c r="C1473" s="40"/>
      <c r="E1473" s="40"/>
      <c r="G1473" s="40"/>
    </row>
    <row r="1474" spans="3:7" x14ac:dyDescent="0.3">
      <c r="C1474" s="40"/>
      <c r="E1474" s="40"/>
      <c r="G1474" s="40"/>
    </row>
    <row r="1475" spans="3:7" x14ac:dyDescent="0.3">
      <c r="C1475" s="40"/>
      <c r="E1475" s="40"/>
      <c r="G1475" s="40"/>
    </row>
    <row r="1476" spans="3:7" x14ac:dyDescent="0.3">
      <c r="C1476" s="40"/>
      <c r="E1476" s="40"/>
      <c r="G1476" s="40"/>
    </row>
    <row r="1477" spans="3:7" x14ac:dyDescent="0.3">
      <c r="C1477" s="40"/>
      <c r="E1477" s="40"/>
      <c r="G1477" s="40"/>
    </row>
    <row r="1478" spans="3:7" x14ac:dyDescent="0.3">
      <c r="C1478" s="40"/>
      <c r="E1478" s="40"/>
      <c r="G1478" s="40"/>
    </row>
    <row r="1479" spans="3:7" x14ac:dyDescent="0.3">
      <c r="C1479" s="40"/>
      <c r="E1479" s="40"/>
      <c r="G1479" s="40"/>
    </row>
    <row r="1480" spans="3:7" x14ac:dyDescent="0.3">
      <c r="C1480" s="40"/>
      <c r="E1480" s="40"/>
      <c r="G1480" s="40"/>
    </row>
    <row r="1481" spans="3:7" x14ac:dyDescent="0.3">
      <c r="C1481" s="40"/>
      <c r="E1481" s="40"/>
      <c r="G1481" s="40"/>
    </row>
    <row r="1482" spans="3:7" x14ac:dyDescent="0.3">
      <c r="C1482" s="40"/>
      <c r="E1482" s="40"/>
      <c r="G1482" s="40"/>
    </row>
    <row r="1483" spans="3:7" x14ac:dyDescent="0.3">
      <c r="C1483" s="40"/>
      <c r="E1483" s="40"/>
      <c r="G1483" s="40"/>
    </row>
    <row r="1484" spans="3:7" x14ac:dyDescent="0.3">
      <c r="C1484" s="40"/>
      <c r="E1484" s="40"/>
      <c r="G1484" s="40"/>
    </row>
    <row r="1485" spans="3:7" x14ac:dyDescent="0.3">
      <c r="C1485" s="40"/>
      <c r="E1485" s="40"/>
      <c r="G1485" s="40"/>
    </row>
    <row r="1486" spans="3:7" x14ac:dyDescent="0.3">
      <c r="C1486" s="40"/>
      <c r="E1486" s="40"/>
      <c r="G1486" s="40"/>
    </row>
    <row r="1487" spans="3:7" x14ac:dyDescent="0.3">
      <c r="C1487" s="40"/>
      <c r="E1487" s="40"/>
      <c r="G1487" s="40"/>
    </row>
    <row r="1488" spans="3:7" x14ac:dyDescent="0.3">
      <c r="C1488" s="40"/>
      <c r="E1488" s="40"/>
      <c r="G1488" s="40"/>
    </row>
    <row r="1489" spans="3:7" x14ac:dyDescent="0.3">
      <c r="C1489" s="40"/>
      <c r="E1489" s="40"/>
      <c r="G1489" s="40"/>
    </row>
    <row r="1490" spans="3:7" x14ac:dyDescent="0.3">
      <c r="C1490" s="40"/>
      <c r="E1490" s="40"/>
      <c r="G1490" s="40"/>
    </row>
    <row r="1491" spans="3:7" x14ac:dyDescent="0.3">
      <c r="C1491" s="40"/>
      <c r="E1491" s="40"/>
      <c r="G1491" s="40"/>
    </row>
    <row r="1492" spans="3:7" x14ac:dyDescent="0.3">
      <c r="C1492" s="40"/>
      <c r="E1492" s="40"/>
      <c r="G1492" s="40"/>
    </row>
    <row r="1493" spans="3:7" x14ac:dyDescent="0.3">
      <c r="C1493" s="40"/>
      <c r="E1493" s="40"/>
      <c r="G1493" s="40"/>
    </row>
    <row r="1494" spans="3:7" x14ac:dyDescent="0.3">
      <c r="C1494" s="40"/>
      <c r="E1494" s="40"/>
      <c r="G1494" s="40"/>
    </row>
    <row r="1495" spans="3:7" x14ac:dyDescent="0.3">
      <c r="C1495" s="40"/>
      <c r="E1495" s="40"/>
      <c r="G1495" s="40"/>
    </row>
    <row r="1496" spans="3:7" x14ac:dyDescent="0.3">
      <c r="C1496" s="40"/>
      <c r="E1496" s="40"/>
      <c r="G1496" s="40"/>
    </row>
    <row r="1497" spans="3:7" x14ac:dyDescent="0.3">
      <c r="C1497" s="40"/>
      <c r="E1497" s="40"/>
      <c r="G1497" s="40"/>
    </row>
    <row r="1498" spans="3:7" x14ac:dyDescent="0.3">
      <c r="C1498" s="40"/>
      <c r="E1498" s="40"/>
      <c r="G1498" s="40"/>
    </row>
    <row r="1499" spans="3:7" x14ac:dyDescent="0.3">
      <c r="C1499" s="40"/>
      <c r="E1499" s="40"/>
      <c r="G1499" s="40"/>
    </row>
    <row r="1500" spans="3:7" x14ac:dyDescent="0.3">
      <c r="C1500" s="40"/>
      <c r="E1500" s="40"/>
      <c r="G1500" s="40"/>
    </row>
    <row r="1501" spans="3:7" x14ac:dyDescent="0.3">
      <c r="C1501" s="40"/>
      <c r="E1501" s="40"/>
      <c r="G1501" s="40"/>
    </row>
    <row r="1502" spans="3:7" x14ac:dyDescent="0.3">
      <c r="C1502" s="40"/>
      <c r="E1502" s="40"/>
      <c r="G1502" s="40"/>
    </row>
    <row r="1503" spans="3:7" x14ac:dyDescent="0.3">
      <c r="C1503" s="40"/>
      <c r="E1503" s="40"/>
      <c r="G1503" s="40"/>
    </row>
    <row r="1504" spans="3:7" x14ac:dyDescent="0.3">
      <c r="C1504" s="40"/>
      <c r="E1504" s="40"/>
      <c r="G1504" s="40"/>
    </row>
    <row r="1505" spans="3:7" x14ac:dyDescent="0.3">
      <c r="C1505" s="40"/>
      <c r="E1505" s="40"/>
      <c r="G1505" s="40"/>
    </row>
    <row r="1506" spans="3:7" x14ac:dyDescent="0.3">
      <c r="C1506" s="40"/>
      <c r="E1506" s="40"/>
      <c r="G1506" s="40"/>
    </row>
    <row r="1507" spans="3:7" x14ac:dyDescent="0.3">
      <c r="C1507" s="40"/>
      <c r="E1507" s="40"/>
      <c r="G1507" s="40"/>
    </row>
    <row r="1508" spans="3:7" x14ac:dyDescent="0.3">
      <c r="C1508" s="40"/>
      <c r="E1508" s="40"/>
      <c r="G1508" s="40"/>
    </row>
    <row r="1509" spans="3:7" x14ac:dyDescent="0.3">
      <c r="C1509" s="40"/>
      <c r="E1509" s="40"/>
      <c r="G1509" s="40"/>
    </row>
    <row r="1510" spans="3:7" x14ac:dyDescent="0.3">
      <c r="C1510" s="40"/>
      <c r="E1510" s="40"/>
      <c r="G1510" s="40"/>
    </row>
    <row r="1511" spans="3:7" x14ac:dyDescent="0.3">
      <c r="C1511" s="40"/>
      <c r="E1511" s="40"/>
      <c r="G1511" s="40"/>
    </row>
    <row r="1512" spans="3:7" x14ac:dyDescent="0.3">
      <c r="C1512" s="40"/>
      <c r="E1512" s="40"/>
      <c r="G1512" s="40"/>
    </row>
    <row r="1513" spans="3:7" x14ac:dyDescent="0.3">
      <c r="C1513" s="40"/>
      <c r="E1513" s="40"/>
      <c r="G1513" s="40"/>
    </row>
    <row r="1514" spans="3:7" x14ac:dyDescent="0.3">
      <c r="C1514" s="40"/>
      <c r="E1514" s="40"/>
      <c r="G1514" s="40"/>
    </row>
    <row r="1515" spans="3:7" x14ac:dyDescent="0.3">
      <c r="C1515" s="40"/>
      <c r="E1515" s="40"/>
      <c r="G1515" s="40"/>
    </row>
    <row r="1516" spans="3:7" x14ac:dyDescent="0.3">
      <c r="C1516" s="40"/>
      <c r="E1516" s="40"/>
      <c r="G1516" s="40"/>
    </row>
    <row r="1517" spans="3:7" x14ac:dyDescent="0.3">
      <c r="C1517" s="40"/>
      <c r="E1517" s="40"/>
      <c r="G1517" s="40"/>
    </row>
    <row r="1518" spans="3:7" x14ac:dyDescent="0.3">
      <c r="C1518" s="40"/>
      <c r="E1518" s="40"/>
      <c r="G1518" s="40"/>
    </row>
    <row r="1519" spans="3:7" x14ac:dyDescent="0.3">
      <c r="C1519" s="40"/>
      <c r="E1519" s="40"/>
      <c r="G1519" s="40"/>
    </row>
    <row r="1520" spans="3:7" x14ac:dyDescent="0.3">
      <c r="C1520" s="40"/>
      <c r="E1520" s="40"/>
      <c r="G1520" s="40"/>
    </row>
    <row r="1521" spans="3:7" x14ac:dyDescent="0.3">
      <c r="C1521" s="40"/>
      <c r="E1521" s="40"/>
      <c r="G1521" s="40"/>
    </row>
    <row r="1522" spans="3:7" x14ac:dyDescent="0.3">
      <c r="C1522" s="40"/>
      <c r="E1522" s="40"/>
      <c r="G1522" s="40"/>
    </row>
    <row r="1523" spans="3:7" x14ac:dyDescent="0.3">
      <c r="C1523" s="40"/>
      <c r="E1523" s="40"/>
      <c r="G1523" s="40"/>
    </row>
    <row r="1524" spans="3:7" x14ac:dyDescent="0.3">
      <c r="C1524" s="40"/>
      <c r="E1524" s="40"/>
      <c r="G1524" s="40"/>
    </row>
    <row r="1525" spans="3:7" x14ac:dyDescent="0.3">
      <c r="C1525" s="40"/>
      <c r="E1525" s="40"/>
      <c r="G1525" s="40"/>
    </row>
    <row r="1526" spans="3:7" x14ac:dyDescent="0.3">
      <c r="C1526" s="40"/>
      <c r="E1526" s="40"/>
      <c r="G1526" s="40"/>
    </row>
    <row r="1527" spans="3:7" x14ac:dyDescent="0.3">
      <c r="C1527" s="40"/>
      <c r="E1527" s="40"/>
      <c r="G1527" s="40"/>
    </row>
    <row r="1528" spans="3:7" x14ac:dyDescent="0.3">
      <c r="C1528" s="40"/>
      <c r="E1528" s="40"/>
      <c r="G1528" s="40"/>
    </row>
    <row r="1529" spans="3:7" x14ac:dyDescent="0.3">
      <c r="C1529" s="40"/>
      <c r="E1529" s="40"/>
      <c r="G1529" s="40"/>
    </row>
    <row r="1530" spans="3:7" x14ac:dyDescent="0.3">
      <c r="C1530" s="40"/>
      <c r="E1530" s="40"/>
      <c r="G1530" s="40"/>
    </row>
    <row r="1531" spans="3:7" x14ac:dyDescent="0.3">
      <c r="C1531" s="40"/>
      <c r="E1531" s="40"/>
      <c r="G1531" s="40"/>
    </row>
    <row r="1532" spans="3:7" x14ac:dyDescent="0.3">
      <c r="C1532" s="40"/>
      <c r="E1532" s="40"/>
      <c r="G1532" s="40"/>
    </row>
    <row r="1533" spans="3:7" x14ac:dyDescent="0.3">
      <c r="C1533" s="40"/>
      <c r="E1533" s="40"/>
      <c r="G1533" s="40"/>
    </row>
    <row r="1534" spans="3:7" x14ac:dyDescent="0.3">
      <c r="C1534" s="40"/>
      <c r="E1534" s="40"/>
      <c r="G1534" s="40"/>
    </row>
    <row r="1535" spans="3:7" x14ac:dyDescent="0.3">
      <c r="C1535" s="40"/>
      <c r="E1535" s="40"/>
      <c r="G1535" s="40"/>
    </row>
    <row r="1536" spans="3:7" x14ac:dyDescent="0.3">
      <c r="C1536" s="40"/>
      <c r="E1536" s="40"/>
      <c r="G1536" s="40"/>
    </row>
    <row r="1537" spans="3:7" x14ac:dyDescent="0.3">
      <c r="C1537" s="40"/>
      <c r="E1537" s="40"/>
      <c r="G1537" s="40"/>
    </row>
    <row r="1538" spans="3:7" x14ac:dyDescent="0.3">
      <c r="C1538" s="40"/>
      <c r="E1538" s="40"/>
      <c r="G1538" s="40"/>
    </row>
    <row r="1539" spans="3:7" x14ac:dyDescent="0.3">
      <c r="C1539" s="40"/>
      <c r="E1539" s="40"/>
      <c r="G1539" s="40"/>
    </row>
    <row r="1540" spans="3:7" x14ac:dyDescent="0.3">
      <c r="C1540" s="40"/>
      <c r="E1540" s="40"/>
      <c r="G1540" s="40"/>
    </row>
    <row r="1541" spans="3:7" x14ac:dyDescent="0.3">
      <c r="C1541" s="40"/>
      <c r="E1541" s="40"/>
      <c r="G1541" s="40"/>
    </row>
    <row r="1542" spans="3:7" x14ac:dyDescent="0.3">
      <c r="C1542" s="40"/>
      <c r="E1542" s="40"/>
      <c r="G1542" s="40"/>
    </row>
    <row r="1543" spans="3:7" x14ac:dyDescent="0.3">
      <c r="C1543" s="40"/>
      <c r="E1543" s="40"/>
      <c r="G1543" s="40"/>
    </row>
    <row r="1544" spans="3:7" x14ac:dyDescent="0.3">
      <c r="C1544" s="40"/>
      <c r="E1544" s="40"/>
      <c r="G1544" s="40"/>
    </row>
    <row r="1545" spans="3:7" x14ac:dyDescent="0.3">
      <c r="C1545" s="40"/>
      <c r="E1545" s="40"/>
      <c r="G1545" s="40"/>
    </row>
    <row r="1546" spans="3:7" x14ac:dyDescent="0.3">
      <c r="C1546" s="40"/>
      <c r="E1546" s="40"/>
      <c r="G1546" s="40"/>
    </row>
    <row r="1547" spans="3:7" x14ac:dyDescent="0.3">
      <c r="C1547" s="40"/>
      <c r="E1547" s="40"/>
      <c r="G1547" s="40"/>
    </row>
    <row r="1548" spans="3:7" x14ac:dyDescent="0.3">
      <c r="C1548" s="40"/>
      <c r="E1548" s="40"/>
      <c r="G1548" s="40"/>
    </row>
    <row r="1549" spans="3:7" x14ac:dyDescent="0.3">
      <c r="C1549" s="40"/>
      <c r="E1549" s="40"/>
      <c r="G1549" s="40"/>
    </row>
    <row r="1550" spans="3:7" x14ac:dyDescent="0.3">
      <c r="C1550" s="40"/>
      <c r="E1550" s="40"/>
      <c r="G1550" s="40"/>
    </row>
    <row r="1551" spans="3:7" x14ac:dyDescent="0.3">
      <c r="C1551" s="40"/>
      <c r="E1551" s="40"/>
      <c r="G1551" s="40"/>
    </row>
    <row r="1552" spans="3:7" x14ac:dyDescent="0.3">
      <c r="C1552" s="40"/>
      <c r="E1552" s="40"/>
      <c r="G1552" s="40"/>
    </row>
    <row r="1553" spans="3:7" x14ac:dyDescent="0.3">
      <c r="C1553" s="40"/>
      <c r="E1553" s="40"/>
      <c r="G1553" s="40"/>
    </row>
    <row r="1554" spans="3:7" x14ac:dyDescent="0.3">
      <c r="C1554" s="40"/>
      <c r="E1554" s="40"/>
      <c r="G1554" s="40"/>
    </row>
    <row r="1555" spans="3:7" x14ac:dyDescent="0.3">
      <c r="C1555" s="40"/>
      <c r="E1555" s="40"/>
      <c r="G1555" s="40"/>
    </row>
    <row r="1556" spans="3:7" x14ac:dyDescent="0.3">
      <c r="C1556" s="40"/>
      <c r="E1556" s="40"/>
      <c r="G1556" s="40"/>
    </row>
    <row r="1557" spans="3:7" x14ac:dyDescent="0.3">
      <c r="C1557" s="40"/>
      <c r="E1557" s="40"/>
      <c r="G1557" s="40"/>
    </row>
    <row r="1558" spans="3:7" x14ac:dyDescent="0.3">
      <c r="C1558" s="40"/>
      <c r="E1558" s="40"/>
      <c r="G1558" s="40"/>
    </row>
    <row r="1559" spans="3:7" x14ac:dyDescent="0.3">
      <c r="C1559" s="40"/>
      <c r="E1559" s="40"/>
      <c r="G1559" s="40"/>
    </row>
    <row r="1560" spans="3:7" x14ac:dyDescent="0.3">
      <c r="C1560" s="40"/>
      <c r="E1560" s="40"/>
      <c r="G1560" s="40"/>
    </row>
    <row r="1561" spans="3:7" x14ac:dyDescent="0.3">
      <c r="C1561" s="40"/>
      <c r="E1561" s="40"/>
      <c r="G1561" s="40"/>
    </row>
    <row r="1562" spans="3:7" x14ac:dyDescent="0.3">
      <c r="C1562" s="40"/>
      <c r="E1562" s="40"/>
      <c r="G1562" s="40"/>
    </row>
    <row r="1563" spans="3:7" x14ac:dyDescent="0.3">
      <c r="C1563" s="40"/>
      <c r="E1563" s="40"/>
      <c r="G1563" s="40"/>
    </row>
    <row r="1564" spans="3:7" x14ac:dyDescent="0.3">
      <c r="C1564" s="40"/>
      <c r="E1564" s="40"/>
      <c r="G1564" s="40"/>
    </row>
    <row r="1565" spans="3:7" x14ac:dyDescent="0.3">
      <c r="C1565" s="40"/>
      <c r="E1565" s="40"/>
      <c r="G1565" s="40"/>
    </row>
    <row r="1566" spans="3:7" x14ac:dyDescent="0.3">
      <c r="C1566" s="40"/>
      <c r="E1566" s="40"/>
      <c r="G1566" s="40"/>
    </row>
    <row r="1567" spans="3:7" x14ac:dyDescent="0.3">
      <c r="C1567" s="40"/>
      <c r="E1567" s="40"/>
      <c r="G1567" s="40"/>
    </row>
    <row r="1568" spans="3:7" x14ac:dyDescent="0.3">
      <c r="C1568" s="40"/>
      <c r="E1568" s="40"/>
      <c r="G1568" s="40"/>
    </row>
    <row r="1569" spans="3:7" x14ac:dyDescent="0.3">
      <c r="C1569" s="40"/>
      <c r="E1569" s="40"/>
      <c r="G1569" s="40"/>
    </row>
    <row r="1570" spans="3:7" x14ac:dyDescent="0.3">
      <c r="C1570" s="40"/>
      <c r="E1570" s="40"/>
      <c r="G1570" s="40"/>
    </row>
    <row r="1571" spans="3:7" x14ac:dyDescent="0.3">
      <c r="C1571" s="40"/>
      <c r="E1571" s="40"/>
      <c r="G1571" s="40"/>
    </row>
    <row r="1572" spans="3:7" x14ac:dyDescent="0.3">
      <c r="C1572" s="40"/>
      <c r="E1572" s="40"/>
      <c r="G1572" s="40"/>
    </row>
    <row r="1573" spans="3:7" x14ac:dyDescent="0.3">
      <c r="C1573" s="40"/>
      <c r="E1573" s="40"/>
      <c r="G1573" s="40"/>
    </row>
    <row r="1574" spans="3:7" x14ac:dyDescent="0.3">
      <c r="C1574" s="40"/>
      <c r="E1574" s="40"/>
      <c r="G1574" s="40"/>
    </row>
    <row r="1575" spans="3:7" x14ac:dyDescent="0.3">
      <c r="C1575" s="40"/>
      <c r="E1575" s="40"/>
      <c r="G1575" s="40"/>
    </row>
    <row r="1576" spans="3:7" x14ac:dyDescent="0.3">
      <c r="C1576" s="40"/>
      <c r="E1576" s="40"/>
      <c r="G1576" s="40"/>
    </row>
    <row r="1577" spans="3:7" x14ac:dyDescent="0.3">
      <c r="C1577" s="40"/>
      <c r="E1577" s="40"/>
      <c r="G1577" s="40"/>
    </row>
    <row r="1578" spans="3:7" x14ac:dyDescent="0.3">
      <c r="C1578" s="40"/>
      <c r="E1578" s="40"/>
      <c r="G1578" s="40"/>
    </row>
    <row r="1579" spans="3:7" x14ac:dyDescent="0.3">
      <c r="C1579" s="40"/>
      <c r="E1579" s="40"/>
      <c r="G1579" s="40"/>
    </row>
    <row r="1580" spans="3:7" x14ac:dyDescent="0.3">
      <c r="C1580" s="40"/>
      <c r="E1580" s="40"/>
      <c r="G1580" s="40"/>
    </row>
    <row r="1581" spans="3:7" x14ac:dyDescent="0.3">
      <c r="C1581" s="40"/>
      <c r="E1581" s="40"/>
      <c r="G1581" s="40"/>
    </row>
    <row r="1582" spans="3:7" x14ac:dyDescent="0.3">
      <c r="C1582" s="40"/>
      <c r="E1582" s="40"/>
      <c r="G1582" s="40"/>
    </row>
    <row r="1583" spans="3:7" x14ac:dyDescent="0.3">
      <c r="C1583" s="40"/>
      <c r="E1583" s="40"/>
      <c r="G1583" s="40"/>
    </row>
    <row r="1584" spans="3:7" x14ac:dyDescent="0.3">
      <c r="C1584" s="40"/>
      <c r="E1584" s="40"/>
      <c r="G1584" s="40"/>
    </row>
    <row r="1585" spans="3:7" x14ac:dyDescent="0.3">
      <c r="C1585" s="40"/>
      <c r="E1585" s="40"/>
      <c r="G1585" s="40"/>
    </row>
    <row r="1586" spans="3:7" x14ac:dyDescent="0.3">
      <c r="C1586" s="40"/>
      <c r="E1586" s="40"/>
      <c r="G1586" s="40"/>
    </row>
    <row r="1587" spans="3:7" x14ac:dyDescent="0.3">
      <c r="C1587" s="40"/>
      <c r="E1587" s="40"/>
      <c r="G1587" s="40"/>
    </row>
    <row r="1588" spans="3:7" x14ac:dyDescent="0.3">
      <c r="C1588" s="40"/>
      <c r="E1588" s="40"/>
      <c r="G1588" s="40"/>
    </row>
    <row r="1589" spans="3:7" x14ac:dyDescent="0.3">
      <c r="C1589" s="40"/>
      <c r="E1589" s="40"/>
      <c r="G1589" s="40"/>
    </row>
    <row r="1590" spans="3:7" x14ac:dyDescent="0.3">
      <c r="C1590" s="40"/>
      <c r="E1590" s="40"/>
      <c r="G1590" s="40"/>
    </row>
    <row r="1591" spans="3:7" x14ac:dyDescent="0.3">
      <c r="C1591" s="40"/>
      <c r="E1591" s="40"/>
      <c r="G1591" s="40"/>
    </row>
    <row r="1592" spans="3:7" x14ac:dyDescent="0.3">
      <c r="C1592" s="40"/>
      <c r="E1592" s="40"/>
      <c r="G1592" s="40"/>
    </row>
    <row r="1593" spans="3:7" x14ac:dyDescent="0.3">
      <c r="C1593" s="40"/>
      <c r="E1593" s="40"/>
      <c r="G1593" s="40"/>
    </row>
    <row r="1594" spans="3:7" x14ac:dyDescent="0.3">
      <c r="C1594" s="40"/>
      <c r="E1594" s="40"/>
      <c r="G1594" s="40"/>
    </row>
    <row r="1595" spans="3:7" x14ac:dyDescent="0.3">
      <c r="C1595" s="40"/>
      <c r="E1595" s="40"/>
      <c r="G1595" s="40"/>
    </row>
    <row r="1596" spans="3:7" x14ac:dyDescent="0.3">
      <c r="C1596" s="40"/>
      <c r="E1596" s="40"/>
      <c r="G1596" s="40"/>
    </row>
    <row r="1597" spans="3:7" x14ac:dyDescent="0.3">
      <c r="C1597" s="40"/>
      <c r="E1597" s="40"/>
      <c r="G1597" s="40"/>
    </row>
    <row r="1598" spans="3:7" x14ac:dyDescent="0.3">
      <c r="C1598" s="40"/>
      <c r="E1598" s="40"/>
      <c r="G1598" s="40"/>
    </row>
    <row r="1599" spans="3:7" x14ac:dyDescent="0.3">
      <c r="C1599" s="40"/>
      <c r="E1599" s="40"/>
      <c r="G1599" s="40"/>
    </row>
    <row r="1600" spans="3:7" x14ac:dyDescent="0.3">
      <c r="C1600" s="40"/>
      <c r="E1600" s="40"/>
      <c r="G1600" s="40"/>
    </row>
    <row r="1601" spans="3:7" x14ac:dyDescent="0.3">
      <c r="C1601" s="40"/>
      <c r="E1601" s="40"/>
      <c r="G1601" s="40"/>
    </row>
    <row r="1602" spans="3:7" x14ac:dyDescent="0.3">
      <c r="C1602" s="40"/>
      <c r="E1602" s="40"/>
      <c r="G1602" s="40"/>
    </row>
    <row r="1603" spans="3:7" x14ac:dyDescent="0.3">
      <c r="C1603" s="40"/>
      <c r="E1603" s="40"/>
      <c r="G1603" s="40"/>
    </row>
    <row r="1604" spans="3:7" x14ac:dyDescent="0.3">
      <c r="C1604" s="40"/>
      <c r="E1604" s="40"/>
      <c r="G1604" s="40"/>
    </row>
    <row r="1605" spans="3:7" x14ac:dyDescent="0.3">
      <c r="C1605" s="40"/>
      <c r="E1605" s="40"/>
      <c r="G1605" s="40"/>
    </row>
    <row r="1606" spans="3:7" x14ac:dyDescent="0.3">
      <c r="C1606" s="40"/>
      <c r="E1606" s="40"/>
      <c r="G1606" s="40"/>
    </row>
    <row r="1607" spans="3:7" x14ac:dyDescent="0.3">
      <c r="C1607" s="40"/>
      <c r="E1607" s="40"/>
      <c r="G1607" s="40"/>
    </row>
    <row r="1608" spans="3:7" x14ac:dyDescent="0.3">
      <c r="C1608" s="40"/>
      <c r="E1608" s="40"/>
      <c r="G1608" s="40"/>
    </row>
    <row r="1609" spans="3:7" x14ac:dyDescent="0.3">
      <c r="C1609" s="40"/>
      <c r="E1609" s="40"/>
      <c r="G1609" s="40"/>
    </row>
    <row r="1610" spans="3:7" x14ac:dyDescent="0.3">
      <c r="C1610" s="40"/>
      <c r="E1610" s="40"/>
      <c r="G1610" s="40"/>
    </row>
    <row r="1611" spans="3:7" x14ac:dyDescent="0.3">
      <c r="C1611" s="40"/>
      <c r="E1611" s="40"/>
      <c r="G1611" s="40"/>
    </row>
    <row r="1612" spans="3:7" x14ac:dyDescent="0.3">
      <c r="C1612" s="40"/>
      <c r="E1612" s="40"/>
      <c r="G1612" s="40"/>
    </row>
    <row r="1613" spans="3:7" x14ac:dyDescent="0.3">
      <c r="C1613" s="40"/>
      <c r="E1613" s="40"/>
      <c r="G1613" s="40"/>
    </row>
    <row r="1614" spans="3:7" x14ac:dyDescent="0.3">
      <c r="C1614" s="40"/>
      <c r="E1614" s="40"/>
      <c r="G1614" s="40"/>
    </row>
    <row r="1615" spans="3:7" x14ac:dyDescent="0.3">
      <c r="C1615" s="40"/>
      <c r="E1615" s="40"/>
      <c r="G1615" s="40"/>
    </row>
    <row r="1616" spans="3:7" x14ac:dyDescent="0.3">
      <c r="C1616" s="40"/>
      <c r="E1616" s="40"/>
      <c r="G1616" s="40"/>
    </row>
    <row r="1617" spans="3:7" x14ac:dyDescent="0.3">
      <c r="C1617" s="40"/>
      <c r="E1617" s="40"/>
      <c r="G1617" s="40"/>
    </row>
    <row r="1618" spans="3:7" x14ac:dyDescent="0.3">
      <c r="C1618" s="40"/>
      <c r="E1618" s="40"/>
      <c r="G1618" s="40"/>
    </row>
    <row r="1619" spans="3:7" x14ac:dyDescent="0.3">
      <c r="C1619" s="40"/>
      <c r="E1619" s="40"/>
      <c r="G1619" s="40"/>
    </row>
    <row r="1620" spans="3:7" x14ac:dyDescent="0.3">
      <c r="C1620" s="40"/>
      <c r="E1620" s="40"/>
      <c r="G1620" s="40"/>
    </row>
    <row r="1621" spans="3:7" x14ac:dyDescent="0.3">
      <c r="C1621" s="40"/>
      <c r="E1621" s="40"/>
      <c r="G1621" s="40"/>
    </row>
    <row r="1622" spans="3:7" x14ac:dyDescent="0.3">
      <c r="C1622" s="40"/>
      <c r="E1622" s="40"/>
      <c r="G1622" s="40"/>
    </row>
    <row r="1623" spans="3:7" x14ac:dyDescent="0.3">
      <c r="C1623" s="40"/>
      <c r="E1623" s="40"/>
      <c r="G1623" s="40"/>
    </row>
    <row r="1624" spans="3:7" x14ac:dyDescent="0.3">
      <c r="C1624" s="40"/>
      <c r="E1624" s="40"/>
      <c r="G1624" s="40"/>
    </row>
    <row r="1625" spans="3:7" x14ac:dyDescent="0.3">
      <c r="C1625" s="40"/>
      <c r="E1625" s="40"/>
      <c r="G1625" s="40"/>
    </row>
    <row r="1626" spans="3:7" x14ac:dyDescent="0.3">
      <c r="C1626" s="40"/>
      <c r="E1626" s="40"/>
      <c r="G1626" s="40"/>
    </row>
    <row r="1627" spans="3:7" x14ac:dyDescent="0.3">
      <c r="C1627" s="40"/>
      <c r="E1627" s="40"/>
      <c r="G1627" s="40"/>
    </row>
    <row r="1628" spans="3:7" x14ac:dyDescent="0.3">
      <c r="C1628" s="40"/>
      <c r="E1628" s="40"/>
      <c r="G1628" s="40"/>
    </row>
    <row r="1629" spans="3:7" x14ac:dyDescent="0.3">
      <c r="C1629" s="40"/>
      <c r="E1629" s="40"/>
      <c r="G1629" s="40"/>
    </row>
    <row r="1630" spans="3:7" x14ac:dyDescent="0.3">
      <c r="C1630" s="40"/>
      <c r="E1630" s="40"/>
      <c r="G1630" s="40"/>
    </row>
    <row r="1631" spans="3:7" x14ac:dyDescent="0.3">
      <c r="C1631" s="40"/>
      <c r="E1631" s="40"/>
      <c r="G1631" s="40"/>
    </row>
    <row r="1632" spans="3:7" x14ac:dyDescent="0.3">
      <c r="C1632" s="40"/>
      <c r="E1632" s="40"/>
      <c r="G1632" s="40"/>
    </row>
    <row r="1633" spans="3:7" x14ac:dyDescent="0.3">
      <c r="C1633" s="40"/>
      <c r="E1633" s="40"/>
      <c r="G1633" s="40"/>
    </row>
    <row r="1634" spans="3:7" x14ac:dyDescent="0.3">
      <c r="C1634" s="40"/>
      <c r="E1634" s="40"/>
      <c r="G1634" s="40"/>
    </row>
    <row r="1635" spans="3:7" x14ac:dyDescent="0.3">
      <c r="C1635" s="40"/>
      <c r="E1635" s="40"/>
      <c r="G1635" s="40"/>
    </row>
    <row r="1636" spans="3:7" x14ac:dyDescent="0.3">
      <c r="C1636" s="40"/>
      <c r="E1636" s="40"/>
      <c r="G1636" s="40"/>
    </row>
    <row r="1637" spans="3:7" x14ac:dyDescent="0.3">
      <c r="C1637" s="40"/>
      <c r="E1637" s="40"/>
      <c r="G1637" s="40"/>
    </row>
    <row r="1638" spans="3:7" x14ac:dyDescent="0.3">
      <c r="C1638" s="40"/>
      <c r="E1638" s="40"/>
      <c r="G1638" s="40"/>
    </row>
    <row r="1639" spans="3:7" x14ac:dyDescent="0.3">
      <c r="C1639" s="40"/>
      <c r="E1639" s="40"/>
      <c r="G1639" s="40"/>
    </row>
    <row r="1640" spans="3:7" x14ac:dyDescent="0.3">
      <c r="C1640" s="40"/>
      <c r="E1640" s="40"/>
      <c r="G1640" s="40"/>
    </row>
    <row r="1641" spans="3:7" x14ac:dyDescent="0.3">
      <c r="C1641" s="40"/>
      <c r="E1641" s="40"/>
      <c r="G1641" s="40"/>
    </row>
    <row r="1642" spans="3:7" x14ac:dyDescent="0.3">
      <c r="C1642" s="40"/>
      <c r="E1642" s="40"/>
      <c r="G1642" s="40"/>
    </row>
    <row r="1643" spans="3:7" x14ac:dyDescent="0.3">
      <c r="C1643" s="40"/>
      <c r="E1643" s="40"/>
      <c r="G1643" s="40"/>
    </row>
    <row r="1644" spans="3:7" x14ac:dyDescent="0.3">
      <c r="C1644" s="40"/>
      <c r="E1644" s="40"/>
      <c r="G1644" s="40"/>
    </row>
    <row r="1645" spans="3:7" x14ac:dyDescent="0.3">
      <c r="C1645" s="40"/>
      <c r="E1645" s="40"/>
      <c r="G1645" s="40"/>
    </row>
    <row r="1646" spans="3:7" x14ac:dyDescent="0.3">
      <c r="C1646" s="40"/>
      <c r="E1646" s="40"/>
      <c r="G1646" s="40"/>
    </row>
    <row r="1647" spans="3:7" x14ac:dyDescent="0.3">
      <c r="C1647" s="40"/>
      <c r="E1647" s="40"/>
      <c r="G1647" s="40"/>
    </row>
    <row r="1648" spans="3:7" x14ac:dyDescent="0.3">
      <c r="C1648" s="40"/>
      <c r="E1648" s="40"/>
      <c r="G1648" s="40"/>
    </row>
    <row r="1649" spans="3:7" x14ac:dyDescent="0.3">
      <c r="C1649" s="40"/>
      <c r="E1649" s="40"/>
      <c r="G1649" s="40"/>
    </row>
    <row r="1650" spans="3:7" x14ac:dyDescent="0.3">
      <c r="C1650" s="40"/>
      <c r="E1650" s="40"/>
      <c r="G1650" s="40"/>
    </row>
    <row r="1651" spans="3:7" x14ac:dyDescent="0.3">
      <c r="C1651" s="40"/>
      <c r="E1651" s="40"/>
      <c r="G1651" s="40"/>
    </row>
    <row r="1652" spans="3:7" x14ac:dyDescent="0.3">
      <c r="C1652" s="40"/>
      <c r="E1652" s="40"/>
      <c r="G1652" s="40"/>
    </row>
    <row r="1653" spans="3:7" x14ac:dyDescent="0.3">
      <c r="C1653" s="40"/>
      <c r="E1653" s="40"/>
      <c r="G1653" s="40"/>
    </row>
    <row r="1654" spans="3:7" x14ac:dyDescent="0.3">
      <c r="C1654" s="40"/>
      <c r="E1654" s="40"/>
      <c r="G1654" s="40"/>
    </row>
    <row r="1655" spans="3:7" x14ac:dyDescent="0.3">
      <c r="C1655" s="40"/>
      <c r="E1655" s="40"/>
      <c r="G1655" s="40"/>
    </row>
    <row r="1656" spans="3:7" x14ac:dyDescent="0.3">
      <c r="C1656" s="40"/>
      <c r="E1656" s="40"/>
      <c r="G1656" s="40"/>
    </row>
    <row r="1657" spans="3:7" x14ac:dyDescent="0.3">
      <c r="C1657" s="40"/>
      <c r="E1657" s="40"/>
      <c r="G1657" s="40"/>
    </row>
    <row r="1658" spans="3:7" x14ac:dyDescent="0.3">
      <c r="C1658" s="40"/>
      <c r="E1658" s="40"/>
      <c r="G1658" s="40"/>
    </row>
    <row r="1659" spans="3:7" x14ac:dyDescent="0.3">
      <c r="C1659" s="40"/>
      <c r="E1659" s="40"/>
      <c r="G1659" s="40"/>
    </row>
    <row r="1660" spans="3:7" x14ac:dyDescent="0.3">
      <c r="C1660" s="40"/>
      <c r="E1660" s="40"/>
      <c r="G1660" s="40"/>
    </row>
    <row r="1661" spans="3:7" x14ac:dyDescent="0.3">
      <c r="C1661" s="40"/>
      <c r="E1661" s="40"/>
      <c r="G1661" s="40"/>
    </row>
    <row r="1662" spans="3:7" x14ac:dyDescent="0.3">
      <c r="C1662" s="40"/>
      <c r="E1662" s="40"/>
      <c r="G1662" s="40"/>
    </row>
    <row r="1663" spans="3:7" x14ac:dyDescent="0.3">
      <c r="C1663" s="40"/>
      <c r="E1663" s="40"/>
      <c r="G1663" s="40"/>
    </row>
    <row r="1664" spans="3:7" x14ac:dyDescent="0.3">
      <c r="C1664" s="40"/>
      <c r="E1664" s="40"/>
      <c r="G1664" s="40"/>
    </row>
    <row r="1665" spans="3:7" x14ac:dyDescent="0.3">
      <c r="C1665" s="40"/>
      <c r="E1665" s="40"/>
      <c r="G1665" s="40"/>
    </row>
    <row r="1666" spans="3:7" x14ac:dyDescent="0.3">
      <c r="C1666" s="40"/>
      <c r="E1666" s="40"/>
      <c r="G1666" s="40"/>
    </row>
    <row r="1667" spans="3:7" x14ac:dyDescent="0.3">
      <c r="C1667" s="40"/>
      <c r="E1667" s="40"/>
      <c r="G1667" s="40"/>
    </row>
    <row r="1668" spans="3:7" x14ac:dyDescent="0.3">
      <c r="C1668" s="40"/>
      <c r="E1668" s="40"/>
      <c r="G1668" s="40"/>
    </row>
    <row r="1669" spans="3:7" x14ac:dyDescent="0.3">
      <c r="C1669" s="40"/>
      <c r="E1669" s="40"/>
      <c r="G1669" s="40"/>
    </row>
    <row r="1670" spans="3:7" x14ac:dyDescent="0.3">
      <c r="C1670" s="40"/>
      <c r="E1670" s="40"/>
      <c r="G1670" s="40"/>
    </row>
    <row r="1671" spans="3:7" x14ac:dyDescent="0.3">
      <c r="C1671" s="40"/>
      <c r="E1671" s="40"/>
      <c r="G1671" s="40"/>
    </row>
    <row r="1672" spans="3:7" x14ac:dyDescent="0.3">
      <c r="C1672" s="40"/>
      <c r="E1672" s="40"/>
      <c r="G1672" s="40"/>
    </row>
    <row r="1673" spans="3:7" x14ac:dyDescent="0.3">
      <c r="C1673" s="40"/>
      <c r="E1673" s="40"/>
      <c r="G1673" s="40"/>
    </row>
    <row r="1674" spans="3:7" x14ac:dyDescent="0.3">
      <c r="C1674" s="40"/>
      <c r="E1674" s="40"/>
      <c r="G1674" s="40"/>
    </row>
    <row r="1675" spans="3:7" x14ac:dyDescent="0.3">
      <c r="C1675" s="40"/>
      <c r="E1675" s="40"/>
      <c r="G1675" s="40"/>
    </row>
    <row r="1676" spans="3:7" x14ac:dyDescent="0.3">
      <c r="C1676" s="40"/>
      <c r="E1676" s="40"/>
      <c r="G1676" s="40"/>
    </row>
    <row r="1677" spans="3:7" x14ac:dyDescent="0.3">
      <c r="C1677" s="40"/>
      <c r="E1677" s="40"/>
      <c r="G1677" s="40"/>
    </row>
    <row r="1678" spans="3:7" x14ac:dyDescent="0.3">
      <c r="C1678" s="40"/>
      <c r="E1678" s="40"/>
      <c r="G1678" s="40"/>
    </row>
    <row r="1679" spans="3:7" x14ac:dyDescent="0.3">
      <c r="C1679" s="40"/>
      <c r="E1679" s="40"/>
      <c r="G1679" s="40"/>
    </row>
    <row r="1680" spans="3:7" x14ac:dyDescent="0.3">
      <c r="C1680" s="40"/>
      <c r="E1680" s="40"/>
      <c r="G1680" s="40"/>
    </row>
    <row r="1681" spans="3:7" x14ac:dyDescent="0.3">
      <c r="C1681" s="40"/>
      <c r="E1681" s="40"/>
      <c r="G1681" s="40"/>
    </row>
    <row r="1682" spans="3:7" x14ac:dyDescent="0.3">
      <c r="C1682" s="40"/>
      <c r="E1682" s="40"/>
      <c r="G1682" s="40"/>
    </row>
    <row r="1683" spans="3:7" x14ac:dyDescent="0.3">
      <c r="C1683" s="40"/>
      <c r="E1683" s="40"/>
      <c r="G1683" s="40"/>
    </row>
    <row r="1684" spans="3:7" x14ac:dyDescent="0.3">
      <c r="C1684" s="40"/>
      <c r="E1684" s="40"/>
      <c r="G1684" s="40"/>
    </row>
    <row r="1685" spans="3:7" x14ac:dyDescent="0.3">
      <c r="C1685" s="40"/>
      <c r="E1685" s="40"/>
      <c r="G1685" s="40"/>
    </row>
    <row r="1686" spans="3:7" x14ac:dyDescent="0.3">
      <c r="C1686" s="40"/>
      <c r="E1686" s="40"/>
      <c r="G1686" s="40"/>
    </row>
    <row r="1687" spans="3:7" x14ac:dyDescent="0.3">
      <c r="C1687" s="40"/>
      <c r="E1687" s="40"/>
      <c r="G1687" s="40"/>
    </row>
    <row r="1688" spans="3:7" x14ac:dyDescent="0.3">
      <c r="C1688" s="40"/>
      <c r="E1688" s="40"/>
      <c r="G1688" s="40"/>
    </row>
    <row r="1689" spans="3:7" x14ac:dyDescent="0.3">
      <c r="C1689" s="40"/>
      <c r="E1689" s="40"/>
      <c r="G1689" s="40"/>
    </row>
    <row r="1690" spans="3:7" x14ac:dyDescent="0.3">
      <c r="C1690" s="40"/>
      <c r="E1690" s="40"/>
      <c r="G1690" s="40"/>
    </row>
    <row r="1691" spans="3:7" x14ac:dyDescent="0.3">
      <c r="C1691" s="40"/>
      <c r="E1691" s="40"/>
      <c r="G1691" s="40"/>
    </row>
    <row r="1692" spans="3:7" x14ac:dyDescent="0.3">
      <c r="C1692" s="40"/>
      <c r="E1692" s="40"/>
      <c r="G1692" s="40"/>
    </row>
    <row r="1693" spans="3:7" x14ac:dyDescent="0.3">
      <c r="C1693" s="40"/>
      <c r="E1693" s="40"/>
      <c r="G1693" s="40"/>
    </row>
    <row r="1694" spans="3:7" x14ac:dyDescent="0.3">
      <c r="C1694" s="40"/>
      <c r="E1694" s="40"/>
      <c r="G1694" s="40"/>
    </row>
    <row r="1695" spans="3:7" x14ac:dyDescent="0.3">
      <c r="C1695" s="40"/>
      <c r="E1695" s="40"/>
      <c r="G1695" s="40"/>
    </row>
    <row r="1696" spans="3:7" x14ac:dyDescent="0.3">
      <c r="C1696" s="40"/>
      <c r="E1696" s="40"/>
      <c r="G1696" s="40"/>
    </row>
    <row r="1697" spans="3:7" x14ac:dyDescent="0.3">
      <c r="C1697" s="40"/>
      <c r="E1697" s="40"/>
      <c r="G1697" s="40"/>
    </row>
    <row r="1698" spans="3:7" x14ac:dyDescent="0.3">
      <c r="C1698" s="40"/>
      <c r="E1698" s="40"/>
      <c r="G1698" s="40"/>
    </row>
    <row r="1699" spans="3:7" x14ac:dyDescent="0.3">
      <c r="C1699" s="40"/>
      <c r="E1699" s="40"/>
      <c r="G1699" s="40"/>
    </row>
    <row r="1700" spans="3:7" x14ac:dyDescent="0.3">
      <c r="C1700" s="40"/>
      <c r="E1700" s="40"/>
      <c r="G1700" s="40"/>
    </row>
    <row r="1701" spans="3:7" x14ac:dyDescent="0.3">
      <c r="C1701" s="40"/>
      <c r="E1701" s="40"/>
      <c r="G1701" s="40"/>
    </row>
    <row r="1702" spans="3:7" x14ac:dyDescent="0.3">
      <c r="C1702" s="40"/>
      <c r="E1702" s="40"/>
      <c r="G1702" s="40"/>
    </row>
    <row r="1703" spans="3:7" x14ac:dyDescent="0.3">
      <c r="C1703" s="40"/>
      <c r="E1703" s="40"/>
      <c r="G1703" s="40"/>
    </row>
    <row r="1704" spans="3:7" x14ac:dyDescent="0.3">
      <c r="C1704" s="40"/>
      <c r="E1704" s="40"/>
      <c r="G1704" s="40"/>
    </row>
    <row r="1705" spans="3:7" x14ac:dyDescent="0.3">
      <c r="C1705" s="40"/>
      <c r="E1705" s="40"/>
      <c r="G1705" s="40"/>
    </row>
    <row r="1706" spans="3:7" x14ac:dyDescent="0.3">
      <c r="C1706" s="40"/>
      <c r="E1706" s="40"/>
      <c r="G1706" s="40"/>
    </row>
    <row r="1707" spans="3:7" x14ac:dyDescent="0.3">
      <c r="C1707" s="40"/>
      <c r="E1707" s="40"/>
      <c r="G1707" s="40"/>
    </row>
    <row r="1708" spans="3:7" x14ac:dyDescent="0.3">
      <c r="C1708" s="40"/>
      <c r="E1708" s="40"/>
      <c r="G1708" s="40"/>
    </row>
    <row r="1709" spans="3:7" x14ac:dyDescent="0.3">
      <c r="C1709" s="40"/>
      <c r="E1709" s="40"/>
      <c r="G1709" s="40"/>
    </row>
    <row r="1710" spans="3:7" x14ac:dyDescent="0.3">
      <c r="C1710" s="40"/>
      <c r="E1710" s="40"/>
      <c r="G1710" s="40"/>
    </row>
    <row r="1711" spans="3:7" x14ac:dyDescent="0.3">
      <c r="C1711" s="40"/>
      <c r="E1711" s="40"/>
      <c r="G1711" s="40"/>
    </row>
    <row r="1712" spans="3:7" x14ac:dyDescent="0.3">
      <c r="C1712" s="40"/>
      <c r="E1712" s="40"/>
      <c r="G1712" s="40"/>
    </row>
    <row r="1713" spans="3:7" x14ac:dyDescent="0.3">
      <c r="C1713" s="40"/>
      <c r="E1713" s="40"/>
      <c r="G1713" s="40"/>
    </row>
    <row r="1714" spans="3:7" x14ac:dyDescent="0.3">
      <c r="C1714" s="40"/>
      <c r="E1714" s="40"/>
      <c r="G1714" s="40"/>
    </row>
    <row r="1715" spans="3:7" x14ac:dyDescent="0.3">
      <c r="C1715" s="40"/>
      <c r="E1715" s="40"/>
      <c r="G1715" s="40"/>
    </row>
    <row r="1716" spans="3:7" x14ac:dyDescent="0.3">
      <c r="C1716" s="40"/>
      <c r="E1716" s="40"/>
      <c r="G1716" s="40"/>
    </row>
    <row r="1717" spans="3:7" x14ac:dyDescent="0.3">
      <c r="C1717" s="40"/>
      <c r="E1717" s="40"/>
      <c r="G1717" s="40"/>
    </row>
    <row r="1718" spans="3:7" x14ac:dyDescent="0.3">
      <c r="C1718" s="40"/>
      <c r="E1718" s="40"/>
      <c r="G1718" s="40"/>
    </row>
    <row r="1719" spans="3:7" x14ac:dyDescent="0.3">
      <c r="C1719" s="40"/>
      <c r="E1719" s="40"/>
      <c r="G1719" s="40"/>
    </row>
    <row r="1720" spans="3:7" x14ac:dyDescent="0.3">
      <c r="C1720" s="40"/>
      <c r="E1720" s="40"/>
      <c r="G1720" s="40"/>
    </row>
    <row r="1721" spans="3:7" x14ac:dyDescent="0.3">
      <c r="C1721" s="40"/>
      <c r="E1721" s="40"/>
      <c r="G1721" s="40"/>
    </row>
    <row r="1722" spans="3:7" x14ac:dyDescent="0.3">
      <c r="C1722" s="40"/>
      <c r="E1722" s="40"/>
      <c r="G1722" s="40"/>
    </row>
    <row r="1723" spans="3:7" x14ac:dyDescent="0.3">
      <c r="C1723" s="40"/>
      <c r="E1723" s="40"/>
      <c r="G1723" s="40"/>
    </row>
    <row r="1724" spans="3:7" x14ac:dyDescent="0.3">
      <c r="C1724" s="40"/>
      <c r="E1724" s="40"/>
      <c r="G1724" s="40"/>
    </row>
    <row r="1725" spans="3:7" x14ac:dyDescent="0.3">
      <c r="C1725" s="40"/>
      <c r="E1725" s="40"/>
      <c r="G1725" s="40"/>
    </row>
    <row r="1726" spans="3:7" x14ac:dyDescent="0.3">
      <c r="C1726" s="40"/>
      <c r="E1726" s="40"/>
      <c r="G1726" s="40"/>
    </row>
    <row r="1727" spans="3:7" x14ac:dyDescent="0.3">
      <c r="C1727" s="40"/>
      <c r="E1727" s="40"/>
      <c r="G1727" s="40"/>
    </row>
    <row r="1728" spans="3:7" x14ac:dyDescent="0.3">
      <c r="C1728" s="40"/>
      <c r="E1728" s="40"/>
      <c r="G1728" s="40"/>
    </row>
    <row r="1729" spans="3:7" x14ac:dyDescent="0.3">
      <c r="C1729" s="40"/>
      <c r="E1729" s="40"/>
      <c r="G1729" s="40"/>
    </row>
    <row r="1730" spans="3:7" x14ac:dyDescent="0.3">
      <c r="C1730" s="40"/>
      <c r="E1730" s="40"/>
      <c r="G1730" s="40"/>
    </row>
    <row r="1731" spans="3:7" x14ac:dyDescent="0.3">
      <c r="C1731" s="40"/>
      <c r="E1731" s="40"/>
      <c r="G1731" s="40"/>
    </row>
    <row r="1732" spans="3:7" x14ac:dyDescent="0.3">
      <c r="C1732" s="40"/>
      <c r="E1732" s="40"/>
      <c r="G1732" s="40"/>
    </row>
    <row r="1733" spans="3:7" x14ac:dyDescent="0.3">
      <c r="C1733" s="40"/>
      <c r="E1733" s="40"/>
      <c r="G1733" s="40"/>
    </row>
    <row r="1734" spans="3:7" x14ac:dyDescent="0.3">
      <c r="C1734" s="40"/>
      <c r="E1734" s="40"/>
      <c r="G1734" s="40"/>
    </row>
    <row r="1735" spans="3:7" x14ac:dyDescent="0.3">
      <c r="C1735" s="40"/>
      <c r="E1735" s="40"/>
      <c r="G1735" s="40"/>
    </row>
    <row r="1736" spans="3:7" x14ac:dyDescent="0.3">
      <c r="C1736" s="40"/>
      <c r="E1736" s="40"/>
      <c r="G1736" s="40"/>
    </row>
    <row r="1737" spans="3:7" x14ac:dyDescent="0.3">
      <c r="C1737" s="40"/>
      <c r="E1737" s="40"/>
      <c r="G1737" s="40"/>
    </row>
    <row r="1738" spans="3:7" x14ac:dyDescent="0.3">
      <c r="C1738" s="40"/>
      <c r="E1738" s="40"/>
      <c r="G1738" s="40"/>
    </row>
    <row r="1739" spans="3:7" x14ac:dyDescent="0.3">
      <c r="C1739" s="40"/>
      <c r="E1739" s="40"/>
      <c r="G1739" s="40"/>
    </row>
    <row r="1740" spans="3:7" x14ac:dyDescent="0.3">
      <c r="C1740" s="40"/>
      <c r="E1740" s="40"/>
      <c r="G1740" s="40"/>
    </row>
    <row r="1741" spans="3:7" x14ac:dyDescent="0.3">
      <c r="C1741" s="40"/>
      <c r="E1741" s="40"/>
      <c r="G1741" s="40"/>
    </row>
    <row r="1742" spans="3:7" x14ac:dyDescent="0.3">
      <c r="C1742" s="40"/>
      <c r="E1742" s="40"/>
      <c r="G1742" s="40"/>
    </row>
    <row r="1743" spans="3:7" x14ac:dyDescent="0.3">
      <c r="C1743" s="40"/>
      <c r="E1743" s="40"/>
      <c r="G1743" s="40"/>
    </row>
    <row r="1744" spans="3:7" x14ac:dyDescent="0.3">
      <c r="C1744" s="40"/>
      <c r="E1744" s="40"/>
      <c r="G1744" s="40"/>
    </row>
    <row r="1745" spans="3:7" x14ac:dyDescent="0.3">
      <c r="C1745" s="40"/>
      <c r="E1745" s="40"/>
      <c r="G1745" s="40"/>
    </row>
    <row r="1746" spans="3:7" x14ac:dyDescent="0.3">
      <c r="C1746" s="40"/>
      <c r="E1746" s="40"/>
      <c r="G1746" s="40"/>
    </row>
    <row r="1747" spans="3:7" x14ac:dyDescent="0.3">
      <c r="C1747" s="40"/>
      <c r="E1747" s="40"/>
      <c r="G1747" s="40"/>
    </row>
    <row r="1748" spans="3:7" x14ac:dyDescent="0.3">
      <c r="C1748" s="40"/>
      <c r="E1748" s="40"/>
      <c r="G1748" s="40"/>
    </row>
    <row r="1749" spans="3:7" x14ac:dyDescent="0.3">
      <c r="C1749" s="40"/>
      <c r="E1749" s="40"/>
      <c r="G1749" s="40"/>
    </row>
    <row r="1750" spans="3:7" x14ac:dyDescent="0.3">
      <c r="C1750" s="40"/>
      <c r="E1750" s="40"/>
      <c r="G1750" s="40"/>
    </row>
    <row r="1751" spans="3:7" x14ac:dyDescent="0.3">
      <c r="C1751" s="40"/>
      <c r="E1751" s="40"/>
      <c r="G1751" s="40"/>
    </row>
    <row r="1752" spans="3:7" x14ac:dyDescent="0.3">
      <c r="C1752" s="40"/>
      <c r="E1752" s="40"/>
      <c r="G1752" s="40"/>
    </row>
    <row r="1753" spans="3:7" x14ac:dyDescent="0.3">
      <c r="C1753" s="40"/>
      <c r="E1753" s="40"/>
      <c r="G1753" s="40"/>
    </row>
    <row r="1754" spans="3:7" x14ac:dyDescent="0.3">
      <c r="C1754" s="40"/>
      <c r="E1754" s="40"/>
      <c r="G1754" s="40"/>
    </row>
    <row r="1755" spans="3:7" x14ac:dyDescent="0.3">
      <c r="C1755" s="40"/>
      <c r="E1755" s="40"/>
      <c r="G1755" s="40"/>
    </row>
    <row r="1756" spans="3:7" x14ac:dyDescent="0.3">
      <c r="C1756" s="40"/>
      <c r="E1756" s="40"/>
      <c r="G1756" s="40"/>
    </row>
    <row r="1757" spans="3:7" x14ac:dyDescent="0.3">
      <c r="C1757" s="40"/>
      <c r="E1757" s="40"/>
      <c r="G1757" s="40"/>
    </row>
    <row r="1758" spans="3:7" x14ac:dyDescent="0.3">
      <c r="C1758" s="40"/>
      <c r="E1758" s="40"/>
      <c r="G1758" s="40"/>
    </row>
    <row r="1759" spans="3:7" x14ac:dyDescent="0.3">
      <c r="C1759" s="40"/>
      <c r="E1759" s="40"/>
      <c r="G1759" s="40"/>
    </row>
    <row r="1760" spans="3:7" x14ac:dyDescent="0.3">
      <c r="C1760" s="40"/>
      <c r="E1760" s="40"/>
      <c r="G1760" s="40"/>
    </row>
    <row r="1761" spans="3:7" x14ac:dyDescent="0.3">
      <c r="C1761" s="40"/>
      <c r="E1761" s="40"/>
      <c r="G1761" s="40"/>
    </row>
  </sheetData>
  <mergeCells count="119">
    <mergeCell ref="C52:D52"/>
    <mergeCell ref="E52:F52"/>
    <mergeCell ref="E53:F53"/>
    <mergeCell ref="C53:D53"/>
    <mergeCell ref="C54:D54"/>
    <mergeCell ref="C61:D61"/>
    <mergeCell ref="C60:D60"/>
    <mergeCell ref="E61:F61"/>
    <mergeCell ref="E60:F60"/>
    <mergeCell ref="C58:D58"/>
    <mergeCell ref="C59:D59"/>
    <mergeCell ref="E59:F59"/>
    <mergeCell ref="E58:F58"/>
    <mergeCell ref="E54:F54"/>
    <mergeCell ref="C55:D55"/>
    <mergeCell ref="E55:F55"/>
    <mergeCell ref="C56:D56"/>
    <mergeCell ref="E56:F56"/>
    <mergeCell ref="C57:D57"/>
    <mergeCell ref="E57:F57"/>
    <mergeCell ref="E47:F47"/>
    <mergeCell ref="E48:F48"/>
    <mergeCell ref="E49:F49"/>
    <mergeCell ref="E50:F50"/>
    <mergeCell ref="E51:F51"/>
    <mergeCell ref="C47:D47"/>
    <mergeCell ref="C48:D48"/>
    <mergeCell ref="C49:D49"/>
    <mergeCell ref="C50:D50"/>
    <mergeCell ref="C51:D51"/>
    <mergeCell ref="C43:D43"/>
    <mergeCell ref="E43:F43"/>
    <mergeCell ref="E45:F45"/>
    <mergeCell ref="C45:D45"/>
    <mergeCell ref="C46:D46"/>
    <mergeCell ref="E46:F46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4:D44"/>
    <mergeCell ref="E44:F44"/>
    <mergeCell ref="C19:D19"/>
    <mergeCell ref="C20:D20"/>
    <mergeCell ref="C23:D23"/>
    <mergeCell ref="E23:F23"/>
    <mergeCell ref="C22:D22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B42:G42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41:D41"/>
    <mergeCell ref="E41:F41"/>
    <mergeCell ref="E26:F26"/>
    <mergeCell ref="C26:D26"/>
    <mergeCell ref="E17:F17"/>
    <mergeCell ref="C10:D10"/>
    <mergeCell ref="C11:D11"/>
    <mergeCell ref="E8:F8"/>
    <mergeCell ref="E9:F9"/>
    <mergeCell ref="E3:F3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C24:D24"/>
    <mergeCell ref="C21:D21"/>
    <mergeCell ref="C1:G1"/>
    <mergeCell ref="C38:D38"/>
    <mergeCell ref="C39:D39"/>
    <mergeCell ref="C40:D40"/>
    <mergeCell ref="E32:F32"/>
    <mergeCell ref="E34:F34"/>
    <mergeCell ref="E35:F35"/>
    <mergeCell ref="E36:F36"/>
    <mergeCell ref="E37:F37"/>
    <mergeCell ref="E38:F38"/>
    <mergeCell ref="E39:F39"/>
    <mergeCell ref="E40:F40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677"/>
  <sheetViews>
    <sheetView zoomScaleNormal="100" workbookViewId="0">
      <selection activeCell="K10" sqref="K10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67" customFormat="1" x14ac:dyDescent="0.3">
      <c r="B1" s="122" t="s">
        <v>153</v>
      </c>
      <c r="C1" s="122"/>
      <c r="D1" s="122"/>
      <c r="E1" s="122"/>
    </row>
    <row r="2" spans="1:12" x14ac:dyDescent="0.3">
      <c r="A2" s="2" t="s">
        <v>115</v>
      </c>
      <c r="B2" s="124" t="s">
        <v>4</v>
      </c>
      <c r="C2" s="124"/>
      <c r="D2" s="124" t="s">
        <v>5</v>
      </c>
      <c r="E2" s="124"/>
    </row>
    <row r="3" spans="1:12" x14ac:dyDescent="0.3">
      <c r="A3" t="s">
        <v>24</v>
      </c>
      <c r="B3" s="120">
        <f>[1]All!$L$12*L17</f>
        <v>0.51465014185725644</v>
      </c>
      <c r="C3" s="120"/>
      <c r="D3" s="120">
        <f>[1]All!$L$13*L17</f>
        <v>0.37172721627329236</v>
      </c>
      <c r="E3" s="120"/>
    </row>
    <row r="4" spans="1:12" x14ac:dyDescent="0.3">
      <c r="A4" t="s">
        <v>25</v>
      </c>
      <c r="B4" s="120">
        <f>[2]prod_herd_data!J16</f>
        <v>413.82147257338761</v>
      </c>
      <c r="C4" s="120"/>
      <c r="D4" s="120">
        <f>[2]prod_herd_data!J17</f>
        <v>1421.9297913811431</v>
      </c>
      <c r="E4" s="120"/>
      <c r="K4" s="67"/>
    </row>
    <row r="5" spans="1:12" ht="15.6" x14ac:dyDescent="0.3">
      <c r="A5" t="s">
        <v>10</v>
      </c>
      <c r="B5" s="120">
        <f>B4*B3</f>
        <v>212.97327956347269</v>
      </c>
      <c r="C5" s="120"/>
      <c r="D5" s="120">
        <f>D4*D3</f>
        <v>528.57000308617569</v>
      </c>
      <c r="E5" s="120"/>
      <c r="K5" s="66"/>
    </row>
    <row r="6" spans="1:12" s="67" customFormat="1" ht="15.6" x14ac:dyDescent="0.3">
      <c r="B6" s="121"/>
      <c r="C6" s="121"/>
      <c r="D6" s="120"/>
      <c r="E6" s="120"/>
      <c r="K6" s="66"/>
    </row>
    <row r="7" spans="1:12" x14ac:dyDescent="0.3">
      <c r="A7" s="2" t="s">
        <v>111</v>
      </c>
      <c r="B7" s="121"/>
      <c r="C7" s="121"/>
      <c r="D7" s="120"/>
      <c r="E7" s="120"/>
    </row>
    <row r="8" spans="1:12" x14ac:dyDescent="0.3">
      <c r="A8" s="67" t="s">
        <v>47</v>
      </c>
      <c r="B8" s="120">
        <f>[1]All!$O$12*L17</f>
        <v>34.83614754660686</v>
      </c>
      <c r="C8" s="120"/>
      <c r="D8" s="120">
        <f>[1]All!$O$13*L17</f>
        <v>266.13869519178883</v>
      </c>
      <c r="E8" s="120"/>
    </row>
    <row r="9" spans="1:12" x14ac:dyDescent="0.3">
      <c r="A9" s="67" t="s">
        <v>7</v>
      </c>
      <c r="B9" s="120">
        <f>[1]All!$P$12*L17</f>
        <v>3.8125058757578052</v>
      </c>
      <c r="C9" s="120"/>
      <c r="D9" s="120">
        <f>[1]All!$P$13*NPV_Roadmap!L16</f>
        <v>2.4640522792596169</v>
      </c>
      <c r="E9" s="120"/>
    </row>
    <row r="10" spans="1:12" x14ac:dyDescent="0.3">
      <c r="A10" s="67" t="s">
        <v>112</v>
      </c>
      <c r="B10" s="120">
        <f>[1]All!$Q$12*L17</f>
        <v>14.319919412568568</v>
      </c>
      <c r="C10" s="120"/>
      <c r="D10" s="120">
        <f>[1]All!$Q$13*NPV_Roadmap!L16</f>
        <v>10.524515875107813</v>
      </c>
      <c r="E10" s="120"/>
      <c r="K10" s="2" t="str">
        <f>NPV_Roadmap!K10</f>
        <v>Basic income parameters</v>
      </c>
      <c r="L10" s="2"/>
    </row>
    <row r="11" spans="1:12" x14ac:dyDescent="0.3">
      <c r="A11" s="67" t="s">
        <v>113</v>
      </c>
      <c r="B11" s="120">
        <f>[1]All!$R$12*L17</f>
        <v>1.7120179889182412E-4</v>
      </c>
      <c r="C11" s="120"/>
      <c r="D11" s="120">
        <f>[1]All!$R$13*NPV_Roadmap!L16</f>
        <v>1.7120179889182412E-4</v>
      </c>
      <c r="E11" s="120"/>
      <c r="K11" s="65" t="str">
        <f>NPV_Roadmap!K11</f>
        <v>Amortization period (years)</v>
      </c>
      <c r="L11" s="65">
        <f>NPV_Roadmap!L11</f>
        <v>12</v>
      </c>
    </row>
    <row r="12" spans="1:12" x14ac:dyDescent="0.3">
      <c r="A12" s="67" t="s">
        <v>114</v>
      </c>
      <c r="B12" s="120">
        <f>0*L17</f>
        <v>0</v>
      </c>
      <c r="C12" s="120"/>
      <c r="D12" s="120">
        <f>0*L17</f>
        <v>0</v>
      </c>
      <c r="E12" s="120"/>
      <c r="K12" s="65"/>
      <c r="L12" s="65"/>
    </row>
    <row r="13" spans="1:12" s="67" customFormat="1" x14ac:dyDescent="0.3">
      <c r="B13" s="121"/>
      <c r="C13" s="121"/>
      <c r="D13" s="120"/>
      <c r="E13" s="120"/>
      <c r="K13" s="65"/>
      <c r="L13" s="65"/>
    </row>
    <row r="14" spans="1:12" x14ac:dyDescent="0.3">
      <c r="A14" s="2" t="s">
        <v>143</v>
      </c>
      <c r="B14" s="120">
        <f>SUM(B8:B12)</f>
        <v>52.968744036732126</v>
      </c>
      <c r="C14" s="120"/>
      <c r="D14" s="120">
        <f>SUM(D8:D12)</f>
        <v>279.12743454795509</v>
      </c>
      <c r="E14" s="120"/>
      <c r="K14" s="65" t="str">
        <f>NPV_Roadmap!K13</f>
        <v>Price acquring new animal (USD/head)</v>
      </c>
      <c r="L14" s="65">
        <f>NPV_Roadmap!L13</f>
        <v>529</v>
      </c>
    </row>
    <row r="15" spans="1:12" x14ac:dyDescent="0.3">
      <c r="B15" s="121"/>
      <c r="C15" s="121"/>
      <c r="D15" s="120"/>
      <c r="E15" s="120"/>
      <c r="K15" s="65" t="str">
        <f>NPV_Roadmap!K14</f>
        <v>Standard error animal price (fraction)</v>
      </c>
      <c r="L15" s="65">
        <f>NPV_Roadmap!L14</f>
        <v>0</v>
      </c>
    </row>
    <row r="16" spans="1:12" x14ac:dyDescent="0.3">
      <c r="B16" s="121"/>
      <c r="C16" s="121"/>
      <c r="D16" s="120"/>
      <c r="E16" s="120"/>
      <c r="K16" s="65"/>
      <c r="L16" s="65"/>
    </row>
    <row r="17" spans="1:12" x14ac:dyDescent="0.3">
      <c r="A17" s="67"/>
      <c r="B17" s="120"/>
      <c r="C17" s="120"/>
      <c r="D17" s="120"/>
      <c r="E17" s="120"/>
      <c r="K17" s="65" t="str">
        <f>NPV_Roadmap!K16</f>
        <v>GDP deflator</v>
      </c>
      <c r="L17" s="75">
        <f>NPV_Roadmap!L16</f>
        <v>1.3155644843884766</v>
      </c>
    </row>
    <row r="18" spans="1:12" x14ac:dyDescent="0.3">
      <c r="B18" s="93" t="s">
        <v>130</v>
      </c>
      <c r="C18" s="93"/>
      <c r="D18" s="127"/>
      <c r="E18" s="127"/>
      <c r="K18" s="65"/>
      <c r="L18" s="65"/>
    </row>
    <row r="19" spans="1:12" x14ac:dyDescent="0.3">
      <c r="A19" t="s">
        <v>13</v>
      </c>
      <c r="B19" s="120">
        <f>L17*L36</f>
        <v>274.95297723719159</v>
      </c>
      <c r="C19" s="120"/>
      <c r="D19" s="120">
        <f>L38*L17</f>
        <v>305.21096037812657</v>
      </c>
      <c r="E19" s="120"/>
      <c r="K19" s="2" t="str">
        <f>NPV_Roadmap!K18</f>
        <v>Cropping parameters</v>
      </c>
      <c r="L19" s="65"/>
    </row>
    <row r="20" spans="1:12" x14ac:dyDescent="0.3">
      <c r="A20" t="s">
        <v>133</v>
      </c>
      <c r="B20" s="120">
        <f>( [5]Sheet1!$QH$65*[2]feeding_change_data!$J$4+      [5]Sheet1!$QH$56*[2]feeding_change_data!$K$4)/([2]feeding_change_data!$J$4+[2]feeding_change_data!$K$4)</f>
        <v>271.47494136791715</v>
      </c>
      <c r="C20" s="120"/>
      <c r="D20" s="120">
        <f>( [5]Sheet1!$QG$65*[2]feeding_change_data!$J$4+      [5]Sheet1!$QG$56*[2]feeding_change_data!$K$4)/([2]feeding_change_data!$J$4+[2]feeding_change_data!$K$4)</f>
        <v>740.39589741278587</v>
      </c>
      <c r="E20" s="120"/>
      <c r="K20" s="65" t="str">
        <f>NPV_Roadmap!K19</f>
        <v>Forage seeding cost (USD/ha/yr)</v>
      </c>
      <c r="L20" s="65">
        <f>NPV_Roadmap!L19</f>
        <v>28</v>
      </c>
    </row>
    <row r="21" spans="1:12" x14ac:dyDescent="0.3">
      <c r="A21" t="s">
        <v>134</v>
      </c>
      <c r="B21" s="120">
        <f>(((1/1000)*(1/L23)/L33))*B20</f>
        <v>2.7843583730042785E-2</v>
      </c>
      <c r="C21" s="120"/>
      <c r="D21" s="120">
        <f>(((1/1000)*(1/L23)/L33))*D20</f>
        <v>7.5938040760285722E-2</v>
      </c>
      <c r="E21" s="120"/>
      <c r="K21" s="65"/>
      <c r="L21" s="65"/>
    </row>
    <row r="22" spans="1:12" x14ac:dyDescent="0.3">
      <c r="A22" t="s">
        <v>135</v>
      </c>
      <c r="B22" s="120">
        <f>( [5]Sheet1!$QP$65*[2]feeding_change_data_pasture!$J$4+      [5]Sheet1!$QP$56*[2]feeding_change_data_pasture!$K$4)/([2]feeding_change_data_pasture!$J$4+[2]feeding_change_data_pasture!$K$4)</f>
        <v>211.53940697380094</v>
      </c>
      <c r="C22" s="120"/>
      <c r="D22" s="120">
        <f>( [5]Sheet1!$QO$65*[2]feeding_change_data_pasture!$J$4+      [5]Sheet1!$QO$56*[2]feeding_change_data_pasture!$K$4)/([2]feeding_change_data_pasture!$J$4+[2]feeding_change_data_pasture!$K$4)</f>
        <v>568.29515859967364</v>
      </c>
      <c r="E22" s="120"/>
      <c r="K22" s="65"/>
      <c r="L22" s="65"/>
    </row>
    <row r="23" spans="1:12" x14ac:dyDescent="0.3">
      <c r="A23" t="s">
        <v>136</v>
      </c>
      <c r="B23" s="120">
        <f>(((1/1000)*(1/L25)/L34))*B22</f>
        <v>8.4615762789520377E-2</v>
      </c>
      <c r="C23" s="120"/>
      <c r="D23" s="120">
        <f>(((1/1000)*(1/L25)/L34))*D22</f>
        <v>0.22731806343986946</v>
      </c>
      <c r="E23" s="120"/>
      <c r="K23" s="65" t="str">
        <f>NPV_Roadmap!K23</f>
        <v>Use efficiency napier</v>
      </c>
      <c r="L23" s="65">
        <f>NPV_Roadmap!L23</f>
        <v>0.75</v>
      </c>
    </row>
    <row r="24" spans="1:12" s="84" customFormat="1" x14ac:dyDescent="0.3">
      <c r="A24" s="84" t="s">
        <v>140</v>
      </c>
      <c r="B24" s="120">
        <f>B21+B23</f>
        <v>0.11245934651956316</v>
      </c>
      <c r="C24" s="120"/>
      <c r="D24" s="120">
        <f>D21+D23</f>
        <v>0.3032561042001552</v>
      </c>
      <c r="E24" s="120"/>
      <c r="K24" s="65"/>
      <c r="L24" s="65"/>
    </row>
    <row r="25" spans="1:12" x14ac:dyDescent="0.3">
      <c r="A25" t="s">
        <v>124</v>
      </c>
      <c r="B25" s="120">
        <f>(B21+B23)*L17*L20</f>
        <v>4.1425306221228757</v>
      </c>
      <c r="C25" s="120"/>
      <c r="D25" s="120">
        <f>(D21+D23)*L17*L20</f>
        <v>11.170682890072589</v>
      </c>
      <c r="E25" s="120"/>
      <c r="K25" s="65" t="str">
        <f>NPV_Roadmap!K24</f>
        <v>Use efficiency pasture</v>
      </c>
      <c r="L25" s="65">
        <f>NPV_Roadmap!L24</f>
        <v>0.5</v>
      </c>
    </row>
    <row r="26" spans="1:12" x14ac:dyDescent="0.3">
      <c r="A26" t="s">
        <v>14</v>
      </c>
      <c r="B26" s="120">
        <f>(B21+B23)*B19+B25</f>
        <v>35.063562765825765</v>
      </c>
      <c r="C26" s="120"/>
      <c r="D26" s="120">
        <f>(D21+D23)*D19+D25</f>
        <v>103.72776969353117</v>
      </c>
      <c r="E26" s="120"/>
      <c r="K26" s="65"/>
      <c r="L26" s="65"/>
    </row>
    <row r="27" spans="1:12" x14ac:dyDescent="0.3">
      <c r="B27" s="121"/>
      <c r="C27" s="121"/>
      <c r="D27" s="120"/>
      <c r="E27" s="120"/>
      <c r="K27" s="65" t="str">
        <f>NPV_Roadmap!K26</f>
        <v>Standard error (%) improved forage yield</v>
      </c>
      <c r="L27" s="65">
        <f>NPV_Roadmap!L26</f>
        <v>7.5</v>
      </c>
    </row>
    <row r="28" spans="1:12" x14ac:dyDescent="0.3">
      <c r="A28" t="s">
        <v>89</v>
      </c>
      <c r="B28" s="120">
        <f>B5-B14</f>
        <v>160.00453552674057</v>
      </c>
      <c r="C28" s="120"/>
      <c r="D28" s="120">
        <f>D5-D14</f>
        <v>249.4425685382206</v>
      </c>
      <c r="E28" s="120"/>
      <c r="K28" s="65" t="str">
        <f>NPV_Roadmap!K27</f>
        <v>Standard error (%) improved forage yield</v>
      </c>
      <c r="L28" s="65">
        <f>NPV_Roadmap!L27</f>
        <v>20</v>
      </c>
    </row>
    <row r="29" spans="1:12" x14ac:dyDescent="0.3">
      <c r="B29" s="128"/>
      <c r="C29" s="128"/>
      <c r="D29" s="68"/>
      <c r="E29" s="68"/>
      <c r="K29" s="65"/>
      <c r="L29" s="65"/>
    </row>
    <row r="30" spans="1:12" x14ac:dyDescent="0.3">
      <c r="B30" s="121"/>
      <c r="C30" s="121"/>
      <c r="D30" s="24"/>
      <c r="E30" s="24"/>
      <c r="K30" s="65" t="str">
        <f>NPV_Roadmap!K29</f>
        <v>Market price Sunflower cake (USD/kg)</v>
      </c>
      <c r="L30" s="75">
        <f>NPV_Roadmap!L29</f>
        <v>0.32889112109711915</v>
      </c>
    </row>
    <row r="31" spans="1:12" x14ac:dyDescent="0.3">
      <c r="B31" s="121"/>
      <c r="C31" s="121"/>
      <c r="D31" s="24"/>
      <c r="E31" s="24"/>
      <c r="K31" s="65" t="str">
        <f>NPV_Roadmap!K30</f>
        <v>Market price Maize bran (USD/kg)</v>
      </c>
      <c r="L31" s="75">
        <f>NPV_Roadmap!L30</f>
        <v>0.27626854172158005</v>
      </c>
    </row>
    <row r="32" spans="1:12" x14ac:dyDescent="0.3">
      <c r="B32" s="121"/>
      <c r="C32" s="121"/>
      <c r="D32" s="24"/>
      <c r="E32" s="24"/>
      <c r="K32" s="65"/>
      <c r="L32" s="65"/>
    </row>
    <row r="33" spans="1:12" x14ac:dyDescent="0.3">
      <c r="B33" s="121"/>
      <c r="C33" s="121"/>
      <c r="D33" s="24"/>
      <c r="E33" s="24"/>
      <c r="K33" s="65" t="str">
        <f>NPV_Roadmap!K32</f>
        <v>Napier yield (Mg/ha)</v>
      </c>
      <c r="L33" s="65">
        <f>NPV_Roadmap!L32</f>
        <v>13</v>
      </c>
    </row>
    <row r="34" spans="1:12" x14ac:dyDescent="0.3">
      <c r="A34" s="122" t="s">
        <v>107</v>
      </c>
      <c r="B34" s="121"/>
      <c r="C34" s="121"/>
      <c r="D34" s="121"/>
      <c r="E34" s="121"/>
      <c r="F34" s="69"/>
      <c r="G34" s="69"/>
      <c r="K34" s="65" t="str">
        <f>NPV_Roadmap!K33</f>
        <v>Pasture yield (Mg/ha)</v>
      </c>
      <c r="L34" s="65">
        <f>NPV_Roadmap!L33</f>
        <v>5</v>
      </c>
    </row>
    <row r="35" spans="1:12" x14ac:dyDescent="0.3">
      <c r="A35" s="121" t="s">
        <v>105</v>
      </c>
      <c r="B35" s="121"/>
      <c r="C35" s="121"/>
      <c r="D35" s="121"/>
      <c r="E35" s="121"/>
      <c r="F35" s="69"/>
      <c r="G35" s="69"/>
      <c r="K35" s="65"/>
      <c r="L35" s="65"/>
    </row>
    <row r="36" spans="1:12" x14ac:dyDescent="0.3">
      <c r="A36" t="s">
        <v>26</v>
      </c>
      <c r="B36" s="120">
        <f>[1]All!$S$12*L17</f>
        <v>3.4240359778364822E-2</v>
      </c>
      <c r="C36" s="120"/>
      <c r="D36" s="24"/>
      <c r="E36" s="68">
        <f>[1]All!$S$13*L17</f>
        <v>0.11984125922427689</v>
      </c>
      <c r="K36" s="65" t="str">
        <f>NPV_Roadmap!K35</f>
        <v xml:space="preserve">Opportunity cost land strata 1 </v>
      </c>
      <c r="L36" s="65">
        <f>NPV_Roadmap!L35</f>
        <v>209</v>
      </c>
    </row>
    <row r="37" spans="1:12" x14ac:dyDescent="0.3">
      <c r="B37" s="121"/>
      <c r="C37" s="121"/>
      <c r="D37" s="24"/>
      <c r="E37" s="68"/>
      <c r="K37" s="65" t="str">
        <f>NPV_Roadmap!K36</f>
        <v>SE (fraction)</v>
      </c>
      <c r="L37" s="75">
        <f>NPV_Roadmap!L36</f>
        <v>0.73732057416267938</v>
      </c>
    </row>
    <row r="38" spans="1:12" x14ac:dyDescent="0.3">
      <c r="A38" t="s">
        <v>6</v>
      </c>
      <c r="B38" s="120">
        <f>[1]All!$V$12*L17</f>
        <v>1.7120179889182413E-5</v>
      </c>
      <c r="C38" s="120"/>
      <c r="D38" s="24"/>
      <c r="E38" s="68">
        <f>[1]All!$V$13*L17</f>
        <v>7.3616773523484369</v>
      </c>
      <c r="K38" s="65" t="str">
        <f>NPV_Roadmap!K37</f>
        <v>Opportunity cost land strata 2</v>
      </c>
      <c r="L38" s="65">
        <f>NPV_Roadmap!L37</f>
        <v>232</v>
      </c>
    </row>
    <row r="39" spans="1:12" x14ac:dyDescent="0.3">
      <c r="A39" t="s">
        <v>7</v>
      </c>
      <c r="B39" s="120">
        <f>[1]All!$W$12*L17</f>
        <v>0.87090368866517154</v>
      </c>
      <c r="C39" s="120"/>
      <c r="D39" s="24"/>
      <c r="E39" s="68">
        <f>[1]All!$W$13*L17</f>
        <v>0.13813427086079003</v>
      </c>
      <c r="K39" s="65" t="str">
        <f>NPV_Roadmap!K38</f>
        <v>SE (fraction)</v>
      </c>
      <c r="L39" s="75">
        <f>NPV_Roadmap!L38</f>
        <v>0.75129310344827593</v>
      </c>
    </row>
    <row r="40" spans="1:12" x14ac:dyDescent="0.3">
      <c r="A40" t="s">
        <v>8</v>
      </c>
      <c r="B40" s="120">
        <f>[1]All!$X$12*L17</f>
        <v>1.7873467804306418</v>
      </c>
      <c r="C40" s="120"/>
      <c r="D40" s="24"/>
      <c r="E40" s="68">
        <f>[1]All!$X$13*L17</f>
        <v>3.4783524967231325</v>
      </c>
      <c r="K40" s="65"/>
      <c r="L40" s="65"/>
    </row>
    <row r="41" spans="1:12" x14ac:dyDescent="0.3">
      <c r="A41" t="s">
        <v>11</v>
      </c>
      <c r="B41" s="120">
        <f>[1]All!$Y$12*L17</f>
        <v>1.7120179889182413E-5</v>
      </c>
      <c r="C41" s="120"/>
      <c r="D41" s="24"/>
      <c r="E41" s="68">
        <f>[1]All!$Y$13*L17</f>
        <v>1.3155644843884767E-4</v>
      </c>
      <c r="K41" s="65"/>
      <c r="L41" s="65"/>
    </row>
    <row r="42" spans="1:12" x14ac:dyDescent="0.3">
      <c r="A42" t="s">
        <v>9</v>
      </c>
      <c r="B42" s="120">
        <f>B12*L17</f>
        <v>0</v>
      </c>
      <c r="C42" s="120"/>
      <c r="D42" s="68"/>
      <c r="E42" s="68">
        <f>D12*L17</f>
        <v>0</v>
      </c>
      <c r="K42" s="65"/>
      <c r="L42" s="65"/>
    </row>
    <row r="43" spans="1:12" x14ac:dyDescent="0.3">
      <c r="A43" t="s">
        <v>27</v>
      </c>
      <c r="B43" s="120">
        <f>(1/100)*(B21*L27+B23*L28)/SUM(B21,B23)</f>
        <v>0.16905150106265382</v>
      </c>
      <c r="C43" s="120"/>
      <c r="D43" s="24"/>
      <c r="E43" s="68">
        <f>(1/100)*(D21*L27+D23*L28)/SUM(D21,D23)</f>
        <v>0.16869888202227037</v>
      </c>
      <c r="K43" s="65"/>
      <c r="L43" s="65"/>
    </row>
    <row r="44" spans="1:12" x14ac:dyDescent="0.3">
      <c r="A44" t="s">
        <v>28</v>
      </c>
      <c r="B44" s="117">
        <f>B19*L37</f>
        <v>202.72848704426423</v>
      </c>
      <c r="C44" s="117"/>
      <c r="D44" s="70"/>
      <c r="E44" s="70">
        <f>D19*L39</f>
        <v>229.30288962891149</v>
      </c>
      <c r="K44" s="65"/>
      <c r="L44" s="65"/>
    </row>
    <row r="45" spans="1:12" x14ac:dyDescent="0.3">
      <c r="B45" s="121"/>
      <c r="C45" s="121"/>
      <c r="D45" s="24"/>
      <c r="E45" s="24"/>
      <c r="K45" s="65"/>
      <c r="L45" s="65"/>
    </row>
    <row r="46" spans="1:12" s="69" customFormat="1" x14ac:dyDescent="0.3">
      <c r="B46" s="121"/>
      <c r="C46" s="121"/>
      <c r="D46" s="24"/>
      <c r="E46" s="24"/>
      <c r="K46" s="65"/>
      <c r="L46" s="65"/>
    </row>
    <row r="47" spans="1:12" x14ac:dyDescent="0.3">
      <c r="B47" s="127" t="s">
        <v>106</v>
      </c>
      <c r="C47" s="127"/>
      <c r="D47" s="127"/>
      <c r="E47" s="127"/>
      <c r="K47" s="65"/>
      <c r="L47" s="65"/>
    </row>
    <row r="48" spans="1:12" x14ac:dyDescent="0.3">
      <c r="A48" t="s">
        <v>16</v>
      </c>
      <c r="B48" s="120">
        <f ca="1">_xlfn.NORM.INV(RAND(),B3,B36)</f>
        <v>0.45075082168281444</v>
      </c>
      <c r="C48" s="120"/>
      <c r="D48" s="68"/>
      <c r="E48" s="68">
        <f ca="1">_xlfn.NORM.INV(RAND(),D3,E36)</f>
        <v>0.33162125937053888</v>
      </c>
      <c r="K48" s="65"/>
      <c r="L48" s="65"/>
    </row>
    <row r="49" spans="1:12" x14ac:dyDescent="0.3">
      <c r="B49" s="121"/>
      <c r="C49" s="121"/>
      <c r="D49" s="68"/>
      <c r="E49" s="68"/>
      <c r="K49" s="65"/>
      <c r="L49" s="65"/>
    </row>
    <row r="50" spans="1:12" x14ac:dyDescent="0.3">
      <c r="A50" t="s">
        <v>17</v>
      </c>
      <c r="B50" s="120">
        <f ca="1">_xlfn.NORM.INV(RAND(),B8,B38)</f>
        <v>34.836156935106942</v>
      </c>
      <c r="C50" s="120"/>
      <c r="D50" s="68"/>
      <c r="E50" s="68">
        <f ca="1">_xlfn.NORM.INV(RAND(),D8,E38)</f>
        <v>262.24735538072088</v>
      </c>
      <c r="K50" s="65"/>
      <c r="L50" s="65"/>
    </row>
    <row r="51" spans="1:12" x14ac:dyDescent="0.3">
      <c r="A51" t="s">
        <v>7</v>
      </c>
      <c r="B51" s="120">
        <f ca="1">_xlfn.NORM.INV(RAND(),B9,B39)</f>
        <v>3.4637352406321842</v>
      </c>
      <c r="C51" s="120"/>
      <c r="D51" s="68"/>
      <c r="E51" s="68">
        <f ca="1">_xlfn.NORM.INV(RAND(),D9,E39)</f>
        <v>2.3446106238195807</v>
      </c>
      <c r="K51" s="65"/>
      <c r="L51" s="65"/>
    </row>
    <row r="52" spans="1:12" x14ac:dyDescent="0.3">
      <c r="A52" t="s">
        <v>8</v>
      </c>
      <c r="B52" s="120">
        <f ca="1">_xlfn.NORM.INV(RAND(),B10,B40)</f>
        <v>13.82761741075706</v>
      </c>
      <c r="C52" s="120"/>
      <c r="D52" s="68"/>
      <c r="E52" s="68">
        <f ca="1">_xlfn.NORM.INV(RAND(),D10,E40)</f>
        <v>12.784672893475141</v>
      </c>
      <c r="K52" s="65"/>
      <c r="L52" s="65"/>
    </row>
    <row r="53" spans="1:12" x14ac:dyDescent="0.3">
      <c r="A53" t="s">
        <v>19</v>
      </c>
      <c r="B53" s="120">
        <f ca="1">_xlfn.NORM.INV(RAND(),B11,B41)</f>
        <v>1.4278723850825027E-4</v>
      </c>
      <c r="C53" s="120"/>
      <c r="D53" s="68"/>
      <c r="E53" s="68">
        <f ca="1">_xlfn.NORM.INV(RAND(),D11,E41)</f>
        <v>4.5480959915775263E-5</v>
      </c>
      <c r="K53" s="65"/>
      <c r="L53" s="65"/>
    </row>
    <row r="54" spans="1:12" x14ac:dyDescent="0.3">
      <c r="A54" t="s">
        <v>9</v>
      </c>
      <c r="B54" s="120">
        <v>1E-4</v>
      </c>
      <c r="C54" s="120"/>
      <c r="D54" s="68"/>
      <c r="E54" s="68">
        <v>1E-4</v>
      </c>
      <c r="K54" s="65"/>
      <c r="L54" s="65"/>
    </row>
    <row r="55" spans="1:12" x14ac:dyDescent="0.3">
      <c r="A55" t="s">
        <v>131</v>
      </c>
      <c r="B55" s="120">
        <f ca="1">_xlfn.NORM.INV(RAND(),(B21+B23),B43)</f>
        <v>-0.18594460857676323</v>
      </c>
      <c r="C55" s="120"/>
      <c r="D55" s="68"/>
      <c r="E55" s="68">
        <f ca="1">_xlfn.NORM.INV(RAND(),ABS(D21+D23),ABS(E43))</f>
        <v>0.15016531679955719</v>
      </c>
      <c r="K55" s="65"/>
      <c r="L55" s="65"/>
    </row>
    <row r="56" spans="1:12" x14ac:dyDescent="0.3">
      <c r="A56" t="s">
        <v>28</v>
      </c>
      <c r="B56" s="120">
        <f ca="1">_xlfn.NORM.INV(RAND(),B19,B44)</f>
        <v>614.50528141805432</v>
      </c>
      <c r="C56" s="120"/>
      <c r="D56" s="68"/>
      <c r="E56" s="68">
        <f ca="1">_xlfn.NORM.INV(RAND(),D19,E44)</f>
        <v>308.96237506632946</v>
      </c>
      <c r="K56" s="65"/>
      <c r="L56" s="65"/>
    </row>
    <row r="57" spans="1:12" x14ac:dyDescent="0.3">
      <c r="B57" s="121"/>
      <c r="C57" s="121"/>
      <c r="D57" s="68"/>
      <c r="E57" s="68"/>
      <c r="K57" s="65"/>
      <c r="L57" s="65"/>
    </row>
    <row r="58" spans="1:12" x14ac:dyDescent="0.3">
      <c r="A58" s="2" t="s">
        <v>128</v>
      </c>
      <c r="B58" s="120">
        <f ca="1">SUM(B50:B54)</f>
        <v>52.127752373734701</v>
      </c>
      <c r="C58" s="120"/>
      <c r="D58" s="68"/>
      <c r="E58" s="68">
        <f ca="1">SUM(E50:E54)</f>
        <v>277.37678437897546</v>
      </c>
      <c r="K58" s="65"/>
      <c r="L58" s="65"/>
    </row>
    <row r="59" spans="1:12" s="71" customFormat="1" x14ac:dyDescent="0.3">
      <c r="A59" s="2" t="s">
        <v>90</v>
      </c>
      <c r="B59" s="120">
        <f ca="1">B55*B56</f>
        <v>-114.26394402163385</v>
      </c>
      <c r="C59" s="120"/>
      <c r="D59" s="72"/>
      <c r="E59" s="72">
        <f t="shared" ref="E59" ca="1" si="0">E55*E56</f>
        <v>46.39543293097897</v>
      </c>
      <c r="K59" s="65"/>
      <c r="L59" s="65"/>
    </row>
    <row r="60" spans="1:12" x14ac:dyDescent="0.3">
      <c r="A60" s="2"/>
      <c r="B60" s="121"/>
      <c r="C60" s="121"/>
      <c r="D60" s="68"/>
      <c r="E60" s="68"/>
      <c r="K60" s="65"/>
      <c r="L60" s="65"/>
    </row>
    <row r="61" spans="1:12" x14ac:dyDescent="0.3">
      <c r="A61" s="2" t="s">
        <v>89</v>
      </c>
      <c r="B61" s="120">
        <f ca="1">B48*B4-B58-B59</f>
        <v>248.66656044034588</v>
      </c>
      <c r="C61" s="120"/>
      <c r="D61" s="68"/>
      <c r="E61" s="68">
        <f ca="1">E48*D4-E58-E59</f>
        <v>147.76993084434787</v>
      </c>
      <c r="K61" s="65"/>
      <c r="L61" s="65"/>
    </row>
    <row r="62" spans="1:12" x14ac:dyDescent="0.3">
      <c r="A62" s="2"/>
      <c r="B62" s="121"/>
      <c r="C62" s="121"/>
      <c r="D62" s="68"/>
      <c r="E62" s="68"/>
      <c r="K62" s="65"/>
      <c r="L62" s="65"/>
    </row>
    <row r="63" spans="1:12" x14ac:dyDescent="0.3">
      <c r="A63" s="2" t="s">
        <v>20</v>
      </c>
      <c r="B63" s="120">
        <f ca="1">AVERAGE(C67:C566)</f>
        <v>130.88085429586019</v>
      </c>
      <c r="C63" s="120"/>
      <c r="D63" s="68"/>
      <c r="E63" s="68">
        <f t="shared" ref="E63" ca="1" si="1">AVERAGE(E67:E566)</f>
        <v>163.35387671646711</v>
      </c>
      <c r="K63" s="65"/>
      <c r="L63" s="65"/>
    </row>
    <row r="64" spans="1:12" x14ac:dyDescent="0.3">
      <c r="A64" s="2" t="s">
        <v>18</v>
      </c>
      <c r="B64" s="120">
        <f ca="1">STDEVA(C67:C566)</f>
        <v>64.112936832936086</v>
      </c>
      <c r="C64" s="120"/>
      <c r="D64" s="68"/>
      <c r="E64" s="68">
        <f t="shared" ref="E64" ca="1" si="2">STDEVA(E67:E566)</f>
        <v>203.6374101583279</v>
      </c>
      <c r="K64" s="65"/>
      <c r="L64" s="65"/>
    </row>
    <row r="65" spans="1:12" x14ac:dyDescent="0.3">
      <c r="B65" s="121"/>
      <c r="C65" s="121"/>
      <c r="K65" s="65"/>
      <c r="L65" s="65"/>
    </row>
    <row r="66" spans="1:12" x14ac:dyDescent="0.3">
      <c r="A66" s="2" t="s">
        <v>123</v>
      </c>
      <c r="B66" s="121"/>
      <c r="C66" s="121"/>
      <c r="K66" s="65"/>
      <c r="L66" s="65"/>
    </row>
    <row r="67" spans="1:12" x14ac:dyDescent="0.3">
      <c r="B67">
        <v>1</v>
      </c>
      <c r="C67" s="40">
        <f ca="1">B61</f>
        <v>248.66656044034588</v>
      </c>
      <c r="D67">
        <f>B67</f>
        <v>1</v>
      </c>
      <c r="E67" s="40">
        <f ca="1">E61</f>
        <v>147.76993084434787</v>
      </c>
      <c r="K67" s="65"/>
      <c r="L67" s="65"/>
    </row>
    <row r="68" spans="1:12" x14ac:dyDescent="0.3">
      <c r="B68">
        <v>2</v>
      </c>
      <c r="C68" s="40">
        <f t="dataTable" ref="C68:C566" dt2D="0" dtr="0" r1="C66" ca="1"/>
        <v>120.49865936681019</v>
      </c>
      <c r="D68" s="67">
        <f>B68</f>
        <v>2</v>
      </c>
      <c r="E68" s="40">
        <f t="dataTable" ref="E68:E566" dt2D="0" dtr="0" r1="E66" ca="1"/>
        <v>253.12182903054921</v>
      </c>
      <c r="K68" s="65"/>
      <c r="L68" s="65"/>
    </row>
    <row r="69" spans="1:12" x14ac:dyDescent="0.3">
      <c r="B69" s="67">
        <v>3</v>
      </c>
      <c r="C69" s="40">
        <v>142.6306815685013</v>
      </c>
      <c r="D69" s="67">
        <f t="shared" ref="D69:D132" si="3">B69</f>
        <v>3</v>
      </c>
      <c r="E69" s="40">
        <v>15.906499472001485</v>
      </c>
      <c r="K69" s="65"/>
      <c r="L69" s="65"/>
    </row>
    <row r="70" spans="1:12" x14ac:dyDescent="0.3">
      <c r="B70" s="67">
        <v>4</v>
      </c>
      <c r="C70" s="40">
        <v>119.53899044546984</v>
      </c>
      <c r="D70" s="67">
        <f t="shared" si="3"/>
        <v>4</v>
      </c>
      <c r="E70" s="40">
        <v>67.942708262080615</v>
      </c>
      <c r="K70" s="65"/>
      <c r="L70" s="65"/>
    </row>
    <row r="71" spans="1:12" x14ac:dyDescent="0.3">
      <c r="B71" s="67">
        <v>5</v>
      </c>
      <c r="C71" s="40">
        <v>145.81692883568832</v>
      </c>
      <c r="D71" s="67">
        <f t="shared" si="3"/>
        <v>5</v>
      </c>
      <c r="E71" s="40">
        <v>-55.210627942258554</v>
      </c>
      <c r="K71" s="65"/>
      <c r="L71" s="65"/>
    </row>
    <row r="72" spans="1:12" x14ac:dyDescent="0.3">
      <c r="B72" s="67">
        <v>6</v>
      </c>
      <c r="C72" s="40">
        <v>22.631455088060619</v>
      </c>
      <c r="D72" s="67">
        <f t="shared" si="3"/>
        <v>6</v>
      </c>
      <c r="E72" s="40">
        <v>48.689257716626059</v>
      </c>
      <c r="K72" s="65"/>
      <c r="L72" s="65"/>
    </row>
    <row r="73" spans="1:12" x14ac:dyDescent="0.3">
      <c r="B73" s="67">
        <v>7</v>
      </c>
      <c r="C73" s="40">
        <v>100.10039817851951</v>
      </c>
      <c r="D73" s="67">
        <f t="shared" si="3"/>
        <v>7</v>
      </c>
      <c r="E73" s="40">
        <v>243.45807432830102</v>
      </c>
      <c r="K73" s="65"/>
      <c r="L73" s="65"/>
    </row>
    <row r="74" spans="1:12" x14ac:dyDescent="0.3">
      <c r="B74" s="67">
        <v>8</v>
      </c>
      <c r="C74" s="40">
        <v>99.424769301908427</v>
      </c>
      <c r="D74" s="67">
        <f t="shared" si="3"/>
        <v>8</v>
      </c>
      <c r="E74" s="40">
        <v>-123.13557234732741</v>
      </c>
      <c r="K74" s="65"/>
      <c r="L74" s="65"/>
    </row>
    <row r="75" spans="1:12" x14ac:dyDescent="0.3">
      <c r="B75" s="67">
        <v>9</v>
      </c>
      <c r="C75" s="40">
        <v>158.8984999875839</v>
      </c>
      <c r="D75" s="67">
        <f t="shared" si="3"/>
        <v>9</v>
      </c>
      <c r="E75" s="40">
        <v>-34.210575205749848</v>
      </c>
      <c r="K75" s="65"/>
      <c r="L75" s="65"/>
    </row>
    <row r="76" spans="1:12" x14ac:dyDescent="0.3">
      <c r="B76" s="67">
        <v>10</v>
      </c>
      <c r="C76" s="40">
        <v>136.46157000635625</v>
      </c>
      <c r="D76" s="67">
        <f t="shared" si="3"/>
        <v>10</v>
      </c>
      <c r="E76" s="40">
        <v>120.08681212038459</v>
      </c>
      <c r="K76" s="65"/>
      <c r="L76" s="65"/>
    </row>
    <row r="77" spans="1:12" x14ac:dyDescent="0.3">
      <c r="B77" s="67">
        <v>11</v>
      </c>
      <c r="C77" s="40">
        <v>115.36229992832122</v>
      </c>
      <c r="D77" s="67">
        <f t="shared" si="3"/>
        <v>11</v>
      </c>
      <c r="E77" s="40">
        <v>-191.6575661427172</v>
      </c>
      <c r="K77" s="65"/>
      <c r="L77" s="65"/>
    </row>
    <row r="78" spans="1:12" x14ac:dyDescent="0.3">
      <c r="B78" s="67">
        <v>12</v>
      </c>
      <c r="C78" s="40">
        <v>-19.712094733336613</v>
      </c>
      <c r="D78" s="67">
        <f t="shared" si="3"/>
        <v>12</v>
      </c>
      <c r="E78" s="40">
        <v>189.70583342051833</v>
      </c>
      <c r="K78" s="65"/>
      <c r="L78" s="65"/>
    </row>
    <row r="79" spans="1:12" x14ac:dyDescent="0.3">
      <c r="B79" s="67">
        <v>13</v>
      </c>
      <c r="C79" s="40">
        <v>208.90392149751312</v>
      </c>
      <c r="D79" s="67">
        <f t="shared" si="3"/>
        <v>13</v>
      </c>
      <c r="E79" s="40">
        <v>243.86385706247779</v>
      </c>
      <c r="K79" s="65"/>
      <c r="L79" s="65"/>
    </row>
    <row r="80" spans="1:12" x14ac:dyDescent="0.3">
      <c r="B80" s="67">
        <v>14</v>
      </c>
      <c r="C80" s="40">
        <v>123.08602353751472</v>
      </c>
      <c r="D80" s="67">
        <f t="shared" si="3"/>
        <v>14</v>
      </c>
      <c r="E80" s="40">
        <v>16.517658947944717</v>
      </c>
      <c r="K80" s="65"/>
      <c r="L80" s="65"/>
    </row>
    <row r="81" spans="2:12" x14ac:dyDescent="0.3">
      <c r="B81" s="67">
        <v>15</v>
      </c>
      <c r="C81" s="40">
        <v>28.684950359083274</v>
      </c>
      <c r="D81" s="67">
        <f t="shared" si="3"/>
        <v>15</v>
      </c>
      <c r="E81" s="40">
        <v>512.00115005998828</v>
      </c>
      <c r="K81" s="65"/>
      <c r="L81" s="65"/>
    </row>
    <row r="82" spans="2:12" x14ac:dyDescent="0.3">
      <c r="B82" s="67">
        <v>16</v>
      </c>
      <c r="C82" s="40">
        <v>17.970887577124813</v>
      </c>
      <c r="D82" s="67">
        <f t="shared" si="3"/>
        <v>16</v>
      </c>
      <c r="E82" s="40">
        <v>21.686810983526755</v>
      </c>
      <c r="K82" s="65"/>
      <c r="L82" s="65"/>
    </row>
    <row r="83" spans="2:12" x14ac:dyDescent="0.3">
      <c r="B83" s="67">
        <v>17</v>
      </c>
      <c r="C83" s="40">
        <v>118.66658235679503</v>
      </c>
      <c r="D83" s="67">
        <f t="shared" si="3"/>
        <v>17</v>
      </c>
      <c r="E83" s="40">
        <v>376.06509460991816</v>
      </c>
      <c r="K83" s="65"/>
      <c r="L83" s="65"/>
    </row>
    <row r="84" spans="2:12" x14ac:dyDescent="0.3">
      <c r="B84" s="67">
        <v>18</v>
      </c>
      <c r="C84" s="40">
        <v>24.697864858182299</v>
      </c>
      <c r="D84" s="67">
        <f t="shared" si="3"/>
        <v>18</v>
      </c>
      <c r="E84" s="40">
        <v>85.238936256367566</v>
      </c>
      <c r="K84" s="65"/>
      <c r="L84" s="65"/>
    </row>
    <row r="85" spans="2:12" x14ac:dyDescent="0.3">
      <c r="B85" s="67">
        <v>19</v>
      </c>
      <c r="C85" s="40">
        <v>161.07516500019443</v>
      </c>
      <c r="D85" s="67">
        <f t="shared" si="3"/>
        <v>19</v>
      </c>
      <c r="E85" s="40">
        <v>210.07027987150829</v>
      </c>
      <c r="K85" s="65"/>
      <c r="L85" s="65"/>
    </row>
    <row r="86" spans="2:12" x14ac:dyDescent="0.3">
      <c r="B86" s="67">
        <v>20</v>
      </c>
      <c r="C86" s="40">
        <v>192.20198748771318</v>
      </c>
      <c r="D86" s="67">
        <f t="shared" si="3"/>
        <v>20</v>
      </c>
      <c r="E86" s="40">
        <v>136.4677941051466</v>
      </c>
      <c r="K86" s="65"/>
      <c r="L86" s="65"/>
    </row>
    <row r="87" spans="2:12" x14ac:dyDescent="0.3">
      <c r="B87" s="67">
        <v>21</v>
      </c>
      <c r="C87" s="40">
        <v>-0.30955758112148146</v>
      </c>
      <c r="D87" s="67">
        <f t="shared" si="3"/>
        <v>21</v>
      </c>
      <c r="E87" s="40">
        <v>-5.9194343010005639</v>
      </c>
      <c r="K87" s="65"/>
      <c r="L87" s="65"/>
    </row>
    <row r="88" spans="2:12" x14ac:dyDescent="0.3">
      <c r="B88" s="67">
        <v>22</v>
      </c>
      <c r="C88" s="40">
        <v>110.967056419252</v>
      </c>
      <c r="D88" s="67">
        <f t="shared" si="3"/>
        <v>22</v>
      </c>
      <c r="E88" s="40">
        <v>-231.07893583838521</v>
      </c>
      <c r="K88" s="65"/>
      <c r="L88" s="65"/>
    </row>
    <row r="89" spans="2:12" x14ac:dyDescent="0.3">
      <c r="B89" s="67">
        <v>23</v>
      </c>
      <c r="C89" s="40">
        <v>135.57159111647758</v>
      </c>
      <c r="D89" s="67">
        <f t="shared" si="3"/>
        <v>23</v>
      </c>
      <c r="E89" s="40">
        <v>38.60979945947264</v>
      </c>
      <c r="K89" s="65"/>
      <c r="L89" s="65"/>
    </row>
    <row r="90" spans="2:12" x14ac:dyDescent="0.3">
      <c r="B90" s="67">
        <v>24</v>
      </c>
      <c r="C90" s="40">
        <v>138.65325248841546</v>
      </c>
      <c r="D90" s="67">
        <f t="shared" si="3"/>
        <v>24</v>
      </c>
      <c r="E90" s="40">
        <v>176.57906720636507</v>
      </c>
      <c r="K90" s="65"/>
      <c r="L90" s="65"/>
    </row>
    <row r="91" spans="2:12" x14ac:dyDescent="0.3">
      <c r="B91" s="67">
        <v>25</v>
      </c>
      <c r="C91" s="40">
        <v>43.634528576530968</v>
      </c>
      <c r="D91" s="67">
        <f t="shared" si="3"/>
        <v>25</v>
      </c>
      <c r="E91" s="40">
        <v>234.63228191383362</v>
      </c>
      <c r="K91" s="65"/>
      <c r="L91" s="65"/>
    </row>
    <row r="92" spans="2:12" x14ac:dyDescent="0.3">
      <c r="B92" s="67">
        <v>26</v>
      </c>
      <c r="C92" s="40">
        <v>300.98117886512216</v>
      </c>
      <c r="D92" s="67">
        <f t="shared" si="3"/>
        <v>26</v>
      </c>
      <c r="E92" s="40">
        <v>-115.11575286895865</v>
      </c>
      <c r="K92" s="65"/>
      <c r="L92" s="65"/>
    </row>
    <row r="93" spans="2:12" x14ac:dyDescent="0.3">
      <c r="B93" s="67">
        <v>27</v>
      </c>
      <c r="C93" s="40">
        <v>136.0943778897873</v>
      </c>
      <c r="D93" s="67">
        <f t="shared" si="3"/>
        <v>27</v>
      </c>
      <c r="E93" s="40">
        <v>97.422907706749527</v>
      </c>
      <c r="K93" s="65"/>
      <c r="L93" s="65"/>
    </row>
    <row r="94" spans="2:12" x14ac:dyDescent="0.3">
      <c r="B94" s="67">
        <v>28</v>
      </c>
      <c r="C94" s="40">
        <v>68.48103532443065</v>
      </c>
      <c r="D94" s="67">
        <f t="shared" si="3"/>
        <v>28</v>
      </c>
      <c r="E94" s="40">
        <v>282.83153571670823</v>
      </c>
      <c r="K94" s="65"/>
      <c r="L94" s="65"/>
    </row>
    <row r="95" spans="2:12" x14ac:dyDescent="0.3">
      <c r="B95" s="67">
        <v>29</v>
      </c>
      <c r="C95" s="40">
        <v>141.17868929211156</v>
      </c>
      <c r="D95" s="67">
        <f t="shared" si="3"/>
        <v>29</v>
      </c>
      <c r="E95" s="40">
        <v>234.12071213104775</v>
      </c>
      <c r="K95" s="65"/>
      <c r="L95" s="65"/>
    </row>
    <row r="96" spans="2:12" x14ac:dyDescent="0.3">
      <c r="B96" s="67">
        <v>30</v>
      </c>
      <c r="C96" s="40">
        <v>112.98061255880032</v>
      </c>
      <c r="D96" s="67">
        <f t="shared" si="3"/>
        <v>30</v>
      </c>
      <c r="E96" s="40">
        <v>-25.971406409567248</v>
      </c>
      <c r="K96" s="65"/>
      <c r="L96" s="65"/>
    </row>
    <row r="97" spans="2:12" x14ac:dyDescent="0.3">
      <c r="B97" s="67">
        <v>31</v>
      </c>
      <c r="C97" s="40">
        <v>80.723184320933456</v>
      </c>
      <c r="D97" s="67">
        <f t="shared" si="3"/>
        <v>31</v>
      </c>
      <c r="E97" s="40">
        <v>70.592842231270964</v>
      </c>
      <c r="K97" s="65"/>
      <c r="L97" s="65"/>
    </row>
    <row r="98" spans="2:12" x14ac:dyDescent="0.3">
      <c r="B98" s="67">
        <v>32</v>
      </c>
      <c r="C98" s="40">
        <v>-73.513885922041254</v>
      </c>
      <c r="D98" s="67">
        <f t="shared" si="3"/>
        <v>32</v>
      </c>
      <c r="E98" s="40">
        <v>173.23063078962659</v>
      </c>
      <c r="K98" s="65"/>
      <c r="L98" s="65"/>
    </row>
    <row r="99" spans="2:12" x14ac:dyDescent="0.3">
      <c r="B99" s="67">
        <v>33</v>
      </c>
      <c r="C99" s="40">
        <v>146.28274853169114</v>
      </c>
      <c r="D99" s="67">
        <f t="shared" si="3"/>
        <v>33</v>
      </c>
      <c r="E99" s="40">
        <v>-86.764763505905336</v>
      </c>
      <c r="K99" s="65"/>
      <c r="L99" s="65"/>
    </row>
    <row r="100" spans="2:12" x14ac:dyDescent="0.3">
      <c r="B100" s="67">
        <v>34</v>
      </c>
      <c r="C100" s="40">
        <v>143.80293119695088</v>
      </c>
      <c r="D100" s="67">
        <f t="shared" si="3"/>
        <v>34</v>
      </c>
      <c r="E100" s="40">
        <v>206.89506753229898</v>
      </c>
      <c r="K100" s="65"/>
      <c r="L100" s="65"/>
    </row>
    <row r="101" spans="2:12" x14ac:dyDescent="0.3">
      <c r="B101" s="67">
        <v>35</v>
      </c>
      <c r="C101" s="40">
        <v>42.549003116672097</v>
      </c>
      <c r="D101" s="67">
        <f t="shared" si="3"/>
        <v>35</v>
      </c>
      <c r="E101" s="40">
        <v>312.26233192738482</v>
      </c>
      <c r="K101" s="65"/>
      <c r="L101" s="65"/>
    </row>
    <row r="102" spans="2:12" x14ac:dyDescent="0.3">
      <c r="B102" s="67">
        <v>36</v>
      </c>
      <c r="C102" s="40">
        <v>159.82680771848379</v>
      </c>
      <c r="D102" s="67">
        <f t="shared" si="3"/>
        <v>36</v>
      </c>
      <c r="E102" s="40">
        <v>-246.79236278110915</v>
      </c>
      <c r="K102" s="65"/>
      <c r="L102" s="65"/>
    </row>
    <row r="103" spans="2:12" x14ac:dyDescent="0.3">
      <c r="B103" s="67">
        <v>37</v>
      </c>
      <c r="C103" s="40">
        <v>163.97368004075878</v>
      </c>
      <c r="D103" s="67">
        <f t="shared" si="3"/>
        <v>37</v>
      </c>
      <c r="E103" s="40">
        <v>203.42387658818427</v>
      </c>
      <c r="K103" s="65"/>
      <c r="L103" s="65"/>
    </row>
    <row r="104" spans="2:12" x14ac:dyDescent="0.3">
      <c r="B104" s="67">
        <v>38</v>
      </c>
      <c r="C104" s="40">
        <v>154.98770790932599</v>
      </c>
      <c r="D104" s="67">
        <f t="shared" si="3"/>
        <v>38</v>
      </c>
      <c r="E104" s="40">
        <v>702.59336312604501</v>
      </c>
      <c r="K104" s="65"/>
      <c r="L104" s="65"/>
    </row>
    <row r="105" spans="2:12" x14ac:dyDescent="0.3">
      <c r="B105" s="67">
        <v>39</v>
      </c>
      <c r="C105" s="40">
        <v>146.53406520450503</v>
      </c>
      <c r="D105" s="67">
        <f t="shared" si="3"/>
        <v>39</v>
      </c>
      <c r="E105" s="40">
        <v>250.21367897196657</v>
      </c>
      <c r="K105" s="65"/>
      <c r="L105" s="65"/>
    </row>
    <row r="106" spans="2:12" x14ac:dyDescent="0.3">
      <c r="B106" s="67">
        <v>40</v>
      </c>
      <c r="C106" s="40">
        <v>127.56789182935046</v>
      </c>
      <c r="D106" s="67">
        <f t="shared" si="3"/>
        <v>40</v>
      </c>
      <c r="E106" s="40">
        <v>30.412337046854219</v>
      </c>
      <c r="K106" s="65"/>
      <c r="L106" s="65"/>
    </row>
    <row r="107" spans="2:12" x14ac:dyDescent="0.3">
      <c r="B107" s="67">
        <v>41</v>
      </c>
      <c r="C107" s="40">
        <v>139.1859401258354</v>
      </c>
      <c r="D107" s="67">
        <f t="shared" si="3"/>
        <v>41</v>
      </c>
      <c r="E107" s="40">
        <v>85.901718834635147</v>
      </c>
      <c r="K107" s="65"/>
      <c r="L107" s="65"/>
    </row>
    <row r="108" spans="2:12" x14ac:dyDescent="0.3">
      <c r="B108" s="67">
        <v>42</v>
      </c>
      <c r="C108" s="40">
        <v>164.94963128291261</v>
      </c>
      <c r="D108" s="67">
        <f t="shared" si="3"/>
        <v>42</v>
      </c>
      <c r="E108" s="40">
        <v>278.08511030300303</v>
      </c>
      <c r="K108" s="65"/>
      <c r="L108" s="65"/>
    </row>
    <row r="109" spans="2:12" x14ac:dyDescent="0.3">
      <c r="B109" s="67">
        <v>43</v>
      </c>
      <c r="C109" s="40">
        <v>111.14446154353635</v>
      </c>
      <c r="D109" s="67">
        <f t="shared" si="3"/>
        <v>43</v>
      </c>
      <c r="E109" s="40">
        <v>53.874998793188695</v>
      </c>
      <c r="K109" s="65"/>
      <c r="L109" s="65"/>
    </row>
    <row r="110" spans="2:12" x14ac:dyDescent="0.3">
      <c r="B110" s="67">
        <v>44</v>
      </c>
      <c r="C110" s="40">
        <v>169.53919707278629</v>
      </c>
      <c r="D110" s="67">
        <f t="shared" si="3"/>
        <v>44</v>
      </c>
      <c r="E110" s="40">
        <v>165.10698164777506</v>
      </c>
      <c r="K110" s="65"/>
      <c r="L110" s="65"/>
    </row>
    <row r="111" spans="2:12" x14ac:dyDescent="0.3">
      <c r="B111" s="67">
        <v>45</v>
      </c>
      <c r="C111" s="40">
        <v>145.8772121148364</v>
      </c>
      <c r="D111" s="67">
        <f t="shared" si="3"/>
        <v>45</v>
      </c>
      <c r="E111" s="40">
        <v>167.55903000089194</v>
      </c>
      <c r="K111" s="65"/>
      <c r="L111" s="65"/>
    </row>
    <row r="112" spans="2:12" x14ac:dyDescent="0.3">
      <c r="B112" s="67">
        <v>46</v>
      </c>
      <c r="C112" s="40">
        <v>140.44011166152575</v>
      </c>
      <c r="D112" s="67">
        <f t="shared" si="3"/>
        <v>46</v>
      </c>
      <c r="E112" s="40">
        <v>1.1816853706031623</v>
      </c>
      <c r="K112" s="65"/>
      <c r="L112" s="65"/>
    </row>
    <row r="113" spans="2:12" x14ac:dyDescent="0.3">
      <c r="B113" s="67">
        <v>47</v>
      </c>
      <c r="C113" s="40">
        <v>85.101304212133996</v>
      </c>
      <c r="D113" s="67">
        <f t="shared" si="3"/>
        <v>47</v>
      </c>
      <c r="E113" s="40">
        <v>242.00628749201812</v>
      </c>
      <c r="K113" s="65"/>
      <c r="L113" s="65"/>
    </row>
    <row r="114" spans="2:12" x14ac:dyDescent="0.3">
      <c r="B114" s="67">
        <v>48</v>
      </c>
      <c r="C114" s="40">
        <v>211.63146893936397</v>
      </c>
      <c r="D114" s="67">
        <f t="shared" si="3"/>
        <v>48</v>
      </c>
      <c r="E114" s="40">
        <v>235.8371492921755</v>
      </c>
      <c r="K114" s="65"/>
      <c r="L114" s="65"/>
    </row>
    <row r="115" spans="2:12" x14ac:dyDescent="0.3">
      <c r="B115" s="67">
        <v>49</v>
      </c>
      <c r="C115" s="40">
        <v>168.23011687767962</v>
      </c>
      <c r="D115" s="67">
        <f t="shared" si="3"/>
        <v>49</v>
      </c>
      <c r="E115" s="40">
        <v>62.019895185422072</v>
      </c>
      <c r="K115" s="65"/>
      <c r="L115" s="65"/>
    </row>
    <row r="116" spans="2:12" x14ac:dyDescent="0.3">
      <c r="B116" s="67">
        <v>50</v>
      </c>
      <c r="C116" s="40">
        <v>97.050998851406888</v>
      </c>
      <c r="D116" s="67">
        <f t="shared" si="3"/>
        <v>50</v>
      </c>
      <c r="E116" s="40">
        <v>32.554216280193565</v>
      </c>
      <c r="K116" s="65"/>
      <c r="L116" s="65"/>
    </row>
    <row r="117" spans="2:12" x14ac:dyDescent="0.3">
      <c r="B117" s="67">
        <v>51</v>
      </c>
      <c r="C117" s="40">
        <v>-9.7677284682960703</v>
      </c>
      <c r="D117" s="67">
        <f t="shared" si="3"/>
        <v>51</v>
      </c>
      <c r="E117" s="40">
        <v>150.53942416422103</v>
      </c>
      <c r="K117" s="65"/>
      <c r="L117" s="65"/>
    </row>
    <row r="118" spans="2:12" x14ac:dyDescent="0.3">
      <c r="B118" s="67">
        <v>52</v>
      </c>
      <c r="C118" s="40">
        <v>175.80764351466695</v>
      </c>
      <c r="D118" s="67">
        <f t="shared" si="3"/>
        <v>52</v>
      </c>
      <c r="E118" s="40">
        <v>-124.8321327596523</v>
      </c>
      <c r="K118" s="65"/>
      <c r="L118" s="65"/>
    </row>
    <row r="119" spans="2:12" x14ac:dyDescent="0.3">
      <c r="B119" s="67">
        <v>53</v>
      </c>
      <c r="C119" s="40">
        <v>126.11246401548838</v>
      </c>
      <c r="D119" s="67">
        <f t="shared" si="3"/>
        <v>53</v>
      </c>
      <c r="E119" s="40">
        <v>76.834199130539332</v>
      </c>
      <c r="K119" s="65"/>
      <c r="L119" s="65"/>
    </row>
    <row r="120" spans="2:12" x14ac:dyDescent="0.3">
      <c r="B120" s="67">
        <v>54</v>
      </c>
      <c r="C120" s="40">
        <v>72.273872291344148</v>
      </c>
      <c r="D120" s="67">
        <f t="shared" si="3"/>
        <v>54</v>
      </c>
      <c r="E120" s="40">
        <v>-121.40612121856472</v>
      </c>
      <c r="K120" s="65"/>
      <c r="L120" s="65"/>
    </row>
    <row r="121" spans="2:12" x14ac:dyDescent="0.3">
      <c r="B121" s="67">
        <v>55</v>
      </c>
      <c r="C121" s="40">
        <v>178.95265556810028</v>
      </c>
      <c r="D121" s="67">
        <f t="shared" si="3"/>
        <v>55</v>
      </c>
      <c r="E121" s="40">
        <v>481.60328660479922</v>
      </c>
      <c r="K121" s="65"/>
      <c r="L121" s="65"/>
    </row>
    <row r="122" spans="2:12" x14ac:dyDescent="0.3">
      <c r="B122" s="67">
        <v>56</v>
      </c>
      <c r="C122" s="40">
        <v>214.15819142946589</v>
      </c>
      <c r="D122" s="67">
        <f t="shared" si="3"/>
        <v>56</v>
      </c>
      <c r="E122" s="40">
        <v>210.16884342839376</v>
      </c>
      <c r="K122" s="65"/>
      <c r="L122" s="65"/>
    </row>
    <row r="123" spans="2:12" x14ac:dyDescent="0.3">
      <c r="B123" s="67">
        <v>57</v>
      </c>
      <c r="C123" s="40">
        <v>-3.973496184953035</v>
      </c>
      <c r="D123" s="67">
        <f t="shared" si="3"/>
        <v>57</v>
      </c>
      <c r="E123" s="40">
        <v>109.17519163552245</v>
      </c>
      <c r="K123" s="65"/>
      <c r="L123" s="65"/>
    </row>
    <row r="124" spans="2:12" x14ac:dyDescent="0.3">
      <c r="B124" s="67">
        <v>58</v>
      </c>
      <c r="C124" s="40">
        <v>177.76974751344409</v>
      </c>
      <c r="D124" s="67">
        <f t="shared" si="3"/>
        <v>58</v>
      </c>
      <c r="E124" s="40">
        <v>17.422669345670414</v>
      </c>
      <c r="K124" s="65"/>
      <c r="L124" s="65"/>
    </row>
    <row r="125" spans="2:12" x14ac:dyDescent="0.3">
      <c r="B125" s="67">
        <v>59</v>
      </c>
      <c r="C125" s="40">
        <v>223.32788603636686</v>
      </c>
      <c r="D125" s="67">
        <f t="shared" si="3"/>
        <v>59</v>
      </c>
      <c r="E125" s="40">
        <v>-25.801321359726913</v>
      </c>
      <c r="K125" s="65"/>
      <c r="L125" s="65"/>
    </row>
    <row r="126" spans="2:12" x14ac:dyDescent="0.3">
      <c r="B126" s="67">
        <v>60</v>
      </c>
      <c r="C126" s="40">
        <v>139.44972184521353</v>
      </c>
      <c r="D126" s="67">
        <f t="shared" si="3"/>
        <v>60</v>
      </c>
      <c r="E126" s="40">
        <v>199.01521062164107</v>
      </c>
      <c r="K126" s="65"/>
      <c r="L126" s="65"/>
    </row>
    <row r="127" spans="2:12" x14ac:dyDescent="0.3">
      <c r="B127" s="67">
        <v>61</v>
      </c>
      <c r="C127" s="40">
        <v>117.62392310057908</v>
      </c>
      <c r="D127" s="67">
        <f t="shared" si="3"/>
        <v>61</v>
      </c>
      <c r="E127" s="40">
        <v>399.26396870867757</v>
      </c>
      <c r="K127" s="65"/>
      <c r="L127" s="65"/>
    </row>
    <row r="128" spans="2:12" x14ac:dyDescent="0.3">
      <c r="B128" s="67">
        <v>62</v>
      </c>
      <c r="C128" s="40">
        <v>102.59848552388797</v>
      </c>
      <c r="D128" s="67">
        <f t="shared" si="3"/>
        <v>62</v>
      </c>
      <c r="E128" s="40">
        <v>207.63870726838138</v>
      </c>
      <c r="K128" s="65"/>
      <c r="L128" s="65"/>
    </row>
    <row r="129" spans="2:12" x14ac:dyDescent="0.3">
      <c r="B129" s="67">
        <v>63</v>
      </c>
      <c r="C129" s="40">
        <v>188.6117288913504</v>
      </c>
      <c r="D129" s="67">
        <f t="shared" si="3"/>
        <v>63</v>
      </c>
      <c r="E129" s="40">
        <v>294.01013205727321</v>
      </c>
      <c r="K129" s="65"/>
      <c r="L129" s="65"/>
    </row>
    <row r="130" spans="2:12" x14ac:dyDescent="0.3">
      <c r="B130" s="67">
        <v>64</v>
      </c>
      <c r="C130" s="40">
        <v>132.29235564173638</v>
      </c>
      <c r="D130" s="67">
        <f t="shared" si="3"/>
        <v>64</v>
      </c>
      <c r="E130" s="40">
        <v>135.75047138652849</v>
      </c>
      <c r="K130" s="65"/>
      <c r="L130" s="65"/>
    </row>
    <row r="131" spans="2:12" x14ac:dyDescent="0.3">
      <c r="B131" s="67">
        <v>65</v>
      </c>
      <c r="C131" s="40">
        <v>158.09926653726384</v>
      </c>
      <c r="D131" s="67">
        <f t="shared" si="3"/>
        <v>65</v>
      </c>
      <c r="E131" s="40">
        <v>113.74370385008832</v>
      </c>
      <c r="K131" s="65"/>
      <c r="L131" s="65"/>
    </row>
    <row r="132" spans="2:12" x14ac:dyDescent="0.3">
      <c r="B132" s="67">
        <v>66</v>
      </c>
      <c r="C132" s="40">
        <v>175.8900767941247</v>
      </c>
      <c r="D132" s="67">
        <f t="shared" si="3"/>
        <v>66</v>
      </c>
      <c r="E132" s="40">
        <v>67.340096953114369</v>
      </c>
      <c r="K132" s="65"/>
      <c r="L132" s="65"/>
    </row>
    <row r="133" spans="2:12" x14ac:dyDescent="0.3">
      <c r="B133" s="67">
        <v>67</v>
      </c>
      <c r="C133" s="40">
        <v>159.90372049542106</v>
      </c>
      <c r="D133" s="67">
        <f t="shared" ref="D133:D196" si="4">B133</f>
        <v>67</v>
      </c>
      <c r="E133" s="40">
        <v>199.76409614388467</v>
      </c>
      <c r="K133" s="65"/>
      <c r="L133" s="65"/>
    </row>
    <row r="134" spans="2:12" x14ac:dyDescent="0.3">
      <c r="B134" s="67">
        <v>68</v>
      </c>
      <c r="C134" s="40">
        <v>171.61277265600381</v>
      </c>
      <c r="D134" s="67">
        <f t="shared" si="4"/>
        <v>68</v>
      </c>
      <c r="E134" s="40">
        <v>395.78976971849585</v>
      </c>
      <c r="K134" s="65"/>
      <c r="L134" s="65"/>
    </row>
    <row r="135" spans="2:12" x14ac:dyDescent="0.3">
      <c r="B135" s="67">
        <v>69</v>
      </c>
      <c r="C135" s="40">
        <v>134.21633915308891</v>
      </c>
      <c r="D135" s="67">
        <f t="shared" si="4"/>
        <v>69</v>
      </c>
      <c r="E135" s="40">
        <v>-144.80327174895069</v>
      </c>
      <c r="K135" s="65"/>
      <c r="L135" s="65"/>
    </row>
    <row r="136" spans="2:12" x14ac:dyDescent="0.3">
      <c r="B136" s="67">
        <v>70</v>
      </c>
      <c r="C136" s="40">
        <v>178.32000160936576</v>
      </c>
      <c r="D136" s="67">
        <f t="shared" si="4"/>
        <v>70</v>
      </c>
      <c r="E136" s="40">
        <v>121.35066929912733</v>
      </c>
      <c r="K136" s="65"/>
      <c r="L136" s="65"/>
    </row>
    <row r="137" spans="2:12" x14ac:dyDescent="0.3">
      <c r="B137" s="67">
        <v>71</v>
      </c>
      <c r="C137" s="40">
        <v>181.65591941718503</v>
      </c>
      <c r="D137" s="67">
        <f t="shared" si="4"/>
        <v>71</v>
      </c>
      <c r="E137" s="40">
        <v>3.1362029447575992</v>
      </c>
      <c r="K137" s="65"/>
      <c r="L137" s="65"/>
    </row>
    <row r="138" spans="2:12" x14ac:dyDescent="0.3">
      <c r="B138" s="67">
        <v>72</v>
      </c>
      <c r="C138" s="40">
        <v>129.82834393918267</v>
      </c>
      <c r="D138" s="67">
        <f t="shared" si="4"/>
        <v>72</v>
      </c>
      <c r="E138" s="40">
        <v>-70.67820279977785</v>
      </c>
      <c r="K138" s="65"/>
      <c r="L138" s="65"/>
    </row>
    <row r="139" spans="2:12" x14ac:dyDescent="0.3">
      <c r="B139" s="67">
        <v>73</v>
      </c>
      <c r="C139" s="40">
        <v>88.696382539090493</v>
      </c>
      <c r="D139" s="67">
        <f t="shared" si="4"/>
        <v>73</v>
      </c>
      <c r="E139" s="40">
        <v>208.40929307794065</v>
      </c>
      <c r="K139" s="65"/>
      <c r="L139" s="65"/>
    </row>
    <row r="140" spans="2:12" x14ac:dyDescent="0.3">
      <c r="B140" s="67">
        <v>74</v>
      </c>
      <c r="C140" s="40">
        <v>143.47985762065591</v>
      </c>
      <c r="D140" s="67">
        <f t="shared" si="4"/>
        <v>74</v>
      </c>
      <c r="E140" s="40">
        <v>-48.028497248508472</v>
      </c>
      <c r="K140" s="65"/>
      <c r="L140" s="65"/>
    </row>
    <row r="141" spans="2:12" x14ac:dyDescent="0.3">
      <c r="B141" s="67">
        <v>75</v>
      </c>
      <c r="C141" s="40">
        <v>136.24496598227586</v>
      </c>
      <c r="D141" s="67">
        <f t="shared" si="4"/>
        <v>75</v>
      </c>
      <c r="E141" s="40">
        <v>194.11421513411767</v>
      </c>
      <c r="K141" s="65"/>
      <c r="L141" s="65"/>
    </row>
    <row r="142" spans="2:12" x14ac:dyDescent="0.3">
      <c r="B142" s="67">
        <v>76</v>
      </c>
      <c r="C142" s="40">
        <v>277.37790051070294</v>
      </c>
      <c r="D142" s="67">
        <f t="shared" si="4"/>
        <v>76</v>
      </c>
      <c r="E142" s="40">
        <v>-239.69013626022138</v>
      </c>
      <c r="K142" s="65"/>
      <c r="L142" s="65"/>
    </row>
    <row r="143" spans="2:12" x14ac:dyDescent="0.3">
      <c r="B143" s="67">
        <v>77</v>
      </c>
      <c r="C143" s="40">
        <v>63.231368669489157</v>
      </c>
      <c r="D143" s="67">
        <f t="shared" si="4"/>
        <v>77</v>
      </c>
      <c r="E143" s="40">
        <v>369.20404979334086</v>
      </c>
      <c r="K143" s="65"/>
      <c r="L143" s="65"/>
    </row>
    <row r="144" spans="2:12" x14ac:dyDescent="0.3">
      <c r="B144" s="67">
        <v>78</v>
      </c>
      <c r="C144" s="40">
        <v>-27.922950486272697</v>
      </c>
      <c r="D144" s="67">
        <f t="shared" si="4"/>
        <v>78</v>
      </c>
      <c r="E144" s="40">
        <v>48.532968051783442</v>
      </c>
      <c r="K144" s="65"/>
      <c r="L144" s="65"/>
    </row>
    <row r="145" spans="2:12" x14ac:dyDescent="0.3">
      <c r="B145" s="67">
        <v>79</v>
      </c>
      <c r="C145" s="40">
        <v>171.69296730799132</v>
      </c>
      <c r="D145" s="67">
        <f t="shared" si="4"/>
        <v>79</v>
      </c>
      <c r="E145" s="40">
        <v>211.11442471384822</v>
      </c>
      <c r="K145" s="65"/>
      <c r="L145" s="65"/>
    </row>
    <row r="146" spans="2:12" x14ac:dyDescent="0.3">
      <c r="B146" s="67">
        <v>80</v>
      </c>
      <c r="C146" s="40">
        <v>151.01003853846331</v>
      </c>
      <c r="D146" s="67">
        <f t="shared" si="4"/>
        <v>80</v>
      </c>
      <c r="E146" s="40">
        <v>305.64696163915676</v>
      </c>
      <c r="K146" s="65"/>
      <c r="L146" s="65"/>
    </row>
    <row r="147" spans="2:12" x14ac:dyDescent="0.3">
      <c r="B147" s="67">
        <v>81</v>
      </c>
      <c r="C147" s="40">
        <v>181.0261572269813</v>
      </c>
      <c r="D147" s="67">
        <f t="shared" si="4"/>
        <v>81</v>
      </c>
      <c r="E147" s="40">
        <v>200.30234949628263</v>
      </c>
      <c r="K147" s="65"/>
      <c r="L147" s="65"/>
    </row>
    <row r="148" spans="2:12" x14ac:dyDescent="0.3">
      <c r="B148" s="67">
        <v>82</v>
      </c>
      <c r="C148" s="40">
        <v>22.313163966850539</v>
      </c>
      <c r="D148" s="67">
        <f t="shared" si="4"/>
        <v>82</v>
      </c>
      <c r="E148" s="40">
        <v>-50.404939985668136</v>
      </c>
      <c r="K148" s="65"/>
      <c r="L148" s="65"/>
    </row>
    <row r="149" spans="2:12" x14ac:dyDescent="0.3">
      <c r="B149" s="67">
        <v>83</v>
      </c>
      <c r="C149" s="40">
        <v>107.93612528464389</v>
      </c>
      <c r="D149" s="67">
        <f t="shared" si="4"/>
        <v>83</v>
      </c>
      <c r="E149" s="40">
        <v>-62.457409934362317</v>
      </c>
      <c r="K149" s="65"/>
      <c r="L149" s="65"/>
    </row>
    <row r="150" spans="2:12" x14ac:dyDescent="0.3">
      <c r="B150" s="67">
        <v>84</v>
      </c>
      <c r="C150" s="40">
        <v>137.80179677603297</v>
      </c>
      <c r="D150" s="67">
        <f t="shared" si="4"/>
        <v>84</v>
      </c>
      <c r="E150" s="40">
        <v>424.30457898494365</v>
      </c>
      <c r="K150" s="65"/>
      <c r="L150" s="65"/>
    </row>
    <row r="151" spans="2:12" x14ac:dyDescent="0.3">
      <c r="B151" s="67">
        <v>85</v>
      </c>
      <c r="C151" s="40">
        <v>86.535769345857318</v>
      </c>
      <c r="D151" s="67">
        <f t="shared" si="4"/>
        <v>85</v>
      </c>
      <c r="E151" s="40">
        <v>85.119421699556852</v>
      </c>
      <c r="K151" s="65"/>
      <c r="L151" s="65"/>
    </row>
    <row r="152" spans="2:12" x14ac:dyDescent="0.3">
      <c r="B152" s="67">
        <v>86</v>
      </c>
      <c r="C152" s="40">
        <v>189.14020162861411</v>
      </c>
      <c r="D152" s="67">
        <f t="shared" si="4"/>
        <v>86</v>
      </c>
      <c r="E152" s="40">
        <v>98.070398774819211</v>
      </c>
      <c r="K152" s="65"/>
      <c r="L152" s="65"/>
    </row>
    <row r="153" spans="2:12" x14ac:dyDescent="0.3">
      <c r="B153" s="67">
        <v>87</v>
      </c>
      <c r="C153" s="40">
        <v>189.47329627999198</v>
      </c>
      <c r="D153" s="67">
        <f t="shared" si="4"/>
        <v>87</v>
      </c>
      <c r="E153" s="40">
        <v>141.68767855599441</v>
      </c>
      <c r="K153" s="65"/>
      <c r="L153" s="65"/>
    </row>
    <row r="154" spans="2:12" x14ac:dyDescent="0.3">
      <c r="B154" s="67">
        <v>88</v>
      </c>
      <c r="C154" s="40">
        <v>81.306776742635478</v>
      </c>
      <c r="D154" s="67">
        <f t="shared" si="4"/>
        <v>88</v>
      </c>
      <c r="E154" s="40">
        <v>232.60937084154887</v>
      </c>
      <c r="K154" s="65"/>
      <c r="L154" s="65"/>
    </row>
    <row r="155" spans="2:12" x14ac:dyDescent="0.3">
      <c r="B155" s="67">
        <v>89</v>
      </c>
      <c r="C155" s="40">
        <v>145.33638946915084</v>
      </c>
      <c r="D155" s="67">
        <f t="shared" si="4"/>
        <v>89</v>
      </c>
      <c r="E155" s="40">
        <v>-99.325415362864248</v>
      </c>
      <c r="K155" s="65"/>
      <c r="L155" s="65"/>
    </row>
    <row r="156" spans="2:12" x14ac:dyDescent="0.3">
      <c r="B156" s="67">
        <v>90</v>
      </c>
      <c r="C156" s="40">
        <v>166.49125612758553</v>
      </c>
      <c r="D156" s="67">
        <f t="shared" si="4"/>
        <v>90</v>
      </c>
      <c r="E156" s="40">
        <v>-160.04245434388207</v>
      </c>
      <c r="K156" s="65"/>
      <c r="L156" s="65"/>
    </row>
    <row r="157" spans="2:12" x14ac:dyDescent="0.3">
      <c r="B157" s="67">
        <v>91</v>
      </c>
      <c r="C157" s="40">
        <v>120.99694109663841</v>
      </c>
      <c r="D157" s="67">
        <f t="shared" si="4"/>
        <v>91</v>
      </c>
      <c r="E157" s="40">
        <v>-2.9243264275581282</v>
      </c>
      <c r="K157" s="65"/>
      <c r="L157" s="65"/>
    </row>
    <row r="158" spans="2:12" x14ac:dyDescent="0.3">
      <c r="B158" s="67">
        <v>92</v>
      </c>
      <c r="C158" s="40">
        <v>122.02540499628259</v>
      </c>
      <c r="D158" s="67">
        <f t="shared" si="4"/>
        <v>92</v>
      </c>
      <c r="E158" s="40">
        <v>232.33028889846958</v>
      </c>
      <c r="K158" s="65"/>
      <c r="L158" s="65"/>
    </row>
    <row r="159" spans="2:12" x14ac:dyDescent="0.3">
      <c r="B159" s="67">
        <v>93</v>
      </c>
      <c r="C159" s="40">
        <v>224.0622130497436</v>
      </c>
      <c r="D159" s="67">
        <f t="shared" si="4"/>
        <v>93</v>
      </c>
      <c r="E159" s="40">
        <v>-41.152123375735215</v>
      </c>
      <c r="K159" s="65"/>
      <c r="L159" s="65"/>
    </row>
    <row r="160" spans="2:12" x14ac:dyDescent="0.3">
      <c r="B160" s="67">
        <v>94</v>
      </c>
      <c r="C160" s="40">
        <v>153.19114501666527</v>
      </c>
      <c r="D160" s="67">
        <f t="shared" si="4"/>
        <v>94</v>
      </c>
      <c r="E160" s="40">
        <v>1.6225973058885188</v>
      </c>
      <c r="K160" s="65"/>
      <c r="L160" s="65"/>
    </row>
    <row r="161" spans="2:12" x14ac:dyDescent="0.3">
      <c r="B161" s="67">
        <v>95</v>
      </c>
      <c r="C161" s="40">
        <v>162.71878198330432</v>
      </c>
      <c r="D161" s="67">
        <f t="shared" si="4"/>
        <v>95</v>
      </c>
      <c r="E161" s="40">
        <v>184.92382956055405</v>
      </c>
      <c r="K161" s="65"/>
      <c r="L161" s="65"/>
    </row>
    <row r="162" spans="2:12" x14ac:dyDescent="0.3">
      <c r="B162" s="67">
        <v>96</v>
      </c>
      <c r="C162" s="40">
        <v>154.36131069840482</v>
      </c>
      <c r="D162" s="67">
        <f t="shared" si="4"/>
        <v>96</v>
      </c>
      <c r="E162" s="40">
        <v>239.56016392209887</v>
      </c>
      <c r="K162" s="65"/>
      <c r="L162" s="65"/>
    </row>
    <row r="163" spans="2:12" x14ac:dyDescent="0.3">
      <c r="B163" s="67">
        <v>97</v>
      </c>
      <c r="C163" s="40">
        <v>140.49770976128366</v>
      </c>
      <c r="D163" s="67">
        <f t="shared" si="4"/>
        <v>97</v>
      </c>
      <c r="E163" s="40">
        <v>279.68755081523182</v>
      </c>
      <c r="K163" s="65"/>
      <c r="L163" s="65"/>
    </row>
    <row r="164" spans="2:12" x14ac:dyDescent="0.3">
      <c r="B164" s="67">
        <v>98</v>
      </c>
      <c r="C164" s="40">
        <v>-23.07541810412846</v>
      </c>
      <c r="D164" s="67">
        <f t="shared" si="4"/>
        <v>98</v>
      </c>
      <c r="E164" s="40">
        <v>208.97620664803242</v>
      </c>
      <c r="K164" s="65"/>
      <c r="L164" s="65"/>
    </row>
    <row r="165" spans="2:12" x14ac:dyDescent="0.3">
      <c r="B165" s="67">
        <v>99</v>
      </c>
      <c r="C165" s="40">
        <v>70.494044815860732</v>
      </c>
      <c r="D165" s="67">
        <f t="shared" si="4"/>
        <v>99</v>
      </c>
      <c r="E165" s="40">
        <v>431.54768263471362</v>
      </c>
      <c r="K165" s="65"/>
      <c r="L165" s="65"/>
    </row>
    <row r="166" spans="2:12" x14ac:dyDescent="0.3">
      <c r="B166" s="67">
        <v>100</v>
      </c>
      <c r="C166" s="40">
        <v>132.80936474748717</v>
      </c>
      <c r="D166" s="67">
        <f t="shared" si="4"/>
        <v>100</v>
      </c>
      <c r="E166" s="40">
        <v>301.74988097153903</v>
      </c>
      <c r="K166" s="65"/>
      <c r="L166" s="65"/>
    </row>
    <row r="167" spans="2:12" x14ac:dyDescent="0.3">
      <c r="B167" s="67">
        <v>101</v>
      </c>
      <c r="C167" s="40">
        <v>84.471598119603613</v>
      </c>
      <c r="D167" s="67">
        <f t="shared" si="4"/>
        <v>101</v>
      </c>
      <c r="E167" s="40">
        <v>798.24806380225459</v>
      </c>
      <c r="K167" s="65"/>
      <c r="L167" s="65"/>
    </row>
    <row r="168" spans="2:12" x14ac:dyDescent="0.3">
      <c r="B168" s="67">
        <v>102</v>
      </c>
      <c r="C168" s="40">
        <v>100.25659932752245</v>
      </c>
      <c r="D168" s="67">
        <f t="shared" si="4"/>
        <v>102</v>
      </c>
      <c r="E168" s="40">
        <v>17.310982821427757</v>
      </c>
      <c r="K168" s="65"/>
      <c r="L168" s="65"/>
    </row>
    <row r="169" spans="2:12" x14ac:dyDescent="0.3">
      <c r="B169" s="67">
        <v>103</v>
      </c>
      <c r="C169" s="40">
        <v>20.877057186418511</v>
      </c>
      <c r="D169" s="67">
        <f t="shared" si="4"/>
        <v>103</v>
      </c>
      <c r="E169" s="40">
        <v>209.02007343305223</v>
      </c>
      <c r="K169" s="65"/>
      <c r="L169" s="65"/>
    </row>
    <row r="170" spans="2:12" x14ac:dyDescent="0.3">
      <c r="B170" s="67">
        <v>104</v>
      </c>
      <c r="C170" s="40">
        <v>171.56617569849195</v>
      </c>
      <c r="D170" s="67">
        <f t="shared" si="4"/>
        <v>104</v>
      </c>
      <c r="E170" s="40">
        <v>-61.841987962920427</v>
      </c>
    </row>
    <row r="171" spans="2:12" x14ac:dyDescent="0.3">
      <c r="B171" s="67">
        <v>105</v>
      </c>
      <c r="C171" s="40">
        <v>106.68127844506424</v>
      </c>
      <c r="D171" s="67">
        <f t="shared" si="4"/>
        <v>105</v>
      </c>
      <c r="E171" s="40">
        <v>379.13219456927698</v>
      </c>
    </row>
    <row r="172" spans="2:12" x14ac:dyDescent="0.3">
      <c r="B172" s="67">
        <v>106</v>
      </c>
      <c r="C172" s="40">
        <v>153.51527984161706</v>
      </c>
      <c r="D172" s="67">
        <f t="shared" si="4"/>
        <v>106</v>
      </c>
      <c r="E172" s="40">
        <v>308.11754242296564</v>
      </c>
    </row>
    <row r="173" spans="2:12" x14ac:dyDescent="0.3">
      <c r="B173" s="67">
        <v>107</v>
      </c>
      <c r="C173" s="40">
        <v>57.764249009108696</v>
      </c>
      <c r="D173" s="67">
        <f t="shared" si="4"/>
        <v>107</v>
      </c>
      <c r="E173" s="40">
        <v>46.879598223224832</v>
      </c>
    </row>
    <row r="174" spans="2:12" x14ac:dyDescent="0.3">
      <c r="B174" s="67">
        <v>108</v>
      </c>
      <c r="C174" s="40">
        <v>101.89998728818112</v>
      </c>
      <c r="D174" s="67">
        <f t="shared" si="4"/>
        <v>108</v>
      </c>
      <c r="E174" s="40">
        <v>314.94136477883364</v>
      </c>
    </row>
    <row r="175" spans="2:12" x14ac:dyDescent="0.3">
      <c r="B175" s="67">
        <v>109</v>
      </c>
      <c r="C175" s="40">
        <v>73.917299285625049</v>
      </c>
      <c r="D175" s="67">
        <f t="shared" si="4"/>
        <v>109</v>
      </c>
      <c r="E175" s="40">
        <v>213.49971227325835</v>
      </c>
    </row>
    <row r="176" spans="2:12" x14ac:dyDescent="0.3">
      <c r="B176" s="67">
        <v>110</v>
      </c>
      <c r="C176" s="40">
        <v>146.50802846667992</v>
      </c>
      <c r="D176" s="67">
        <f t="shared" si="4"/>
        <v>110</v>
      </c>
      <c r="E176" s="40">
        <v>287.07961732383637</v>
      </c>
    </row>
    <row r="177" spans="2:5" x14ac:dyDescent="0.3">
      <c r="B177" s="67">
        <v>111</v>
      </c>
      <c r="C177" s="40">
        <v>21.727718629941265</v>
      </c>
      <c r="D177" s="67">
        <f t="shared" si="4"/>
        <v>111</v>
      </c>
      <c r="E177" s="40">
        <v>82.185267792601351</v>
      </c>
    </row>
    <row r="178" spans="2:5" x14ac:dyDescent="0.3">
      <c r="B178" s="67">
        <v>112</v>
      </c>
      <c r="C178" s="40">
        <v>133.84207528569644</v>
      </c>
      <c r="D178" s="67">
        <f t="shared" si="4"/>
        <v>112</v>
      </c>
      <c r="E178" s="40">
        <v>58.146571997712812</v>
      </c>
    </row>
    <row r="179" spans="2:5" x14ac:dyDescent="0.3">
      <c r="B179" s="67">
        <v>113</v>
      </c>
      <c r="C179" s="40">
        <v>133.87905174828893</v>
      </c>
      <c r="D179" s="67">
        <f t="shared" si="4"/>
        <v>113</v>
      </c>
      <c r="E179" s="40">
        <v>-78.394800031489751</v>
      </c>
    </row>
    <row r="180" spans="2:5" x14ac:dyDescent="0.3">
      <c r="B180" s="67">
        <v>114</v>
      </c>
      <c r="C180" s="40">
        <v>131.59913175275207</v>
      </c>
      <c r="D180" s="67">
        <f t="shared" si="4"/>
        <v>114</v>
      </c>
      <c r="E180" s="40">
        <v>166.36074269924049</v>
      </c>
    </row>
    <row r="181" spans="2:5" x14ac:dyDescent="0.3">
      <c r="B181" s="67">
        <v>115</v>
      </c>
      <c r="C181" s="40">
        <v>130.9378913120656</v>
      </c>
      <c r="D181" s="67">
        <f t="shared" si="4"/>
        <v>115</v>
      </c>
      <c r="E181" s="40">
        <v>214.67988066698879</v>
      </c>
    </row>
    <row r="182" spans="2:5" x14ac:dyDescent="0.3">
      <c r="B182" s="67">
        <v>116</v>
      </c>
      <c r="C182" s="40">
        <v>334.10908294848423</v>
      </c>
      <c r="D182" s="67">
        <f t="shared" si="4"/>
        <v>116</v>
      </c>
      <c r="E182" s="40">
        <v>510.3604842557869</v>
      </c>
    </row>
    <row r="183" spans="2:5" x14ac:dyDescent="0.3">
      <c r="B183" s="67">
        <v>117</v>
      </c>
      <c r="C183" s="40">
        <v>163.17872308650379</v>
      </c>
      <c r="D183" s="67">
        <f t="shared" si="4"/>
        <v>117</v>
      </c>
      <c r="E183" s="40">
        <v>46.597686294623571</v>
      </c>
    </row>
    <row r="184" spans="2:5" x14ac:dyDescent="0.3">
      <c r="B184" s="67">
        <v>118</v>
      </c>
      <c r="C184" s="40">
        <v>143.32947402428044</v>
      </c>
      <c r="D184" s="67">
        <f t="shared" si="4"/>
        <v>118</v>
      </c>
      <c r="E184" s="40">
        <v>-30.131471089303066</v>
      </c>
    </row>
    <row r="185" spans="2:5" x14ac:dyDescent="0.3">
      <c r="B185" s="67">
        <v>119</v>
      </c>
      <c r="C185" s="40">
        <v>123.06725780846099</v>
      </c>
      <c r="D185" s="67">
        <f t="shared" si="4"/>
        <v>119</v>
      </c>
      <c r="E185" s="40">
        <v>-49.758750594428705</v>
      </c>
    </row>
    <row r="186" spans="2:5" x14ac:dyDescent="0.3">
      <c r="B186" s="67">
        <v>120</v>
      </c>
      <c r="C186" s="40">
        <v>106.53824619738008</v>
      </c>
      <c r="D186" s="67">
        <f t="shared" si="4"/>
        <v>120</v>
      </c>
      <c r="E186" s="40">
        <v>21.623673556310678</v>
      </c>
    </row>
    <row r="187" spans="2:5" x14ac:dyDescent="0.3">
      <c r="B187" s="67">
        <v>121</v>
      </c>
      <c r="C187" s="40">
        <v>172.80805492177868</v>
      </c>
      <c r="D187" s="67">
        <f t="shared" si="4"/>
        <v>121</v>
      </c>
      <c r="E187" s="40">
        <v>281.69173082994871</v>
      </c>
    </row>
    <row r="188" spans="2:5" x14ac:dyDescent="0.3">
      <c r="B188" s="67">
        <v>122</v>
      </c>
      <c r="C188" s="40">
        <v>42.540599548380214</v>
      </c>
      <c r="D188" s="67">
        <f t="shared" si="4"/>
        <v>122</v>
      </c>
      <c r="E188" s="40">
        <v>-87.327981325185448</v>
      </c>
    </row>
    <row r="189" spans="2:5" x14ac:dyDescent="0.3">
      <c r="B189" s="67">
        <v>123</v>
      </c>
      <c r="C189" s="40">
        <v>213.96574709410123</v>
      </c>
      <c r="D189" s="67">
        <f t="shared" si="4"/>
        <v>123</v>
      </c>
      <c r="E189" s="40">
        <v>37.004534549909103</v>
      </c>
    </row>
    <row r="190" spans="2:5" x14ac:dyDescent="0.3">
      <c r="B190" s="67">
        <v>124</v>
      </c>
      <c r="C190" s="40">
        <v>121.60255498841269</v>
      </c>
      <c r="D190" s="67">
        <f t="shared" si="4"/>
        <v>124</v>
      </c>
      <c r="E190" s="40">
        <v>171.2768015362808</v>
      </c>
    </row>
    <row r="191" spans="2:5" x14ac:dyDescent="0.3">
      <c r="B191" s="67">
        <v>125</v>
      </c>
      <c r="C191" s="40">
        <v>-108.80737704254213</v>
      </c>
      <c r="D191" s="67">
        <f t="shared" si="4"/>
        <v>125</v>
      </c>
      <c r="E191" s="40">
        <v>-206.60371862939328</v>
      </c>
    </row>
    <row r="192" spans="2:5" x14ac:dyDescent="0.3">
      <c r="B192" s="67">
        <v>126</v>
      </c>
      <c r="C192" s="40">
        <v>147.09339313393127</v>
      </c>
      <c r="D192" s="67">
        <f t="shared" si="4"/>
        <v>126</v>
      </c>
      <c r="E192" s="40">
        <v>156.29390384655412</v>
      </c>
    </row>
    <row r="193" spans="2:5" x14ac:dyDescent="0.3">
      <c r="B193" s="67">
        <v>127</v>
      </c>
      <c r="C193" s="40">
        <v>195.14562920604851</v>
      </c>
      <c r="D193" s="67">
        <f t="shared" si="4"/>
        <v>127</v>
      </c>
      <c r="E193" s="40">
        <v>119.9764414133677</v>
      </c>
    </row>
    <row r="194" spans="2:5" x14ac:dyDescent="0.3">
      <c r="B194" s="67">
        <v>128</v>
      </c>
      <c r="C194" s="40">
        <v>142.52861464276373</v>
      </c>
      <c r="D194" s="67">
        <f t="shared" si="4"/>
        <v>128</v>
      </c>
      <c r="E194" s="40">
        <v>237.05786659376702</v>
      </c>
    </row>
    <row r="195" spans="2:5" x14ac:dyDescent="0.3">
      <c r="B195" s="67">
        <v>129</v>
      </c>
      <c r="C195" s="40">
        <v>-35.795236648276671</v>
      </c>
      <c r="D195" s="67">
        <f t="shared" si="4"/>
        <v>129</v>
      </c>
      <c r="E195" s="40">
        <v>323.75272911933791</v>
      </c>
    </row>
    <row r="196" spans="2:5" x14ac:dyDescent="0.3">
      <c r="B196" s="67">
        <v>130</v>
      </c>
      <c r="C196" s="40">
        <v>155.73054314746372</v>
      </c>
      <c r="D196" s="67">
        <f t="shared" si="4"/>
        <v>130</v>
      </c>
      <c r="E196" s="40">
        <v>4.9588756795870097</v>
      </c>
    </row>
    <row r="197" spans="2:5" x14ac:dyDescent="0.3">
      <c r="B197" s="67">
        <v>131</v>
      </c>
      <c r="C197" s="40">
        <v>104.18813726107112</v>
      </c>
      <c r="D197" s="67">
        <f t="shared" ref="D197:D260" si="5">B197</f>
        <v>131</v>
      </c>
      <c r="E197" s="40">
        <v>552.01698138679683</v>
      </c>
    </row>
    <row r="198" spans="2:5" x14ac:dyDescent="0.3">
      <c r="B198" s="67">
        <v>132</v>
      </c>
      <c r="C198" s="40">
        <v>64.213239182997782</v>
      </c>
      <c r="D198" s="67">
        <f t="shared" si="5"/>
        <v>132</v>
      </c>
      <c r="E198" s="40">
        <v>35.439275037395589</v>
      </c>
    </row>
    <row r="199" spans="2:5" x14ac:dyDescent="0.3">
      <c r="B199" s="67">
        <v>133</v>
      </c>
      <c r="C199" s="40">
        <v>193.94550807224215</v>
      </c>
      <c r="D199" s="67">
        <f t="shared" si="5"/>
        <v>133</v>
      </c>
      <c r="E199" s="40">
        <v>387.45313875614585</v>
      </c>
    </row>
    <row r="200" spans="2:5" x14ac:dyDescent="0.3">
      <c r="B200" s="67">
        <v>134</v>
      </c>
      <c r="C200" s="40">
        <v>153.38652720849075</v>
      </c>
      <c r="D200" s="67">
        <f t="shared" si="5"/>
        <v>134</v>
      </c>
      <c r="E200" s="40">
        <v>235.08803049018564</v>
      </c>
    </row>
    <row r="201" spans="2:5" x14ac:dyDescent="0.3">
      <c r="B201" s="67">
        <v>135</v>
      </c>
      <c r="C201" s="40">
        <v>96.824737957817447</v>
      </c>
      <c r="D201" s="67">
        <f t="shared" si="5"/>
        <v>135</v>
      </c>
      <c r="E201" s="40">
        <v>454.04975516566037</v>
      </c>
    </row>
    <row r="202" spans="2:5" x14ac:dyDescent="0.3">
      <c r="B202" s="67">
        <v>136</v>
      </c>
      <c r="C202" s="40">
        <v>107.01127003764063</v>
      </c>
      <c r="D202" s="67">
        <f t="shared" si="5"/>
        <v>136</v>
      </c>
      <c r="E202" s="40">
        <v>-513.36595030969534</v>
      </c>
    </row>
    <row r="203" spans="2:5" x14ac:dyDescent="0.3">
      <c r="B203" s="67">
        <v>137</v>
      </c>
      <c r="C203" s="40">
        <v>171.00035357078261</v>
      </c>
      <c r="D203" s="67">
        <f t="shared" si="5"/>
        <v>137</v>
      </c>
      <c r="E203" s="40">
        <v>8.2965605710180057</v>
      </c>
    </row>
    <row r="204" spans="2:5" x14ac:dyDescent="0.3">
      <c r="B204" s="67">
        <v>138</v>
      </c>
      <c r="C204" s="40">
        <v>146.06617498135438</v>
      </c>
      <c r="D204" s="67">
        <f t="shared" si="5"/>
        <v>138</v>
      </c>
      <c r="E204" s="40">
        <v>372.76871655179451</v>
      </c>
    </row>
    <row r="205" spans="2:5" x14ac:dyDescent="0.3">
      <c r="B205" s="67">
        <v>139</v>
      </c>
      <c r="C205" s="40">
        <v>147.25546363465298</v>
      </c>
      <c r="D205" s="67">
        <f t="shared" si="5"/>
        <v>139</v>
      </c>
      <c r="E205" s="40">
        <v>599.96022364636053</v>
      </c>
    </row>
    <row r="206" spans="2:5" x14ac:dyDescent="0.3">
      <c r="B206" s="67">
        <v>140</v>
      </c>
      <c r="C206" s="40">
        <v>152.29055814955842</v>
      </c>
      <c r="D206" s="67">
        <f t="shared" si="5"/>
        <v>140</v>
      </c>
      <c r="E206" s="40">
        <v>105.83984410821287</v>
      </c>
    </row>
    <row r="207" spans="2:5" x14ac:dyDescent="0.3">
      <c r="B207" s="67">
        <v>141</v>
      </c>
      <c r="C207" s="40">
        <v>159.01701362316075</v>
      </c>
      <c r="D207" s="67">
        <f t="shared" si="5"/>
        <v>141</v>
      </c>
      <c r="E207" s="40">
        <v>144.23587127708254</v>
      </c>
    </row>
    <row r="208" spans="2:5" x14ac:dyDescent="0.3">
      <c r="B208" s="67">
        <v>142</v>
      </c>
      <c r="C208" s="40">
        <v>150.10896897604698</v>
      </c>
      <c r="D208" s="67">
        <f t="shared" si="5"/>
        <v>142</v>
      </c>
      <c r="E208" s="40">
        <v>-55.191793015876044</v>
      </c>
    </row>
    <row r="209" spans="2:5" x14ac:dyDescent="0.3">
      <c r="B209" s="67">
        <v>143</v>
      </c>
      <c r="C209" s="40">
        <v>157.52783444454118</v>
      </c>
      <c r="D209" s="67">
        <f t="shared" si="5"/>
        <v>143</v>
      </c>
      <c r="E209" s="40">
        <v>-58.806625789638815</v>
      </c>
    </row>
    <row r="210" spans="2:5" x14ac:dyDescent="0.3">
      <c r="B210" s="67">
        <v>144</v>
      </c>
      <c r="C210" s="40">
        <v>207.20401557460536</v>
      </c>
      <c r="D210" s="67">
        <f t="shared" si="5"/>
        <v>144</v>
      </c>
      <c r="E210" s="40">
        <v>314.98523301614324</v>
      </c>
    </row>
    <row r="211" spans="2:5" x14ac:dyDescent="0.3">
      <c r="B211" s="67">
        <v>145</v>
      </c>
      <c r="C211" s="40">
        <v>219.43622983472412</v>
      </c>
      <c r="D211" s="67">
        <f t="shared" si="5"/>
        <v>145</v>
      </c>
      <c r="E211" s="40">
        <v>-106.05869341345161</v>
      </c>
    </row>
    <row r="212" spans="2:5" x14ac:dyDescent="0.3">
      <c r="B212" s="67">
        <v>146</v>
      </c>
      <c r="C212" s="40">
        <v>172.47626345153577</v>
      </c>
      <c r="D212" s="67">
        <f t="shared" si="5"/>
        <v>146</v>
      </c>
      <c r="E212" s="40">
        <v>478.16159351876712</v>
      </c>
    </row>
    <row r="213" spans="2:5" x14ac:dyDescent="0.3">
      <c r="B213" s="67">
        <v>147</v>
      </c>
      <c r="C213" s="40">
        <v>131.68578798312743</v>
      </c>
      <c r="D213" s="67">
        <f t="shared" si="5"/>
        <v>147</v>
      </c>
      <c r="E213" s="40">
        <v>297.33384358323144</v>
      </c>
    </row>
    <row r="214" spans="2:5" x14ac:dyDescent="0.3">
      <c r="B214" s="67">
        <v>148</v>
      </c>
      <c r="C214" s="40">
        <v>155.60792817470593</v>
      </c>
      <c r="D214" s="67">
        <f t="shared" si="5"/>
        <v>148</v>
      </c>
      <c r="E214" s="40">
        <v>278.37251840528108</v>
      </c>
    </row>
    <row r="215" spans="2:5" x14ac:dyDescent="0.3">
      <c r="B215" s="67">
        <v>149</v>
      </c>
      <c r="C215" s="40">
        <v>173.87502599627706</v>
      </c>
      <c r="D215" s="67">
        <f t="shared" si="5"/>
        <v>149</v>
      </c>
      <c r="E215" s="40">
        <v>229.80727348925157</v>
      </c>
    </row>
    <row r="216" spans="2:5" x14ac:dyDescent="0.3">
      <c r="B216" s="67">
        <v>150</v>
      </c>
      <c r="C216" s="40">
        <v>149.01742044338491</v>
      </c>
      <c r="D216" s="67">
        <f t="shared" si="5"/>
        <v>150</v>
      </c>
      <c r="E216" s="40">
        <v>602.12794097514927</v>
      </c>
    </row>
    <row r="217" spans="2:5" x14ac:dyDescent="0.3">
      <c r="B217" s="67">
        <v>151</v>
      </c>
      <c r="C217" s="40">
        <v>123.25094218278562</v>
      </c>
      <c r="D217" s="67">
        <f t="shared" si="5"/>
        <v>151</v>
      </c>
      <c r="E217" s="40">
        <v>-66.049176863798309</v>
      </c>
    </row>
    <row r="218" spans="2:5" x14ac:dyDescent="0.3">
      <c r="B218" s="67">
        <v>152</v>
      </c>
      <c r="C218" s="40">
        <v>63.472165352186124</v>
      </c>
      <c r="D218" s="67">
        <f t="shared" si="5"/>
        <v>152</v>
      </c>
      <c r="E218" s="40">
        <v>182.62495822441485</v>
      </c>
    </row>
    <row r="219" spans="2:5" x14ac:dyDescent="0.3">
      <c r="B219" s="67">
        <v>153</v>
      </c>
      <c r="C219" s="40">
        <v>153.77164564254679</v>
      </c>
      <c r="D219" s="67">
        <f t="shared" si="5"/>
        <v>153</v>
      </c>
      <c r="E219" s="40">
        <v>-216.29141968411108</v>
      </c>
    </row>
    <row r="220" spans="2:5" x14ac:dyDescent="0.3">
      <c r="B220" s="67">
        <v>154</v>
      </c>
      <c r="C220" s="40">
        <v>72.333257399499601</v>
      </c>
      <c r="D220" s="67">
        <f t="shared" si="5"/>
        <v>154</v>
      </c>
      <c r="E220" s="40">
        <v>117.37065033774567</v>
      </c>
    </row>
    <row r="221" spans="2:5" x14ac:dyDescent="0.3">
      <c r="B221" s="67">
        <v>155</v>
      </c>
      <c r="C221" s="40">
        <v>152.725933061169</v>
      </c>
      <c r="D221" s="67">
        <f t="shared" si="5"/>
        <v>155</v>
      </c>
      <c r="E221" s="40">
        <v>125.58990992865283</v>
      </c>
    </row>
    <row r="222" spans="2:5" x14ac:dyDescent="0.3">
      <c r="B222" s="67">
        <v>156</v>
      </c>
      <c r="C222" s="40">
        <v>118.97963150763192</v>
      </c>
      <c r="D222" s="67">
        <f t="shared" si="5"/>
        <v>156</v>
      </c>
      <c r="E222" s="40">
        <v>97.946120658428271</v>
      </c>
    </row>
    <row r="223" spans="2:5" x14ac:dyDescent="0.3">
      <c r="B223" s="67">
        <v>157</v>
      </c>
      <c r="C223" s="40">
        <v>184.45976074985535</v>
      </c>
      <c r="D223" s="67">
        <f t="shared" si="5"/>
        <v>157</v>
      </c>
      <c r="E223" s="40">
        <v>110.58440503057894</v>
      </c>
    </row>
    <row r="224" spans="2:5" x14ac:dyDescent="0.3">
      <c r="B224" s="67">
        <v>158</v>
      </c>
      <c r="C224" s="40">
        <v>154.31859897448368</v>
      </c>
      <c r="D224" s="67">
        <f t="shared" si="5"/>
        <v>158</v>
      </c>
      <c r="E224" s="40">
        <v>-68.751758175804071</v>
      </c>
    </row>
    <row r="225" spans="2:5" x14ac:dyDescent="0.3">
      <c r="B225" s="67">
        <v>159</v>
      </c>
      <c r="C225" s="40">
        <v>238.13797900243748</v>
      </c>
      <c r="D225" s="67">
        <f t="shared" si="5"/>
        <v>159</v>
      </c>
      <c r="E225" s="40">
        <v>386.58026063422784</v>
      </c>
    </row>
    <row r="226" spans="2:5" x14ac:dyDescent="0.3">
      <c r="B226" s="67">
        <v>160</v>
      </c>
      <c r="C226" s="40">
        <v>64.17455435236522</v>
      </c>
      <c r="D226" s="67">
        <f t="shared" si="5"/>
        <v>160</v>
      </c>
      <c r="E226" s="40">
        <v>217.31318770083001</v>
      </c>
    </row>
    <row r="227" spans="2:5" x14ac:dyDescent="0.3">
      <c r="B227" s="67">
        <v>161</v>
      </c>
      <c r="C227" s="40">
        <v>119.78661397411462</v>
      </c>
      <c r="D227" s="67">
        <f t="shared" si="5"/>
        <v>161</v>
      </c>
      <c r="E227" s="40">
        <v>477.79553543255253</v>
      </c>
    </row>
    <row r="228" spans="2:5" x14ac:dyDescent="0.3">
      <c r="B228" s="67">
        <v>162</v>
      </c>
      <c r="C228" s="40">
        <v>169.82198375291449</v>
      </c>
      <c r="D228" s="67">
        <f t="shared" si="5"/>
        <v>162</v>
      </c>
      <c r="E228" s="40">
        <v>652.78282097639681</v>
      </c>
    </row>
    <row r="229" spans="2:5" x14ac:dyDescent="0.3">
      <c r="B229" s="67">
        <v>163</v>
      </c>
      <c r="C229" s="40">
        <v>62.580514911907855</v>
      </c>
      <c r="D229" s="67">
        <f t="shared" si="5"/>
        <v>163</v>
      </c>
      <c r="E229" s="40">
        <v>-50.233681602813533</v>
      </c>
    </row>
    <row r="230" spans="2:5" x14ac:dyDescent="0.3">
      <c r="B230" s="67">
        <v>164</v>
      </c>
      <c r="C230" s="40">
        <v>44.459542356324079</v>
      </c>
      <c r="D230" s="67">
        <f t="shared" si="5"/>
        <v>164</v>
      </c>
      <c r="E230" s="40">
        <v>145.1126307803363</v>
      </c>
    </row>
    <row r="231" spans="2:5" x14ac:dyDescent="0.3">
      <c r="B231" s="67">
        <v>165</v>
      </c>
      <c r="C231" s="40">
        <v>106.53957689833163</v>
      </c>
      <c r="D231" s="67">
        <f t="shared" si="5"/>
        <v>165</v>
      </c>
      <c r="E231" s="40">
        <v>-350.36484677911085</v>
      </c>
    </row>
    <row r="232" spans="2:5" x14ac:dyDescent="0.3">
      <c r="B232" s="67">
        <v>166</v>
      </c>
      <c r="C232" s="40">
        <v>120.60130831948109</v>
      </c>
      <c r="D232" s="67">
        <f t="shared" si="5"/>
        <v>166</v>
      </c>
      <c r="E232" s="40">
        <v>189.86316064085193</v>
      </c>
    </row>
    <row r="233" spans="2:5" x14ac:dyDescent="0.3">
      <c r="B233" s="67">
        <v>167</v>
      </c>
      <c r="C233" s="40">
        <v>114.45938866277913</v>
      </c>
      <c r="D233" s="67">
        <f t="shared" si="5"/>
        <v>167</v>
      </c>
      <c r="E233" s="40">
        <v>18.683279264126256</v>
      </c>
    </row>
    <row r="234" spans="2:5" x14ac:dyDescent="0.3">
      <c r="B234" s="67">
        <v>168</v>
      </c>
      <c r="C234" s="40">
        <v>173.28316797470171</v>
      </c>
      <c r="D234" s="67">
        <f t="shared" si="5"/>
        <v>168</v>
      </c>
      <c r="E234" s="40">
        <v>-209.11316463806344</v>
      </c>
    </row>
    <row r="235" spans="2:5" x14ac:dyDescent="0.3">
      <c r="B235" s="67">
        <v>169</v>
      </c>
      <c r="C235" s="40">
        <v>51.505901938562815</v>
      </c>
      <c r="D235" s="67">
        <f t="shared" si="5"/>
        <v>169</v>
      </c>
      <c r="E235" s="40">
        <v>273.22653242205138</v>
      </c>
    </row>
    <row r="236" spans="2:5" x14ac:dyDescent="0.3">
      <c r="B236" s="67">
        <v>170</v>
      </c>
      <c r="C236" s="40">
        <v>134.14024250150828</v>
      </c>
      <c r="D236" s="67">
        <f t="shared" si="5"/>
        <v>170</v>
      </c>
      <c r="E236" s="40">
        <v>417.67864481482667</v>
      </c>
    </row>
    <row r="237" spans="2:5" x14ac:dyDescent="0.3">
      <c r="B237" s="67">
        <v>171</v>
      </c>
      <c r="C237" s="40">
        <v>182.74786580677582</v>
      </c>
      <c r="D237" s="67">
        <f t="shared" si="5"/>
        <v>171</v>
      </c>
      <c r="E237" s="40">
        <v>12.628946294565793</v>
      </c>
    </row>
    <row r="238" spans="2:5" x14ac:dyDescent="0.3">
      <c r="B238" s="67">
        <v>172</v>
      </c>
      <c r="C238" s="40">
        <v>58.804605697350951</v>
      </c>
      <c r="D238" s="67">
        <f t="shared" si="5"/>
        <v>172</v>
      </c>
      <c r="E238" s="40">
        <v>413.09616423929981</v>
      </c>
    </row>
    <row r="239" spans="2:5" x14ac:dyDescent="0.3">
      <c r="B239" s="67">
        <v>173</v>
      </c>
      <c r="C239" s="40">
        <v>326.15695719997399</v>
      </c>
      <c r="D239" s="67">
        <f t="shared" si="5"/>
        <v>173</v>
      </c>
      <c r="E239" s="40">
        <v>113.06320540329148</v>
      </c>
    </row>
    <row r="240" spans="2:5" x14ac:dyDescent="0.3">
      <c r="B240" s="67">
        <v>174</v>
      </c>
      <c r="C240" s="40">
        <v>2.3783013945028415</v>
      </c>
      <c r="D240" s="67">
        <f t="shared" si="5"/>
        <v>174</v>
      </c>
      <c r="E240" s="40">
        <v>-102.45046542000787</v>
      </c>
    </row>
    <row r="241" spans="2:5" x14ac:dyDescent="0.3">
      <c r="B241" s="67">
        <v>175</v>
      </c>
      <c r="C241" s="40">
        <v>178.80325507913608</v>
      </c>
      <c r="D241" s="67">
        <f t="shared" si="5"/>
        <v>175</v>
      </c>
      <c r="E241" s="40">
        <v>366.96918878982285</v>
      </c>
    </row>
    <row r="242" spans="2:5" x14ac:dyDescent="0.3">
      <c r="B242" s="67">
        <v>176</v>
      </c>
      <c r="C242" s="40">
        <v>135.98946038504252</v>
      </c>
      <c r="D242" s="67">
        <f t="shared" si="5"/>
        <v>176</v>
      </c>
      <c r="E242" s="40">
        <v>-10.015391425832</v>
      </c>
    </row>
    <row r="243" spans="2:5" x14ac:dyDescent="0.3">
      <c r="B243" s="67">
        <v>177</v>
      </c>
      <c r="C243" s="40">
        <v>138.84398878639519</v>
      </c>
      <c r="D243" s="67">
        <f t="shared" si="5"/>
        <v>177</v>
      </c>
      <c r="E243" s="40">
        <v>-229.63570079297773</v>
      </c>
    </row>
    <row r="244" spans="2:5" x14ac:dyDescent="0.3">
      <c r="B244" s="67">
        <v>178</v>
      </c>
      <c r="C244" s="40">
        <v>167.29235177434916</v>
      </c>
      <c r="D244" s="67">
        <f t="shared" si="5"/>
        <v>178</v>
      </c>
      <c r="E244" s="40">
        <v>-270.1528957344151</v>
      </c>
    </row>
    <row r="245" spans="2:5" x14ac:dyDescent="0.3">
      <c r="B245" s="67">
        <v>179</v>
      </c>
      <c r="C245" s="40">
        <v>180.41259888912819</v>
      </c>
      <c r="D245" s="67">
        <f t="shared" si="5"/>
        <v>179</v>
      </c>
      <c r="E245" s="40">
        <v>84.235096191075968</v>
      </c>
    </row>
    <row r="246" spans="2:5" x14ac:dyDescent="0.3">
      <c r="B246" s="67">
        <v>180</v>
      </c>
      <c r="C246" s="40">
        <v>40.488293795416553</v>
      </c>
      <c r="D246" s="67">
        <f t="shared" si="5"/>
        <v>180</v>
      </c>
      <c r="E246" s="40">
        <v>361.50723931175452</v>
      </c>
    </row>
    <row r="247" spans="2:5" x14ac:dyDescent="0.3">
      <c r="B247" s="67">
        <v>181</v>
      </c>
      <c r="C247" s="40">
        <v>144.03838103300089</v>
      </c>
      <c r="D247" s="67">
        <f t="shared" si="5"/>
        <v>181</v>
      </c>
      <c r="E247" s="40">
        <v>247.35972702277348</v>
      </c>
    </row>
    <row r="248" spans="2:5" x14ac:dyDescent="0.3">
      <c r="B248" s="67">
        <v>182</v>
      </c>
      <c r="C248" s="40">
        <v>194.28125418991141</v>
      </c>
      <c r="D248" s="67">
        <f t="shared" si="5"/>
        <v>182</v>
      </c>
      <c r="E248" s="40">
        <v>-88.134532846182651</v>
      </c>
    </row>
    <row r="249" spans="2:5" x14ac:dyDescent="0.3">
      <c r="B249" s="67">
        <v>183</v>
      </c>
      <c r="C249" s="40">
        <v>38.263790828174734</v>
      </c>
      <c r="D249" s="67">
        <f t="shared" si="5"/>
        <v>183</v>
      </c>
      <c r="E249" s="40">
        <v>159.11180699572222</v>
      </c>
    </row>
    <row r="250" spans="2:5" x14ac:dyDescent="0.3">
      <c r="B250" s="67">
        <v>184</v>
      </c>
      <c r="C250" s="40">
        <v>-20.183082858592115</v>
      </c>
      <c r="D250" s="67">
        <f t="shared" si="5"/>
        <v>184</v>
      </c>
      <c r="E250" s="40">
        <v>335.84958855068135</v>
      </c>
    </row>
    <row r="251" spans="2:5" x14ac:dyDescent="0.3">
      <c r="B251" s="67">
        <v>185</v>
      </c>
      <c r="C251" s="40">
        <v>193.47613158506721</v>
      </c>
      <c r="D251" s="67">
        <f t="shared" si="5"/>
        <v>185</v>
      </c>
      <c r="E251" s="40">
        <v>353.43926648681298</v>
      </c>
    </row>
    <row r="252" spans="2:5" x14ac:dyDescent="0.3">
      <c r="B252" s="67">
        <v>186</v>
      </c>
      <c r="C252" s="40">
        <v>121.80192646482368</v>
      </c>
      <c r="D252" s="67">
        <f t="shared" si="5"/>
        <v>186</v>
      </c>
      <c r="E252" s="40">
        <v>371.99084896499107</v>
      </c>
    </row>
    <row r="253" spans="2:5" x14ac:dyDescent="0.3">
      <c r="B253" s="67">
        <v>187</v>
      </c>
      <c r="C253" s="40">
        <v>217.51500503999443</v>
      </c>
      <c r="D253" s="67">
        <f t="shared" si="5"/>
        <v>187</v>
      </c>
      <c r="E253" s="40">
        <v>131.37455705771248</v>
      </c>
    </row>
    <row r="254" spans="2:5" x14ac:dyDescent="0.3">
      <c r="B254" s="67">
        <v>188</v>
      </c>
      <c r="C254" s="40">
        <v>191.17008766025376</v>
      </c>
      <c r="D254" s="67">
        <f t="shared" si="5"/>
        <v>188</v>
      </c>
      <c r="E254" s="40">
        <v>168.27506849463768</v>
      </c>
    </row>
    <row r="255" spans="2:5" x14ac:dyDescent="0.3">
      <c r="B255" s="67">
        <v>189</v>
      </c>
      <c r="C255" s="40">
        <v>36.224297282284653</v>
      </c>
      <c r="D255" s="67">
        <f t="shared" si="5"/>
        <v>189</v>
      </c>
      <c r="E255" s="40">
        <v>264.11033168125988</v>
      </c>
    </row>
    <row r="256" spans="2:5" x14ac:dyDescent="0.3">
      <c r="B256" s="67">
        <v>190</v>
      </c>
      <c r="C256" s="40">
        <v>173.70097595925517</v>
      </c>
      <c r="D256" s="67">
        <f t="shared" si="5"/>
        <v>190</v>
      </c>
      <c r="E256" s="40">
        <v>-35.801892063854751</v>
      </c>
    </row>
    <row r="257" spans="2:5" x14ac:dyDescent="0.3">
      <c r="B257" s="67">
        <v>191</v>
      </c>
      <c r="C257" s="40">
        <v>86.962103933585098</v>
      </c>
      <c r="D257" s="67">
        <f t="shared" si="5"/>
        <v>191</v>
      </c>
      <c r="E257" s="40">
        <v>-120.1377208607652</v>
      </c>
    </row>
    <row r="258" spans="2:5" x14ac:dyDescent="0.3">
      <c r="B258" s="67">
        <v>192</v>
      </c>
      <c r="C258" s="40">
        <v>167.85376289059207</v>
      </c>
      <c r="D258" s="67">
        <f t="shared" si="5"/>
        <v>192</v>
      </c>
      <c r="E258" s="40">
        <v>-194.31304705443983</v>
      </c>
    </row>
    <row r="259" spans="2:5" x14ac:dyDescent="0.3">
      <c r="B259" s="67">
        <v>193</v>
      </c>
      <c r="C259" s="40">
        <v>73.792132688017517</v>
      </c>
      <c r="D259" s="67">
        <f t="shared" si="5"/>
        <v>193</v>
      </c>
      <c r="E259" s="40">
        <v>296.1763850693182</v>
      </c>
    </row>
    <row r="260" spans="2:5" x14ac:dyDescent="0.3">
      <c r="B260" s="67">
        <v>194</v>
      </c>
      <c r="C260" s="40">
        <v>130.77799121562029</v>
      </c>
      <c r="D260" s="67">
        <f t="shared" si="5"/>
        <v>194</v>
      </c>
      <c r="E260" s="40">
        <v>-92.092267989514085</v>
      </c>
    </row>
    <row r="261" spans="2:5" x14ac:dyDescent="0.3">
      <c r="B261" s="67">
        <v>195</v>
      </c>
      <c r="C261" s="40">
        <v>157.76882010541559</v>
      </c>
      <c r="D261" s="67">
        <f t="shared" ref="D261:D278" si="6">B261</f>
        <v>195</v>
      </c>
      <c r="E261" s="40">
        <v>-21.26457826713289</v>
      </c>
    </row>
    <row r="262" spans="2:5" x14ac:dyDescent="0.3">
      <c r="B262" s="67">
        <v>196</v>
      </c>
      <c r="C262" s="40">
        <v>169.25744381108922</v>
      </c>
      <c r="D262" s="67">
        <f t="shared" si="6"/>
        <v>196</v>
      </c>
      <c r="E262" s="40">
        <v>-4.596129917565678</v>
      </c>
    </row>
    <row r="263" spans="2:5" x14ac:dyDescent="0.3">
      <c r="B263" s="67">
        <v>197</v>
      </c>
      <c r="C263" s="40">
        <v>57.904980596678996</v>
      </c>
      <c r="D263" s="67">
        <f t="shared" si="6"/>
        <v>197</v>
      </c>
      <c r="E263" s="40">
        <v>66.373587048140507</v>
      </c>
    </row>
    <row r="264" spans="2:5" x14ac:dyDescent="0.3">
      <c r="B264" s="67">
        <v>198</v>
      </c>
      <c r="C264" s="40">
        <v>147.52902524072942</v>
      </c>
      <c r="D264" s="67">
        <f t="shared" si="6"/>
        <v>198</v>
      </c>
      <c r="E264" s="40">
        <v>502.21656897980506</v>
      </c>
    </row>
    <row r="265" spans="2:5" x14ac:dyDescent="0.3">
      <c r="B265" s="67">
        <v>199</v>
      </c>
      <c r="C265" s="40">
        <v>131.88522849845381</v>
      </c>
      <c r="D265" s="67">
        <f t="shared" si="6"/>
        <v>199</v>
      </c>
      <c r="E265" s="40">
        <v>23.04765049706937</v>
      </c>
    </row>
    <row r="266" spans="2:5" x14ac:dyDescent="0.3">
      <c r="B266" s="67">
        <v>200</v>
      </c>
      <c r="C266" s="40">
        <v>159.21275063143796</v>
      </c>
      <c r="D266" s="67">
        <f t="shared" si="6"/>
        <v>200</v>
      </c>
      <c r="E266" s="40">
        <v>391.36952533062436</v>
      </c>
    </row>
    <row r="267" spans="2:5" x14ac:dyDescent="0.3">
      <c r="B267" s="67">
        <v>201</v>
      </c>
      <c r="C267" s="40">
        <v>161.16118636500039</v>
      </c>
      <c r="D267" s="67">
        <f t="shared" si="6"/>
        <v>201</v>
      </c>
      <c r="E267" s="40">
        <v>9.400778800269407</v>
      </c>
    </row>
    <row r="268" spans="2:5" x14ac:dyDescent="0.3">
      <c r="B268" s="67">
        <v>202</v>
      </c>
      <c r="C268" s="40">
        <v>141.49669482725014</v>
      </c>
      <c r="D268" s="67">
        <f t="shared" si="6"/>
        <v>202</v>
      </c>
      <c r="E268" s="40">
        <v>-170.77901932573425</v>
      </c>
    </row>
    <row r="269" spans="2:5" x14ac:dyDescent="0.3">
      <c r="B269" s="67">
        <v>203</v>
      </c>
      <c r="C269" s="40">
        <v>187.172280253027</v>
      </c>
      <c r="D269" s="67">
        <f t="shared" si="6"/>
        <v>203</v>
      </c>
      <c r="E269" s="40">
        <v>103.92557631647344</v>
      </c>
    </row>
    <row r="270" spans="2:5" x14ac:dyDescent="0.3">
      <c r="B270" s="67">
        <v>204</v>
      </c>
      <c r="C270" s="40">
        <v>391.86763631155026</v>
      </c>
      <c r="D270" s="67">
        <f t="shared" si="6"/>
        <v>204</v>
      </c>
      <c r="E270" s="40">
        <v>68.469486342325922</v>
      </c>
    </row>
    <row r="271" spans="2:5" x14ac:dyDescent="0.3">
      <c r="B271" s="67">
        <v>205</v>
      </c>
      <c r="C271" s="40">
        <v>145.84911638035555</v>
      </c>
      <c r="D271" s="67">
        <f t="shared" si="6"/>
        <v>205</v>
      </c>
      <c r="E271" s="40">
        <v>159.19063765144207</v>
      </c>
    </row>
    <row r="272" spans="2:5" x14ac:dyDescent="0.3">
      <c r="B272" s="67">
        <v>206</v>
      </c>
      <c r="C272" s="40">
        <v>159.75551508577016</v>
      </c>
      <c r="D272" s="67">
        <f t="shared" si="6"/>
        <v>206</v>
      </c>
      <c r="E272" s="40">
        <v>321.31440634312759</v>
      </c>
    </row>
    <row r="273" spans="2:5" x14ac:dyDescent="0.3">
      <c r="B273" s="67">
        <v>207</v>
      </c>
      <c r="C273" s="40">
        <v>152.48732726603453</v>
      </c>
      <c r="D273" s="67">
        <f t="shared" si="6"/>
        <v>207</v>
      </c>
      <c r="E273" s="40">
        <v>72.111800187522263</v>
      </c>
    </row>
    <row r="274" spans="2:5" x14ac:dyDescent="0.3">
      <c r="B274" s="67">
        <v>208</v>
      </c>
      <c r="C274" s="40">
        <v>89.620883081516268</v>
      </c>
      <c r="D274" s="67">
        <f t="shared" si="6"/>
        <v>208</v>
      </c>
      <c r="E274" s="40">
        <v>63.568802440885435</v>
      </c>
    </row>
    <row r="275" spans="2:5" x14ac:dyDescent="0.3">
      <c r="B275" s="67">
        <v>209</v>
      </c>
      <c r="C275" s="40">
        <v>55.280330363480616</v>
      </c>
      <c r="D275" s="67">
        <f t="shared" si="6"/>
        <v>209</v>
      </c>
      <c r="E275" s="40">
        <v>211.3768660934345</v>
      </c>
    </row>
    <row r="276" spans="2:5" x14ac:dyDescent="0.3">
      <c r="B276" s="67">
        <v>210</v>
      </c>
      <c r="C276" s="40">
        <v>-2.5714227301446897</v>
      </c>
      <c r="D276" s="67">
        <f t="shared" si="6"/>
        <v>210</v>
      </c>
      <c r="E276" s="40">
        <v>249.44953461490178</v>
      </c>
    </row>
    <row r="277" spans="2:5" x14ac:dyDescent="0.3">
      <c r="B277" s="67">
        <v>211</v>
      </c>
      <c r="C277" s="40">
        <v>76.704271235953058</v>
      </c>
      <c r="D277" s="67">
        <f t="shared" si="6"/>
        <v>211</v>
      </c>
      <c r="E277" s="40">
        <v>301.0632531462403</v>
      </c>
    </row>
    <row r="278" spans="2:5" x14ac:dyDescent="0.3">
      <c r="B278" s="67">
        <v>212</v>
      </c>
      <c r="C278" s="40">
        <v>87.076275658913971</v>
      </c>
      <c r="D278" s="67">
        <f t="shared" si="6"/>
        <v>212</v>
      </c>
      <c r="E278" s="40">
        <v>-75.830296801087172</v>
      </c>
    </row>
    <row r="279" spans="2:5" x14ac:dyDescent="0.3">
      <c r="B279" s="67">
        <v>213</v>
      </c>
      <c r="C279" s="40">
        <v>165.04412250760129</v>
      </c>
      <c r="D279" s="67">
        <f t="shared" ref="D279:D342" si="7">B279</f>
        <v>213</v>
      </c>
      <c r="E279" s="40">
        <v>280.68957983136892</v>
      </c>
    </row>
    <row r="280" spans="2:5" x14ac:dyDescent="0.3">
      <c r="B280" s="67">
        <v>214</v>
      </c>
      <c r="C280" s="40">
        <v>114.17418215056551</v>
      </c>
      <c r="D280" s="67">
        <f t="shared" si="7"/>
        <v>214</v>
      </c>
      <c r="E280" s="40">
        <v>307.51265128947068</v>
      </c>
    </row>
    <row r="281" spans="2:5" x14ac:dyDescent="0.3">
      <c r="B281" s="67">
        <v>215</v>
      </c>
      <c r="C281" s="40">
        <v>16.4309060455885</v>
      </c>
      <c r="D281" s="67">
        <f t="shared" si="7"/>
        <v>215</v>
      </c>
      <c r="E281" s="40">
        <v>-83.400046998985204</v>
      </c>
    </row>
    <row r="282" spans="2:5" x14ac:dyDescent="0.3">
      <c r="B282" s="67">
        <v>216</v>
      </c>
      <c r="C282" s="40">
        <v>166.21652309139924</v>
      </c>
      <c r="D282" s="67">
        <f t="shared" si="7"/>
        <v>216</v>
      </c>
      <c r="E282" s="40">
        <v>260.10710641684722</v>
      </c>
    </row>
    <row r="283" spans="2:5" x14ac:dyDescent="0.3">
      <c r="B283" s="67">
        <v>217</v>
      </c>
      <c r="C283" s="40">
        <v>80.276842362493468</v>
      </c>
      <c r="D283" s="67">
        <f t="shared" si="7"/>
        <v>217</v>
      </c>
      <c r="E283" s="40">
        <v>171.50243263556882</v>
      </c>
    </row>
    <row r="284" spans="2:5" x14ac:dyDescent="0.3">
      <c r="B284" s="67">
        <v>218</v>
      </c>
      <c r="C284" s="40">
        <v>145.10517121357532</v>
      </c>
      <c r="D284" s="67">
        <f t="shared" si="7"/>
        <v>218</v>
      </c>
      <c r="E284" s="40">
        <v>46.595842563125963</v>
      </c>
    </row>
    <row r="285" spans="2:5" x14ac:dyDescent="0.3">
      <c r="B285" s="67">
        <v>219</v>
      </c>
      <c r="C285" s="40">
        <v>120.61730695642646</v>
      </c>
      <c r="D285" s="67">
        <f t="shared" si="7"/>
        <v>219</v>
      </c>
      <c r="E285" s="40">
        <v>109.47390026389712</v>
      </c>
    </row>
    <row r="286" spans="2:5" x14ac:dyDescent="0.3">
      <c r="B286" s="67">
        <v>220</v>
      </c>
      <c r="C286" s="40">
        <v>70.281807458589142</v>
      </c>
      <c r="D286" s="67">
        <f t="shared" si="7"/>
        <v>220</v>
      </c>
      <c r="E286" s="40">
        <v>240.41439365823621</v>
      </c>
    </row>
    <row r="287" spans="2:5" x14ac:dyDescent="0.3">
      <c r="B287" s="67">
        <v>221</v>
      </c>
      <c r="C287" s="40">
        <v>81.70072393576578</v>
      </c>
      <c r="D287" s="67">
        <f t="shared" si="7"/>
        <v>221</v>
      </c>
      <c r="E287" s="40">
        <v>-300.90359487251214</v>
      </c>
    </row>
    <row r="288" spans="2:5" x14ac:dyDescent="0.3">
      <c r="B288" s="67">
        <v>222</v>
      </c>
      <c r="C288" s="40">
        <v>173.54016628892043</v>
      </c>
      <c r="D288" s="67">
        <f t="shared" si="7"/>
        <v>222</v>
      </c>
      <c r="E288" s="40">
        <v>163.33885471430165</v>
      </c>
    </row>
    <row r="289" spans="2:5" x14ac:dyDescent="0.3">
      <c r="B289" s="67">
        <v>223</v>
      </c>
      <c r="C289" s="40">
        <v>138.44405060664491</v>
      </c>
      <c r="D289" s="67">
        <f t="shared" si="7"/>
        <v>223</v>
      </c>
      <c r="E289" s="40">
        <v>4.811153681580322</v>
      </c>
    </row>
    <row r="290" spans="2:5" x14ac:dyDescent="0.3">
      <c r="B290" s="67">
        <v>224</v>
      </c>
      <c r="C290" s="40">
        <v>134.45667660453739</v>
      </c>
      <c r="D290" s="67">
        <f t="shared" si="7"/>
        <v>224</v>
      </c>
      <c r="E290" s="40">
        <v>280.20297568121066</v>
      </c>
    </row>
    <row r="291" spans="2:5" x14ac:dyDescent="0.3">
      <c r="B291" s="67">
        <v>225</v>
      </c>
      <c r="C291" s="40">
        <v>196.54883656212345</v>
      </c>
      <c r="D291" s="67">
        <f t="shared" si="7"/>
        <v>225</v>
      </c>
      <c r="E291" s="40">
        <v>145.64177223816077</v>
      </c>
    </row>
    <row r="292" spans="2:5" x14ac:dyDescent="0.3">
      <c r="B292" s="67">
        <v>226</v>
      </c>
      <c r="C292" s="40">
        <v>104.31905733809715</v>
      </c>
      <c r="D292" s="67">
        <f t="shared" si="7"/>
        <v>226</v>
      </c>
      <c r="E292" s="40">
        <v>66.743087598386353</v>
      </c>
    </row>
    <row r="293" spans="2:5" x14ac:dyDescent="0.3">
      <c r="B293" s="67">
        <v>227</v>
      </c>
      <c r="C293" s="40">
        <v>118.96508135315806</v>
      </c>
      <c r="D293" s="67">
        <f t="shared" si="7"/>
        <v>227</v>
      </c>
      <c r="E293" s="40">
        <v>-129.57851756072165</v>
      </c>
    </row>
    <row r="294" spans="2:5" x14ac:dyDescent="0.3">
      <c r="B294" s="67">
        <v>228</v>
      </c>
      <c r="C294" s="40">
        <v>-78.066628558199483</v>
      </c>
      <c r="D294" s="67">
        <f t="shared" si="7"/>
        <v>228</v>
      </c>
      <c r="E294" s="40">
        <v>273.46715852019418</v>
      </c>
    </row>
    <row r="295" spans="2:5" x14ac:dyDescent="0.3">
      <c r="B295" s="67">
        <v>229</v>
      </c>
      <c r="C295" s="40">
        <v>121.08792284513265</v>
      </c>
      <c r="D295" s="67">
        <f t="shared" si="7"/>
        <v>229</v>
      </c>
      <c r="E295" s="40">
        <v>-155.778200625713</v>
      </c>
    </row>
    <row r="296" spans="2:5" x14ac:dyDescent="0.3">
      <c r="B296" s="67">
        <v>230</v>
      </c>
      <c r="C296" s="40">
        <v>156.6941117193609</v>
      </c>
      <c r="D296" s="67">
        <f t="shared" si="7"/>
        <v>230</v>
      </c>
      <c r="E296" s="40">
        <v>214.29895313925365</v>
      </c>
    </row>
    <row r="297" spans="2:5" x14ac:dyDescent="0.3">
      <c r="B297" s="67">
        <v>231</v>
      </c>
      <c r="C297" s="40">
        <v>15.518681363382797</v>
      </c>
      <c r="D297" s="67">
        <f t="shared" si="7"/>
        <v>231</v>
      </c>
      <c r="E297" s="40">
        <v>460.60646276384017</v>
      </c>
    </row>
    <row r="298" spans="2:5" x14ac:dyDescent="0.3">
      <c r="B298" s="67">
        <v>232</v>
      </c>
      <c r="C298" s="40">
        <v>153.29730305960624</v>
      </c>
      <c r="D298" s="67">
        <f t="shared" si="7"/>
        <v>232</v>
      </c>
      <c r="E298" s="40">
        <v>450.7102070534728</v>
      </c>
    </row>
    <row r="299" spans="2:5" x14ac:dyDescent="0.3">
      <c r="B299" s="67">
        <v>233</v>
      </c>
      <c r="C299" s="40">
        <v>136.88836648016766</v>
      </c>
      <c r="D299" s="67">
        <f t="shared" si="7"/>
        <v>233</v>
      </c>
      <c r="E299" s="40">
        <v>375.27922481921223</v>
      </c>
    </row>
    <row r="300" spans="2:5" x14ac:dyDescent="0.3">
      <c r="B300" s="67">
        <v>234</v>
      </c>
      <c r="C300" s="40">
        <v>198.48746206666812</v>
      </c>
      <c r="D300" s="67">
        <f t="shared" si="7"/>
        <v>234</v>
      </c>
      <c r="E300" s="40">
        <v>-282.35613077299183</v>
      </c>
    </row>
    <row r="301" spans="2:5" x14ac:dyDescent="0.3">
      <c r="B301" s="67">
        <v>235</v>
      </c>
      <c r="C301" s="40">
        <v>143.38166038804226</v>
      </c>
      <c r="D301" s="67">
        <f t="shared" si="7"/>
        <v>235</v>
      </c>
      <c r="E301" s="40">
        <v>146.13295598324396</v>
      </c>
    </row>
    <row r="302" spans="2:5" x14ac:dyDescent="0.3">
      <c r="B302" s="67">
        <v>236</v>
      </c>
      <c r="C302" s="40">
        <v>290.48892580444078</v>
      </c>
      <c r="D302" s="67">
        <f t="shared" si="7"/>
        <v>236</v>
      </c>
      <c r="E302" s="40">
        <v>28.188103845425875</v>
      </c>
    </row>
    <row r="303" spans="2:5" x14ac:dyDescent="0.3">
      <c r="B303" s="67">
        <v>237</v>
      </c>
      <c r="C303" s="40">
        <v>62.394045460074381</v>
      </c>
      <c r="D303" s="67">
        <f t="shared" si="7"/>
        <v>237</v>
      </c>
      <c r="E303" s="40">
        <v>320.93553711167465</v>
      </c>
    </row>
    <row r="304" spans="2:5" x14ac:dyDescent="0.3">
      <c r="B304" s="67">
        <v>238</v>
      </c>
      <c r="C304" s="40">
        <v>143.09023621382934</v>
      </c>
      <c r="D304" s="67">
        <f t="shared" si="7"/>
        <v>238</v>
      </c>
      <c r="E304" s="40">
        <v>388.35515644252234</v>
      </c>
    </row>
    <row r="305" spans="2:5" x14ac:dyDescent="0.3">
      <c r="B305" s="67">
        <v>239</v>
      </c>
      <c r="C305" s="40">
        <v>189.20301940667684</v>
      </c>
      <c r="D305" s="67">
        <f t="shared" si="7"/>
        <v>239</v>
      </c>
      <c r="E305" s="40">
        <v>-288.84504740489911</v>
      </c>
    </row>
    <row r="306" spans="2:5" x14ac:dyDescent="0.3">
      <c r="B306" s="67">
        <v>240</v>
      </c>
      <c r="C306" s="40">
        <v>188.33262724979997</v>
      </c>
      <c r="D306" s="67">
        <f t="shared" si="7"/>
        <v>240</v>
      </c>
      <c r="E306" s="40">
        <v>173.06230010859181</v>
      </c>
    </row>
    <row r="307" spans="2:5" x14ac:dyDescent="0.3">
      <c r="B307" s="67">
        <v>241</v>
      </c>
      <c r="C307" s="40">
        <v>201.40025281532778</v>
      </c>
      <c r="D307" s="67">
        <f t="shared" si="7"/>
        <v>241</v>
      </c>
      <c r="E307" s="40">
        <v>288.20188982799459</v>
      </c>
    </row>
    <row r="308" spans="2:5" x14ac:dyDescent="0.3">
      <c r="B308" s="67">
        <v>242</v>
      </c>
      <c r="C308" s="40">
        <v>234.03090205535131</v>
      </c>
      <c r="D308" s="67">
        <f t="shared" si="7"/>
        <v>242</v>
      </c>
      <c r="E308" s="40">
        <v>185.1894741383534</v>
      </c>
    </row>
    <row r="309" spans="2:5" x14ac:dyDescent="0.3">
      <c r="B309" s="67">
        <v>243</v>
      </c>
      <c r="C309" s="40">
        <v>96.833174244496576</v>
      </c>
      <c r="D309" s="67">
        <f t="shared" si="7"/>
        <v>243</v>
      </c>
      <c r="E309" s="40">
        <v>122.63928676055508</v>
      </c>
    </row>
    <row r="310" spans="2:5" x14ac:dyDescent="0.3">
      <c r="B310" s="67">
        <v>244</v>
      </c>
      <c r="C310" s="40">
        <v>99.246354693173032</v>
      </c>
      <c r="D310" s="67">
        <f t="shared" si="7"/>
        <v>244</v>
      </c>
      <c r="E310" s="40">
        <v>353.35122036600808</v>
      </c>
    </row>
    <row r="311" spans="2:5" x14ac:dyDescent="0.3">
      <c r="B311" s="67">
        <v>245</v>
      </c>
      <c r="C311" s="40">
        <v>87.889536509679232</v>
      </c>
      <c r="D311" s="67">
        <f t="shared" si="7"/>
        <v>245</v>
      </c>
      <c r="E311" s="40">
        <v>66.416571417784922</v>
      </c>
    </row>
    <row r="312" spans="2:5" x14ac:dyDescent="0.3">
      <c r="B312" s="67">
        <v>246</v>
      </c>
      <c r="C312" s="40">
        <v>90.03458472856272</v>
      </c>
      <c r="D312" s="67">
        <f t="shared" si="7"/>
        <v>246</v>
      </c>
      <c r="E312" s="40">
        <v>496.22843730545401</v>
      </c>
    </row>
    <row r="313" spans="2:5" x14ac:dyDescent="0.3">
      <c r="B313" s="67">
        <v>247</v>
      </c>
      <c r="C313" s="40">
        <v>192.55222773244358</v>
      </c>
      <c r="D313" s="67">
        <f t="shared" si="7"/>
        <v>247</v>
      </c>
      <c r="E313" s="40">
        <v>309.58488892191536</v>
      </c>
    </row>
    <row r="314" spans="2:5" x14ac:dyDescent="0.3">
      <c r="B314" s="67">
        <v>248</v>
      </c>
      <c r="C314" s="40">
        <v>179.99258179364409</v>
      </c>
      <c r="D314" s="67">
        <f t="shared" si="7"/>
        <v>248</v>
      </c>
      <c r="E314" s="40">
        <v>-198.31518202263666</v>
      </c>
    </row>
    <row r="315" spans="2:5" x14ac:dyDescent="0.3">
      <c r="B315" s="67">
        <v>249</v>
      </c>
      <c r="C315" s="40">
        <v>109.68783106108084</v>
      </c>
      <c r="D315" s="67">
        <f t="shared" si="7"/>
        <v>249</v>
      </c>
      <c r="E315" s="40">
        <v>392.42339529159148</v>
      </c>
    </row>
    <row r="316" spans="2:5" x14ac:dyDescent="0.3">
      <c r="B316" s="67">
        <v>250</v>
      </c>
      <c r="C316" s="40">
        <v>115.69156137701528</v>
      </c>
      <c r="D316" s="67">
        <f t="shared" si="7"/>
        <v>250</v>
      </c>
      <c r="E316" s="40">
        <v>371.47584454552606</v>
      </c>
    </row>
    <row r="317" spans="2:5" x14ac:dyDescent="0.3">
      <c r="B317" s="67">
        <v>251</v>
      </c>
      <c r="C317" s="40">
        <v>245.99568341018789</v>
      </c>
      <c r="D317" s="67">
        <f t="shared" si="7"/>
        <v>251</v>
      </c>
      <c r="E317" s="40">
        <v>331.97952963814333</v>
      </c>
    </row>
    <row r="318" spans="2:5" x14ac:dyDescent="0.3">
      <c r="B318" s="67">
        <v>252</v>
      </c>
      <c r="C318" s="40">
        <v>170.15405116248317</v>
      </c>
      <c r="D318" s="67">
        <f t="shared" si="7"/>
        <v>252</v>
      </c>
      <c r="E318" s="40">
        <v>193.96610431786885</v>
      </c>
    </row>
    <row r="319" spans="2:5" x14ac:dyDescent="0.3">
      <c r="B319" s="67">
        <v>253</v>
      </c>
      <c r="C319" s="40">
        <v>97.292255081029865</v>
      </c>
      <c r="D319" s="67">
        <f t="shared" si="7"/>
        <v>253</v>
      </c>
      <c r="E319" s="40">
        <v>107.29196098782575</v>
      </c>
    </row>
    <row r="320" spans="2:5" x14ac:dyDescent="0.3">
      <c r="B320" s="67">
        <v>254</v>
      </c>
      <c r="C320" s="40">
        <v>169.36325829935518</v>
      </c>
      <c r="D320" s="67">
        <f t="shared" si="7"/>
        <v>254</v>
      </c>
      <c r="E320" s="40">
        <v>337.57074808507082</v>
      </c>
    </row>
    <row r="321" spans="2:5" x14ac:dyDescent="0.3">
      <c r="B321" s="67">
        <v>255</v>
      </c>
      <c r="C321" s="40">
        <v>135.77913618781267</v>
      </c>
      <c r="D321" s="67">
        <f t="shared" si="7"/>
        <v>255</v>
      </c>
      <c r="E321" s="40">
        <v>449.74118501632802</v>
      </c>
    </row>
    <row r="322" spans="2:5" x14ac:dyDescent="0.3">
      <c r="B322" s="67">
        <v>256</v>
      </c>
      <c r="C322" s="40">
        <v>38.092992691826012</v>
      </c>
      <c r="D322" s="67">
        <f t="shared" si="7"/>
        <v>256</v>
      </c>
      <c r="E322" s="40">
        <v>115.61526831480137</v>
      </c>
    </row>
    <row r="323" spans="2:5" x14ac:dyDescent="0.3">
      <c r="B323" s="67">
        <v>257</v>
      </c>
      <c r="C323" s="40">
        <v>116.85078765362078</v>
      </c>
      <c r="D323" s="67">
        <f t="shared" si="7"/>
        <v>257</v>
      </c>
      <c r="E323" s="40">
        <v>121.86510910601569</v>
      </c>
    </row>
    <row r="324" spans="2:5" x14ac:dyDescent="0.3">
      <c r="B324" s="67">
        <v>258</v>
      </c>
      <c r="C324" s="40">
        <v>41.635138419190199</v>
      </c>
      <c r="D324" s="67">
        <f t="shared" si="7"/>
        <v>258</v>
      </c>
      <c r="E324" s="40">
        <v>148.88116005312958</v>
      </c>
    </row>
    <row r="325" spans="2:5" x14ac:dyDescent="0.3">
      <c r="B325" s="67">
        <v>259</v>
      </c>
      <c r="C325" s="40">
        <v>68.640083581532608</v>
      </c>
      <c r="D325" s="67">
        <f t="shared" si="7"/>
        <v>259</v>
      </c>
      <c r="E325" s="40">
        <v>482.47698606842255</v>
      </c>
    </row>
    <row r="326" spans="2:5" x14ac:dyDescent="0.3">
      <c r="B326" s="67">
        <v>260</v>
      </c>
      <c r="C326" s="40">
        <v>134.48574467469899</v>
      </c>
      <c r="D326" s="67">
        <f t="shared" si="7"/>
        <v>260</v>
      </c>
      <c r="E326" s="40">
        <v>-143.34210359112348</v>
      </c>
    </row>
    <row r="327" spans="2:5" x14ac:dyDescent="0.3">
      <c r="B327" s="67">
        <v>261</v>
      </c>
      <c r="C327" s="40">
        <v>89.792483219687725</v>
      </c>
      <c r="D327" s="67">
        <f t="shared" si="7"/>
        <v>261</v>
      </c>
      <c r="E327" s="40">
        <v>596.62652206450412</v>
      </c>
    </row>
    <row r="328" spans="2:5" x14ac:dyDescent="0.3">
      <c r="B328" s="67">
        <v>262</v>
      </c>
      <c r="C328" s="40">
        <v>110.51417470198069</v>
      </c>
      <c r="D328" s="67">
        <f t="shared" si="7"/>
        <v>262</v>
      </c>
      <c r="E328" s="40">
        <v>627.64867784165381</v>
      </c>
    </row>
    <row r="329" spans="2:5" x14ac:dyDescent="0.3">
      <c r="B329" s="67">
        <v>263</v>
      </c>
      <c r="C329" s="40">
        <v>4.6948525490516744</v>
      </c>
      <c r="D329" s="67">
        <f t="shared" si="7"/>
        <v>263</v>
      </c>
      <c r="E329" s="40">
        <v>283.4835568819143</v>
      </c>
    </row>
    <row r="330" spans="2:5" x14ac:dyDescent="0.3">
      <c r="B330" s="67">
        <v>264</v>
      </c>
      <c r="C330" s="40">
        <v>-54.348214203226348</v>
      </c>
      <c r="D330" s="67">
        <f t="shared" si="7"/>
        <v>264</v>
      </c>
      <c r="E330" s="40">
        <v>-68.320090906396373</v>
      </c>
    </row>
    <row r="331" spans="2:5" x14ac:dyDescent="0.3">
      <c r="B331" s="67">
        <v>265</v>
      </c>
      <c r="C331" s="40">
        <v>176.79230409424051</v>
      </c>
      <c r="D331" s="67">
        <f t="shared" si="7"/>
        <v>265</v>
      </c>
      <c r="E331" s="40">
        <v>221.09362350354243</v>
      </c>
    </row>
    <row r="332" spans="2:5" x14ac:dyDescent="0.3">
      <c r="B332" s="67">
        <v>266</v>
      </c>
      <c r="C332" s="40">
        <v>146.05569562309265</v>
      </c>
      <c r="D332" s="67">
        <f t="shared" si="7"/>
        <v>266</v>
      </c>
      <c r="E332" s="40">
        <v>418.48319315177844</v>
      </c>
    </row>
    <row r="333" spans="2:5" x14ac:dyDescent="0.3">
      <c r="B333" s="67">
        <v>267</v>
      </c>
      <c r="C333" s="40">
        <v>100.54262078450958</v>
      </c>
      <c r="D333" s="67">
        <f t="shared" si="7"/>
        <v>267</v>
      </c>
      <c r="E333" s="40">
        <v>121.99315509852264</v>
      </c>
    </row>
    <row r="334" spans="2:5" x14ac:dyDescent="0.3">
      <c r="B334" s="67">
        <v>268</v>
      </c>
      <c r="C334" s="40">
        <v>212.09091801261081</v>
      </c>
      <c r="D334" s="67">
        <f t="shared" si="7"/>
        <v>268</v>
      </c>
      <c r="E334" s="40">
        <v>324.69127813742966</v>
      </c>
    </row>
    <row r="335" spans="2:5" x14ac:dyDescent="0.3">
      <c r="B335" s="67">
        <v>269</v>
      </c>
      <c r="C335" s="40">
        <v>189.61205751138419</v>
      </c>
      <c r="D335" s="67">
        <f t="shared" si="7"/>
        <v>269</v>
      </c>
      <c r="E335" s="40">
        <v>116.56994532995927</v>
      </c>
    </row>
    <row r="336" spans="2:5" x14ac:dyDescent="0.3">
      <c r="B336" s="67">
        <v>270</v>
      </c>
      <c r="C336" s="40">
        <v>160.80556421979509</v>
      </c>
      <c r="D336" s="67">
        <f t="shared" si="7"/>
        <v>270</v>
      </c>
      <c r="E336" s="40">
        <v>57.579445443767668</v>
      </c>
    </row>
    <row r="337" spans="2:5" x14ac:dyDescent="0.3">
      <c r="B337" s="67">
        <v>271</v>
      </c>
      <c r="C337" s="40">
        <v>217.98140396875849</v>
      </c>
      <c r="D337" s="67">
        <f t="shared" si="7"/>
        <v>271</v>
      </c>
      <c r="E337" s="40">
        <v>-40.425345972760311</v>
      </c>
    </row>
    <row r="338" spans="2:5" x14ac:dyDescent="0.3">
      <c r="B338" s="67">
        <v>272</v>
      </c>
      <c r="C338" s="40">
        <v>135.5440336810484</v>
      </c>
      <c r="D338" s="67">
        <f t="shared" si="7"/>
        <v>272</v>
      </c>
      <c r="E338" s="40">
        <v>311.25859493425185</v>
      </c>
    </row>
    <row r="339" spans="2:5" x14ac:dyDescent="0.3">
      <c r="B339" s="67">
        <v>273</v>
      </c>
      <c r="C339" s="40">
        <v>118.88966381188706</v>
      </c>
      <c r="D339" s="67">
        <f t="shared" si="7"/>
        <v>273</v>
      </c>
      <c r="E339" s="40">
        <v>196.59486638902214</v>
      </c>
    </row>
    <row r="340" spans="2:5" x14ac:dyDescent="0.3">
      <c r="B340" s="67">
        <v>274</v>
      </c>
      <c r="C340" s="40">
        <v>153.36747089616154</v>
      </c>
      <c r="D340" s="67">
        <f t="shared" si="7"/>
        <v>274</v>
      </c>
      <c r="E340" s="40">
        <v>322.00277791643424</v>
      </c>
    </row>
    <row r="341" spans="2:5" x14ac:dyDescent="0.3">
      <c r="B341" s="67">
        <v>275</v>
      </c>
      <c r="C341" s="40">
        <v>169.43031298254718</v>
      </c>
      <c r="D341" s="67">
        <f t="shared" si="7"/>
        <v>275</v>
      </c>
      <c r="E341" s="40">
        <v>57.360106260570547</v>
      </c>
    </row>
    <row r="342" spans="2:5" x14ac:dyDescent="0.3">
      <c r="B342" s="67">
        <v>276</v>
      </c>
      <c r="C342" s="40">
        <v>120.13252525165412</v>
      </c>
      <c r="D342" s="67">
        <f t="shared" si="7"/>
        <v>276</v>
      </c>
      <c r="E342" s="40">
        <v>162.37648277917475</v>
      </c>
    </row>
    <row r="343" spans="2:5" x14ac:dyDescent="0.3">
      <c r="B343" s="67">
        <v>277</v>
      </c>
      <c r="C343" s="40">
        <v>142.94331078719432</v>
      </c>
      <c r="D343" s="67">
        <f t="shared" ref="D343:D406" si="8">B343</f>
        <v>277</v>
      </c>
      <c r="E343" s="40">
        <v>271.37422925303008</v>
      </c>
    </row>
    <row r="344" spans="2:5" x14ac:dyDescent="0.3">
      <c r="B344" s="67">
        <v>278</v>
      </c>
      <c r="C344" s="40">
        <v>63.63709931477598</v>
      </c>
      <c r="D344" s="67">
        <f t="shared" si="8"/>
        <v>278</v>
      </c>
      <c r="E344" s="40">
        <v>-258.47988788960458</v>
      </c>
    </row>
    <row r="345" spans="2:5" x14ac:dyDescent="0.3">
      <c r="B345" s="67">
        <v>279</v>
      </c>
      <c r="C345" s="40">
        <v>174.39358483101316</v>
      </c>
      <c r="D345" s="67">
        <f t="shared" si="8"/>
        <v>279</v>
      </c>
      <c r="E345" s="40">
        <v>503.73788186445222</v>
      </c>
    </row>
    <row r="346" spans="2:5" x14ac:dyDescent="0.3">
      <c r="B346" s="67">
        <v>280</v>
      </c>
      <c r="C346" s="40">
        <v>190.18060789229725</v>
      </c>
      <c r="D346" s="67">
        <f t="shared" si="8"/>
        <v>280</v>
      </c>
      <c r="E346" s="40">
        <v>370.58385477513951</v>
      </c>
    </row>
    <row r="347" spans="2:5" x14ac:dyDescent="0.3">
      <c r="B347" s="67">
        <v>281</v>
      </c>
      <c r="C347" s="40">
        <v>100.09751478803206</v>
      </c>
      <c r="D347" s="67">
        <f t="shared" si="8"/>
        <v>281</v>
      </c>
      <c r="E347" s="40">
        <v>293.97816347653225</v>
      </c>
    </row>
    <row r="348" spans="2:5" x14ac:dyDescent="0.3">
      <c r="B348" s="67">
        <v>282</v>
      </c>
      <c r="C348" s="40">
        <v>146.55544468500045</v>
      </c>
      <c r="D348" s="67">
        <f t="shared" si="8"/>
        <v>282</v>
      </c>
      <c r="E348" s="40">
        <v>296.91999627671146</v>
      </c>
    </row>
    <row r="349" spans="2:5" x14ac:dyDescent="0.3">
      <c r="B349" s="67">
        <v>283</v>
      </c>
      <c r="C349" s="40">
        <v>143.97512402057703</v>
      </c>
      <c r="D349" s="67">
        <f t="shared" si="8"/>
        <v>283</v>
      </c>
      <c r="E349" s="40">
        <v>360.49445022679475</v>
      </c>
    </row>
    <row r="350" spans="2:5" x14ac:dyDescent="0.3">
      <c r="B350" s="67">
        <v>284</v>
      </c>
      <c r="C350" s="40">
        <v>207.17688120919934</v>
      </c>
      <c r="D350" s="67">
        <f t="shared" si="8"/>
        <v>284</v>
      </c>
      <c r="E350" s="40">
        <v>315.87654271972087</v>
      </c>
    </row>
    <row r="351" spans="2:5" x14ac:dyDescent="0.3">
      <c r="B351" s="67">
        <v>285</v>
      </c>
      <c r="C351" s="40">
        <v>76.78631504577983</v>
      </c>
      <c r="D351" s="67">
        <f t="shared" si="8"/>
        <v>285</v>
      </c>
      <c r="E351" s="40">
        <v>-247.89511111208918</v>
      </c>
    </row>
    <row r="352" spans="2:5" x14ac:dyDescent="0.3">
      <c r="B352" s="67">
        <v>286</v>
      </c>
      <c r="C352" s="40">
        <v>156.80343880931187</v>
      </c>
      <c r="D352" s="67">
        <f t="shared" si="8"/>
        <v>286</v>
      </c>
      <c r="E352" s="40">
        <v>133.21349217659258</v>
      </c>
    </row>
    <row r="353" spans="2:5" x14ac:dyDescent="0.3">
      <c r="B353" s="67">
        <v>287</v>
      </c>
      <c r="C353" s="40">
        <v>110.46932516472314</v>
      </c>
      <c r="D353" s="67">
        <f t="shared" si="8"/>
        <v>287</v>
      </c>
      <c r="E353" s="40">
        <v>19.576866121883853</v>
      </c>
    </row>
    <row r="354" spans="2:5" x14ac:dyDescent="0.3">
      <c r="B354" s="67">
        <v>288</v>
      </c>
      <c r="C354" s="40">
        <v>191.64569263063913</v>
      </c>
      <c r="D354" s="67">
        <f t="shared" si="8"/>
        <v>288</v>
      </c>
      <c r="E354" s="40">
        <v>168.17693902759191</v>
      </c>
    </row>
    <row r="355" spans="2:5" x14ac:dyDescent="0.3">
      <c r="B355" s="67">
        <v>289</v>
      </c>
      <c r="C355" s="40">
        <v>151.74343142500203</v>
      </c>
      <c r="D355" s="67">
        <f t="shared" si="8"/>
        <v>289</v>
      </c>
      <c r="E355" s="40">
        <v>499.7622256179082</v>
      </c>
    </row>
    <row r="356" spans="2:5" x14ac:dyDescent="0.3">
      <c r="B356" s="67">
        <v>290</v>
      </c>
      <c r="C356" s="40">
        <v>80.635574138912531</v>
      </c>
      <c r="D356" s="67">
        <f t="shared" si="8"/>
        <v>290</v>
      </c>
      <c r="E356" s="40">
        <v>69.819933659917126</v>
      </c>
    </row>
    <row r="357" spans="2:5" x14ac:dyDescent="0.3">
      <c r="B357" s="67">
        <v>291</v>
      </c>
      <c r="C357" s="40">
        <v>199.7544154034228</v>
      </c>
      <c r="D357" s="67">
        <f t="shared" si="8"/>
        <v>291</v>
      </c>
      <c r="E357" s="40">
        <v>391.75194162756395</v>
      </c>
    </row>
    <row r="358" spans="2:5" x14ac:dyDescent="0.3">
      <c r="B358" s="67">
        <v>292</v>
      </c>
      <c r="C358" s="40">
        <v>126.88272256132807</v>
      </c>
      <c r="D358" s="67">
        <f t="shared" si="8"/>
        <v>292</v>
      </c>
      <c r="E358" s="40">
        <v>-1.5297093673206987</v>
      </c>
    </row>
    <row r="359" spans="2:5" x14ac:dyDescent="0.3">
      <c r="B359" s="67">
        <v>293</v>
      </c>
      <c r="C359" s="40">
        <v>210.31205815424403</v>
      </c>
      <c r="D359" s="67">
        <f t="shared" si="8"/>
        <v>293</v>
      </c>
      <c r="E359" s="40">
        <v>164.25654400697641</v>
      </c>
    </row>
    <row r="360" spans="2:5" x14ac:dyDescent="0.3">
      <c r="B360" s="67">
        <v>294</v>
      </c>
      <c r="C360" s="40">
        <v>190.3442305311867</v>
      </c>
      <c r="D360" s="67">
        <f t="shared" si="8"/>
        <v>294</v>
      </c>
      <c r="E360" s="40">
        <v>314.65101271831526</v>
      </c>
    </row>
    <row r="361" spans="2:5" x14ac:dyDescent="0.3">
      <c r="B361" s="67">
        <v>295</v>
      </c>
      <c r="C361" s="40">
        <v>153.85475054960054</v>
      </c>
      <c r="D361" s="67">
        <f t="shared" si="8"/>
        <v>295</v>
      </c>
      <c r="E361" s="40">
        <v>364.19787118116676</v>
      </c>
    </row>
    <row r="362" spans="2:5" x14ac:dyDescent="0.3">
      <c r="B362" s="67">
        <v>296</v>
      </c>
      <c r="C362" s="40">
        <v>158.9263591427349</v>
      </c>
      <c r="D362" s="67">
        <f t="shared" si="8"/>
        <v>296</v>
      </c>
      <c r="E362" s="40">
        <v>456.67391441059686</v>
      </c>
    </row>
    <row r="363" spans="2:5" x14ac:dyDescent="0.3">
      <c r="B363" s="67">
        <v>297</v>
      </c>
      <c r="C363" s="40">
        <v>124.55656847676289</v>
      </c>
      <c r="D363" s="67">
        <f t="shared" si="8"/>
        <v>297</v>
      </c>
      <c r="E363" s="40">
        <v>330.72664480692214</v>
      </c>
    </row>
    <row r="364" spans="2:5" x14ac:dyDescent="0.3">
      <c r="B364" s="67">
        <v>298</v>
      </c>
      <c r="C364" s="40">
        <v>149.3153682469933</v>
      </c>
      <c r="D364" s="67">
        <f t="shared" si="8"/>
        <v>298</v>
      </c>
      <c r="E364" s="40">
        <v>109.58442877726573</v>
      </c>
    </row>
    <row r="365" spans="2:5" x14ac:dyDescent="0.3">
      <c r="B365" s="67">
        <v>299</v>
      </c>
      <c r="C365" s="40">
        <v>47.131907987388928</v>
      </c>
      <c r="D365" s="67">
        <f t="shared" si="8"/>
        <v>299</v>
      </c>
      <c r="E365" s="40">
        <v>501.416512216326</v>
      </c>
    </row>
    <row r="366" spans="2:5" x14ac:dyDescent="0.3">
      <c r="B366" s="67">
        <v>300</v>
      </c>
      <c r="C366" s="40">
        <v>148.95651882931415</v>
      </c>
      <c r="D366" s="67">
        <f t="shared" si="8"/>
        <v>300</v>
      </c>
      <c r="E366" s="40">
        <v>87.969150973400602</v>
      </c>
    </row>
    <row r="367" spans="2:5" x14ac:dyDescent="0.3">
      <c r="B367" s="67">
        <v>301</v>
      </c>
      <c r="C367" s="40">
        <v>196.66443781133469</v>
      </c>
      <c r="D367" s="67">
        <f t="shared" si="8"/>
        <v>301</v>
      </c>
      <c r="E367" s="40">
        <v>352.81470228700169</v>
      </c>
    </row>
    <row r="368" spans="2:5" x14ac:dyDescent="0.3">
      <c r="B368" s="67">
        <v>302</v>
      </c>
      <c r="C368" s="40">
        <v>74.484848184679407</v>
      </c>
      <c r="D368" s="67">
        <f t="shared" si="8"/>
        <v>302</v>
      </c>
      <c r="E368" s="40">
        <v>186.60153491773332</v>
      </c>
    </row>
    <row r="369" spans="2:5" x14ac:dyDescent="0.3">
      <c r="B369" s="67">
        <v>303</v>
      </c>
      <c r="C369" s="40">
        <v>129.02583801295137</v>
      </c>
      <c r="D369" s="67">
        <f t="shared" si="8"/>
        <v>303</v>
      </c>
      <c r="E369" s="40">
        <v>236.37359618460798</v>
      </c>
    </row>
    <row r="370" spans="2:5" x14ac:dyDescent="0.3">
      <c r="B370" s="67">
        <v>304</v>
      </c>
      <c r="C370" s="40">
        <v>-122.20582842519866</v>
      </c>
      <c r="D370" s="67">
        <f t="shared" si="8"/>
        <v>304</v>
      </c>
      <c r="E370" s="40">
        <v>624.96444459306133</v>
      </c>
    </row>
    <row r="371" spans="2:5" x14ac:dyDescent="0.3">
      <c r="B371" s="67">
        <v>305</v>
      </c>
      <c r="C371" s="40">
        <v>195.64524252893463</v>
      </c>
      <c r="D371" s="67">
        <f t="shared" si="8"/>
        <v>305</v>
      </c>
      <c r="E371" s="40">
        <v>386.33635319062176</v>
      </c>
    </row>
    <row r="372" spans="2:5" x14ac:dyDescent="0.3">
      <c r="B372" s="67">
        <v>306</v>
      </c>
      <c r="C372" s="40">
        <v>164.79821711045975</v>
      </c>
      <c r="D372" s="67">
        <f t="shared" si="8"/>
        <v>306</v>
      </c>
      <c r="E372" s="40">
        <v>459.02773493801635</v>
      </c>
    </row>
    <row r="373" spans="2:5" x14ac:dyDescent="0.3">
      <c r="B373" s="67">
        <v>307</v>
      </c>
      <c r="C373" s="40">
        <v>-10.575238225964398</v>
      </c>
      <c r="D373" s="67">
        <f t="shared" si="8"/>
        <v>307</v>
      </c>
      <c r="E373" s="40">
        <v>399.39013117611188</v>
      </c>
    </row>
    <row r="374" spans="2:5" x14ac:dyDescent="0.3">
      <c r="B374" s="67">
        <v>308</v>
      </c>
      <c r="C374" s="40">
        <v>166.6466103643086</v>
      </c>
      <c r="D374" s="67">
        <f t="shared" si="8"/>
        <v>308</v>
      </c>
      <c r="E374" s="40">
        <v>389.21220696574954</v>
      </c>
    </row>
    <row r="375" spans="2:5" x14ac:dyDescent="0.3">
      <c r="B375" s="67">
        <v>309</v>
      </c>
      <c r="C375" s="40">
        <v>67.626073095929343</v>
      </c>
      <c r="D375" s="67">
        <f t="shared" si="8"/>
        <v>309</v>
      </c>
      <c r="E375" s="40">
        <v>37.393647093485839</v>
      </c>
    </row>
    <row r="376" spans="2:5" x14ac:dyDescent="0.3">
      <c r="B376" s="67">
        <v>310</v>
      </c>
      <c r="C376" s="40">
        <v>148.65342041704292</v>
      </c>
      <c r="D376" s="67">
        <f t="shared" si="8"/>
        <v>310</v>
      </c>
      <c r="E376" s="40">
        <v>430.05625109377627</v>
      </c>
    </row>
    <row r="377" spans="2:5" x14ac:dyDescent="0.3">
      <c r="B377" s="67">
        <v>311</v>
      </c>
      <c r="C377" s="40">
        <v>13.571742641199023</v>
      </c>
      <c r="D377" s="67">
        <f t="shared" si="8"/>
        <v>311</v>
      </c>
      <c r="E377" s="40">
        <v>360.34335679448031</v>
      </c>
    </row>
    <row r="378" spans="2:5" x14ac:dyDescent="0.3">
      <c r="B378" s="67">
        <v>312</v>
      </c>
      <c r="C378" s="40">
        <v>189.94822760542797</v>
      </c>
      <c r="D378" s="67">
        <f t="shared" si="8"/>
        <v>312</v>
      </c>
      <c r="E378" s="40">
        <v>218.20452235058497</v>
      </c>
    </row>
    <row r="379" spans="2:5" x14ac:dyDescent="0.3">
      <c r="B379" s="67">
        <v>313</v>
      </c>
      <c r="C379" s="40">
        <v>142.27916283059093</v>
      </c>
      <c r="D379" s="67">
        <f t="shared" si="8"/>
        <v>313</v>
      </c>
      <c r="E379" s="40">
        <v>162.35177030868249</v>
      </c>
    </row>
    <row r="380" spans="2:5" x14ac:dyDescent="0.3">
      <c r="B380" s="67">
        <v>314</v>
      </c>
      <c r="C380" s="40">
        <v>70.560233555988503</v>
      </c>
      <c r="D380" s="67">
        <f t="shared" si="8"/>
        <v>314</v>
      </c>
      <c r="E380" s="40">
        <v>124.32525834937687</v>
      </c>
    </row>
    <row r="381" spans="2:5" x14ac:dyDescent="0.3">
      <c r="B381" s="67">
        <v>315</v>
      </c>
      <c r="C381" s="40">
        <v>108.89041801727814</v>
      </c>
      <c r="D381" s="67">
        <f t="shared" si="8"/>
        <v>315</v>
      </c>
      <c r="E381" s="40">
        <v>263.67239978051583</v>
      </c>
    </row>
    <row r="382" spans="2:5" x14ac:dyDescent="0.3">
      <c r="B382" s="67">
        <v>316</v>
      </c>
      <c r="C382" s="40">
        <v>162.0215855392531</v>
      </c>
      <c r="D382" s="67">
        <f t="shared" si="8"/>
        <v>316</v>
      </c>
      <c r="E382" s="40">
        <v>166.09532031369704</v>
      </c>
    </row>
    <row r="383" spans="2:5" x14ac:dyDescent="0.3">
      <c r="B383" s="67">
        <v>317</v>
      </c>
      <c r="C383" s="40">
        <v>74.360337939169</v>
      </c>
      <c r="D383" s="67">
        <f t="shared" si="8"/>
        <v>317</v>
      </c>
      <c r="E383" s="40">
        <v>-302.41946280208356</v>
      </c>
    </row>
    <row r="384" spans="2:5" x14ac:dyDescent="0.3">
      <c r="B384" s="67">
        <v>318</v>
      </c>
      <c r="C384" s="40">
        <v>168.37405192610828</v>
      </c>
      <c r="D384" s="67">
        <f t="shared" si="8"/>
        <v>318</v>
      </c>
      <c r="E384" s="40">
        <v>503.3486720524063</v>
      </c>
    </row>
    <row r="385" spans="2:5" x14ac:dyDescent="0.3">
      <c r="B385" s="67">
        <v>319</v>
      </c>
      <c r="C385" s="40">
        <v>89.761114786854066</v>
      </c>
      <c r="D385" s="67">
        <f t="shared" si="8"/>
        <v>319</v>
      </c>
      <c r="E385" s="40">
        <v>465.21366464534481</v>
      </c>
    </row>
    <row r="386" spans="2:5" x14ac:dyDescent="0.3">
      <c r="B386" s="67">
        <v>320</v>
      </c>
      <c r="C386" s="40">
        <v>180.25396698603637</v>
      </c>
      <c r="D386" s="67">
        <f t="shared" si="8"/>
        <v>320</v>
      </c>
      <c r="E386" s="40">
        <v>315.01422803768151</v>
      </c>
    </row>
    <row r="387" spans="2:5" x14ac:dyDescent="0.3">
      <c r="B387" s="67">
        <v>321</v>
      </c>
      <c r="C387" s="40">
        <v>166.18790625388075</v>
      </c>
      <c r="D387" s="67">
        <f t="shared" si="8"/>
        <v>321</v>
      </c>
      <c r="E387" s="40">
        <v>-270.90814024908178</v>
      </c>
    </row>
    <row r="388" spans="2:5" x14ac:dyDescent="0.3">
      <c r="B388" s="67">
        <v>322</v>
      </c>
      <c r="C388" s="40">
        <v>116.20214973433688</v>
      </c>
      <c r="D388" s="67">
        <f t="shared" si="8"/>
        <v>322</v>
      </c>
      <c r="E388" s="40">
        <v>-381.23964596343467</v>
      </c>
    </row>
    <row r="389" spans="2:5" x14ac:dyDescent="0.3">
      <c r="B389" s="67">
        <v>323</v>
      </c>
      <c r="C389" s="40">
        <v>226.75327053417976</v>
      </c>
      <c r="D389" s="67">
        <f t="shared" si="8"/>
        <v>323</v>
      </c>
      <c r="E389" s="40">
        <v>202.22408839942946</v>
      </c>
    </row>
    <row r="390" spans="2:5" x14ac:dyDescent="0.3">
      <c r="B390" s="67">
        <v>324</v>
      </c>
      <c r="C390" s="40">
        <v>190.69387180386775</v>
      </c>
      <c r="D390" s="67">
        <f t="shared" si="8"/>
        <v>324</v>
      </c>
      <c r="E390" s="40">
        <v>405.78064855321702</v>
      </c>
    </row>
    <row r="391" spans="2:5" x14ac:dyDescent="0.3">
      <c r="B391" s="67">
        <v>325</v>
      </c>
      <c r="C391" s="40">
        <v>135.73541224693835</v>
      </c>
      <c r="D391" s="67">
        <f t="shared" si="8"/>
        <v>325</v>
      </c>
      <c r="E391" s="40">
        <v>334.16574272159704</v>
      </c>
    </row>
    <row r="392" spans="2:5" x14ac:dyDescent="0.3">
      <c r="B392" s="67">
        <v>326</v>
      </c>
      <c r="C392" s="40">
        <v>343.8557175180955</v>
      </c>
      <c r="D392" s="67">
        <f t="shared" si="8"/>
        <v>326</v>
      </c>
      <c r="E392" s="40">
        <v>218.69130110081881</v>
      </c>
    </row>
    <row r="393" spans="2:5" x14ac:dyDescent="0.3">
      <c r="B393" s="67">
        <v>327</v>
      </c>
      <c r="C393" s="40">
        <v>131.43689298255435</v>
      </c>
      <c r="D393" s="67">
        <f t="shared" si="8"/>
        <v>327</v>
      </c>
      <c r="E393" s="40">
        <v>-70.851665439128652</v>
      </c>
    </row>
    <row r="394" spans="2:5" x14ac:dyDescent="0.3">
      <c r="B394" s="67">
        <v>328</v>
      </c>
      <c r="C394" s="40">
        <v>146.36071602415132</v>
      </c>
      <c r="D394" s="67">
        <f t="shared" si="8"/>
        <v>328</v>
      </c>
      <c r="E394" s="40">
        <v>137.94329799349791</v>
      </c>
    </row>
    <row r="395" spans="2:5" x14ac:dyDescent="0.3">
      <c r="B395" s="67">
        <v>329</v>
      </c>
      <c r="C395" s="40">
        <v>111.94808895031844</v>
      </c>
      <c r="D395" s="67">
        <f t="shared" si="8"/>
        <v>329</v>
      </c>
      <c r="E395" s="40">
        <v>272.37904651695982</v>
      </c>
    </row>
    <row r="396" spans="2:5" x14ac:dyDescent="0.3">
      <c r="B396" s="67">
        <v>330</v>
      </c>
      <c r="C396" s="40">
        <v>135.49502508799577</v>
      </c>
      <c r="D396" s="67">
        <f t="shared" si="8"/>
        <v>330</v>
      </c>
      <c r="E396" s="40">
        <v>57.243715221496814</v>
      </c>
    </row>
    <row r="397" spans="2:5" x14ac:dyDescent="0.3">
      <c r="B397" s="67">
        <v>331</v>
      </c>
      <c r="C397" s="40">
        <v>157.80752179392607</v>
      </c>
      <c r="D397" s="67">
        <f t="shared" si="8"/>
        <v>331</v>
      </c>
      <c r="E397" s="40">
        <v>-123.16816005285827</v>
      </c>
    </row>
    <row r="398" spans="2:5" x14ac:dyDescent="0.3">
      <c r="B398" s="67">
        <v>332</v>
      </c>
      <c r="C398" s="40">
        <v>83.447747987370093</v>
      </c>
      <c r="D398" s="67">
        <f t="shared" si="8"/>
        <v>332</v>
      </c>
      <c r="E398" s="40">
        <v>395.75572890789175</v>
      </c>
    </row>
    <row r="399" spans="2:5" x14ac:dyDescent="0.3">
      <c r="B399" s="67">
        <v>333</v>
      </c>
      <c r="C399" s="40">
        <v>160.98523692773591</v>
      </c>
      <c r="D399" s="67">
        <f t="shared" si="8"/>
        <v>333</v>
      </c>
      <c r="E399" s="40">
        <v>433.2912714371451</v>
      </c>
    </row>
    <row r="400" spans="2:5" x14ac:dyDescent="0.3">
      <c r="B400" s="67">
        <v>334</v>
      </c>
      <c r="C400" s="40">
        <v>160.55524589017034</v>
      </c>
      <c r="D400" s="67">
        <f t="shared" si="8"/>
        <v>334</v>
      </c>
      <c r="E400" s="40">
        <v>150.67609538280945</v>
      </c>
    </row>
    <row r="401" spans="2:5" x14ac:dyDescent="0.3">
      <c r="B401" s="67">
        <v>335</v>
      </c>
      <c r="C401" s="40">
        <v>105.16358297645883</v>
      </c>
      <c r="D401" s="67">
        <f t="shared" si="8"/>
        <v>335</v>
      </c>
      <c r="E401" s="40">
        <v>205.83956507267865</v>
      </c>
    </row>
    <row r="402" spans="2:5" x14ac:dyDescent="0.3">
      <c r="B402" s="67">
        <v>336</v>
      </c>
      <c r="C402" s="40">
        <v>199.9413634365909</v>
      </c>
      <c r="D402" s="67">
        <f t="shared" si="8"/>
        <v>336</v>
      </c>
      <c r="E402" s="40">
        <v>-175.69075526666825</v>
      </c>
    </row>
    <row r="403" spans="2:5" x14ac:dyDescent="0.3">
      <c r="B403" s="67">
        <v>337</v>
      </c>
      <c r="C403" s="40">
        <v>139.17262761442245</v>
      </c>
      <c r="D403" s="67">
        <f t="shared" si="8"/>
        <v>337</v>
      </c>
      <c r="E403" s="40">
        <v>345.42877134870332</v>
      </c>
    </row>
    <row r="404" spans="2:5" x14ac:dyDescent="0.3">
      <c r="B404" s="67">
        <v>338</v>
      </c>
      <c r="C404" s="40">
        <v>144.54277943994066</v>
      </c>
      <c r="D404" s="67">
        <f t="shared" si="8"/>
        <v>338</v>
      </c>
      <c r="E404" s="40">
        <v>71.265191256453505</v>
      </c>
    </row>
    <row r="405" spans="2:5" x14ac:dyDescent="0.3">
      <c r="B405" s="67">
        <v>339</v>
      </c>
      <c r="C405" s="40">
        <v>175.06175944083003</v>
      </c>
      <c r="D405" s="67">
        <f t="shared" si="8"/>
        <v>339</v>
      </c>
      <c r="E405" s="40">
        <v>407.15272358253571</v>
      </c>
    </row>
    <row r="406" spans="2:5" x14ac:dyDescent="0.3">
      <c r="B406" s="67">
        <v>340</v>
      </c>
      <c r="C406" s="40">
        <v>143.42049367119739</v>
      </c>
      <c r="D406" s="67">
        <f t="shared" si="8"/>
        <v>340</v>
      </c>
      <c r="E406" s="40">
        <v>41.05462409039896</v>
      </c>
    </row>
    <row r="407" spans="2:5" x14ac:dyDescent="0.3">
      <c r="B407" s="67">
        <v>341</v>
      </c>
      <c r="C407" s="40">
        <v>167.58977477908806</v>
      </c>
      <c r="D407" s="67">
        <f t="shared" ref="D407:D470" si="9">B407</f>
        <v>341</v>
      </c>
      <c r="E407" s="40">
        <v>200.53142567022445</v>
      </c>
    </row>
    <row r="408" spans="2:5" x14ac:dyDescent="0.3">
      <c r="B408" s="67">
        <v>342</v>
      </c>
      <c r="C408" s="40">
        <v>139.56344128698774</v>
      </c>
      <c r="D408" s="67">
        <f t="shared" si="9"/>
        <v>342</v>
      </c>
      <c r="E408" s="40">
        <v>88.364244248188584</v>
      </c>
    </row>
    <row r="409" spans="2:5" x14ac:dyDescent="0.3">
      <c r="B409" s="67">
        <v>343</v>
      </c>
      <c r="C409" s="40">
        <v>-7.4772063458710818</v>
      </c>
      <c r="D409" s="67">
        <f t="shared" si="9"/>
        <v>343</v>
      </c>
      <c r="E409" s="40">
        <v>226.54448408905449</v>
      </c>
    </row>
    <row r="410" spans="2:5" x14ac:dyDescent="0.3">
      <c r="B410" s="67">
        <v>344</v>
      </c>
      <c r="C410" s="40">
        <v>177.59429643401759</v>
      </c>
      <c r="D410" s="67">
        <f t="shared" si="9"/>
        <v>344</v>
      </c>
      <c r="E410" s="40">
        <v>181.91623091363616</v>
      </c>
    </row>
    <row r="411" spans="2:5" x14ac:dyDescent="0.3">
      <c r="B411" s="67">
        <v>345</v>
      </c>
      <c r="C411" s="40">
        <v>116.85245859471124</v>
      </c>
      <c r="D411" s="67">
        <f t="shared" si="9"/>
        <v>345</v>
      </c>
      <c r="E411" s="40">
        <v>402.28421517142158</v>
      </c>
    </row>
    <row r="412" spans="2:5" x14ac:dyDescent="0.3">
      <c r="B412" s="67">
        <v>346</v>
      </c>
      <c r="C412" s="40">
        <v>163.32287970463281</v>
      </c>
      <c r="D412" s="67">
        <f t="shared" si="9"/>
        <v>346</v>
      </c>
      <c r="E412" s="40">
        <v>42.943872904722781</v>
      </c>
    </row>
    <row r="413" spans="2:5" x14ac:dyDescent="0.3">
      <c r="B413" s="67">
        <v>347</v>
      </c>
      <c r="C413" s="40">
        <v>100.60782834465343</v>
      </c>
      <c r="D413" s="67">
        <f t="shared" si="9"/>
        <v>347</v>
      </c>
      <c r="E413" s="40">
        <v>390.49273538943419</v>
      </c>
    </row>
    <row r="414" spans="2:5" x14ac:dyDescent="0.3">
      <c r="B414" s="67">
        <v>348</v>
      </c>
      <c r="C414" s="40">
        <v>27.575829753476398</v>
      </c>
      <c r="D414" s="67">
        <f t="shared" si="9"/>
        <v>348</v>
      </c>
      <c r="E414" s="40">
        <v>33.141413776746333</v>
      </c>
    </row>
    <row r="415" spans="2:5" x14ac:dyDescent="0.3">
      <c r="B415" s="67">
        <v>349</v>
      </c>
      <c r="C415" s="40">
        <v>109.63167916097476</v>
      </c>
      <c r="D415" s="67">
        <f t="shared" si="9"/>
        <v>349</v>
      </c>
      <c r="E415" s="40">
        <v>428.50597722647632</v>
      </c>
    </row>
    <row r="416" spans="2:5" x14ac:dyDescent="0.3">
      <c r="B416" s="67">
        <v>350</v>
      </c>
      <c r="C416" s="40">
        <v>175.50737553076479</v>
      </c>
      <c r="D416" s="67">
        <f t="shared" si="9"/>
        <v>350</v>
      </c>
      <c r="E416" s="40">
        <v>293.01884812535292</v>
      </c>
    </row>
    <row r="417" spans="2:5" x14ac:dyDescent="0.3">
      <c r="B417" s="67">
        <v>351</v>
      </c>
      <c r="C417" s="40">
        <v>242.85475792405717</v>
      </c>
      <c r="D417" s="67">
        <f t="shared" si="9"/>
        <v>351</v>
      </c>
      <c r="E417" s="40">
        <v>89.997194912733505</v>
      </c>
    </row>
    <row r="418" spans="2:5" x14ac:dyDescent="0.3">
      <c r="B418" s="67">
        <v>352</v>
      </c>
      <c r="C418" s="40">
        <v>94.933408141365874</v>
      </c>
      <c r="D418" s="67">
        <f t="shared" si="9"/>
        <v>352</v>
      </c>
      <c r="E418" s="40">
        <v>171.30140483099098</v>
      </c>
    </row>
    <row r="419" spans="2:5" x14ac:dyDescent="0.3">
      <c r="B419" s="67">
        <v>353</v>
      </c>
      <c r="C419" s="40">
        <v>74.532618885564247</v>
      </c>
      <c r="D419" s="67">
        <f t="shared" si="9"/>
        <v>353</v>
      </c>
      <c r="E419" s="40">
        <v>558.80560728008879</v>
      </c>
    </row>
    <row r="420" spans="2:5" x14ac:dyDescent="0.3">
      <c r="B420" s="67">
        <v>354</v>
      </c>
      <c r="C420" s="40">
        <v>143.81871576377233</v>
      </c>
      <c r="D420" s="67">
        <f t="shared" si="9"/>
        <v>354</v>
      </c>
      <c r="E420" s="40">
        <v>171.27338142620803</v>
      </c>
    </row>
    <row r="421" spans="2:5" x14ac:dyDescent="0.3">
      <c r="B421" s="67">
        <v>355</v>
      </c>
      <c r="C421" s="40">
        <v>152.66692475552784</v>
      </c>
      <c r="D421" s="67">
        <f t="shared" si="9"/>
        <v>355</v>
      </c>
      <c r="E421" s="40">
        <v>416.94560679259729</v>
      </c>
    </row>
    <row r="422" spans="2:5" x14ac:dyDescent="0.3">
      <c r="B422" s="67">
        <v>356</v>
      </c>
      <c r="C422" s="40">
        <v>178.04350662876763</v>
      </c>
      <c r="D422" s="67">
        <f t="shared" si="9"/>
        <v>356</v>
      </c>
      <c r="E422" s="40">
        <v>257.72828105945575</v>
      </c>
    </row>
    <row r="423" spans="2:5" x14ac:dyDescent="0.3">
      <c r="B423" s="67">
        <v>357</v>
      </c>
      <c r="C423" s="40">
        <v>92.74638026475823</v>
      </c>
      <c r="D423" s="67">
        <f t="shared" si="9"/>
        <v>357</v>
      </c>
      <c r="E423" s="40">
        <v>-1.9517575442490624</v>
      </c>
    </row>
    <row r="424" spans="2:5" x14ac:dyDescent="0.3">
      <c r="B424" s="67">
        <v>358</v>
      </c>
      <c r="C424" s="40">
        <v>132.02816680280878</v>
      </c>
      <c r="D424" s="67">
        <f t="shared" si="9"/>
        <v>358</v>
      </c>
      <c r="E424" s="40">
        <v>31.740740947831199</v>
      </c>
    </row>
    <row r="425" spans="2:5" x14ac:dyDescent="0.3">
      <c r="B425" s="67">
        <v>359</v>
      </c>
      <c r="C425" s="40">
        <v>70.318508718999453</v>
      </c>
      <c r="D425" s="67">
        <f t="shared" si="9"/>
        <v>359</v>
      </c>
      <c r="E425" s="40">
        <v>93.366759163288194</v>
      </c>
    </row>
    <row r="426" spans="2:5" x14ac:dyDescent="0.3">
      <c r="B426" s="67">
        <v>360</v>
      </c>
      <c r="C426" s="40">
        <v>242.21493185608608</v>
      </c>
      <c r="D426" s="67">
        <f t="shared" si="9"/>
        <v>360</v>
      </c>
      <c r="E426" s="40">
        <v>186.29074978023203</v>
      </c>
    </row>
    <row r="427" spans="2:5" x14ac:dyDescent="0.3">
      <c r="B427" s="67">
        <v>361</v>
      </c>
      <c r="C427" s="40">
        <v>134.96641319938598</v>
      </c>
      <c r="D427" s="67">
        <f t="shared" si="9"/>
        <v>361</v>
      </c>
      <c r="E427" s="40">
        <v>370.51208436499633</v>
      </c>
    </row>
    <row r="428" spans="2:5" x14ac:dyDescent="0.3">
      <c r="B428" s="67">
        <v>362</v>
      </c>
      <c r="C428" s="40">
        <v>123.56023535934756</v>
      </c>
      <c r="D428" s="67">
        <f t="shared" si="9"/>
        <v>362</v>
      </c>
      <c r="E428" s="40">
        <v>193.61870672842545</v>
      </c>
    </row>
    <row r="429" spans="2:5" x14ac:dyDescent="0.3">
      <c r="B429" s="67">
        <v>363</v>
      </c>
      <c r="C429" s="40">
        <v>173.86719488590612</v>
      </c>
      <c r="D429" s="67">
        <f t="shared" si="9"/>
        <v>363</v>
      </c>
      <c r="E429" s="40">
        <v>151.3811913288537</v>
      </c>
    </row>
    <row r="430" spans="2:5" x14ac:dyDescent="0.3">
      <c r="B430" s="67">
        <v>364</v>
      </c>
      <c r="C430" s="40">
        <v>122.64717850171141</v>
      </c>
      <c r="D430" s="67">
        <f t="shared" si="9"/>
        <v>364</v>
      </c>
      <c r="E430" s="40">
        <v>223.4261910864972</v>
      </c>
    </row>
    <row r="431" spans="2:5" x14ac:dyDescent="0.3">
      <c r="B431" s="67">
        <v>365</v>
      </c>
      <c r="C431" s="40">
        <v>140.14827705088675</v>
      </c>
      <c r="D431" s="67">
        <f t="shared" si="9"/>
        <v>365</v>
      </c>
      <c r="E431" s="40">
        <v>3.3203532563209706</v>
      </c>
    </row>
    <row r="432" spans="2:5" x14ac:dyDescent="0.3">
      <c r="B432" s="67">
        <v>366</v>
      </c>
      <c r="C432" s="40">
        <v>21.203896531662025</v>
      </c>
      <c r="D432" s="67">
        <f t="shared" si="9"/>
        <v>366</v>
      </c>
      <c r="E432" s="40">
        <v>657.54162411197001</v>
      </c>
    </row>
    <row r="433" spans="2:5" x14ac:dyDescent="0.3">
      <c r="B433" s="67">
        <v>367</v>
      </c>
      <c r="C433" s="40">
        <v>161.3433450774088</v>
      </c>
      <c r="D433" s="67">
        <f t="shared" si="9"/>
        <v>367</v>
      </c>
      <c r="E433" s="40">
        <v>248.80036388829581</v>
      </c>
    </row>
    <row r="434" spans="2:5" x14ac:dyDescent="0.3">
      <c r="B434" s="67">
        <v>368</v>
      </c>
      <c r="C434" s="40">
        <v>209.44243227762738</v>
      </c>
      <c r="D434" s="67">
        <f t="shared" si="9"/>
        <v>368</v>
      </c>
      <c r="E434" s="40">
        <v>153.68683270695345</v>
      </c>
    </row>
    <row r="435" spans="2:5" x14ac:dyDescent="0.3">
      <c r="B435" s="67">
        <v>369</v>
      </c>
      <c r="C435" s="40">
        <v>89.881091652859809</v>
      </c>
      <c r="D435" s="67">
        <f t="shared" si="9"/>
        <v>369</v>
      </c>
      <c r="E435" s="40">
        <v>233.5322643965026</v>
      </c>
    </row>
    <row r="436" spans="2:5" x14ac:dyDescent="0.3">
      <c r="B436" s="67">
        <v>370</v>
      </c>
      <c r="C436" s="40">
        <v>152.61465230949787</v>
      </c>
      <c r="D436" s="67">
        <f t="shared" si="9"/>
        <v>370</v>
      </c>
      <c r="E436" s="40">
        <v>139.47408304167968</v>
      </c>
    </row>
    <row r="437" spans="2:5" x14ac:dyDescent="0.3">
      <c r="B437" s="67">
        <v>371</v>
      </c>
      <c r="C437" s="40">
        <v>154.47269308195996</v>
      </c>
      <c r="D437" s="67">
        <f t="shared" si="9"/>
        <v>371</v>
      </c>
      <c r="E437" s="40">
        <v>144.86794143025875</v>
      </c>
    </row>
    <row r="438" spans="2:5" x14ac:dyDescent="0.3">
      <c r="B438" s="67">
        <v>372</v>
      </c>
      <c r="C438" s="40">
        <v>212.10435782924651</v>
      </c>
      <c r="D438" s="67">
        <f t="shared" si="9"/>
        <v>372</v>
      </c>
      <c r="E438" s="40">
        <v>457.57344520882464</v>
      </c>
    </row>
    <row r="439" spans="2:5" x14ac:dyDescent="0.3">
      <c r="B439" s="67">
        <v>373</v>
      </c>
      <c r="C439" s="40">
        <v>152.55568766038854</v>
      </c>
      <c r="D439" s="67">
        <f t="shared" si="9"/>
        <v>373</v>
      </c>
      <c r="E439" s="40">
        <v>-226.00791243362329</v>
      </c>
    </row>
    <row r="440" spans="2:5" x14ac:dyDescent="0.3">
      <c r="B440" s="67">
        <v>374</v>
      </c>
      <c r="C440" s="40">
        <v>98.058808956133731</v>
      </c>
      <c r="D440" s="67">
        <f t="shared" si="9"/>
        <v>374</v>
      </c>
      <c r="E440" s="40">
        <v>126.59208888282292</v>
      </c>
    </row>
    <row r="441" spans="2:5" x14ac:dyDescent="0.3">
      <c r="B441" s="67">
        <v>375</v>
      </c>
      <c r="C441" s="40">
        <v>186.3141840823252</v>
      </c>
      <c r="D441" s="67">
        <f t="shared" si="9"/>
        <v>375</v>
      </c>
      <c r="E441" s="40">
        <v>99.541537915172398</v>
      </c>
    </row>
    <row r="442" spans="2:5" x14ac:dyDescent="0.3">
      <c r="B442" s="67">
        <v>376</v>
      </c>
      <c r="C442" s="40">
        <v>173.57121826506332</v>
      </c>
      <c r="D442" s="67">
        <f t="shared" si="9"/>
        <v>376</v>
      </c>
      <c r="E442" s="40">
        <v>-62.751033358277425</v>
      </c>
    </row>
    <row r="443" spans="2:5" x14ac:dyDescent="0.3">
      <c r="B443" s="67">
        <v>377</v>
      </c>
      <c r="C443" s="40">
        <v>126.23422741213463</v>
      </c>
      <c r="D443" s="67">
        <f t="shared" si="9"/>
        <v>377</v>
      </c>
      <c r="E443" s="40">
        <v>298.04749260710719</v>
      </c>
    </row>
    <row r="444" spans="2:5" x14ac:dyDescent="0.3">
      <c r="B444" s="67">
        <v>378</v>
      </c>
      <c r="C444" s="40">
        <v>150.83473855101036</v>
      </c>
      <c r="D444" s="67">
        <f t="shared" si="9"/>
        <v>378</v>
      </c>
      <c r="E444" s="40">
        <v>112.60676498370378</v>
      </c>
    </row>
    <row r="445" spans="2:5" x14ac:dyDescent="0.3">
      <c r="B445" s="67">
        <v>379</v>
      </c>
      <c r="C445" s="40">
        <v>67.190452768657153</v>
      </c>
      <c r="D445" s="67">
        <f t="shared" si="9"/>
        <v>379</v>
      </c>
      <c r="E445" s="40">
        <v>10.595092888231022</v>
      </c>
    </row>
    <row r="446" spans="2:5" x14ac:dyDescent="0.3">
      <c r="B446" s="67">
        <v>380</v>
      </c>
      <c r="C446" s="40">
        <v>300.9896541233586</v>
      </c>
      <c r="D446" s="67">
        <f t="shared" si="9"/>
        <v>380</v>
      </c>
      <c r="E446" s="40">
        <v>-381.34412134138682</v>
      </c>
    </row>
    <row r="447" spans="2:5" x14ac:dyDescent="0.3">
      <c r="B447" s="67">
        <v>381</v>
      </c>
      <c r="C447" s="40">
        <v>142.83119514795396</v>
      </c>
      <c r="D447" s="67">
        <f t="shared" si="9"/>
        <v>381</v>
      </c>
      <c r="E447" s="40">
        <v>-292.61876759180552</v>
      </c>
    </row>
    <row r="448" spans="2:5" x14ac:dyDescent="0.3">
      <c r="B448" s="67">
        <v>382</v>
      </c>
      <c r="C448" s="40">
        <v>195.42873186454807</v>
      </c>
      <c r="D448" s="67">
        <f t="shared" si="9"/>
        <v>382</v>
      </c>
      <c r="E448" s="40">
        <v>90.305695727006537</v>
      </c>
    </row>
    <row r="449" spans="2:5" x14ac:dyDescent="0.3">
      <c r="B449" s="67">
        <v>383</v>
      </c>
      <c r="C449" s="40">
        <v>109.23090334254098</v>
      </c>
      <c r="D449" s="67">
        <f t="shared" si="9"/>
        <v>383</v>
      </c>
      <c r="E449" s="40">
        <v>48.909142915711911</v>
      </c>
    </row>
    <row r="450" spans="2:5" x14ac:dyDescent="0.3">
      <c r="B450" s="67">
        <v>384</v>
      </c>
      <c r="C450" s="40">
        <v>155.86766425811149</v>
      </c>
      <c r="D450" s="67">
        <f t="shared" si="9"/>
        <v>384</v>
      </c>
      <c r="E450" s="40">
        <v>158.10651188437589</v>
      </c>
    </row>
    <row r="451" spans="2:5" x14ac:dyDescent="0.3">
      <c r="B451" s="67">
        <v>385</v>
      </c>
      <c r="C451" s="40">
        <v>60.248050006171439</v>
      </c>
      <c r="D451" s="67">
        <f t="shared" si="9"/>
        <v>385</v>
      </c>
      <c r="E451" s="40">
        <v>210.79205137357121</v>
      </c>
    </row>
    <row r="452" spans="2:5" x14ac:dyDescent="0.3">
      <c r="B452" s="67">
        <v>386</v>
      </c>
      <c r="C452" s="40">
        <v>128.90727508852018</v>
      </c>
      <c r="D452" s="67">
        <f t="shared" si="9"/>
        <v>386</v>
      </c>
      <c r="E452" s="40">
        <v>72.678452593632144</v>
      </c>
    </row>
    <row r="453" spans="2:5" x14ac:dyDescent="0.3">
      <c r="B453" s="67">
        <v>387</v>
      </c>
      <c r="C453" s="40">
        <v>143.38649320220492</v>
      </c>
      <c r="D453" s="67">
        <f t="shared" si="9"/>
        <v>387</v>
      </c>
      <c r="E453" s="40">
        <v>379.95227323550068</v>
      </c>
    </row>
    <row r="454" spans="2:5" x14ac:dyDescent="0.3">
      <c r="B454" s="67">
        <v>388</v>
      </c>
      <c r="C454" s="40">
        <v>110.90643363368635</v>
      </c>
      <c r="D454" s="67">
        <f t="shared" si="9"/>
        <v>388</v>
      </c>
      <c r="E454" s="40">
        <v>172.74963537305644</v>
      </c>
    </row>
    <row r="455" spans="2:5" x14ac:dyDescent="0.3">
      <c r="B455" s="67">
        <v>389</v>
      </c>
      <c r="C455" s="40">
        <v>112.88313403090001</v>
      </c>
      <c r="D455" s="67">
        <f t="shared" si="9"/>
        <v>389</v>
      </c>
      <c r="E455" s="40">
        <v>414.96903959618624</v>
      </c>
    </row>
    <row r="456" spans="2:5" x14ac:dyDescent="0.3">
      <c r="B456" s="67">
        <v>390</v>
      </c>
      <c r="C456" s="40">
        <v>188.51106675366159</v>
      </c>
      <c r="D456" s="67">
        <f t="shared" si="9"/>
        <v>390</v>
      </c>
      <c r="E456" s="40">
        <v>-92.899157442806882</v>
      </c>
    </row>
    <row r="457" spans="2:5" x14ac:dyDescent="0.3">
      <c r="B457" s="67">
        <v>391</v>
      </c>
      <c r="C457" s="40">
        <v>147.17849440107875</v>
      </c>
      <c r="D457" s="67">
        <f t="shared" si="9"/>
        <v>391</v>
      </c>
      <c r="E457" s="40">
        <v>375.55931763728324</v>
      </c>
    </row>
    <row r="458" spans="2:5" x14ac:dyDescent="0.3">
      <c r="B458" s="67">
        <v>392</v>
      </c>
      <c r="C458" s="40">
        <v>98.462736278073749</v>
      </c>
      <c r="D458" s="67">
        <f t="shared" si="9"/>
        <v>392</v>
      </c>
      <c r="E458" s="40">
        <v>229.97254049900107</v>
      </c>
    </row>
    <row r="459" spans="2:5" x14ac:dyDescent="0.3">
      <c r="B459" s="67">
        <v>393</v>
      </c>
      <c r="C459" s="40">
        <v>117.25952284582675</v>
      </c>
      <c r="D459" s="67">
        <f t="shared" si="9"/>
        <v>393</v>
      </c>
      <c r="E459" s="40">
        <v>38.006073091624813</v>
      </c>
    </row>
    <row r="460" spans="2:5" x14ac:dyDescent="0.3">
      <c r="B460" s="67">
        <v>394</v>
      </c>
      <c r="C460" s="40">
        <v>140.557164357408</v>
      </c>
      <c r="D460" s="67">
        <f t="shared" si="9"/>
        <v>394</v>
      </c>
      <c r="E460" s="40">
        <v>70.320835759631137</v>
      </c>
    </row>
    <row r="461" spans="2:5" x14ac:dyDescent="0.3">
      <c r="B461" s="67">
        <v>395</v>
      </c>
      <c r="C461" s="40">
        <v>213.76066677937379</v>
      </c>
      <c r="D461" s="67">
        <f t="shared" si="9"/>
        <v>395</v>
      </c>
      <c r="E461" s="40">
        <v>17.830781111321869</v>
      </c>
    </row>
    <row r="462" spans="2:5" x14ac:dyDescent="0.3">
      <c r="B462" s="67">
        <v>396</v>
      </c>
      <c r="C462" s="40">
        <v>147.95050653860125</v>
      </c>
      <c r="D462" s="67">
        <f t="shared" si="9"/>
        <v>396</v>
      </c>
      <c r="E462" s="40">
        <v>-2.9346063345782056</v>
      </c>
    </row>
    <row r="463" spans="2:5" x14ac:dyDescent="0.3">
      <c r="B463" s="67">
        <v>397</v>
      </c>
      <c r="C463" s="40">
        <v>75.294899420194113</v>
      </c>
      <c r="D463" s="67">
        <f t="shared" si="9"/>
        <v>397</v>
      </c>
      <c r="E463" s="40">
        <v>119.96117565698904</v>
      </c>
    </row>
    <row r="464" spans="2:5" x14ac:dyDescent="0.3">
      <c r="B464" s="67">
        <v>398</v>
      </c>
      <c r="C464" s="40">
        <v>114.32238400481619</v>
      </c>
      <c r="D464" s="67">
        <f t="shared" si="9"/>
        <v>398</v>
      </c>
      <c r="E464" s="40">
        <v>514.20163577811263</v>
      </c>
    </row>
    <row r="465" spans="2:5" x14ac:dyDescent="0.3">
      <c r="B465" s="67">
        <v>399</v>
      </c>
      <c r="C465" s="40">
        <v>30.587695145673905</v>
      </c>
      <c r="D465" s="67">
        <f t="shared" si="9"/>
        <v>399</v>
      </c>
      <c r="E465" s="40">
        <v>498.94525316079847</v>
      </c>
    </row>
    <row r="466" spans="2:5" x14ac:dyDescent="0.3">
      <c r="B466" s="67">
        <v>400</v>
      </c>
      <c r="C466" s="40">
        <v>84.197642626182272</v>
      </c>
      <c r="D466" s="67">
        <f t="shared" si="9"/>
        <v>400</v>
      </c>
      <c r="E466" s="40">
        <v>316.78114951246545</v>
      </c>
    </row>
    <row r="467" spans="2:5" x14ac:dyDescent="0.3">
      <c r="B467" s="67">
        <v>401</v>
      </c>
      <c r="C467" s="40">
        <v>170.17397990816661</v>
      </c>
      <c r="D467" s="67">
        <f t="shared" si="9"/>
        <v>401</v>
      </c>
      <c r="E467" s="40">
        <v>-114.67185058271942</v>
      </c>
    </row>
    <row r="468" spans="2:5" x14ac:dyDescent="0.3">
      <c r="B468" s="67">
        <v>402</v>
      </c>
      <c r="C468" s="40">
        <v>137.0465348487613</v>
      </c>
      <c r="D468" s="67">
        <f t="shared" si="9"/>
        <v>402</v>
      </c>
      <c r="E468" s="40">
        <v>178.79455733362016</v>
      </c>
    </row>
    <row r="469" spans="2:5" x14ac:dyDescent="0.3">
      <c r="B469" s="67">
        <v>403</v>
      </c>
      <c r="C469" s="40">
        <v>140.96153600645994</v>
      </c>
      <c r="D469" s="67">
        <f t="shared" si="9"/>
        <v>403</v>
      </c>
      <c r="E469" s="40">
        <v>155.03223585392823</v>
      </c>
    </row>
    <row r="470" spans="2:5" x14ac:dyDescent="0.3">
      <c r="B470" s="67">
        <v>404</v>
      </c>
      <c r="C470" s="40">
        <v>78.919169090947619</v>
      </c>
      <c r="D470" s="67">
        <f t="shared" si="9"/>
        <v>404</v>
      </c>
      <c r="E470" s="40">
        <v>148.59858794185411</v>
      </c>
    </row>
    <row r="471" spans="2:5" x14ac:dyDescent="0.3">
      <c r="B471" s="67">
        <v>405</v>
      </c>
      <c r="C471" s="40">
        <v>179.84690976967536</v>
      </c>
      <c r="D471" s="67">
        <f t="shared" ref="D471:D534" si="10">B471</f>
        <v>405</v>
      </c>
      <c r="E471" s="40">
        <v>299.98857147097863</v>
      </c>
    </row>
    <row r="472" spans="2:5" x14ac:dyDescent="0.3">
      <c r="B472" s="67">
        <v>406</v>
      </c>
      <c r="C472" s="40">
        <v>98.896263718719965</v>
      </c>
      <c r="D472" s="67">
        <f t="shared" si="10"/>
        <v>406</v>
      </c>
      <c r="E472" s="40">
        <v>-241.28049214045527</v>
      </c>
    </row>
    <row r="473" spans="2:5" x14ac:dyDescent="0.3">
      <c r="B473" s="67">
        <v>407</v>
      </c>
      <c r="C473" s="40">
        <v>126.8900019434322</v>
      </c>
      <c r="D473" s="67">
        <f t="shared" si="10"/>
        <v>407</v>
      </c>
      <c r="E473" s="40">
        <v>225.59566783165118</v>
      </c>
    </row>
    <row r="474" spans="2:5" x14ac:dyDescent="0.3">
      <c r="B474" s="67">
        <v>408</v>
      </c>
      <c r="C474" s="40">
        <v>161.25757854999813</v>
      </c>
      <c r="D474" s="67">
        <f t="shared" si="10"/>
        <v>408</v>
      </c>
      <c r="E474" s="40">
        <v>102.84092261952577</v>
      </c>
    </row>
    <row r="475" spans="2:5" x14ac:dyDescent="0.3">
      <c r="B475" s="67">
        <v>409</v>
      </c>
      <c r="C475" s="40">
        <v>129.36538847697088</v>
      </c>
      <c r="D475" s="67">
        <f t="shared" si="10"/>
        <v>409</v>
      </c>
      <c r="E475" s="40">
        <v>303.0605864843659</v>
      </c>
    </row>
    <row r="476" spans="2:5" x14ac:dyDescent="0.3">
      <c r="B476" s="67">
        <v>410</v>
      </c>
      <c r="C476" s="40">
        <v>39.396348398738994</v>
      </c>
      <c r="D476" s="67">
        <f t="shared" si="10"/>
        <v>410</v>
      </c>
      <c r="E476" s="40">
        <v>-185.76327971413582</v>
      </c>
    </row>
    <row r="477" spans="2:5" x14ac:dyDescent="0.3">
      <c r="B477" s="67">
        <v>411</v>
      </c>
      <c r="C477" s="40">
        <v>145.11604739541414</v>
      </c>
      <c r="D477" s="67">
        <f t="shared" si="10"/>
        <v>411</v>
      </c>
      <c r="E477" s="40">
        <v>36.771138333737582</v>
      </c>
    </row>
    <row r="478" spans="2:5" x14ac:dyDescent="0.3">
      <c r="B478" s="67">
        <v>412</v>
      </c>
      <c r="C478" s="40">
        <v>155.06454311019763</v>
      </c>
      <c r="D478" s="67">
        <f t="shared" si="10"/>
        <v>412</v>
      </c>
      <c r="E478" s="40">
        <v>-97.983902672547799</v>
      </c>
    </row>
    <row r="479" spans="2:5" x14ac:dyDescent="0.3">
      <c r="B479" s="67">
        <v>413</v>
      </c>
      <c r="C479" s="40">
        <v>212.42861674762352</v>
      </c>
      <c r="D479" s="67">
        <f t="shared" si="10"/>
        <v>413</v>
      </c>
      <c r="E479" s="40">
        <v>192.33769945430569</v>
      </c>
    </row>
    <row r="480" spans="2:5" x14ac:dyDescent="0.3">
      <c r="B480" s="67">
        <v>414</v>
      </c>
      <c r="C480" s="40">
        <v>104.62281462640681</v>
      </c>
      <c r="D480" s="67">
        <f t="shared" si="10"/>
        <v>414</v>
      </c>
      <c r="E480" s="40">
        <v>242.7728909083288</v>
      </c>
    </row>
    <row r="481" spans="2:5" x14ac:dyDescent="0.3">
      <c r="B481" s="67">
        <v>415</v>
      </c>
      <c r="C481" s="40">
        <v>144.31991287465132</v>
      </c>
      <c r="D481" s="67">
        <f t="shared" si="10"/>
        <v>415</v>
      </c>
      <c r="E481" s="40">
        <v>-119.55907360978532</v>
      </c>
    </row>
    <row r="482" spans="2:5" x14ac:dyDescent="0.3">
      <c r="B482" s="67">
        <v>416</v>
      </c>
      <c r="C482" s="40">
        <v>144.07173041705562</v>
      </c>
      <c r="D482" s="67">
        <f t="shared" si="10"/>
        <v>416</v>
      </c>
      <c r="E482" s="40">
        <v>171.96768027088055</v>
      </c>
    </row>
    <row r="483" spans="2:5" x14ac:dyDescent="0.3">
      <c r="B483" s="67">
        <v>417</v>
      </c>
      <c r="C483" s="40">
        <v>180.65702293698428</v>
      </c>
      <c r="D483" s="67">
        <f t="shared" si="10"/>
        <v>417</v>
      </c>
      <c r="E483" s="40">
        <v>206.1797228175497</v>
      </c>
    </row>
    <row r="484" spans="2:5" x14ac:dyDescent="0.3">
      <c r="B484" s="67">
        <v>418</v>
      </c>
      <c r="C484" s="40">
        <v>154.61111630559313</v>
      </c>
      <c r="D484" s="67">
        <f t="shared" si="10"/>
        <v>418</v>
      </c>
      <c r="E484" s="40">
        <v>424.78290733814475</v>
      </c>
    </row>
    <row r="485" spans="2:5" x14ac:dyDescent="0.3">
      <c r="B485" s="67">
        <v>419</v>
      </c>
      <c r="C485" s="40">
        <v>138.6731714499243</v>
      </c>
      <c r="D485" s="67">
        <f t="shared" si="10"/>
        <v>419</v>
      </c>
      <c r="E485" s="40">
        <v>231.2805534821681</v>
      </c>
    </row>
    <row r="486" spans="2:5" x14ac:dyDescent="0.3">
      <c r="B486" s="67">
        <v>420</v>
      </c>
      <c r="C486" s="40">
        <v>132.57761743935353</v>
      </c>
      <c r="D486" s="67">
        <f t="shared" si="10"/>
        <v>420</v>
      </c>
      <c r="E486" s="40">
        <v>161.08056680461885</v>
      </c>
    </row>
    <row r="487" spans="2:5" x14ac:dyDescent="0.3">
      <c r="B487" s="67">
        <v>421</v>
      </c>
      <c r="C487" s="40">
        <v>35.397713912330914</v>
      </c>
      <c r="D487" s="67">
        <f t="shared" si="10"/>
        <v>421</v>
      </c>
      <c r="E487" s="40">
        <v>272.3792510887547</v>
      </c>
    </row>
    <row r="488" spans="2:5" x14ac:dyDescent="0.3">
      <c r="B488" s="67">
        <v>422</v>
      </c>
      <c r="C488" s="40">
        <v>192.85721253294207</v>
      </c>
      <c r="D488" s="67">
        <f t="shared" si="10"/>
        <v>422</v>
      </c>
      <c r="E488" s="40">
        <v>-71.639037678214365</v>
      </c>
    </row>
    <row r="489" spans="2:5" x14ac:dyDescent="0.3">
      <c r="B489" s="67">
        <v>423</v>
      </c>
      <c r="C489" s="40">
        <v>128.15370094092202</v>
      </c>
      <c r="D489" s="67">
        <f t="shared" si="10"/>
        <v>423</v>
      </c>
      <c r="E489" s="40">
        <v>47.619224597871607</v>
      </c>
    </row>
    <row r="490" spans="2:5" x14ac:dyDescent="0.3">
      <c r="B490" s="67">
        <v>424</v>
      </c>
      <c r="C490" s="40">
        <v>65.825486456150259</v>
      </c>
      <c r="D490" s="67">
        <f t="shared" si="10"/>
        <v>424</v>
      </c>
      <c r="E490" s="40">
        <v>342.40687865736993</v>
      </c>
    </row>
    <row r="491" spans="2:5" x14ac:dyDescent="0.3">
      <c r="B491" s="67">
        <v>425</v>
      </c>
      <c r="C491" s="40">
        <v>157.59104876966956</v>
      </c>
      <c r="D491" s="67">
        <f t="shared" si="10"/>
        <v>425</v>
      </c>
      <c r="E491" s="40">
        <v>94.315638061539076</v>
      </c>
    </row>
    <row r="492" spans="2:5" x14ac:dyDescent="0.3">
      <c r="B492" s="67">
        <v>426</v>
      </c>
      <c r="C492" s="40">
        <v>88.74408156794874</v>
      </c>
      <c r="D492" s="67">
        <f t="shared" si="10"/>
        <v>426</v>
      </c>
      <c r="E492" s="40">
        <v>235.78172209661955</v>
      </c>
    </row>
    <row r="493" spans="2:5" x14ac:dyDescent="0.3">
      <c r="B493" s="67">
        <v>427</v>
      </c>
      <c r="C493" s="40">
        <v>98.644539027199329</v>
      </c>
      <c r="D493" s="67">
        <f t="shared" si="10"/>
        <v>427</v>
      </c>
      <c r="E493" s="40">
        <v>-58.273440414584869</v>
      </c>
    </row>
    <row r="494" spans="2:5" x14ac:dyDescent="0.3">
      <c r="B494" s="67">
        <v>428</v>
      </c>
      <c r="C494" s="40">
        <v>121.07727046164815</v>
      </c>
      <c r="D494" s="67">
        <f t="shared" si="10"/>
        <v>428</v>
      </c>
      <c r="E494" s="40">
        <v>-64.822700984432146</v>
      </c>
    </row>
    <row r="495" spans="2:5" x14ac:dyDescent="0.3">
      <c r="B495" s="67">
        <v>429</v>
      </c>
      <c r="C495" s="40">
        <v>303.61090454245044</v>
      </c>
      <c r="D495" s="67">
        <f t="shared" si="10"/>
        <v>429</v>
      </c>
      <c r="E495" s="40">
        <v>242.54646541876815</v>
      </c>
    </row>
    <row r="496" spans="2:5" x14ac:dyDescent="0.3">
      <c r="B496" s="67">
        <v>430</v>
      </c>
      <c r="C496" s="40">
        <v>180.25943945216204</v>
      </c>
      <c r="D496" s="67">
        <f t="shared" si="10"/>
        <v>430</v>
      </c>
      <c r="E496" s="40">
        <v>383.34182501648957</v>
      </c>
    </row>
    <row r="497" spans="2:5" x14ac:dyDescent="0.3">
      <c r="B497" s="67">
        <v>431</v>
      </c>
      <c r="C497" s="40">
        <v>162.27972580283458</v>
      </c>
      <c r="D497" s="67">
        <f t="shared" si="10"/>
        <v>431</v>
      </c>
      <c r="E497" s="40">
        <v>98.312067249172685</v>
      </c>
    </row>
    <row r="498" spans="2:5" x14ac:dyDescent="0.3">
      <c r="B498" s="67">
        <v>432</v>
      </c>
      <c r="C498" s="40">
        <v>212.51867883519805</v>
      </c>
      <c r="D498" s="67">
        <f t="shared" si="10"/>
        <v>432</v>
      </c>
      <c r="E498" s="40">
        <v>-102.01810528505428</v>
      </c>
    </row>
    <row r="499" spans="2:5" x14ac:dyDescent="0.3">
      <c r="B499" s="67">
        <v>433</v>
      </c>
      <c r="C499" s="40">
        <v>136.86850245766297</v>
      </c>
      <c r="D499" s="67">
        <f t="shared" si="10"/>
        <v>433</v>
      </c>
      <c r="E499" s="40">
        <v>255.52354449585721</v>
      </c>
    </row>
    <row r="500" spans="2:5" x14ac:dyDescent="0.3">
      <c r="B500" s="67">
        <v>434</v>
      </c>
      <c r="C500" s="40">
        <v>176.05029397431042</v>
      </c>
      <c r="D500" s="67">
        <f t="shared" si="10"/>
        <v>434</v>
      </c>
      <c r="E500" s="40">
        <v>384.17625032314038</v>
      </c>
    </row>
    <row r="501" spans="2:5" x14ac:dyDescent="0.3">
      <c r="B501" s="67">
        <v>435</v>
      </c>
      <c r="C501" s="40">
        <v>183.3896265111762</v>
      </c>
      <c r="D501" s="67">
        <f t="shared" si="10"/>
        <v>435</v>
      </c>
      <c r="E501" s="40">
        <v>-185.35086352248553</v>
      </c>
    </row>
    <row r="502" spans="2:5" x14ac:dyDescent="0.3">
      <c r="B502" s="67">
        <v>436</v>
      </c>
      <c r="C502" s="40">
        <v>119.53655186695607</v>
      </c>
      <c r="D502" s="67">
        <f t="shared" si="10"/>
        <v>436</v>
      </c>
      <c r="E502" s="40">
        <v>21.478206459921523</v>
      </c>
    </row>
    <row r="503" spans="2:5" x14ac:dyDescent="0.3">
      <c r="B503" s="67">
        <v>437</v>
      </c>
      <c r="C503" s="40">
        <v>209.71031924802833</v>
      </c>
      <c r="D503" s="67">
        <f t="shared" si="10"/>
        <v>437</v>
      </c>
      <c r="E503" s="40">
        <v>-53.267213139039342</v>
      </c>
    </row>
    <row r="504" spans="2:5" x14ac:dyDescent="0.3">
      <c r="B504" s="67">
        <v>438</v>
      </c>
      <c r="C504" s="40">
        <v>147.24567110230086</v>
      </c>
      <c r="D504" s="67">
        <f t="shared" si="10"/>
        <v>438</v>
      </c>
      <c r="E504" s="40">
        <v>112.75617909693929</v>
      </c>
    </row>
    <row r="505" spans="2:5" x14ac:dyDescent="0.3">
      <c r="B505" s="67">
        <v>439</v>
      </c>
      <c r="C505" s="40">
        <v>124.90394194500338</v>
      </c>
      <c r="D505" s="67">
        <f t="shared" si="10"/>
        <v>439</v>
      </c>
      <c r="E505" s="40">
        <v>57.667222409510885</v>
      </c>
    </row>
    <row r="506" spans="2:5" x14ac:dyDescent="0.3">
      <c r="B506" s="67">
        <v>440</v>
      </c>
      <c r="C506" s="40">
        <v>122.98037546523042</v>
      </c>
      <c r="D506" s="67">
        <f t="shared" si="10"/>
        <v>440</v>
      </c>
      <c r="E506" s="40">
        <v>24.719247689037303</v>
      </c>
    </row>
    <row r="507" spans="2:5" x14ac:dyDescent="0.3">
      <c r="B507" s="67">
        <v>441</v>
      </c>
      <c r="C507" s="40">
        <v>151.51311762927355</v>
      </c>
      <c r="D507" s="67">
        <f t="shared" si="10"/>
        <v>441</v>
      </c>
      <c r="E507" s="40">
        <v>178.99003928979894</v>
      </c>
    </row>
    <row r="508" spans="2:5" x14ac:dyDescent="0.3">
      <c r="B508" s="67">
        <v>442</v>
      </c>
      <c r="C508" s="40">
        <v>38.473996595215411</v>
      </c>
      <c r="D508" s="67">
        <f t="shared" si="10"/>
        <v>442</v>
      </c>
      <c r="E508" s="40">
        <v>148.90608579136006</v>
      </c>
    </row>
    <row r="509" spans="2:5" x14ac:dyDescent="0.3">
      <c r="B509" s="67">
        <v>443</v>
      </c>
      <c r="C509" s="40">
        <v>1.2684064307430845</v>
      </c>
      <c r="D509" s="67">
        <f t="shared" si="10"/>
        <v>443</v>
      </c>
      <c r="E509" s="40">
        <v>269.88714779565987</v>
      </c>
    </row>
    <row r="510" spans="2:5" x14ac:dyDescent="0.3">
      <c r="B510" s="67">
        <v>444</v>
      </c>
      <c r="C510" s="40">
        <v>144.87108766039739</v>
      </c>
      <c r="D510" s="67">
        <f t="shared" si="10"/>
        <v>444</v>
      </c>
      <c r="E510" s="40">
        <v>210.80570554664359</v>
      </c>
    </row>
    <row r="511" spans="2:5" x14ac:dyDescent="0.3">
      <c r="B511" s="67">
        <v>445</v>
      </c>
      <c r="C511" s="40">
        <v>-28.895136880568401</v>
      </c>
      <c r="D511" s="67">
        <f t="shared" si="10"/>
        <v>445</v>
      </c>
      <c r="E511" s="40">
        <v>37.148288718770331</v>
      </c>
    </row>
    <row r="512" spans="2:5" x14ac:dyDescent="0.3">
      <c r="B512" s="67">
        <v>446</v>
      </c>
      <c r="C512" s="40">
        <v>164.70979556411368</v>
      </c>
      <c r="D512" s="67">
        <f t="shared" si="10"/>
        <v>446</v>
      </c>
      <c r="E512" s="40">
        <v>621.80593744936982</v>
      </c>
    </row>
    <row r="513" spans="2:5" x14ac:dyDescent="0.3">
      <c r="B513" s="67">
        <v>447</v>
      </c>
      <c r="C513" s="40">
        <v>115.21707462000344</v>
      </c>
      <c r="D513" s="67">
        <f t="shared" si="10"/>
        <v>447</v>
      </c>
      <c r="E513" s="40">
        <v>3.3237929166386024</v>
      </c>
    </row>
    <row r="514" spans="2:5" x14ac:dyDescent="0.3">
      <c r="B514" s="67">
        <v>448</v>
      </c>
      <c r="C514" s="40">
        <v>158.88952858490285</v>
      </c>
      <c r="D514" s="67">
        <f t="shared" si="10"/>
        <v>448</v>
      </c>
      <c r="E514" s="40">
        <v>-119.76013418937373</v>
      </c>
    </row>
    <row r="515" spans="2:5" x14ac:dyDescent="0.3">
      <c r="B515" s="67">
        <v>449</v>
      </c>
      <c r="C515" s="40">
        <v>148.66279359504469</v>
      </c>
      <c r="D515" s="67">
        <f t="shared" si="10"/>
        <v>449</v>
      </c>
      <c r="E515" s="40">
        <v>43.597616121683416</v>
      </c>
    </row>
    <row r="516" spans="2:5" x14ac:dyDescent="0.3">
      <c r="B516" s="67">
        <v>450</v>
      </c>
      <c r="C516" s="40">
        <v>108.2983191476459</v>
      </c>
      <c r="D516" s="67">
        <f t="shared" si="10"/>
        <v>450</v>
      </c>
      <c r="E516" s="40">
        <v>106.87455872093787</v>
      </c>
    </row>
    <row r="517" spans="2:5" x14ac:dyDescent="0.3">
      <c r="B517" s="67">
        <v>451</v>
      </c>
      <c r="C517" s="40">
        <v>194.03038969558602</v>
      </c>
      <c r="D517" s="67">
        <f t="shared" si="10"/>
        <v>451</v>
      </c>
      <c r="E517" s="40">
        <v>-99.745892972420208</v>
      </c>
    </row>
    <row r="518" spans="2:5" x14ac:dyDescent="0.3">
      <c r="B518" s="67">
        <v>452</v>
      </c>
      <c r="C518" s="40">
        <v>189.91628877256244</v>
      </c>
      <c r="D518" s="67">
        <f t="shared" si="10"/>
        <v>452</v>
      </c>
      <c r="E518" s="40">
        <v>571.38494764460097</v>
      </c>
    </row>
    <row r="519" spans="2:5" x14ac:dyDescent="0.3">
      <c r="B519" s="67">
        <v>453</v>
      </c>
      <c r="C519" s="40">
        <v>83.049633141587449</v>
      </c>
      <c r="D519" s="67">
        <f t="shared" si="10"/>
        <v>453</v>
      </c>
      <c r="E519" s="40">
        <v>202.93213406537012</v>
      </c>
    </row>
    <row r="520" spans="2:5" x14ac:dyDescent="0.3">
      <c r="B520" s="67">
        <v>454</v>
      </c>
      <c r="C520" s="40">
        <v>93.08569522760375</v>
      </c>
      <c r="D520" s="67">
        <f t="shared" si="10"/>
        <v>454</v>
      </c>
      <c r="E520" s="40">
        <v>320.23679806216194</v>
      </c>
    </row>
    <row r="521" spans="2:5" x14ac:dyDescent="0.3">
      <c r="B521" s="67">
        <v>455</v>
      </c>
      <c r="C521" s="40">
        <v>163.75106262821996</v>
      </c>
      <c r="D521" s="67">
        <f t="shared" si="10"/>
        <v>455</v>
      </c>
      <c r="E521" s="40">
        <v>304.19799244024961</v>
      </c>
    </row>
    <row r="522" spans="2:5" x14ac:dyDescent="0.3">
      <c r="B522" s="67">
        <v>456</v>
      </c>
      <c r="C522" s="40">
        <v>80.190175353664188</v>
      </c>
      <c r="D522" s="67">
        <f t="shared" si="10"/>
        <v>456</v>
      </c>
      <c r="E522" s="40">
        <v>227.75481742134275</v>
      </c>
    </row>
    <row r="523" spans="2:5" x14ac:dyDescent="0.3">
      <c r="B523" s="67">
        <v>457</v>
      </c>
      <c r="C523" s="40">
        <v>152.08323122231741</v>
      </c>
      <c r="D523" s="67">
        <f t="shared" si="10"/>
        <v>457</v>
      </c>
      <c r="E523" s="40">
        <v>85.703969620056768</v>
      </c>
    </row>
    <row r="524" spans="2:5" x14ac:dyDescent="0.3">
      <c r="B524" s="67">
        <v>458</v>
      </c>
      <c r="C524" s="40">
        <v>82.086899973829517</v>
      </c>
      <c r="D524" s="67">
        <f t="shared" si="10"/>
        <v>458</v>
      </c>
      <c r="E524" s="40">
        <v>495.44987149584529</v>
      </c>
    </row>
    <row r="525" spans="2:5" x14ac:dyDescent="0.3">
      <c r="B525" s="67">
        <v>459</v>
      </c>
      <c r="C525" s="40">
        <v>157.44456270899983</v>
      </c>
      <c r="D525" s="67">
        <f t="shared" si="10"/>
        <v>459</v>
      </c>
      <c r="E525" s="40">
        <v>176.08273753687308</v>
      </c>
    </row>
    <row r="526" spans="2:5" x14ac:dyDescent="0.3">
      <c r="B526" s="67">
        <v>460</v>
      </c>
      <c r="C526" s="40">
        <v>-36.640221437176422</v>
      </c>
      <c r="D526" s="67">
        <f t="shared" si="10"/>
        <v>460</v>
      </c>
      <c r="E526" s="40">
        <v>481.16375458642756</v>
      </c>
    </row>
    <row r="527" spans="2:5" x14ac:dyDescent="0.3">
      <c r="B527" s="67">
        <v>461</v>
      </c>
      <c r="C527" s="40">
        <v>10.767319511053671</v>
      </c>
      <c r="D527" s="67">
        <f t="shared" si="10"/>
        <v>461</v>
      </c>
      <c r="E527" s="40">
        <v>689.66961100382821</v>
      </c>
    </row>
    <row r="528" spans="2:5" x14ac:dyDescent="0.3">
      <c r="B528" s="67">
        <v>462</v>
      </c>
      <c r="C528" s="40">
        <v>47.952295798297158</v>
      </c>
      <c r="D528" s="67">
        <f t="shared" si="10"/>
        <v>462</v>
      </c>
      <c r="E528" s="40">
        <v>39.849787057034334</v>
      </c>
    </row>
    <row r="529" spans="2:5" x14ac:dyDescent="0.3">
      <c r="B529" s="67">
        <v>463</v>
      </c>
      <c r="C529" s="40">
        <v>117.49444087088233</v>
      </c>
      <c r="D529" s="67">
        <f t="shared" si="10"/>
        <v>463</v>
      </c>
      <c r="E529" s="40">
        <v>269.66168674581803</v>
      </c>
    </row>
    <row r="530" spans="2:5" x14ac:dyDescent="0.3">
      <c r="B530" s="67">
        <v>464</v>
      </c>
      <c r="C530" s="40">
        <v>34.369109688427017</v>
      </c>
      <c r="D530" s="67">
        <f t="shared" si="10"/>
        <v>464</v>
      </c>
      <c r="E530" s="40">
        <v>59.832457396567278</v>
      </c>
    </row>
    <row r="531" spans="2:5" x14ac:dyDescent="0.3">
      <c r="B531" s="67">
        <v>465</v>
      </c>
      <c r="C531" s="40">
        <v>178.88461666911934</v>
      </c>
      <c r="D531" s="67">
        <f t="shared" si="10"/>
        <v>465</v>
      </c>
      <c r="E531" s="40">
        <v>233.77647927887671</v>
      </c>
    </row>
    <row r="532" spans="2:5" x14ac:dyDescent="0.3">
      <c r="B532" s="67">
        <v>466</v>
      </c>
      <c r="C532" s="40">
        <v>135.44333260157367</v>
      </c>
      <c r="D532" s="67">
        <f t="shared" si="10"/>
        <v>466</v>
      </c>
      <c r="E532" s="40">
        <v>181.40618586231039</v>
      </c>
    </row>
    <row r="533" spans="2:5" x14ac:dyDescent="0.3">
      <c r="B533" s="67">
        <v>467</v>
      </c>
      <c r="C533" s="40">
        <v>56.215116209447757</v>
      </c>
      <c r="D533" s="67">
        <f t="shared" si="10"/>
        <v>467</v>
      </c>
      <c r="E533" s="40">
        <v>227.42223923136655</v>
      </c>
    </row>
    <row r="534" spans="2:5" x14ac:dyDescent="0.3">
      <c r="B534" s="67">
        <v>468</v>
      </c>
      <c r="C534" s="40">
        <v>104.62269731185486</v>
      </c>
      <c r="D534" s="67">
        <f t="shared" si="10"/>
        <v>468</v>
      </c>
      <c r="E534" s="40">
        <v>126.53637415214158</v>
      </c>
    </row>
    <row r="535" spans="2:5" x14ac:dyDescent="0.3">
      <c r="B535" s="67">
        <v>469</v>
      </c>
      <c r="C535" s="40">
        <v>136.77364477793321</v>
      </c>
      <c r="D535" s="67">
        <f t="shared" ref="D535:D566" si="11">B535</f>
        <v>469</v>
      </c>
      <c r="E535" s="40">
        <v>291.77131136795197</v>
      </c>
    </row>
    <row r="536" spans="2:5" x14ac:dyDescent="0.3">
      <c r="B536" s="67">
        <v>470</v>
      </c>
      <c r="C536" s="40">
        <v>151.24855723141948</v>
      </c>
      <c r="D536" s="67">
        <f t="shared" si="11"/>
        <v>470</v>
      </c>
      <c r="E536" s="40">
        <v>190.78102663857112</v>
      </c>
    </row>
    <row r="537" spans="2:5" x14ac:dyDescent="0.3">
      <c r="B537" s="67">
        <v>471</v>
      </c>
      <c r="C537" s="40">
        <v>92.758998390156549</v>
      </c>
      <c r="D537" s="67">
        <f t="shared" si="11"/>
        <v>471</v>
      </c>
      <c r="E537" s="40">
        <v>-106.48813622739547</v>
      </c>
    </row>
    <row r="538" spans="2:5" x14ac:dyDescent="0.3">
      <c r="B538" s="67">
        <v>472</v>
      </c>
      <c r="C538" s="40">
        <v>183.59518331753111</v>
      </c>
      <c r="D538" s="67">
        <f t="shared" si="11"/>
        <v>472</v>
      </c>
      <c r="E538" s="40">
        <v>617.0655838804862</v>
      </c>
    </row>
    <row r="539" spans="2:5" x14ac:dyDescent="0.3">
      <c r="B539" s="67">
        <v>473</v>
      </c>
      <c r="C539" s="40">
        <v>161.40526430888724</v>
      </c>
      <c r="D539" s="67">
        <f t="shared" si="11"/>
        <v>473</v>
      </c>
      <c r="E539" s="40">
        <v>277.89301388082856</v>
      </c>
    </row>
    <row r="540" spans="2:5" x14ac:dyDescent="0.3">
      <c r="B540" s="67">
        <v>474</v>
      </c>
      <c r="C540" s="40">
        <v>186.39597357561323</v>
      </c>
      <c r="D540" s="67">
        <f t="shared" si="11"/>
        <v>474</v>
      </c>
      <c r="E540" s="40">
        <v>256.52601641575893</v>
      </c>
    </row>
    <row r="541" spans="2:5" x14ac:dyDescent="0.3">
      <c r="B541" s="67">
        <v>475</v>
      </c>
      <c r="C541" s="40">
        <v>142.48717488900269</v>
      </c>
      <c r="D541" s="67">
        <f t="shared" si="11"/>
        <v>475</v>
      </c>
      <c r="E541" s="40">
        <v>446.15779142354756</v>
      </c>
    </row>
    <row r="542" spans="2:5" x14ac:dyDescent="0.3">
      <c r="B542" s="67">
        <v>476</v>
      </c>
      <c r="C542" s="40">
        <v>205.10301494588634</v>
      </c>
      <c r="D542" s="67">
        <f t="shared" si="11"/>
        <v>476</v>
      </c>
      <c r="E542" s="40">
        <v>446.12835860727859</v>
      </c>
    </row>
    <row r="543" spans="2:5" x14ac:dyDescent="0.3">
      <c r="B543" s="67">
        <v>477</v>
      </c>
      <c r="C543" s="40">
        <v>178.35951868352242</v>
      </c>
      <c r="D543" s="67">
        <f t="shared" si="11"/>
        <v>477</v>
      </c>
      <c r="E543" s="40">
        <v>295.08277578291478</v>
      </c>
    </row>
    <row r="544" spans="2:5" x14ac:dyDescent="0.3">
      <c r="B544" s="67">
        <v>478</v>
      </c>
      <c r="C544" s="40">
        <v>195.86337765214509</v>
      </c>
      <c r="D544" s="67">
        <f t="shared" si="11"/>
        <v>478</v>
      </c>
      <c r="E544" s="40">
        <v>461.40375508525574</v>
      </c>
    </row>
    <row r="545" spans="2:5" x14ac:dyDescent="0.3">
      <c r="B545" s="67">
        <v>479</v>
      </c>
      <c r="C545" s="40">
        <v>66.235252506805267</v>
      </c>
      <c r="D545" s="67">
        <f t="shared" si="11"/>
        <v>479</v>
      </c>
      <c r="E545" s="40">
        <v>176.51957872135037</v>
      </c>
    </row>
    <row r="546" spans="2:5" x14ac:dyDescent="0.3">
      <c r="B546" s="67">
        <v>480</v>
      </c>
      <c r="C546" s="40">
        <v>-73.441068038236381</v>
      </c>
      <c r="D546" s="67">
        <f t="shared" si="11"/>
        <v>480</v>
      </c>
      <c r="E546" s="40">
        <v>162.17368651875421</v>
      </c>
    </row>
    <row r="547" spans="2:5" x14ac:dyDescent="0.3">
      <c r="B547" s="67">
        <v>481</v>
      </c>
      <c r="C547" s="40">
        <v>135.88534356435125</v>
      </c>
      <c r="D547" s="67">
        <f t="shared" si="11"/>
        <v>481</v>
      </c>
      <c r="E547" s="40">
        <v>188.73487555794685</v>
      </c>
    </row>
    <row r="548" spans="2:5" x14ac:dyDescent="0.3">
      <c r="B548" s="67">
        <v>482</v>
      </c>
      <c r="C548" s="40">
        <v>175.43109126236851</v>
      </c>
      <c r="D548" s="67">
        <f t="shared" si="11"/>
        <v>482</v>
      </c>
      <c r="E548" s="40">
        <v>37.00329163220249</v>
      </c>
    </row>
    <row r="549" spans="2:5" x14ac:dyDescent="0.3">
      <c r="B549" s="67">
        <v>483</v>
      </c>
      <c r="C549" s="40">
        <v>129.49646452932879</v>
      </c>
      <c r="D549" s="67">
        <f t="shared" si="11"/>
        <v>483</v>
      </c>
      <c r="E549" s="40">
        <v>0.40065334771603034</v>
      </c>
    </row>
    <row r="550" spans="2:5" x14ac:dyDescent="0.3">
      <c r="B550" s="67">
        <v>484</v>
      </c>
      <c r="C550" s="40">
        <v>154.75174572569574</v>
      </c>
      <c r="D550" s="67">
        <f t="shared" si="11"/>
        <v>484</v>
      </c>
      <c r="E550" s="40">
        <v>55.494384743619463</v>
      </c>
    </row>
    <row r="551" spans="2:5" x14ac:dyDescent="0.3">
      <c r="B551" s="67">
        <v>485</v>
      </c>
      <c r="C551" s="40">
        <v>176.74374127879406</v>
      </c>
      <c r="D551" s="67">
        <f t="shared" si="11"/>
        <v>485</v>
      </c>
      <c r="E551" s="40">
        <v>106.87410926767167</v>
      </c>
    </row>
    <row r="552" spans="2:5" x14ac:dyDescent="0.3">
      <c r="B552" s="67">
        <v>486</v>
      </c>
      <c r="C552" s="40">
        <v>-45.309815712765442</v>
      </c>
      <c r="D552" s="67">
        <f t="shared" si="11"/>
        <v>486</v>
      </c>
      <c r="E552" s="40">
        <v>141.38260532708284</v>
      </c>
    </row>
    <row r="553" spans="2:5" x14ac:dyDescent="0.3">
      <c r="B553" s="67">
        <v>487</v>
      </c>
      <c r="C553" s="40">
        <v>53.174558254710035</v>
      </c>
      <c r="D553" s="67">
        <f t="shared" si="11"/>
        <v>487</v>
      </c>
      <c r="E553" s="40">
        <v>291.87820395942651</v>
      </c>
    </row>
    <row r="554" spans="2:5" x14ac:dyDescent="0.3">
      <c r="B554" s="67">
        <v>488</v>
      </c>
      <c r="C554" s="40">
        <v>130.23784878558365</v>
      </c>
      <c r="D554" s="67">
        <f t="shared" si="11"/>
        <v>488</v>
      </c>
      <c r="E554" s="40">
        <v>245.14500820783778</v>
      </c>
    </row>
    <row r="555" spans="2:5" x14ac:dyDescent="0.3">
      <c r="B555" s="67">
        <v>489</v>
      </c>
      <c r="C555" s="40">
        <v>162.18312586984155</v>
      </c>
      <c r="D555" s="67">
        <f t="shared" si="11"/>
        <v>489</v>
      </c>
      <c r="E555" s="40">
        <v>41.907237050914702</v>
      </c>
    </row>
    <row r="556" spans="2:5" x14ac:dyDescent="0.3">
      <c r="B556" s="67">
        <v>490</v>
      </c>
      <c r="C556" s="40">
        <v>198.08408606266491</v>
      </c>
      <c r="D556" s="67">
        <f t="shared" si="11"/>
        <v>490</v>
      </c>
      <c r="E556" s="40">
        <v>465.12609926074094</v>
      </c>
    </row>
    <row r="557" spans="2:5" x14ac:dyDescent="0.3">
      <c r="B557" s="67">
        <v>491</v>
      </c>
      <c r="C557" s="40">
        <v>166.74014416942586</v>
      </c>
      <c r="D557" s="67">
        <f t="shared" si="11"/>
        <v>491</v>
      </c>
      <c r="E557" s="40">
        <v>-51.841570977969553</v>
      </c>
    </row>
    <row r="558" spans="2:5" x14ac:dyDescent="0.3">
      <c r="B558" s="67">
        <v>492</v>
      </c>
      <c r="C558" s="40">
        <v>142.04480627874295</v>
      </c>
      <c r="D558" s="67">
        <f t="shared" si="11"/>
        <v>492</v>
      </c>
      <c r="E558" s="40">
        <v>509.38320637932816</v>
      </c>
    </row>
    <row r="559" spans="2:5" x14ac:dyDescent="0.3">
      <c r="B559" s="67">
        <v>493</v>
      </c>
      <c r="C559" s="40">
        <v>193.2005822398381</v>
      </c>
      <c r="D559" s="67">
        <f t="shared" si="11"/>
        <v>493</v>
      </c>
      <c r="E559" s="40">
        <v>173.9157026005625</v>
      </c>
    </row>
    <row r="560" spans="2:5" x14ac:dyDescent="0.3">
      <c r="B560" s="67">
        <v>494</v>
      </c>
      <c r="C560" s="40">
        <v>100.28030761331243</v>
      </c>
      <c r="D560" s="67">
        <f t="shared" si="11"/>
        <v>494</v>
      </c>
      <c r="E560" s="40">
        <v>-18.815889600086649</v>
      </c>
    </row>
    <row r="561" spans="2:5" x14ac:dyDescent="0.3">
      <c r="B561" s="67">
        <v>495</v>
      </c>
      <c r="C561" s="40">
        <v>199.71092577308946</v>
      </c>
      <c r="D561" s="67">
        <f t="shared" si="11"/>
        <v>495</v>
      </c>
      <c r="E561" s="40">
        <v>-47.003184269014966</v>
      </c>
    </row>
    <row r="562" spans="2:5" x14ac:dyDescent="0.3">
      <c r="B562" s="67">
        <v>496</v>
      </c>
      <c r="C562" s="40">
        <v>113.72169067876284</v>
      </c>
      <c r="D562" s="67">
        <f t="shared" si="11"/>
        <v>496</v>
      </c>
      <c r="E562" s="40">
        <v>229.89596817339523</v>
      </c>
    </row>
    <row r="563" spans="2:5" x14ac:dyDescent="0.3">
      <c r="B563" s="67">
        <v>497</v>
      </c>
      <c r="C563" s="40">
        <v>176.37529060852643</v>
      </c>
      <c r="D563" s="67">
        <f t="shared" si="11"/>
        <v>497</v>
      </c>
      <c r="E563" s="40">
        <v>76.481414798831537</v>
      </c>
    </row>
    <row r="564" spans="2:5" x14ac:dyDescent="0.3">
      <c r="B564" s="67">
        <v>498</v>
      </c>
      <c r="C564" s="40">
        <v>135.13885664564381</v>
      </c>
      <c r="D564" s="67">
        <f t="shared" si="11"/>
        <v>498</v>
      </c>
      <c r="E564" s="40">
        <v>377.9291836585441</v>
      </c>
    </row>
    <row r="565" spans="2:5" x14ac:dyDescent="0.3">
      <c r="B565" s="67">
        <v>499</v>
      </c>
      <c r="C565" s="40">
        <v>211.7205969699325</v>
      </c>
      <c r="D565" s="67">
        <f t="shared" si="11"/>
        <v>499</v>
      </c>
      <c r="E565" s="40">
        <v>17.075285657261759</v>
      </c>
    </row>
    <row r="566" spans="2:5" x14ac:dyDescent="0.3">
      <c r="B566" s="67">
        <v>500</v>
      </c>
      <c r="C566" s="40">
        <v>165.72788831728843</v>
      </c>
      <c r="D566" s="67">
        <f t="shared" si="11"/>
        <v>500</v>
      </c>
      <c r="E566" s="40">
        <v>30.021418859009813</v>
      </c>
    </row>
    <row r="567" spans="2:5" x14ac:dyDescent="0.3">
      <c r="B567" s="67"/>
      <c r="C567" s="67"/>
      <c r="D567" s="67"/>
    </row>
    <row r="568" spans="2:5" x14ac:dyDescent="0.3">
      <c r="B568" s="67"/>
      <c r="C568" s="67"/>
      <c r="D568" s="67"/>
    </row>
    <row r="569" spans="2:5" x14ac:dyDescent="0.3">
      <c r="B569" s="67"/>
      <c r="C569" s="67"/>
      <c r="D569" s="67"/>
    </row>
    <row r="570" spans="2:5" x14ac:dyDescent="0.3">
      <c r="B570" s="67"/>
      <c r="C570" s="67"/>
      <c r="D570" s="67"/>
    </row>
    <row r="571" spans="2:5" x14ac:dyDescent="0.3">
      <c r="B571" s="67"/>
      <c r="C571" s="67"/>
      <c r="D571" s="67"/>
    </row>
    <row r="572" spans="2:5" x14ac:dyDescent="0.3">
      <c r="B572" s="67"/>
      <c r="C572" s="67"/>
      <c r="D572" s="67"/>
    </row>
    <row r="573" spans="2:5" x14ac:dyDescent="0.3">
      <c r="B573" s="67"/>
      <c r="C573" s="67"/>
      <c r="D573" s="67"/>
    </row>
    <row r="574" spans="2:5" x14ac:dyDescent="0.3">
      <c r="B574" s="67"/>
      <c r="C574" s="67"/>
      <c r="D574" s="67"/>
    </row>
    <row r="575" spans="2:5" x14ac:dyDescent="0.3">
      <c r="B575" s="67"/>
      <c r="C575" s="67"/>
      <c r="D575" s="67"/>
    </row>
    <row r="576" spans="2:5" x14ac:dyDescent="0.3">
      <c r="B576" s="67"/>
      <c r="C576" s="67"/>
      <c r="D576" s="67"/>
    </row>
    <row r="577" spans="2:4" x14ac:dyDescent="0.3">
      <c r="B577" s="67"/>
      <c r="C577" s="67"/>
      <c r="D577" s="67"/>
    </row>
    <row r="578" spans="2:4" x14ac:dyDescent="0.3">
      <c r="B578" s="67"/>
      <c r="C578" s="67"/>
      <c r="D578" s="67"/>
    </row>
    <row r="579" spans="2:4" x14ac:dyDescent="0.3">
      <c r="B579" s="67"/>
      <c r="C579" s="67"/>
      <c r="D579" s="67"/>
    </row>
    <row r="580" spans="2:4" x14ac:dyDescent="0.3">
      <c r="B580" s="67"/>
      <c r="C580" s="67"/>
      <c r="D580" s="67"/>
    </row>
    <row r="581" spans="2:4" x14ac:dyDescent="0.3">
      <c r="B581" s="67"/>
      <c r="C581" s="67"/>
      <c r="D581" s="67"/>
    </row>
    <row r="582" spans="2:4" x14ac:dyDescent="0.3">
      <c r="B582" s="67"/>
      <c r="C582" s="67"/>
      <c r="D582" s="67"/>
    </row>
    <row r="583" spans="2:4" x14ac:dyDescent="0.3">
      <c r="B583" s="67"/>
      <c r="C583" s="67"/>
      <c r="D583" s="67"/>
    </row>
    <row r="584" spans="2:4" x14ac:dyDescent="0.3">
      <c r="B584" s="67"/>
      <c r="C584" s="67"/>
      <c r="D584" s="67"/>
    </row>
    <row r="585" spans="2:4" x14ac:dyDescent="0.3">
      <c r="B585" s="67"/>
      <c r="C585" s="67"/>
      <c r="D585" s="67"/>
    </row>
    <row r="586" spans="2:4" x14ac:dyDescent="0.3">
      <c r="B586" s="67"/>
      <c r="C586" s="67"/>
      <c r="D586" s="67"/>
    </row>
    <row r="587" spans="2:4" x14ac:dyDescent="0.3">
      <c r="B587" s="67"/>
      <c r="C587" s="67"/>
      <c r="D587" s="67"/>
    </row>
    <row r="588" spans="2:4" x14ac:dyDescent="0.3">
      <c r="B588" s="67"/>
      <c r="C588" s="67"/>
      <c r="D588" s="67"/>
    </row>
    <row r="589" spans="2:4" x14ac:dyDescent="0.3">
      <c r="B589" s="67"/>
      <c r="C589" s="67"/>
      <c r="D589" s="67"/>
    </row>
    <row r="590" spans="2:4" x14ac:dyDescent="0.3">
      <c r="B590" s="67"/>
      <c r="C590" s="67"/>
      <c r="D590" s="67"/>
    </row>
    <row r="591" spans="2:4" x14ac:dyDescent="0.3">
      <c r="B591" s="67"/>
      <c r="C591" s="67"/>
      <c r="D591" s="67"/>
    </row>
    <row r="592" spans="2:4" x14ac:dyDescent="0.3">
      <c r="B592" s="67"/>
      <c r="C592" s="67"/>
      <c r="D592" s="67"/>
    </row>
    <row r="593" spans="2:4" x14ac:dyDescent="0.3">
      <c r="B593" s="67"/>
      <c r="C593" s="67"/>
      <c r="D593" s="67"/>
    </row>
    <row r="594" spans="2:4" x14ac:dyDescent="0.3">
      <c r="B594" s="67"/>
      <c r="C594" s="67"/>
      <c r="D594" s="67"/>
    </row>
    <row r="595" spans="2:4" x14ac:dyDescent="0.3">
      <c r="B595" s="67"/>
      <c r="C595" s="67"/>
      <c r="D595" s="67"/>
    </row>
    <row r="596" spans="2:4" x14ac:dyDescent="0.3">
      <c r="B596" s="67"/>
      <c r="C596" s="67"/>
      <c r="D596" s="67"/>
    </row>
    <row r="597" spans="2:4" x14ac:dyDescent="0.3">
      <c r="B597" s="67"/>
      <c r="C597" s="67"/>
      <c r="D597" s="67"/>
    </row>
    <row r="598" spans="2:4" x14ac:dyDescent="0.3">
      <c r="B598" s="67"/>
      <c r="C598" s="67"/>
      <c r="D598" s="67"/>
    </row>
    <row r="599" spans="2:4" x14ac:dyDescent="0.3">
      <c r="B599" s="67"/>
      <c r="C599" s="67"/>
      <c r="D599" s="67"/>
    </row>
    <row r="600" spans="2:4" x14ac:dyDescent="0.3">
      <c r="B600" s="67"/>
      <c r="C600" s="67"/>
      <c r="D600" s="67"/>
    </row>
    <row r="601" spans="2:4" x14ac:dyDescent="0.3">
      <c r="B601" s="67"/>
      <c r="C601" s="67"/>
      <c r="D601" s="67"/>
    </row>
    <row r="602" spans="2:4" x14ac:dyDescent="0.3">
      <c r="B602" s="67"/>
      <c r="C602" s="67"/>
      <c r="D602" s="67"/>
    </row>
    <row r="603" spans="2:4" x14ac:dyDescent="0.3">
      <c r="B603" s="67"/>
      <c r="C603" s="67"/>
      <c r="D603" s="67"/>
    </row>
    <row r="604" spans="2:4" x14ac:dyDescent="0.3">
      <c r="B604" s="67"/>
      <c r="C604" s="67"/>
      <c r="D604" s="67"/>
    </row>
    <row r="605" spans="2:4" x14ac:dyDescent="0.3">
      <c r="B605" s="67"/>
      <c r="C605" s="67"/>
      <c r="D605" s="67"/>
    </row>
    <row r="606" spans="2:4" x14ac:dyDescent="0.3">
      <c r="B606" s="67"/>
      <c r="C606" s="67"/>
      <c r="D606" s="67"/>
    </row>
    <row r="607" spans="2:4" x14ac:dyDescent="0.3">
      <c r="B607" s="67"/>
      <c r="C607" s="67"/>
      <c r="D607" s="67"/>
    </row>
    <row r="608" spans="2:4" x14ac:dyDescent="0.3">
      <c r="B608" s="67"/>
      <c r="C608" s="67"/>
      <c r="D608" s="67"/>
    </row>
    <row r="609" spans="2:4" x14ac:dyDescent="0.3">
      <c r="B609" s="67"/>
      <c r="C609" s="67"/>
      <c r="D609" s="67"/>
    </row>
    <row r="610" spans="2:4" x14ac:dyDescent="0.3">
      <c r="B610" s="67"/>
      <c r="C610" s="67"/>
      <c r="D610" s="67"/>
    </row>
    <row r="611" spans="2:4" x14ac:dyDescent="0.3">
      <c r="B611" s="67"/>
      <c r="C611" s="67"/>
      <c r="D611" s="67"/>
    </row>
    <row r="612" spans="2:4" x14ac:dyDescent="0.3">
      <c r="B612" s="67"/>
      <c r="C612" s="67"/>
      <c r="D612" s="67"/>
    </row>
    <row r="613" spans="2:4" x14ac:dyDescent="0.3">
      <c r="B613" s="67"/>
      <c r="C613" s="67"/>
      <c r="D613" s="67"/>
    </row>
    <row r="614" spans="2:4" x14ac:dyDescent="0.3">
      <c r="B614" s="67"/>
      <c r="C614" s="67"/>
      <c r="D614" s="67"/>
    </row>
    <row r="615" spans="2:4" x14ac:dyDescent="0.3">
      <c r="B615" s="67"/>
      <c r="C615" s="67"/>
      <c r="D615" s="67"/>
    </row>
    <row r="616" spans="2:4" x14ac:dyDescent="0.3">
      <c r="B616" s="67"/>
      <c r="C616" s="67"/>
      <c r="D616" s="67"/>
    </row>
    <row r="617" spans="2:4" x14ac:dyDescent="0.3">
      <c r="B617" s="67"/>
      <c r="C617" s="67"/>
      <c r="D617" s="67"/>
    </row>
    <row r="618" spans="2:4" x14ac:dyDescent="0.3">
      <c r="B618" s="67"/>
      <c r="C618" s="67"/>
      <c r="D618" s="67"/>
    </row>
    <row r="619" spans="2:4" x14ac:dyDescent="0.3">
      <c r="B619" s="67"/>
      <c r="C619" s="67"/>
      <c r="D619" s="67"/>
    </row>
    <row r="620" spans="2:4" x14ac:dyDescent="0.3">
      <c r="B620" s="67"/>
      <c r="C620" s="67"/>
      <c r="D620" s="67"/>
    </row>
    <row r="621" spans="2:4" x14ac:dyDescent="0.3">
      <c r="B621" s="67"/>
      <c r="C621" s="67"/>
      <c r="D621" s="67"/>
    </row>
    <row r="622" spans="2:4" x14ac:dyDescent="0.3">
      <c r="B622" s="67"/>
      <c r="C622" s="67"/>
      <c r="D622" s="67"/>
    </row>
    <row r="623" spans="2:4" x14ac:dyDescent="0.3">
      <c r="B623" s="67"/>
      <c r="C623" s="67"/>
      <c r="D623" s="67"/>
    </row>
    <row r="624" spans="2:4" x14ac:dyDescent="0.3">
      <c r="B624" s="67"/>
      <c r="C624" s="67"/>
      <c r="D624" s="67"/>
    </row>
    <row r="625" spans="2:4" x14ac:dyDescent="0.3">
      <c r="B625" s="67"/>
      <c r="C625" s="67"/>
      <c r="D625" s="67"/>
    </row>
    <row r="626" spans="2:4" x14ac:dyDescent="0.3">
      <c r="B626" s="67"/>
      <c r="C626" s="67"/>
      <c r="D626" s="67"/>
    </row>
    <row r="627" spans="2:4" x14ac:dyDescent="0.3">
      <c r="B627" s="67"/>
      <c r="C627" s="67"/>
      <c r="D627" s="67"/>
    </row>
    <row r="628" spans="2:4" x14ac:dyDescent="0.3">
      <c r="B628" s="67"/>
      <c r="C628" s="67"/>
      <c r="D628" s="67"/>
    </row>
    <row r="629" spans="2:4" x14ac:dyDescent="0.3">
      <c r="B629" s="67"/>
      <c r="C629" s="67"/>
      <c r="D629" s="67"/>
    </row>
    <row r="630" spans="2:4" x14ac:dyDescent="0.3">
      <c r="B630" s="67"/>
      <c r="C630" s="67"/>
      <c r="D630" s="67"/>
    </row>
    <row r="631" spans="2:4" x14ac:dyDescent="0.3">
      <c r="B631" s="67"/>
      <c r="C631" s="67"/>
      <c r="D631" s="67"/>
    </row>
    <row r="632" spans="2:4" x14ac:dyDescent="0.3">
      <c r="B632" s="67"/>
      <c r="C632" s="67"/>
      <c r="D632" s="67"/>
    </row>
    <row r="633" spans="2:4" x14ac:dyDescent="0.3">
      <c r="B633" s="67"/>
      <c r="C633" s="67"/>
      <c r="D633" s="67"/>
    </row>
    <row r="634" spans="2:4" x14ac:dyDescent="0.3">
      <c r="B634" s="67"/>
      <c r="C634" s="67"/>
      <c r="D634" s="67"/>
    </row>
    <row r="635" spans="2:4" x14ac:dyDescent="0.3">
      <c r="B635" s="67"/>
      <c r="C635" s="67"/>
      <c r="D635" s="67"/>
    </row>
    <row r="636" spans="2:4" x14ac:dyDescent="0.3">
      <c r="B636" s="67"/>
      <c r="C636" s="67"/>
      <c r="D636" s="67"/>
    </row>
    <row r="637" spans="2:4" x14ac:dyDescent="0.3">
      <c r="B637" s="67"/>
      <c r="C637" s="67"/>
      <c r="D637" s="67"/>
    </row>
    <row r="638" spans="2:4" x14ac:dyDescent="0.3">
      <c r="B638" s="67"/>
      <c r="C638" s="67"/>
      <c r="D638" s="67"/>
    </row>
    <row r="639" spans="2:4" x14ac:dyDescent="0.3">
      <c r="B639" s="67"/>
      <c r="C639" s="67"/>
      <c r="D639" s="67"/>
    </row>
    <row r="640" spans="2:4" x14ac:dyDescent="0.3">
      <c r="B640" s="67"/>
      <c r="C640" s="67"/>
      <c r="D640" s="67"/>
    </row>
    <row r="641" spans="2:4" x14ac:dyDescent="0.3">
      <c r="B641" s="67"/>
      <c r="C641" s="67"/>
      <c r="D641" s="67"/>
    </row>
    <row r="642" spans="2:4" x14ac:dyDescent="0.3">
      <c r="B642" s="67"/>
      <c r="C642" s="67"/>
      <c r="D642" s="67"/>
    </row>
    <row r="643" spans="2:4" x14ac:dyDescent="0.3">
      <c r="B643" s="67"/>
      <c r="C643" s="67"/>
      <c r="D643" s="67"/>
    </row>
    <row r="644" spans="2:4" x14ac:dyDescent="0.3">
      <c r="B644" s="67"/>
      <c r="C644" s="67"/>
      <c r="D644" s="67"/>
    </row>
    <row r="645" spans="2:4" x14ac:dyDescent="0.3">
      <c r="B645" s="67"/>
      <c r="C645" s="67"/>
      <c r="D645" s="67"/>
    </row>
    <row r="646" spans="2:4" x14ac:dyDescent="0.3">
      <c r="B646" s="67"/>
      <c r="C646" s="67"/>
      <c r="D646" s="67"/>
    </row>
    <row r="647" spans="2:4" x14ac:dyDescent="0.3">
      <c r="B647" s="67"/>
      <c r="C647" s="67"/>
      <c r="D647" s="67"/>
    </row>
    <row r="648" spans="2:4" x14ac:dyDescent="0.3">
      <c r="B648" s="67"/>
      <c r="C648" s="67"/>
      <c r="D648" s="67"/>
    </row>
    <row r="649" spans="2:4" x14ac:dyDescent="0.3">
      <c r="B649" s="67"/>
      <c r="C649" s="67"/>
      <c r="D649" s="67"/>
    </row>
    <row r="650" spans="2:4" x14ac:dyDescent="0.3">
      <c r="B650" s="67"/>
      <c r="C650" s="67"/>
      <c r="D650" s="67"/>
    </row>
    <row r="651" spans="2:4" x14ac:dyDescent="0.3">
      <c r="B651" s="67"/>
      <c r="C651" s="67"/>
      <c r="D651" s="67"/>
    </row>
    <row r="652" spans="2:4" x14ac:dyDescent="0.3">
      <c r="B652" s="67"/>
      <c r="C652" s="67"/>
      <c r="D652" s="67"/>
    </row>
    <row r="653" spans="2:4" x14ac:dyDescent="0.3">
      <c r="B653" s="67"/>
      <c r="C653" s="67"/>
      <c r="D653" s="67"/>
    </row>
    <row r="654" spans="2:4" x14ac:dyDescent="0.3">
      <c r="B654" s="67"/>
      <c r="C654" s="67"/>
      <c r="D654" s="67"/>
    </row>
    <row r="655" spans="2:4" x14ac:dyDescent="0.3">
      <c r="B655" s="67"/>
      <c r="C655" s="67"/>
      <c r="D655" s="67"/>
    </row>
    <row r="656" spans="2:4" x14ac:dyDescent="0.3">
      <c r="B656" s="67"/>
      <c r="C656" s="67"/>
      <c r="D656" s="67"/>
    </row>
    <row r="657" spans="2:4" x14ac:dyDescent="0.3">
      <c r="B657" s="67"/>
      <c r="C657" s="67"/>
      <c r="D657" s="67"/>
    </row>
    <row r="658" spans="2:4" x14ac:dyDescent="0.3">
      <c r="B658" s="67"/>
      <c r="C658" s="67"/>
      <c r="D658" s="67"/>
    </row>
    <row r="659" spans="2:4" x14ac:dyDescent="0.3">
      <c r="B659" s="67"/>
      <c r="C659" s="67"/>
      <c r="D659" s="67"/>
    </row>
    <row r="660" spans="2:4" x14ac:dyDescent="0.3">
      <c r="B660" s="67"/>
      <c r="C660" s="67"/>
      <c r="D660" s="67"/>
    </row>
    <row r="661" spans="2:4" x14ac:dyDescent="0.3">
      <c r="B661" s="67"/>
      <c r="C661" s="67"/>
      <c r="D661" s="67"/>
    </row>
    <row r="662" spans="2:4" x14ac:dyDescent="0.3">
      <c r="B662" s="67"/>
      <c r="C662" s="67"/>
      <c r="D662" s="67"/>
    </row>
    <row r="663" spans="2:4" x14ac:dyDescent="0.3">
      <c r="B663" s="67"/>
      <c r="C663" s="67"/>
      <c r="D663" s="67"/>
    </row>
    <row r="664" spans="2:4" x14ac:dyDescent="0.3">
      <c r="B664" s="67"/>
      <c r="C664" s="67"/>
      <c r="D664" s="67"/>
    </row>
    <row r="665" spans="2:4" x14ac:dyDescent="0.3">
      <c r="B665" s="67"/>
      <c r="C665" s="67"/>
      <c r="D665" s="67"/>
    </row>
    <row r="666" spans="2:4" x14ac:dyDescent="0.3">
      <c r="B666" s="67"/>
      <c r="C666" s="67"/>
      <c r="D666" s="67"/>
    </row>
    <row r="667" spans="2:4" x14ac:dyDescent="0.3">
      <c r="B667" s="67"/>
      <c r="C667" s="67"/>
      <c r="D667" s="67"/>
    </row>
    <row r="668" spans="2:4" x14ac:dyDescent="0.3">
      <c r="B668" s="67"/>
      <c r="C668" s="67"/>
      <c r="D668" s="67"/>
    </row>
    <row r="669" spans="2:4" x14ac:dyDescent="0.3">
      <c r="B669" s="67"/>
      <c r="C669" s="67"/>
      <c r="D669" s="67"/>
    </row>
    <row r="670" spans="2:4" x14ac:dyDescent="0.3">
      <c r="B670" s="67"/>
      <c r="C670" s="67"/>
      <c r="D670" s="67"/>
    </row>
    <row r="671" spans="2:4" x14ac:dyDescent="0.3">
      <c r="B671" s="67"/>
      <c r="C671" s="67"/>
      <c r="D671" s="67"/>
    </row>
    <row r="672" spans="2:4" x14ac:dyDescent="0.3">
      <c r="B672" s="67"/>
      <c r="C672" s="67"/>
      <c r="D672" s="67"/>
    </row>
    <row r="673" spans="2:4" x14ac:dyDescent="0.3">
      <c r="B673" s="67"/>
      <c r="C673" s="67"/>
      <c r="D673" s="67"/>
    </row>
    <row r="674" spans="2:4" x14ac:dyDescent="0.3">
      <c r="B674" s="67"/>
      <c r="C674" s="67"/>
      <c r="D674" s="67"/>
    </row>
    <row r="675" spans="2:4" x14ac:dyDescent="0.3">
      <c r="B675" s="67"/>
      <c r="C675" s="67"/>
      <c r="D675" s="67"/>
    </row>
    <row r="676" spans="2:4" x14ac:dyDescent="0.3">
      <c r="B676" s="67"/>
      <c r="C676" s="67"/>
      <c r="D676" s="67"/>
    </row>
    <row r="677" spans="2:4" x14ac:dyDescent="0.3">
      <c r="B677" s="67"/>
      <c r="C677" s="67"/>
      <c r="D677" s="67"/>
    </row>
  </sheetData>
  <mergeCells count="92">
    <mergeCell ref="D19:E19"/>
    <mergeCell ref="D20:E20"/>
    <mergeCell ref="D21:E21"/>
    <mergeCell ref="D14:E14"/>
    <mergeCell ref="D16:E16"/>
    <mergeCell ref="D15:E15"/>
    <mergeCell ref="D18:E18"/>
    <mergeCell ref="D17:E17"/>
    <mergeCell ref="B6:C6"/>
    <mergeCell ref="B7:C7"/>
    <mergeCell ref="B8:C8"/>
    <mergeCell ref="B16:C16"/>
    <mergeCell ref="B15:C15"/>
    <mergeCell ref="B14:C14"/>
    <mergeCell ref="B13:C13"/>
    <mergeCell ref="B12:C12"/>
    <mergeCell ref="B11:C11"/>
    <mergeCell ref="B10:C10"/>
    <mergeCell ref="B9:C9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A34:E34"/>
    <mergeCell ref="A35:E35"/>
    <mergeCell ref="B24:C24"/>
    <mergeCell ref="D24:E24"/>
    <mergeCell ref="B26:C26"/>
    <mergeCell ref="D26:E26"/>
    <mergeCell ref="B29:C29"/>
    <mergeCell ref="B33:C33"/>
    <mergeCell ref="B28:C28"/>
    <mergeCell ref="B30:C30"/>
    <mergeCell ref="B31:C31"/>
    <mergeCell ref="B32:C32"/>
    <mergeCell ref="B23:C23"/>
    <mergeCell ref="B22:C22"/>
    <mergeCell ref="B27:C27"/>
    <mergeCell ref="B19:C19"/>
    <mergeCell ref="B20:C20"/>
    <mergeCell ref="B25:C25"/>
    <mergeCell ref="B17:C17"/>
    <mergeCell ref="B21:C21"/>
    <mergeCell ref="B61:C61"/>
    <mergeCell ref="B60:C60"/>
    <mergeCell ref="B56:C56"/>
    <mergeCell ref="B48:C48"/>
    <mergeCell ref="B49:C49"/>
    <mergeCell ref="B50:C50"/>
    <mergeCell ref="B51:C51"/>
    <mergeCell ref="B53:C53"/>
    <mergeCell ref="B54:C54"/>
    <mergeCell ref="B55:C55"/>
    <mergeCell ref="B52:C52"/>
    <mergeCell ref="B59:C59"/>
    <mergeCell ref="B58:C58"/>
    <mergeCell ref="B57:C57"/>
    <mergeCell ref="B66:C66"/>
    <mergeCell ref="B65:C65"/>
    <mergeCell ref="B64:C64"/>
    <mergeCell ref="B63:C63"/>
    <mergeCell ref="B62:C62"/>
    <mergeCell ref="D23:E23"/>
    <mergeCell ref="D25:E25"/>
    <mergeCell ref="D27:E27"/>
    <mergeCell ref="D28:E28"/>
    <mergeCell ref="D22:E22"/>
    <mergeCell ref="B47:E47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D13:E13"/>
    <mergeCell ref="D12:E12"/>
    <mergeCell ref="D6:E6"/>
    <mergeCell ref="D8:E8"/>
    <mergeCell ref="D9:E9"/>
    <mergeCell ref="D10:E10"/>
    <mergeCell ref="D11:E11"/>
    <mergeCell ref="D7:E7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K113"/>
  <sheetViews>
    <sheetView topLeftCell="I1" workbookViewId="0">
      <selection activeCell="P7" sqref="P7"/>
    </sheetView>
  </sheetViews>
  <sheetFormatPr defaultRowHeight="14.4" x14ac:dyDescent="0.3"/>
  <cols>
    <col min="1" max="1" width="21.33203125" customWidth="1"/>
    <col min="2" max="2" width="33.6640625" customWidth="1"/>
    <col min="3" max="3" width="13.6640625" customWidth="1"/>
    <col min="4" max="4" width="7.109375" customWidth="1"/>
    <col min="5" max="5" width="11.109375" customWidth="1"/>
    <col min="6" max="6" width="13.88671875" customWidth="1"/>
    <col min="7" max="7" width="11.109375" customWidth="1"/>
    <col min="8" max="10" width="12.88671875" customWidth="1"/>
    <col min="11" max="11" width="13.6640625" bestFit="1" customWidth="1"/>
    <col min="12" max="12" width="17.5546875" customWidth="1"/>
    <col min="13" max="13" width="12.6640625" customWidth="1"/>
    <col min="14" max="14" width="12.5546875" bestFit="1" customWidth="1"/>
    <col min="15" max="15" width="12.5546875" customWidth="1"/>
    <col min="16" max="16" width="12.44140625" customWidth="1"/>
    <col min="17" max="17" width="12.5546875" bestFit="1" customWidth="1"/>
    <col min="18" max="19" width="16" customWidth="1"/>
    <col min="20" max="21" width="16.5546875" customWidth="1"/>
    <col min="22" max="22" width="12.5546875" bestFit="1" customWidth="1"/>
    <col min="26" max="26" width="10.109375" bestFit="1" customWidth="1"/>
    <col min="28" max="28" width="10.5546875" bestFit="1" customWidth="1"/>
    <col min="29" max="29" width="17.33203125" customWidth="1"/>
    <col min="30" max="30" width="19" customWidth="1"/>
    <col min="31" max="31" width="15.109375" customWidth="1"/>
    <col min="32" max="33" width="12.5546875" customWidth="1"/>
    <col min="34" max="34" width="22.21875" customWidth="1"/>
    <col min="35" max="35" width="9" customWidth="1"/>
    <col min="36" max="36" width="11.21875" customWidth="1"/>
  </cols>
  <sheetData>
    <row r="1" spans="1:37" ht="15.6" x14ac:dyDescent="0.3">
      <c r="C1" s="118" t="s">
        <v>151</v>
      </c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8" t="s">
        <v>152</v>
      </c>
      <c r="R1" s="118"/>
      <c r="S1" s="118"/>
      <c r="T1" s="118"/>
      <c r="U1" s="118"/>
      <c r="V1" s="118" t="s">
        <v>101</v>
      </c>
      <c r="W1" s="118"/>
      <c r="X1" s="118"/>
      <c r="Y1" s="118"/>
      <c r="Z1" s="118"/>
      <c r="AA1" s="118"/>
      <c r="AB1" s="118" t="s">
        <v>102</v>
      </c>
      <c r="AC1" s="118"/>
      <c r="AD1" s="118"/>
      <c r="AE1" s="118"/>
      <c r="AF1" s="118"/>
      <c r="AG1" s="118"/>
      <c r="AH1" s="118"/>
    </row>
    <row r="2" spans="1:37" ht="15.6" x14ac:dyDescent="0.3">
      <c r="A2" s="18" t="s">
        <v>31</v>
      </c>
      <c r="B2" s="2" t="s">
        <v>34</v>
      </c>
      <c r="C2" s="116" t="s">
        <v>35</v>
      </c>
      <c r="D2" s="116" t="s">
        <v>36</v>
      </c>
      <c r="E2" s="116" t="s">
        <v>127</v>
      </c>
      <c r="F2" s="116" t="s">
        <v>37</v>
      </c>
      <c r="G2" s="116" t="s">
        <v>48</v>
      </c>
      <c r="H2" s="116" t="s">
        <v>56</v>
      </c>
      <c r="I2" s="116" t="s">
        <v>94</v>
      </c>
      <c r="J2" s="116" t="s">
        <v>57</v>
      </c>
      <c r="K2" s="116" t="s">
        <v>58</v>
      </c>
      <c r="L2" s="115" t="s">
        <v>59</v>
      </c>
      <c r="M2" s="115" t="s">
        <v>60</v>
      </c>
      <c r="N2" s="12" t="s">
        <v>61</v>
      </c>
      <c r="O2" s="12" t="s">
        <v>54</v>
      </c>
      <c r="P2" s="116" t="s">
        <v>84</v>
      </c>
      <c r="Q2" s="116" t="s">
        <v>154</v>
      </c>
      <c r="R2" s="116" t="s">
        <v>62</v>
      </c>
      <c r="S2" s="116" t="s">
        <v>155</v>
      </c>
      <c r="T2" s="2" t="s">
        <v>132</v>
      </c>
      <c r="U2" s="2" t="s">
        <v>85</v>
      </c>
      <c r="V2" s="116" t="s">
        <v>86</v>
      </c>
      <c r="W2" s="116" t="s">
        <v>87</v>
      </c>
      <c r="X2" s="116" t="s">
        <v>159</v>
      </c>
      <c r="Y2" s="116" t="s">
        <v>139</v>
      </c>
      <c r="Z2" s="116" t="s">
        <v>30</v>
      </c>
      <c r="AA2" s="116" t="s">
        <v>15</v>
      </c>
      <c r="AB2" s="116" t="s">
        <v>33</v>
      </c>
      <c r="AC2" s="116" t="s">
        <v>156</v>
      </c>
      <c r="AD2" s="116" t="s">
        <v>157</v>
      </c>
      <c r="AE2" s="116" t="s">
        <v>158</v>
      </c>
      <c r="AF2" s="116" t="s">
        <v>38</v>
      </c>
      <c r="AG2" s="116" t="s">
        <v>63</v>
      </c>
      <c r="AH2" s="116" t="s">
        <v>88</v>
      </c>
      <c r="AI2" s="116" t="s">
        <v>69</v>
      </c>
      <c r="AJ2" s="116" t="s">
        <v>100</v>
      </c>
      <c r="AK2" s="116" t="s">
        <v>70</v>
      </c>
    </row>
    <row r="3" spans="1:37" ht="15.6" x14ac:dyDescent="0.3">
      <c r="A3" s="18" t="s">
        <v>138</v>
      </c>
      <c r="B3" t="s">
        <v>49</v>
      </c>
      <c r="C3" s="42">
        <f>O3/H3</f>
        <v>61666.396631476637</v>
      </c>
      <c r="D3" s="105">
        <f>E3/SUM(E3:E3)</f>
        <v>1</v>
      </c>
      <c r="E3" s="106">
        <f>C3/SUM(C3:C4)</f>
        <v>0.20219607031889025</v>
      </c>
      <c r="F3" s="42">
        <f>C3*D3</f>
        <v>61666.396631476637</v>
      </c>
      <c r="G3" s="4">
        <f>[1]All!$H$12</f>
        <v>0.76279625000000006</v>
      </c>
      <c r="H3" s="107">
        <f>[1]All!$G$12</f>
        <v>4.8</v>
      </c>
      <c r="I3" s="99">
        <f>P3/F3</f>
        <v>7.0436462426640478</v>
      </c>
      <c r="J3" s="105">
        <f>[1]All!$J$12</f>
        <v>5.8360000000000003</v>
      </c>
      <c r="K3" s="105">
        <f>[1]All!$I$12</f>
        <v>0.4541</v>
      </c>
      <c r="L3" s="78">
        <f>F3*H3</f>
        <v>295998.70383108786</v>
      </c>
      <c r="M3" s="78">
        <f>I3-H3</f>
        <v>2.243646242664048</v>
      </c>
      <c r="N3" s="24">
        <v>1</v>
      </c>
      <c r="O3" s="79">
        <f>([2]prod_herd_data!$J$8+[2]prod_herd_data!$K$8)*(1-[2]prod_herd_data!$J$3)*E46</f>
        <v>295998.70383108786</v>
      </c>
      <c r="P3" s="86">
        <f>P25*E46</f>
        <v>434356.28293193132</v>
      </c>
      <c r="Q3" s="76">
        <f>NPV_Baseline!B28</f>
        <v>160.00453552674057</v>
      </c>
      <c r="R3" s="76">
        <f ca="1">NPV_Baseline!B64</f>
        <v>64.112936832936086</v>
      </c>
      <c r="S3" s="77">
        <f>NPV_Baseline!B26*M3</f>
        <v>78.670230853959993</v>
      </c>
      <c r="T3" s="82">
        <f>I3*K3*Q3-S3</f>
        <v>433.10743752493528</v>
      </c>
      <c r="U3" s="73">
        <f ca="1">H3*R3*K3</f>
        <v>139.74568615601413</v>
      </c>
      <c r="V3" s="104">
        <f>Q3*(P3*N3*K3)/(C3*D3)</f>
        <v>511.77766837889527</v>
      </c>
      <c r="W3" s="104">
        <f>[1]All!$E$12*[3]Sheet1!$B$9</f>
        <v>2532.0489928615684</v>
      </c>
      <c r="X3" s="104">
        <f>[1]All!$F$12</f>
        <v>86</v>
      </c>
      <c r="Y3" s="70">
        <f>V3+W3</f>
        <v>3043.8266612404636</v>
      </c>
      <c r="Z3" s="70">
        <f>W3+T3</f>
        <v>2965.1564303865039</v>
      </c>
      <c r="AA3" s="7"/>
      <c r="AB3" s="74">
        <f>SQRT(E3*(1-E3)/Q56)</f>
        <v>2.4956550618816121E-2</v>
      </c>
      <c r="AC3" s="70">
        <f>Z3*F3</f>
        <v>182850512.5105876</v>
      </c>
      <c r="AD3" s="85">
        <f>Y3*F3</f>
        <v>187701822.1695177</v>
      </c>
      <c r="AE3" s="7"/>
      <c r="AF3" s="7"/>
      <c r="AG3" s="7">
        <f>F3*J3/SUMPRODUCT(F3:F4,J3:J4)</f>
        <v>0.20709379164446726</v>
      </c>
      <c r="AH3" s="7" t="e">
        <f>#REF!*AC3</f>
        <v>#REF!</v>
      </c>
      <c r="AI3" s="26"/>
      <c r="AJ3" s="27"/>
      <c r="AK3" s="39"/>
    </row>
    <row r="4" spans="1:37" ht="15.6" x14ac:dyDescent="0.3">
      <c r="A4" s="19"/>
      <c r="B4" t="s">
        <v>5</v>
      </c>
      <c r="C4" s="42">
        <f>O4/H4</f>
        <v>243316.76418970295</v>
      </c>
      <c r="D4" s="105">
        <f>E4/SUM(E4:E4)</f>
        <v>1</v>
      </c>
      <c r="E4" s="106">
        <f>1-E3</f>
        <v>0.79780392968110969</v>
      </c>
      <c r="F4" s="42">
        <f xml:space="preserve"> C4*D4</f>
        <v>243316.76418970295</v>
      </c>
      <c r="G4" s="4">
        <v>0.27</v>
      </c>
      <c r="H4" s="107">
        <f>[1]All!$G$13</f>
        <v>2.8</v>
      </c>
      <c r="I4" s="99">
        <f>P4/F4</f>
        <v>2.1055622216837753</v>
      </c>
      <c r="J4" s="105">
        <f>[1]All!$J$13</f>
        <v>5.6630000000000003</v>
      </c>
      <c r="K4" s="105">
        <f>[1]All!$I$13</f>
        <v>0.55710000000000004</v>
      </c>
      <c r="L4" s="78">
        <f>F4*H4</f>
        <v>681286.93973116821</v>
      </c>
      <c r="M4" s="78">
        <f>I4-H4</f>
        <v>-0.69443777831622455</v>
      </c>
      <c r="N4" s="24">
        <v>1</v>
      </c>
      <c r="O4" s="79">
        <f>([2]prod_herd_data!$J$8+[2]prod_herd_data!$K$8)*([2]prod_herd_data!$J$3)*(1-E45)</f>
        <v>681286.93973116821</v>
      </c>
      <c r="P4" s="79">
        <f>P26*(1-E44)</f>
        <v>512318.58658017818</v>
      </c>
      <c r="Q4" s="76">
        <f>NPV_Baseline!D28</f>
        <v>249.4425685382206</v>
      </c>
      <c r="R4" s="76">
        <f ca="1">NPV_Baseline!E64</f>
        <v>203.6374101583279</v>
      </c>
      <c r="S4" s="77">
        <f>NPV_Baseline!D26*M4</f>
        <v>-72.032481935672791</v>
      </c>
      <c r="T4" s="73">
        <f>I4*K4*Q4-S4</f>
        <v>364.63078839872287</v>
      </c>
      <c r="U4" s="73">
        <f ca="1">H4*R4*K4</f>
        <v>317.64992335777254</v>
      </c>
      <c r="V4" s="104">
        <f>Q4*(P4*N4*K4)/(C4*D4)</f>
        <v>292.59830646304999</v>
      </c>
      <c r="W4" s="104">
        <f>[1]All!$E$13*[3]Sheet1!$B$9</f>
        <v>2549.5329853259786</v>
      </c>
      <c r="X4" s="104">
        <f>[1]All!$F$13</f>
        <v>80</v>
      </c>
      <c r="Y4" s="70">
        <f>V4+W4</f>
        <v>2842.1312917890286</v>
      </c>
      <c r="Z4" s="83">
        <f>W4+T4</f>
        <v>2914.1637737247015</v>
      </c>
      <c r="AA4" s="7"/>
      <c r="AB4" s="74">
        <f>SQRT(E4*(1-E4)/Q56)</f>
        <v>2.4956550618816128E-2</v>
      </c>
      <c r="AC4" s="83">
        <f>Z4*F4</f>
        <v>709064899.74154806</v>
      </c>
      <c r="AD4" s="70">
        <f>Y4*F4</f>
        <v>691538189.32040691</v>
      </c>
      <c r="AE4" s="7"/>
      <c r="AF4" s="7"/>
      <c r="AG4" s="7">
        <f>F4*J4/SUMPRODUCT(F3:F4,J3:J4)</f>
        <v>0.79290620835553272</v>
      </c>
      <c r="AH4" s="7" t="e">
        <f>#REF!*AC4</f>
        <v>#REF!</v>
      </c>
      <c r="AI4" s="26"/>
      <c r="AJ4" s="88">
        <f ca="1">MC_Baseline!J20</f>
        <v>64.062452498061589</v>
      </c>
      <c r="AK4" s="39"/>
    </row>
    <row r="5" spans="1:37" ht="15.6" x14ac:dyDescent="0.3">
      <c r="A5" s="19"/>
      <c r="E5" s="47"/>
      <c r="F5" s="42"/>
      <c r="G5" s="4"/>
      <c r="H5" s="107"/>
      <c r="I5" s="4"/>
      <c r="J5" s="4"/>
      <c r="L5" s="78"/>
      <c r="M5" s="78"/>
      <c r="N5" s="24"/>
      <c r="O5" s="16"/>
      <c r="P5" s="80"/>
      <c r="Q5" s="76"/>
      <c r="R5" s="76"/>
      <c r="S5" s="8"/>
      <c r="T5" s="73"/>
      <c r="U5" s="73"/>
      <c r="V5" s="70"/>
      <c r="W5" s="70"/>
      <c r="X5" s="70"/>
      <c r="Y5" s="70"/>
      <c r="Z5" s="70"/>
      <c r="AA5" s="7"/>
      <c r="AB5" s="74"/>
      <c r="AC5" s="70"/>
      <c r="AD5" s="70"/>
      <c r="AE5" s="7"/>
      <c r="AF5" s="7"/>
      <c r="AG5" s="7"/>
      <c r="AH5" s="7"/>
      <c r="AI5" s="1"/>
      <c r="AJ5" s="88"/>
      <c r="AK5" s="46"/>
    </row>
    <row r="6" spans="1:37" ht="15.6" x14ac:dyDescent="0.3">
      <c r="A6" s="18" t="str">
        <f>A27</f>
        <v>Inclusive</v>
      </c>
      <c r="B6" t="s">
        <v>67</v>
      </c>
      <c r="E6" s="97">
        <f>F6/SUM(F6:F8)</f>
        <v>3.8417253360589147E-2</v>
      </c>
      <c r="F6" s="98">
        <f>F3*E51</f>
        <v>11716.61535998056</v>
      </c>
      <c r="G6" s="99">
        <f>G4</f>
        <v>0.27</v>
      </c>
      <c r="H6" s="98">
        <f>L6*(1/F6)</f>
        <v>10.760038504042504</v>
      </c>
      <c r="I6" s="100"/>
      <c r="J6" s="99">
        <f>J3</f>
        <v>5.8360000000000003</v>
      </c>
      <c r="K6" s="33">
        <f>K3</f>
        <v>0.4541</v>
      </c>
      <c r="L6" s="101">
        <f>P6*N6</f>
        <v>126071.23241044665</v>
      </c>
      <c r="M6" s="101">
        <f>H6-H3</f>
        <v>5.9600385040425037</v>
      </c>
      <c r="N6" s="102">
        <f>E47</f>
        <v>0.1</v>
      </c>
      <c r="O6" s="15"/>
      <c r="P6" s="80">
        <f>P28*(1-E44)</f>
        <v>1260712.3241044665</v>
      </c>
      <c r="Q6" s="76">
        <f>NPV_Roadmap!C27</f>
        <v>1081.3655107795614</v>
      </c>
      <c r="R6" s="76">
        <f ca="1">NPV_Roadmap!C59</f>
        <v>363.16957310119045</v>
      </c>
      <c r="S6" s="77">
        <f>K6*(H6*(NPV_Roadmap!C22 + NPV_Baseline!B24)  -   H3*NPV_Baseline!B24) * (NPV_Roadmap!C19+NPV_Roadmap!L19)</f>
        <v>453.16547710803917</v>
      </c>
      <c r="T6" s="73">
        <f>H6*K6*Q6-S6</f>
        <v>4830.5307542962319</v>
      </c>
      <c r="U6" s="73">
        <f ca="1">H6*R6*K6</f>
        <v>1774.4950117487381</v>
      </c>
      <c r="V6" s="70">
        <f>V3</f>
        <v>511.77766837889527</v>
      </c>
      <c r="W6" s="70">
        <f>W3</f>
        <v>2532.0489928615684</v>
      </c>
      <c r="X6" s="70">
        <f>X3</f>
        <v>86</v>
      </c>
      <c r="Y6" s="70">
        <f>V6+W6</f>
        <v>3043.8266612404636</v>
      </c>
      <c r="Z6" s="70">
        <f>T6+W6</f>
        <v>7362.5797471578007</v>
      </c>
      <c r="AA6" s="72">
        <f t="shared" ref="AA6:AA20" si="0">(Z6/Y6)</f>
        <v>2.4188564483357595</v>
      </c>
      <c r="AB6" s="74">
        <f>AB3</f>
        <v>2.4956550618816121E-2</v>
      </c>
      <c r="AC6" s="81">
        <f>Z6*F6</f>
        <v>86264514.954630882</v>
      </c>
      <c r="AD6" s="70">
        <f>AD3</f>
        <v>187701822.1695177</v>
      </c>
      <c r="AE6" s="70">
        <f>AC6-AD6</f>
        <v>-101437307.21488681</v>
      </c>
      <c r="AF6" s="7">
        <f>(AC6+AC7)/AD6</f>
        <v>1.1161517593632031</v>
      </c>
      <c r="AG6" s="7">
        <f>F6*J6/SUMPRODUCT(F6:F8,J6:J8)</f>
        <v>3.9347820412448775E-2</v>
      </c>
      <c r="AH6" s="91">
        <f ca="1">MC_Inclusive!K20</f>
        <v>13.78098890917407</v>
      </c>
      <c r="AI6" s="1"/>
      <c r="AJ6" s="88"/>
      <c r="AK6" s="39"/>
    </row>
    <row r="7" spans="1:37" ht="15.6" x14ac:dyDescent="0.3">
      <c r="A7" s="18"/>
      <c r="B7" t="s">
        <v>98</v>
      </c>
      <c r="E7" s="97">
        <f>F7/SUM(F6:F8)</f>
        <v>0.1637788169583011</v>
      </c>
      <c r="F7" s="98">
        <f>F3-F6</f>
        <v>49949.781271496075</v>
      </c>
      <c r="G7" s="99">
        <f>G3</f>
        <v>0.76279625000000006</v>
      </c>
      <c r="H7" s="98">
        <f>L7*(1/F7)</f>
        <v>9.2628399407233477</v>
      </c>
      <c r="I7" s="100"/>
      <c r="J7" s="99">
        <f>J3</f>
        <v>5.8360000000000003</v>
      </c>
      <c r="K7" s="33">
        <f>K3</f>
        <v>0.4541</v>
      </c>
      <c r="L7" s="101">
        <f>P7*N7</f>
        <v>462676.82899200887</v>
      </c>
      <c r="M7" s="101">
        <f>H7-H3</f>
        <v>4.4628399407233479</v>
      </c>
      <c r="N7" s="102">
        <v>1</v>
      </c>
      <c r="O7" s="15"/>
      <c r="P7" s="80">
        <f>P27*E46</f>
        <v>462676.82899200887</v>
      </c>
      <c r="Q7" s="76">
        <f>NPV_Roadmap!E27</f>
        <v>34.546068126155319</v>
      </c>
      <c r="R7" s="76">
        <f ca="1">NPV_Roadmap!E59</f>
        <v>30.381709810852012</v>
      </c>
      <c r="S7" s="77">
        <f>K7*(H7*(NPV_Roadmap!E22+NPV_Baseline!B24)  -   H3*NPV_Baseline!B24) * (NPV_Roadmap!E19+NPV_Roadmap!L19)</f>
        <v>210.09644870583401</v>
      </c>
      <c r="T7" s="73">
        <f t="shared" ref="T7:T19" si="1">H7*K7*Q7-S7</f>
        <v>-64.786855602079441</v>
      </c>
      <c r="U7" s="73">
        <f ca="1">H7*R7*K7</f>
        <v>127.79323754846594</v>
      </c>
      <c r="V7" s="70">
        <f t="shared" ref="V7:X8" si="2">V3</f>
        <v>511.77766837889527</v>
      </c>
      <c r="W7" s="70">
        <f t="shared" si="2"/>
        <v>2532.0489928615684</v>
      </c>
      <c r="X7" s="70">
        <f t="shared" si="2"/>
        <v>86</v>
      </c>
      <c r="Y7" s="70">
        <f>V7+W7</f>
        <v>3043.8266612404636</v>
      </c>
      <c r="Z7" s="70">
        <f>T7+W7</f>
        <v>2467.262137259489</v>
      </c>
      <c r="AA7" s="72">
        <f t="shared" si="0"/>
        <v>0.81057905454248014</v>
      </c>
      <c r="AB7" s="74">
        <f>AB3</f>
        <v>2.4956550618816121E-2</v>
      </c>
      <c r="AC7" s="70">
        <f>Z7*F7</f>
        <v>123239204.09555539</v>
      </c>
      <c r="AD7" s="70">
        <v>0</v>
      </c>
      <c r="AE7" s="70">
        <f t="shared" ref="AE7:AE20" si="3">AC7-AD7</f>
        <v>123239204.09555539</v>
      </c>
      <c r="AF7" s="7">
        <v>0</v>
      </c>
      <c r="AG7" s="7">
        <f>F7*J7/SUMPRODUCT(F6:F8,J6:J8)</f>
        <v>0.16774597123201845</v>
      </c>
      <c r="AH7" s="91">
        <f ca="1">MC_Inclusive!K20</f>
        <v>13.78098890917407</v>
      </c>
      <c r="AI7" s="1"/>
      <c r="AJ7" s="88"/>
      <c r="AK7" s="39"/>
    </row>
    <row r="8" spans="1:37" ht="15.6" x14ac:dyDescent="0.3">
      <c r="A8" s="19"/>
      <c r="B8" t="s">
        <v>99</v>
      </c>
      <c r="E8" s="97">
        <f>F8/SUM(F6:F8)</f>
        <v>0.7978039296811098</v>
      </c>
      <c r="F8" s="98">
        <f>F4</f>
        <v>243316.76418970295</v>
      </c>
      <c r="G8" s="99">
        <f>G4</f>
        <v>0.27</v>
      </c>
      <c r="H8" s="98">
        <f>L8*(1/F8)</f>
        <v>4.6632261261266494</v>
      </c>
      <c r="I8" s="100"/>
      <c r="J8" s="99">
        <f>J4</f>
        <v>5.6630000000000003</v>
      </c>
      <c r="K8" s="33">
        <f>K4</f>
        <v>0.55710000000000004</v>
      </c>
      <c r="L8" s="101">
        <f t="shared" ref="L8" si="4">P8*N8</f>
        <v>1134641.09169402</v>
      </c>
      <c r="M8" s="101">
        <f>H8-H4</f>
        <v>1.8632261261266496</v>
      </c>
      <c r="N8" s="102">
        <f>N4*(1-E47)</f>
        <v>0.9</v>
      </c>
      <c r="O8" s="15"/>
      <c r="P8" s="80">
        <f>P28*(1-E44)</f>
        <v>1260712.3241044665</v>
      </c>
      <c r="Q8" s="76">
        <f>NPV_Roadmap!G27</f>
        <v>1125.4488441128947</v>
      </c>
      <c r="R8" s="76">
        <f ca="1">NPV_Roadmap!G59</f>
        <v>356.10750888196367</v>
      </c>
      <c r="S8" s="77">
        <f>K8*(H8*(NPV_Roadmap!G22+NPV_Baseline!E24)  -   H4*NPV_Baseline!E24) * (NPV_Roadmap!G19+NPV_Roadmap!L19)</f>
        <v>45.921303231226432</v>
      </c>
      <c r="T8" s="73">
        <f t="shared" si="1"/>
        <v>2877.8634256059859</v>
      </c>
      <c r="U8" s="73">
        <f ca="1">H8*R8*K8</f>
        <v>925.12574137834861</v>
      </c>
      <c r="V8" s="70">
        <f t="shared" si="2"/>
        <v>292.59830646304999</v>
      </c>
      <c r="W8" s="70">
        <f t="shared" si="2"/>
        <v>2549.5329853259786</v>
      </c>
      <c r="X8" s="70">
        <f>X4</f>
        <v>80</v>
      </c>
      <c r="Y8" s="70">
        <f>V8+W8</f>
        <v>2842.1312917890286</v>
      </c>
      <c r="Z8" s="70">
        <f>T8+W8</f>
        <v>5427.3964109319641</v>
      </c>
      <c r="AA8" s="72">
        <f t="shared" si="0"/>
        <v>1.9096219891782675</v>
      </c>
      <c r="AB8" s="74">
        <f>AB4</f>
        <v>2.4956550618816128E-2</v>
      </c>
      <c r="AC8" s="70">
        <f>Z8*F8</f>
        <v>1320576532.6827729</v>
      </c>
      <c r="AD8" s="70">
        <f>AD4</f>
        <v>691538189.32040691</v>
      </c>
      <c r="AE8" s="70">
        <f t="shared" si="3"/>
        <v>629038343.36236596</v>
      </c>
      <c r="AF8" s="7">
        <f t="shared" ref="AF8" si="5">AC8/AD8</f>
        <v>1.9096219891782675</v>
      </c>
      <c r="AG8" s="7">
        <f>F8*J8/SUMPRODUCT(F6:F8,J6:J8)</f>
        <v>0.79290620835553272</v>
      </c>
      <c r="AH8" s="91">
        <f ca="1">MC_Inclusive!K20</f>
        <v>13.78098890917407</v>
      </c>
      <c r="AI8" s="113">
        <f>-1+SUM(AC6:AC8)/SUM(AC3:AC4)</f>
        <v>0.71549928470169855</v>
      </c>
      <c r="AJ8" s="88">
        <f ca="1">MC_Inclusive!K20</f>
        <v>13.78098890917407</v>
      </c>
      <c r="AK8" s="92">
        <f>(AI8)*SUM(AD6:AD8)/SUMPRODUCT(F6:F8,J6:J8)</f>
        <v>362.00942000118664</v>
      </c>
    </row>
    <row r="9" spans="1:37" ht="15.6" x14ac:dyDescent="0.3">
      <c r="A9" s="19"/>
      <c r="E9" s="97"/>
      <c r="F9" s="98"/>
      <c r="G9" s="99"/>
      <c r="H9" s="98"/>
      <c r="I9" s="100"/>
      <c r="J9" s="33"/>
      <c r="K9" s="33"/>
      <c r="L9" s="101"/>
      <c r="M9" s="101"/>
      <c r="N9" s="102"/>
      <c r="O9" s="15"/>
      <c r="P9" s="80"/>
      <c r="Q9" s="76"/>
      <c r="R9" s="76"/>
      <c r="S9" s="77"/>
      <c r="T9" s="73"/>
      <c r="U9" s="73"/>
      <c r="V9" s="70"/>
      <c r="W9" s="70"/>
      <c r="X9" s="70"/>
      <c r="Y9" s="70"/>
      <c r="Z9" s="70"/>
      <c r="AA9" s="72"/>
      <c r="AB9" s="74"/>
      <c r="AC9" s="70"/>
      <c r="AD9" s="70"/>
      <c r="AE9" s="70"/>
      <c r="AF9" s="7"/>
      <c r="AG9" s="7"/>
      <c r="AH9" s="91"/>
      <c r="AI9" s="113"/>
      <c r="AJ9" s="88"/>
      <c r="AK9" s="92"/>
    </row>
    <row r="10" spans="1:37" ht="15.6" x14ac:dyDescent="0.3">
      <c r="A10" s="18" t="str">
        <f>A29</f>
        <v>Inequitable</v>
      </c>
      <c r="B10" t="s">
        <v>67</v>
      </c>
      <c r="E10" s="97">
        <f>F10/SUM(F10:F12)</f>
        <v>8.0878428127556107E-3</v>
      </c>
      <c r="F10" s="98">
        <f>F3*E52</f>
        <v>2466.6558652590656</v>
      </c>
      <c r="G10" s="99">
        <f>G6</f>
        <v>0.27</v>
      </c>
      <c r="H10" s="98">
        <f>L10*(1/F10)</f>
        <v>5.1110182894201888</v>
      </c>
      <c r="I10" s="100"/>
      <c r="J10" s="99">
        <f>J6</f>
        <v>5.8360000000000003</v>
      </c>
      <c r="K10" s="33">
        <f>K6</f>
        <v>0.4541</v>
      </c>
      <c r="L10" s="101">
        <f>P10*N10</f>
        <v>12607.123241044665</v>
      </c>
      <c r="M10" s="101">
        <f>H10-H3</f>
        <v>0.31101828942018894</v>
      </c>
      <c r="N10" s="102">
        <f>E48</f>
        <v>0.01</v>
      </c>
      <c r="O10" s="15"/>
      <c r="P10" s="80">
        <f>P30*(1-E44)</f>
        <v>1260712.3241044665</v>
      </c>
      <c r="Q10" s="76">
        <f>NPV_Roadmap!C27</f>
        <v>1081.3655107795614</v>
      </c>
      <c r="R10" s="76">
        <f ca="1">NPV_Roadmap!C59</f>
        <v>363.16957310119045</v>
      </c>
      <c r="S10" s="77">
        <f>K10*(H10*(NPV_Roadmap!C22 + NPV_Baseline!B24)  -   H7*NPV_Baseline!B24) * (NPV_Roadmap!C19+NPV_Roadmap!L19)</f>
        <v>107.22111571605113</v>
      </c>
      <c r="T10" s="73">
        <f t="shared" si="1"/>
        <v>2402.5345942009776</v>
      </c>
      <c r="U10" s="73">
        <f ca="1">H10*R10*K10</f>
        <v>842.88513058065053</v>
      </c>
      <c r="V10" s="70">
        <f t="shared" ref="V10:X12" si="6">V6</f>
        <v>511.77766837889527</v>
      </c>
      <c r="W10" s="70">
        <f t="shared" si="6"/>
        <v>2532.0489928615684</v>
      </c>
      <c r="X10" s="70">
        <f>X6</f>
        <v>86</v>
      </c>
      <c r="Y10" s="70">
        <f>V10+W10</f>
        <v>3043.8266612404636</v>
      </c>
      <c r="Z10" s="70">
        <f>T10+W10</f>
        <v>4934.583587062546</v>
      </c>
      <c r="AA10" s="72">
        <f t="shared" si="0"/>
        <v>1.6211775952614642</v>
      </c>
      <c r="AB10" s="74">
        <f>AB6</f>
        <v>2.4956550618816121E-2</v>
      </c>
      <c r="AC10" s="70">
        <f>Z10*F10</f>
        <v>12171919.547638949</v>
      </c>
      <c r="AD10" s="70">
        <f>AD6</f>
        <v>187701822.1695177</v>
      </c>
      <c r="AE10" s="70">
        <f>AC10-AD10</f>
        <v>-175529902.62187874</v>
      </c>
      <c r="AF10" s="7">
        <f>(AC10+AC11)/AD10</f>
        <v>0.87163164867709619</v>
      </c>
      <c r="AG10" s="7">
        <f>F10*J10/SUMPRODUCT(F10:F12,J10:J12)</f>
        <v>8.2837516657786898E-3</v>
      </c>
      <c r="AH10" s="91">
        <f ca="1">MC_Inequitable!K20</f>
        <v>15.819001360598175</v>
      </c>
      <c r="AI10" s="113"/>
      <c r="AJ10" s="88"/>
      <c r="AK10" s="92">
        <f>AI10*SUM(AD8:AD10)/SUMPRODUCT(F8:F10,J8:J10)</f>
        <v>0</v>
      </c>
    </row>
    <row r="11" spans="1:37" ht="15.6" x14ac:dyDescent="0.3">
      <c r="A11" s="20"/>
      <c r="B11" t="s">
        <v>98</v>
      </c>
      <c r="E11" s="97">
        <f>F11/SUM(F10:F12)</f>
        <v>0.19410822750613463</v>
      </c>
      <c r="F11" s="98">
        <f>F3*(1-E52)</f>
        <v>59199.740766217568</v>
      </c>
      <c r="G11" s="99">
        <f>G7</f>
        <v>0.76279625000000006</v>
      </c>
      <c r="H11" s="98">
        <f>L11*(1/F11)</f>
        <v>7.8155211999853238</v>
      </c>
      <c r="I11" s="100"/>
      <c r="J11" s="99">
        <f t="shared" ref="J11:J20" si="7">J7</f>
        <v>5.8360000000000003</v>
      </c>
      <c r="K11" s="33">
        <f>K6</f>
        <v>0.4541</v>
      </c>
      <c r="L11" s="101">
        <f>P11*N11</f>
        <v>462676.82899200887</v>
      </c>
      <c r="M11" s="101">
        <f>H11-H3</f>
        <v>3.015521199985324</v>
      </c>
      <c r="N11" s="102">
        <v>1</v>
      </c>
      <c r="O11" s="15"/>
      <c r="P11" s="80">
        <f>P29*E46</f>
        <v>462676.82899200887</v>
      </c>
      <c r="Q11" s="76">
        <f>NPV_Roadmap!E27</f>
        <v>34.546068126155319</v>
      </c>
      <c r="R11" s="76">
        <f ca="1">NPV_Roadmap!E59</f>
        <v>30.381709810852012</v>
      </c>
      <c r="S11" s="77">
        <f>K11*(H11*(NPV_Roadmap!E22+NPV_Baseline!B24)  -   H7*NPV_Baseline!B24) * (NPV_Roadmap!E19+NPV_Roadmap!L19)</f>
        <v>96.620308353460814</v>
      </c>
      <c r="T11" s="73">
        <f t="shared" si="1"/>
        <v>25.984660827832087</v>
      </c>
      <c r="U11" s="73">
        <f ca="1">H11*R11*K11</f>
        <v>107.82554418151813</v>
      </c>
      <c r="V11" s="70">
        <f t="shared" si="6"/>
        <v>511.77766837889527</v>
      </c>
      <c r="W11" s="70">
        <f t="shared" si="6"/>
        <v>2532.0489928615684</v>
      </c>
      <c r="X11" s="70">
        <f t="shared" si="6"/>
        <v>86</v>
      </c>
      <c r="Y11" s="70">
        <f>V11+W11</f>
        <v>3043.8266612404636</v>
      </c>
      <c r="Z11" s="70">
        <f>T11+W11</f>
        <v>2558.0336536894006</v>
      </c>
      <c r="AA11" s="72">
        <f t="shared" si="0"/>
        <v>0.84040056756941417</v>
      </c>
      <c r="AB11" s="74">
        <f>AB3</f>
        <v>2.4956550618816121E-2</v>
      </c>
      <c r="AC11" s="70">
        <f>Z11*F11</f>
        <v>151434929.16967288</v>
      </c>
      <c r="AD11" s="70">
        <f>AD7</f>
        <v>0</v>
      </c>
      <c r="AE11" s="70">
        <f t="shared" si="3"/>
        <v>151434929.16967288</v>
      </c>
      <c r="AF11" s="7">
        <v>0</v>
      </c>
      <c r="AG11" s="7">
        <f>F11*J11/SUMPRODUCT(F10:F12,J10:J12)</f>
        <v>0.19881003997868854</v>
      </c>
      <c r="AH11" s="91">
        <f ca="1">MC_Inequitable!K20</f>
        <v>15.819001360598175</v>
      </c>
      <c r="AI11" s="113"/>
      <c r="AJ11" s="88"/>
      <c r="AK11" s="92">
        <f>AI11*SUM(AD9:AD11)/SUMPRODUCT(F9:F11,J9:J11)</f>
        <v>0</v>
      </c>
    </row>
    <row r="12" spans="1:37" ht="15.6" x14ac:dyDescent="0.3">
      <c r="A12" s="18"/>
      <c r="B12" t="s">
        <v>99</v>
      </c>
      <c r="E12" s="97">
        <f>F12/SUM(F10:F12)</f>
        <v>0.7978039296811098</v>
      </c>
      <c r="F12" s="98">
        <f>F8</f>
        <v>243316.76418970295</v>
      </c>
      <c r="G12" s="99">
        <f>G8</f>
        <v>0.27</v>
      </c>
      <c r="H12" s="98">
        <f>L12*(1/F12)</f>
        <v>5.1295487387393139</v>
      </c>
      <c r="I12" s="100"/>
      <c r="J12" s="99">
        <f t="shared" si="7"/>
        <v>5.6630000000000003</v>
      </c>
      <c r="K12" s="33">
        <f>K8</f>
        <v>0.55710000000000004</v>
      </c>
      <c r="L12" s="101">
        <f t="shared" ref="L12" si="8">P12*N12</f>
        <v>1248105.2008634219</v>
      </c>
      <c r="M12" s="101">
        <f>H12-H4</f>
        <v>2.3295487387393141</v>
      </c>
      <c r="N12" s="102">
        <f>N4*(1-E48)</f>
        <v>0.99</v>
      </c>
      <c r="O12" s="15"/>
      <c r="P12" s="80">
        <f>P30*(1-E44)</f>
        <v>1260712.3241044665</v>
      </c>
      <c r="Q12" s="76">
        <f>NPV_Roadmap!G27</f>
        <v>1125.4488441128947</v>
      </c>
      <c r="R12" s="76">
        <f ca="1">NPV_Roadmap!G59</f>
        <v>356.10750888196367</v>
      </c>
      <c r="S12" s="77">
        <f>K12*(H12*(NPV_Roadmap!G22+NPV_Baseline!E24)  -   H8*NPV_Baseline!E24) * (NPV_Roadmap!G19+NPV_Roadmap!L19)</f>
        <v>50.513433554349078</v>
      </c>
      <c r="T12" s="73">
        <f t="shared" si="1"/>
        <v>3165.6497681665837</v>
      </c>
      <c r="U12" s="73">
        <f ca="1">H12*R12*K12</f>
        <v>1017.6383155161833</v>
      </c>
      <c r="V12" s="70">
        <f t="shared" si="6"/>
        <v>292.59830646304999</v>
      </c>
      <c r="W12" s="70">
        <f t="shared" si="6"/>
        <v>2549.5329853259786</v>
      </c>
      <c r="X12" s="70">
        <f t="shared" si="6"/>
        <v>80</v>
      </c>
      <c r="Y12" s="70">
        <f>V12+W12</f>
        <v>2842.1312917890286</v>
      </c>
      <c r="Z12" s="70">
        <f>T12+W12</f>
        <v>5715.1827534925624</v>
      </c>
      <c r="AA12" s="72">
        <f t="shared" si="0"/>
        <v>2.0108792194096852</v>
      </c>
      <c r="AB12" s="74">
        <f>AB8</f>
        <v>2.4956550618816128E-2</v>
      </c>
      <c r="AC12" s="70">
        <f>Z12*F12</f>
        <v>1390599774.332607</v>
      </c>
      <c r="AD12" s="70">
        <f>AD8</f>
        <v>691538189.32040691</v>
      </c>
      <c r="AE12" s="70">
        <f t="shared" si="3"/>
        <v>699061585.01220012</v>
      </c>
      <c r="AF12" s="7">
        <f>AC12/AD12</f>
        <v>2.0108792194096852</v>
      </c>
      <c r="AG12" s="7">
        <f>F12*J12/SUMPRODUCT(F10:F12,J10:J12)</f>
        <v>0.79290620835553272</v>
      </c>
      <c r="AH12" s="91">
        <f ca="1">MC_Inequitable!K20</f>
        <v>15.819001360598175</v>
      </c>
      <c r="AI12" s="113">
        <f>-1+SUM(AC10:AC12)/SUM(AC3:AC4)</f>
        <v>0.74254935131736466</v>
      </c>
      <c r="AJ12" s="88">
        <f ca="1">MC_Inequitable!K20</f>
        <v>15.819001360598175</v>
      </c>
      <c r="AK12" s="92">
        <f>(AI12)*SUM(AD10:AD12)/SUMPRODUCT(F10:F12,J10:J12)</f>
        <v>375.69549787142978</v>
      </c>
    </row>
    <row r="13" spans="1:37" ht="15.6" x14ac:dyDescent="0.3">
      <c r="A13" s="18"/>
      <c r="E13" s="97"/>
      <c r="F13" s="98"/>
      <c r="G13" s="99"/>
      <c r="H13" s="98"/>
      <c r="I13" s="100"/>
      <c r="J13" s="99"/>
      <c r="K13" s="33"/>
      <c r="L13" s="101"/>
      <c r="M13" s="101"/>
      <c r="N13" s="102"/>
      <c r="O13" s="15"/>
      <c r="P13" s="80"/>
      <c r="Q13" s="76"/>
      <c r="R13" s="76"/>
      <c r="S13" s="77"/>
      <c r="T13" s="73"/>
      <c r="U13" s="73"/>
      <c r="V13" s="70"/>
      <c r="W13" s="70"/>
      <c r="X13" s="70"/>
      <c r="Y13" s="70"/>
      <c r="Z13" s="70"/>
      <c r="AA13" s="72"/>
      <c r="AB13" s="74"/>
      <c r="AC13" s="70"/>
      <c r="AD13" s="70"/>
      <c r="AE13" s="70"/>
      <c r="AF13" s="7"/>
      <c r="AG13" s="7"/>
      <c r="AH13" s="91"/>
      <c r="AI13" s="113"/>
      <c r="AJ13" s="88"/>
      <c r="AK13" s="92"/>
    </row>
    <row r="14" spans="1:37" ht="15.6" x14ac:dyDescent="0.3">
      <c r="A14" s="18" t="str">
        <f>A31</f>
        <v>Status quo</v>
      </c>
      <c r="B14" t="s">
        <v>67</v>
      </c>
      <c r="E14" s="97">
        <f>F14/SUM(F14:F16)</f>
        <v>8.0878428127556107E-3</v>
      </c>
      <c r="F14" s="98">
        <f>F3*E53</f>
        <v>2466.6558652590656</v>
      </c>
      <c r="G14" s="99">
        <f>G10</f>
        <v>0.27</v>
      </c>
      <c r="H14" s="98">
        <f>L14*(1/F14)</f>
        <v>5.3173905308108314</v>
      </c>
      <c r="I14" s="100"/>
      <c r="J14" s="99">
        <f t="shared" si="7"/>
        <v>5.8360000000000003</v>
      </c>
      <c r="K14" s="33">
        <f>K11</f>
        <v>0.4541</v>
      </c>
      <c r="L14" s="101">
        <f>P14*N14</f>
        <v>13116.172540697553</v>
      </c>
      <c r="M14" s="101">
        <f>H14-H3</f>
        <v>0.51739053081083153</v>
      </c>
      <c r="N14" s="102">
        <f>E49</f>
        <v>0.01</v>
      </c>
      <c r="O14" s="15"/>
      <c r="P14" s="80">
        <f>P32*(1-E44)</f>
        <v>1311617.2540697553</v>
      </c>
      <c r="Q14" s="76">
        <f>NPV_Roadmap!C27</f>
        <v>1081.3655107795614</v>
      </c>
      <c r="R14" s="76">
        <f ca="1">NPV_Roadmap!C59</f>
        <v>363.16957310119045</v>
      </c>
      <c r="S14" s="77">
        <f>K14*(H14*(NPV_Roadmap!C22 + NPV_Baseline!B24)  -   H11*NPV_Baseline!B24) * (NPV_Roadmap!C19+NPV_Roadmap!L19)</f>
        <v>139.72857395863514</v>
      </c>
      <c r="T14" s="73">
        <f>H14*K14*Q14-S14</f>
        <v>2471.3658285376564</v>
      </c>
      <c r="U14" s="73">
        <f ca="1">H14*R14*K14</f>
        <v>876.91907133035318</v>
      </c>
      <c r="V14" s="70">
        <f t="shared" ref="V14:W16" si="9">V10</f>
        <v>511.77766837889527</v>
      </c>
      <c r="W14" s="70">
        <f t="shared" si="9"/>
        <v>2532.0489928615684</v>
      </c>
      <c r="X14" s="70">
        <f t="shared" ref="X14:X20" si="10">X10</f>
        <v>86</v>
      </c>
      <c r="Y14" s="70">
        <f>V14+W14</f>
        <v>3043.8266612404636</v>
      </c>
      <c r="Z14" s="70">
        <f>T14+W14</f>
        <v>5003.4148213992248</v>
      </c>
      <c r="AA14" s="72">
        <f t="shared" si="0"/>
        <v>1.6437909836035676</v>
      </c>
      <c r="AB14" s="74">
        <f>AB10</f>
        <v>2.4956550618816121E-2</v>
      </c>
      <c r="AC14" s="70">
        <f>Z14*F14</f>
        <v>12341702.515528539</v>
      </c>
      <c r="AD14" s="70">
        <f>AD10</f>
        <v>187701822.1695177</v>
      </c>
      <c r="AE14" s="70">
        <f>AC14-AD14</f>
        <v>-175360119.65398917</v>
      </c>
      <c r="AF14" s="7">
        <f>(AC14+AC15)/AD14</f>
        <v>0.81354283107842484</v>
      </c>
      <c r="AG14" s="7">
        <f>F14*J14/SUMPRODUCT(F14:F16,J14:J16)</f>
        <v>8.2837516657786898E-3</v>
      </c>
      <c r="AH14" s="91">
        <f ca="1">MC_Status_quo!K20</f>
        <v>17.570892622689765</v>
      </c>
      <c r="AI14" s="113"/>
      <c r="AJ14" s="88"/>
      <c r="AK14" s="92">
        <f>AI14*SUM(AD12:AD14)/SUMPRODUCT(F12:F14,J12:J14)</f>
        <v>0</v>
      </c>
    </row>
    <row r="15" spans="1:37" ht="15.6" x14ac:dyDescent="0.3">
      <c r="A15" s="18"/>
      <c r="B15" t="s">
        <v>98</v>
      </c>
      <c r="E15" s="97">
        <f>F15/SUM(F14:F16)</f>
        <v>0.19410822750613463</v>
      </c>
      <c r="F15" s="98">
        <f>F3*(1-E53)</f>
        <v>59199.740766217568</v>
      </c>
      <c r="G15" s="99">
        <f>G11</f>
        <v>0.76279625000000006</v>
      </c>
      <c r="H15" s="98">
        <f>L15*(1/F15)</f>
        <v>18.784226312492805</v>
      </c>
      <c r="I15" s="100"/>
      <c r="J15" s="99">
        <f t="shared" si="7"/>
        <v>5.8360000000000003</v>
      </c>
      <c r="K15" s="33">
        <f>K3</f>
        <v>0.4541</v>
      </c>
      <c r="L15" s="101">
        <f>P15*N15</f>
        <v>1112021.3281935372</v>
      </c>
      <c r="M15" s="101">
        <f>H15-H3</f>
        <v>13.984226312492805</v>
      </c>
      <c r="N15" s="102">
        <v>1</v>
      </c>
      <c r="O15" s="15"/>
      <c r="P15" s="80">
        <f>P31*E46</f>
        <v>1112021.3281935372</v>
      </c>
      <c r="Q15" s="76">
        <f>NPV_Roadmap!E27</f>
        <v>34.546068126155319</v>
      </c>
      <c r="R15" s="76">
        <f ca="1">NPV_Roadmap!E59</f>
        <v>30.381709810852012</v>
      </c>
      <c r="S15" s="77">
        <f>K15*(H15*(NPV_Roadmap!E22+NPV_Baseline!B24)  -   H11*NPV_Baseline!B24) * (NPV_Roadmap!E19+NPV_Roadmap!L19)</f>
        <v>455.73787743181384</v>
      </c>
      <c r="T15" s="73">
        <f t="shared" si="1"/>
        <v>-161.06277781824792</v>
      </c>
      <c r="U15" s="73">
        <f ca="1">H15*R15*K15</f>
        <v>259.1534681240621</v>
      </c>
      <c r="V15" s="70">
        <f t="shared" si="9"/>
        <v>511.77766837889527</v>
      </c>
      <c r="W15" s="70">
        <f t="shared" si="9"/>
        <v>2532.0489928615684</v>
      </c>
      <c r="X15" s="70">
        <f t="shared" si="10"/>
        <v>86</v>
      </c>
      <c r="Y15" s="70">
        <f>V15+W15</f>
        <v>3043.8266612404636</v>
      </c>
      <c r="Z15" s="70">
        <f>T15+W15</f>
        <v>2370.9862150433205</v>
      </c>
      <c r="AA15" s="72">
        <f t="shared" si="0"/>
        <v>0.77894915805654397</v>
      </c>
      <c r="AB15" s="74">
        <f>AB11</f>
        <v>2.4956550618816121E-2</v>
      </c>
      <c r="AC15" s="70">
        <f>Z15*F15</f>
        <v>140361769.29083994</v>
      </c>
      <c r="AD15" s="70">
        <f>AD11</f>
        <v>0</v>
      </c>
      <c r="AE15" s="70">
        <f>AC15-AD15</f>
        <v>140361769.29083994</v>
      </c>
      <c r="AF15" s="7">
        <v>0</v>
      </c>
      <c r="AG15" s="7">
        <f>F15*J15/SUMPRODUCT(F14:F16,J14:J16)</f>
        <v>0.19881003997868854</v>
      </c>
      <c r="AH15" s="91">
        <f ca="1">MC_Status_quo!K20</f>
        <v>17.570892622689765</v>
      </c>
      <c r="AI15" s="113"/>
      <c r="AJ15" s="88"/>
      <c r="AK15" s="92">
        <f>AI15*SUM(AD13:AD15)/SUMPRODUCT(F13:F15,J13:J15)</f>
        <v>0</v>
      </c>
    </row>
    <row r="16" spans="1:37" ht="15.6" x14ac:dyDescent="0.3">
      <c r="A16" s="19"/>
      <c r="B16" t="s">
        <v>99</v>
      </c>
      <c r="E16" s="97">
        <f>F16/SUM(F14:F16)</f>
        <v>0.7978039296811098</v>
      </c>
      <c r="F16" s="98">
        <f>F12</f>
        <v>243316.76418970295</v>
      </c>
      <c r="G16" s="99">
        <f>G12</f>
        <v>0.27</v>
      </c>
      <c r="H16" s="98">
        <f>L16*(1/F16)</f>
        <v>5.33666920096256</v>
      </c>
      <c r="I16" s="100"/>
      <c r="J16" s="99">
        <f t="shared" si="7"/>
        <v>5.6630000000000003</v>
      </c>
      <c r="K16" s="33">
        <f>K12</f>
        <v>0.55710000000000004</v>
      </c>
      <c r="L16" s="101">
        <f>P16*N16</f>
        <v>1298501.0815290578</v>
      </c>
      <c r="M16" s="101">
        <f>H16-H4</f>
        <v>2.5366692009625602</v>
      </c>
      <c r="N16" s="102">
        <f>N4*(1-E49)</f>
        <v>0.99</v>
      </c>
      <c r="O16" s="15"/>
      <c r="P16" s="80">
        <f>P32*(1-E44)</f>
        <v>1311617.2540697553</v>
      </c>
      <c r="Q16" s="76">
        <f>NPV_Roadmap!G27</f>
        <v>1125.4488441128947</v>
      </c>
      <c r="R16" s="76">
        <f ca="1">NPV_Roadmap!G59</f>
        <v>356.10750888196367</v>
      </c>
      <c r="S16" s="77">
        <f>K16*(H16*(NPV_Roadmap!G22+NPV_Baseline!E24)  -   H12*NPV_Baseline!E24) * (NPV_Roadmap!G19+NPV_Roadmap!L19)</f>
        <v>52.553060476547174</v>
      </c>
      <c r="T16" s="73">
        <f t="shared" si="1"/>
        <v>3293.4720926271793</v>
      </c>
      <c r="U16" s="73">
        <f ca="1">H16*R16*K16</f>
        <v>1058.7284248066935</v>
      </c>
      <c r="V16" s="70">
        <f t="shared" si="9"/>
        <v>292.59830646304999</v>
      </c>
      <c r="W16" s="70">
        <f t="shared" si="9"/>
        <v>2549.5329853259786</v>
      </c>
      <c r="X16" s="70">
        <f t="shared" si="10"/>
        <v>80</v>
      </c>
      <c r="Y16" s="70">
        <f>V16+W16</f>
        <v>2842.1312917890286</v>
      </c>
      <c r="Z16" s="70">
        <f>T16+W16</f>
        <v>5843.0050779531575</v>
      </c>
      <c r="AA16" s="72">
        <f t="shared" si="0"/>
        <v>2.0558533290962702</v>
      </c>
      <c r="AB16" s="74">
        <f>AB12</f>
        <v>2.4956550618816128E-2</v>
      </c>
      <c r="AC16" s="70">
        <f>Z16*F16</f>
        <v>1421701088.7115653</v>
      </c>
      <c r="AD16" s="70">
        <f>AD12</f>
        <v>691538189.32040691</v>
      </c>
      <c r="AE16" s="70">
        <f t="shared" si="3"/>
        <v>730162899.39115834</v>
      </c>
      <c r="AF16" s="7">
        <f t="shared" ref="AF16" si="11">AC16/AD16</f>
        <v>2.0558533290962702</v>
      </c>
      <c r="AG16" s="7">
        <f>F16*J16/SUMPRODUCT(F14:F16,J14:J16)</f>
        <v>0.79290620835553272</v>
      </c>
      <c r="AH16" s="91">
        <f ca="1">MC_Status_quo!K20</f>
        <v>17.570892622689765</v>
      </c>
      <c r="AI16" s="113">
        <f>-1+SUM(AC14:AC16)/SUM(AC3:AC4)</f>
        <v>0.76519492643643794</v>
      </c>
      <c r="AJ16" s="88">
        <f ca="1">MC_Status_quo!K20</f>
        <v>17.570892622689765</v>
      </c>
      <c r="AK16" s="92">
        <f>(AI16)*SUM(AD14:AD16)/SUMPRODUCT(F14:F16,J14:J16)</f>
        <v>387.15310752909267</v>
      </c>
    </row>
    <row r="17" spans="1:37" ht="15.6" x14ac:dyDescent="0.3">
      <c r="A17" s="19"/>
      <c r="E17" s="97"/>
      <c r="F17" s="98"/>
      <c r="G17" s="99"/>
      <c r="H17" s="98"/>
      <c r="I17" s="100"/>
      <c r="J17" s="99"/>
      <c r="K17" s="33"/>
      <c r="L17" s="101"/>
      <c r="M17" s="101"/>
      <c r="N17" s="102"/>
      <c r="O17" s="15"/>
      <c r="P17" s="80"/>
      <c r="Q17" s="76"/>
      <c r="R17" s="76"/>
      <c r="S17" s="77"/>
      <c r="T17" s="73"/>
      <c r="U17" s="73"/>
      <c r="V17" s="70"/>
      <c r="W17" s="70"/>
      <c r="X17" s="70"/>
      <c r="Y17" s="70"/>
      <c r="Z17" s="70"/>
      <c r="AA17" s="72"/>
      <c r="AB17" s="74"/>
      <c r="AC17" s="70"/>
      <c r="AD17" s="70"/>
      <c r="AE17" s="70"/>
      <c r="AF17" s="7"/>
      <c r="AG17" s="7"/>
      <c r="AH17" s="91"/>
      <c r="AI17" s="113"/>
      <c r="AJ17" s="88"/>
      <c r="AK17" s="92"/>
    </row>
    <row r="18" spans="1:37" ht="15.6" x14ac:dyDescent="0.3">
      <c r="A18" s="18" t="str">
        <f>A33</f>
        <v>Middle road</v>
      </c>
      <c r="B18" t="s">
        <v>67</v>
      </c>
      <c r="E18" s="97">
        <f>F18/SUM(F18:F20)</f>
        <v>2.3252548086672375E-2</v>
      </c>
      <c r="F18" s="98">
        <f>F3*E54</f>
        <v>7091.6356126198125</v>
      </c>
      <c r="G18" s="99">
        <f>G14</f>
        <v>0.27</v>
      </c>
      <c r="H18" s="98">
        <f>L18*(1/F18)</f>
        <v>11.971621023834023</v>
      </c>
      <c r="I18" s="100"/>
      <c r="J18" s="99">
        <f t="shared" si="7"/>
        <v>5.8360000000000003</v>
      </c>
      <c r="K18" s="33">
        <f>K14</f>
        <v>0.4541</v>
      </c>
      <c r="L18" s="101">
        <f>P18*N18</f>
        <v>84898.373993409419</v>
      </c>
      <c r="M18" s="101">
        <f>H18-H3</f>
        <v>7.1716210238340237</v>
      </c>
      <c r="N18" s="102">
        <f>E50</f>
        <v>5.5000000000000007E-2</v>
      </c>
      <c r="O18" s="15"/>
      <c r="P18" s="80">
        <f>P34*(1-E44)</f>
        <v>1543606.799880171</v>
      </c>
      <c r="Q18" s="76">
        <f>NPV_Roadmap!C27</f>
        <v>1081.3655107795614</v>
      </c>
      <c r="R18" s="76">
        <f ca="1">NPV_Roadmap!C59</f>
        <v>363.16957310119045</v>
      </c>
      <c r="S18" s="77">
        <f>K18*(H18*(NPV_Roadmap!C22 + NPV_Baseline!B24)  -   H15*NPV_Baseline!B24) * (NPV_Roadmap!C19+NPV_Roadmap!L19)</f>
        <v>296.20195176237479</v>
      </c>
      <c r="T18" s="73">
        <f t="shared" si="1"/>
        <v>5582.4395478630713</v>
      </c>
      <c r="U18" s="73">
        <f ca="1">H18*R18*K18</f>
        <v>1974.3035102856431</v>
      </c>
      <c r="V18" s="70">
        <f t="shared" ref="V18:W20" si="12">V14</f>
        <v>511.77766837889527</v>
      </c>
      <c r="W18" s="70">
        <f t="shared" si="12"/>
        <v>2532.0489928615684</v>
      </c>
      <c r="X18" s="70">
        <f t="shared" si="10"/>
        <v>86</v>
      </c>
      <c r="Y18" s="70">
        <f>V18+W18</f>
        <v>3043.8266612404636</v>
      </c>
      <c r="Z18" s="70">
        <f>T18+W18</f>
        <v>8114.4885407246402</v>
      </c>
      <c r="AA18" s="72">
        <f t="shared" si="0"/>
        <v>2.6658839164703645</v>
      </c>
      <c r="AB18" s="74">
        <f>AB14</f>
        <v>2.4956550618816121E-2</v>
      </c>
      <c r="AC18" s="70">
        <f>Z18*F18</f>
        <v>57544995.913598232</v>
      </c>
      <c r="AD18" s="70">
        <f>AD14</f>
        <v>187701822.1695177</v>
      </c>
      <c r="AE18" s="70">
        <f t="shared" si="3"/>
        <v>-130156826.25591946</v>
      </c>
      <c r="AF18" s="7">
        <f>(AC18+AC19)/AD18</f>
        <v>1.0819670300706967</v>
      </c>
      <c r="AG18" s="7">
        <f>F18*J18/SUMPRODUCT(F18:F20,J18:J20)</f>
        <v>2.3815786039113732E-2</v>
      </c>
      <c r="AH18" s="91">
        <f ca="1">MC_Middle_rd!K20</f>
        <v>16.712542224300797</v>
      </c>
      <c r="AI18" s="113"/>
      <c r="AJ18" s="88"/>
      <c r="AK18" s="92">
        <f>AI18*SUM(AD16:AD18)/SUMPRODUCT(F16:F18,J16:J18)</f>
        <v>0</v>
      </c>
    </row>
    <row r="19" spans="1:37" ht="15.6" x14ac:dyDescent="0.3">
      <c r="A19" s="18"/>
      <c r="B19" t="s">
        <v>4</v>
      </c>
      <c r="E19" s="97">
        <f>F19/SUM(F18:F20)</f>
        <v>0.17894352223221785</v>
      </c>
      <c r="F19" s="98">
        <f>F3*(1-E54)</f>
        <v>54574.761018856821</v>
      </c>
      <c r="G19" s="99">
        <f>G15</f>
        <v>0.76279625000000006</v>
      </c>
      <c r="H19" s="98">
        <f>L19*(1/F19)</f>
        <v>10.380220823261974</v>
      </c>
      <c r="I19" s="100"/>
      <c r="J19" s="99">
        <f t="shared" si="7"/>
        <v>5.8360000000000003</v>
      </c>
      <c r="K19" s="33">
        <f>K15</f>
        <v>0.4541</v>
      </c>
      <c r="L19" s="101">
        <f t="shared" ref="L19:L20" si="13">P19*N19</f>
        <v>566498.07075248344</v>
      </c>
      <c r="M19" s="101">
        <f>H19-H3</f>
        <v>5.5802208232619739</v>
      </c>
      <c r="N19" s="102">
        <v>1</v>
      </c>
      <c r="O19" s="15"/>
      <c r="P19" s="80">
        <f>P33*E46</f>
        <v>566498.07075248344</v>
      </c>
      <c r="Q19" s="76">
        <f>NPV_Roadmap!E27</f>
        <v>34.546068126155319</v>
      </c>
      <c r="R19" s="76">
        <f ca="1">NPV_Roadmap!E59</f>
        <v>30.381709810852012</v>
      </c>
      <c r="S19" s="77">
        <f>K19*(H19*(NPV_Roadmap!E22+NPV_Baseline!B24)  -   H15*NPV_Baseline!B24) * (NPV_Roadmap!E19+NPV_Roadmap!L19)</f>
        <v>28.046775913321245</v>
      </c>
      <c r="T19" s="73">
        <f t="shared" si="1"/>
        <v>134.79158400737592</v>
      </c>
      <c r="U19" s="73">
        <f ca="1">H19*R19*K19</f>
        <v>143.20899788419104</v>
      </c>
      <c r="V19" s="70">
        <f t="shared" si="12"/>
        <v>511.77766837889527</v>
      </c>
      <c r="W19" s="70">
        <f t="shared" si="12"/>
        <v>2532.0489928615684</v>
      </c>
      <c r="X19" s="70">
        <f t="shared" si="10"/>
        <v>86</v>
      </c>
      <c r="Y19" s="70">
        <f>V19+W19</f>
        <v>3043.8266612404636</v>
      </c>
      <c r="Z19" s="70">
        <f>T19+W19</f>
        <v>2666.8405768689445</v>
      </c>
      <c r="AA19" s="72">
        <f t="shared" si="0"/>
        <v>0.87614732166848019</v>
      </c>
      <c r="AB19" s="74">
        <f>AB15</f>
        <v>2.4956550618816121E-2</v>
      </c>
      <c r="AC19" s="70">
        <f>Z19*F19</f>
        <v>145542187.1580129</v>
      </c>
      <c r="AD19" s="70">
        <f>AD15</f>
        <v>0</v>
      </c>
      <c r="AE19" s="70">
        <f t="shared" si="3"/>
        <v>145542187.1580129</v>
      </c>
      <c r="AF19" s="7">
        <v>0</v>
      </c>
      <c r="AG19" s="7">
        <f>F19*J19/SUMPRODUCT(F18:F20,J18:J20)</f>
        <v>0.18327800560535348</v>
      </c>
      <c r="AH19" s="91">
        <f ca="1">MC_Middle_rd!K20</f>
        <v>16.712542224300797</v>
      </c>
      <c r="AI19" s="113"/>
      <c r="AJ19" s="88"/>
      <c r="AK19" s="92">
        <f>AI19*SUM(AD17:AD19)/SUMPRODUCT(F17:F19,J17:J19)</f>
        <v>0</v>
      </c>
    </row>
    <row r="20" spans="1:37" ht="15.6" x14ac:dyDescent="0.3">
      <c r="A20" s="20"/>
      <c r="B20" t="s">
        <v>50</v>
      </c>
      <c r="E20" s="97">
        <f>F20/SUM(F18:F20)</f>
        <v>0.7978039296811098</v>
      </c>
      <c r="F20" s="98">
        <f>F16</f>
        <v>243316.76418970295</v>
      </c>
      <c r="G20" s="99">
        <f>G16</f>
        <v>0.27</v>
      </c>
      <c r="H20" s="98">
        <f>L20*(1/F20)</f>
        <v>5.995100381778351</v>
      </c>
      <c r="I20" s="100"/>
      <c r="J20" s="99">
        <f t="shared" si="7"/>
        <v>5.6630000000000003</v>
      </c>
      <c r="K20" s="33">
        <f>K16</f>
        <v>0.55710000000000004</v>
      </c>
      <c r="L20" s="101">
        <f t="shared" si="13"/>
        <v>1458708.4258867614</v>
      </c>
      <c r="M20" s="101">
        <f>H20-H4</f>
        <v>3.1951003817783512</v>
      </c>
      <c r="N20" s="102">
        <f>N4*(1-E50)</f>
        <v>0.94499999999999995</v>
      </c>
      <c r="O20" s="15"/>
      <c r="P20" s="80">
        <f>P34*(1-E44)</f>
        <v>1543606.799880171</v>
      </c>
      <c r="Q20" s="76">
        <f>NPV_Roadmap!G27</f>
        <v>1125.4488441128947</v>
      </c>
      <c r="R20" s="76">
        <f ca="1">NPV_Roadmap!G59</f>
        <v>356.10750888196367</v>
      </c>
      <c r="S20" s="77">
        <f>K20*(H20*(NPV_Roadmap!G22+NPV_Baseline!E24)  -   H16*NPV_Baseline!E24) * (NPV_Roadmap!G19+NPV_Roadmap!L19)</f>
        <v>59.036987503318002</v>
      </c>
      <c r="T20" s="73">
        <f>H20*K20*Q20-S20</f>
        <v>3699.8163191985464</v>
      </c>
      <c r="U20" s="73">
        <f ca="1">H20*R20*K20</f>
        <v>1189.3529362122308</v>
      </c>
      <c r="V20" s="70">
        <f t="shared" si="12"/>
        <v>292.59830646304999</v>
      </c>
      <c r="W20" s="70">
        <f t="shared" si="12"/>
        <v>2549.5329853259786</v>
      </c>
      <c r="X20" s="70">
        <f t="shared" si="10"/>
        <v>80</v>
      </c>
      <c r="Y20" s="70">
        <f>V20+W20</f>
        <v>2842.1312917890286</v>
      </c>
      <c r="Z20" s="70">
        <f>T20+W20</f>
        <v>6249.349304524525</v>
      </c>
      <c r="AA20" s="72">
        <f t="shared" si="0"/>
        <v>2.1988249883385098</v>
      </c>
      <c r="AB20" s="74">
        <f>AB16</f>
        <v>2.4956550618816128E-2</v>
      </c>
      <c r="AC20" s="70">
        <f>Z20*F20</f>
        <v>1520571451.068078</v>
      </c>
      <c r="AD20" s="70">
        <f>AD16</f>
        <v>691538189.32040691</v>
      </c>
      <c r="AE20" s="70">
        <f t="shared" si="3"/>
        <v>829033261.74767113</v>
      </c>
      <c r="AF20" s="7">
        <f>AC20/AD20</f>
        <v>2.1988249883385098</v>
      </c>
      <c r="AG20" s="7">
        <f>F20*J20/SUMPRODUCT(F18:F20,J18:J20)</f>
        <v>0.79290620835553272</v>
      </c>
      <c r="AH20" s="91">
        <f ca="1">MC_Middle_rd!K20</f>
        <v>16.712542224300797</v>
      </c>
      <c r="AI20" s="113">
        <f>-1+SUM(AC18:AC20)/SUM(AC3:AC4)</f>
        <v>0.93253598991787356</v>
      </c>
      <c r="AJ20" s="88">
        <f ca="1">MC_Middle_rd!K20</f>
        <v>16.712542224300797</v>
      </c>
      <c r="AK20" s="92">
        <f>(AI20)*SUM(AD18:AD20)/SUMPRODUCT(F18:F20,J18:J20)</f>
        <v>471.81991660710941</v>
      </c>
    </row>
    <row r="21" spans="1:37" x14ac:dyDescent="0.3">
      <c r="A21" s="2"/>
      <c r="I21" s="47"/>
      <c r="N21" s="3"/>
      <c r="O21" s="3"/>
      <c r="R21" s="8"/>
      <c r="S21" s="8"/>
      <c r="T21" s="8"/>
      <c r="U21" s="8"/>
      <c r="V21" s="6"/>
      <c r="W21" s="7"/>
      <c r="X21" s="7"/>
      <c r="Y21" s="1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 x14ac:dyDescent="0.3">
      <c r="R22" s="9"/>
      <c r="S22" s="9"/>
      <c r="T22" s="9"/>
      <c r="U22" s="9"/>
      <c r="V22" s="7"/>
      <c r="W22" s="7"/>
      <c r="X22" s="7"/>
      <c r="Y22" s="1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3">
      <c r="E23" s="122" t="s">
        <v>66</v>
      </c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R23" s="9"/>
      <c r="S23" s="9"/>
      <c r="T23" s="9"/>
      <c r="U23" s="9"/>
      <c r="V23" s="7"/>
      <c r="W23" s="7"/>
      <c r="X23" s="7"/>
      <c r="Y23" s="1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 x14ac:dyDescent="0.3">
      <c r="E24" t="s">
        <v>0</v>
      </c>
      <c r="H24" s="1"/>
      <c r="I24" s="45"/>
      <c r="J24" s="39"/>
      <c r="K24" s="1"/>
      <c r="L24" t="s">
        <v>64</v>
      </c>
      <c r="M24" t="s">
        <v>65</v>
      </c>
      <c r="N24" t="s">
        <v>1</v>
      </c>
      <c r="O24" t="s">
        <v>2</v>
      </c>
      <c r="P24" t="s">
        <v>3</v>
      </c>
      <c r="AC24" s="7"/>
      <c r="AE24" s="24"/>
    </row>
    <row r="25" spans="1:37" x14ac:dyDescent="0.3">
      <c r="A25" s="2" t="s">
        <v>138</v>
      </c>
      <c r="B25" t="s">
        <v>4</v>
      </c>
      <c r="E25" s="58">
        <f>[6]Rungwe!D19</f>
        <v>1.0324753493684273</v>
      </c>
      <c r="F25" s="87">
        <f>1-F26</f>
        <v>0.31610000000000005</v>
      </c>
      <c r="G25" s="10"/>
      <c r="H25" s="4">
        <f>F25*Q41</f>
        <v>314892.23811817856</v>
      </c>
      <c r="I25" s="4"/>
      <c r="J25" s="4"/>
      <c r="L25" s="4">
        <f>H25*E25^12</f>
        <v>462081.15205524612</v>
      </c>
      <c r="M25" s="24">
        <f>L25/(L25+L26)</f>
        <v>0.28960993500030624</v>
      </c>
      <c r="N25" s="3">
        <f>SUM(L25+L26)</f>
        <v>1595529.3524538705</v>
      </c>
      <c r="O25">
        <v>1</v>
      </c>
      <c r="P25" s="40">
        <f>N25*O25*M25</f>
        <v>462081.15205524612</v>
      </c>
      <c r="Q25" s="94"/>
    </row>
    <row r="26" spans="1:37" x14ac:dyDescent="0.3">
      <c r="A26" s="2"/>
      <c r="B26" t="s">
        <v>5</v>
      </c>
      <c r="E26" s="58">
        <f>[6]Rungwe!D20</f>
        <v>1.0433322562243532</v>
      </c>
      <c r="F26" s="58">
        <f>[2]prod_herd_data!J3</f>
        <v>0.68389999999999995</v>
      </c>
      <c r="H26" s="4">
        <f>F26*Q41</f>
        <v>681286.93973116821</v>
      </c>
      <c r="I26" s="4"/>
      <c r="J26" s="4"/>
      <c r="L26" s="4">
        <f>H26*E26^12</f>
        <v>1133448.2003986244</v>
      </c>
      <c r="M26" s="4">
        <f>L26/(L25+L26)</f>
        <v>0.71039006499969382</v>
      </c>
      <c r="N26" s="3"/>
      <c r="O26">
        <v>1</v>
      </c>
      <c r="P26" s="40">
        <f>N25*O26*M26</f>
        <v>1133448.2003986244</v>
      </c>
      <c r="Q26" s="24">
        <f>P26/(P25+P26)</f>
        <v>0.71039006499969382</v>
      </c>
    </row>
    <row r="27" spans="1:37" x14ac:dyDescent="0.3">
      <c r="A27" s="2" t="str">
        <f>[2]prod_herd_data!A24</f>
        <v>Inclusive</v>
      </c>
      <c r="B27" t="s">
        <v>4</v>
      </c>
      <c r="P27" s="40">
        <f>([2]prod_herd_data!J25*[2]prod_herd_data!J30+[2]prod_herd_data!K25*[2]prod_herd_data!K30)</f>
        <v>492209.39254469034</v>
      </c>
      <c r="Q27" s="24"/>
    </row>
    <row r="28" spans="1:37" x14ac:dyDescent="0.3">
      <c r="A28" s="2"/>
      <c r="B28" t="s">
        <v>5</v>
      </c>
      <c r="H28" s="4"/>
      <c r="I28" s="4"/>
      <c r="J28" s="4"/>
      <c r="L28" s="4"/>
      <c r="P28" s="40">
        <f>([2]prod_herd_data!J24*[2]prod_herd_data!J30+[2]prod_herd_data!K24*[2]prod_herd_data!K30)</f>
        <v>2789186.5577532449</v>
      </c>
      <c r="Q28" s="24">
        <f>P28/(P27+P28)</f>
        <v>0.85</v>
      </c>
    </row>
    <row r="29" spans="1:37" x14ac:dyDescent="0.3">
      <c r="A29" s="2" t="str">
        <f>[2]prod_herd_data!A33</f>
        <v>Inequitable</v>
      </c>
      <c r="B29" t="s">
        <v>4</v>
      </c>
      <c r="P29" s="40">
        <f>([2]prod_herd_data!J34*[2]prod_herd_data!J39+[2]prod_herd_data!K34*[2]prod_herd_data!K39)</f>
        <v>492209.39254469034</v>
      </c>
      <c r="Q29" s="24"/>
    </row>
    <row r="30" spans="1:37" x14ac:dyDescent="0.3">
      <c r="A30" s="2"/>
      <c r="B30" t="s">
        <v>5</v>
      </c>
      <c r="P30" s="40">
        <f>([2]prod_herd_data!J33*[2]prod_herd_data!J39+[2]prod_herd_data!K33*[2]prod_herd_data!K39)</f>
        <v>2789186.5577532449</v>
      </c>
      <c r="Q30" s="24">
        <f t="shared" ref="Q30:Q34" si="14">P30/(P29+P30)</f>
        <v>0.85</v>
      </c>
    </row>
    <row r="31" spans="1:37" x14ac:dyDescent="0.3">
      <c r="A31" s="2" t="str">
        <f>[2]prod_herd_data!A42</f>
        <v>Status quo</v>
      </c>
      <c r="B31" t="s">
        <v>4</v>
      </c>
      <c r="O31" s="4">
        <f>H25*(E25^12)*([2]prod_herd_data!$D$49*[2]prod_herd_data!$D$5+[2]prod_herd_data!$E$49*[2]prod_herd_data!$E$5)</f>
        <v>1385340.7841198549</v>
      </c>
      <c r="P31" s="40">
        <f>([2]prod_herd_data!J43*[2]prod_herd_data!J48+[2]prod_herd_data!K43*[2]prod_herd_data!K48)</f>
        <v>1183001.4129718482</v>
      </c>
      <c r="Q31" s="24"/>
    </row>
    <row r="32" spans="1:37" x14ac:dyDescent="0.3">
      <c r="A32" s="2"/>
      <c r="B32" t="s">
        <v>5</v>
      </c>
      <c r="P32" s="40">
        <f>([2]prod_herd_data!J42*[2]prod_herd_data!J48+[2]prod_herd_data!K42*[2]prod_herd_data!K48)</f>
        <v>2901808.0842251228</v>
      </c>
      <c r="Q32" s="24">
        <f t="shared" si="14"/>
        <v>0.71039006499969382</v>
      </c>
    </row>
    <row r="33" spans="1:21" x14ac:dyDescent="0.3">
      <c r="A33" s="2" t="str">
        <f>[2]prod_herd_data!A51</f>
        <v>Middle road</v>
      </c>
      <c r="B33" t="s">
        <v>4</v>
      </c>
      <c r="O33" s="4"/>
      <c r="P33" s="40">
        <f>([2]prod_herd_data!J57*[2]prod_herd_data!J52+[2]prod_herd_data!K57*[2]prod_herd_data!K52)</f>
        <v>602657.52207711013</v>
      </c>
      <c r="Q33" s="24"/>
    </row>
    <row r="34" spans="1:21" x14ac:dyDescent="0.3">
      <c r="B34" t="s">
        <v>5</v>
      </c>
      <c r="O34" s="4"/>
      <c r="P34" s="40">
        <f>([2]prod_herd_data!J57*[2]prod_herd_data!J51+[2]prod_herd_data!K57*[2]prod_herd_data!K51)</f>
        <v>3415059.2917702901</v>
      </c>
      <c r="Q34" s="24">
        <f t="shared" si="14"/>
        <v>0.85</v>
      </c>
    </row>
    <row r="37" spans="1:21" x14ac:dyDescent="0.3">
      <c r="E37" s="25"/>
    </row>
    <row r="38" spans="1:21" x14ac:dyDescent="0.3">
      <c r="E38" s="25"/>
    </row>
    <row r="41" spans="1:21" x14ac:dyDescent="0.3">
      <c r="P41" s="109" t="s">
        <v>142</v>
      </c>
      <c r="Q41" s="110">
        <f>([2]prod_herd_data!J8+[2]prod_herd_data!K8)</f>
        <v>996179.17784934677</v>
      </c>
    </row>
    <row r="42" spans="1:21" x14ac:dyDescent="0.3">
      <c r="B42" s="114" t="s">
        <v>95</v>
      </c>
      <c r="C42" s="95"/>
      <c r="D42" s="95"/>
      <c r="E42" s="95"/>
      <c r="F42" s="95" t="s">
        <v>22</v>
      </c>
      <c r="G42" s="95"/>
      <c r="H42" s="95"/>
    </row>
    <row r="43" spans="1:21" x14ac:dyDescent="0.3">
      <c r="B43" s="95"/>
      <c r="C43" s="95"/>
      <c r="D43" s="95"/>
      <c r="E43" s="95"/>
      <c r="F43" s="95"/>
      <c r="G43" s="95"/>
      <c r="H43" s="95"/>
    </row>
    <row r="44" spans="1:21" x14ac:dyDescent="0.3">
      <c r="B44" s="95" t="s">
        <v>150</v>
      </c>
      <c r="C44" s="95"/>
      <c r="D44" s="95"/>
      <c r="E44" s="95">
        <f>0.548</f>
        <v>0.54800000000000004</v>
      </c>
      <c r="F44" s="95"/>
      <c r="G44" s="95"/>
      <c r="H44" s="95"/>
    </row>
    <row r="45" spans="1:21" x14ac:dyDescent="0.3">
      <c r="B45" s="95"/>
      <c r="C45" s="95"/>
      <c r="D45" s="95"/>
      <c r="E45" s="95"/>
      <c r="F45" s="95"/>
      <c r="G45" s="95"/>
      <c r="H45" s="95"/>
    </row>
    <row r="46" spans="1:21" x14ac:dyDescent="0.3">
      <c r="B46" s="95" t="s">
        <v>55</v>
      </c>
      <c r="C46" s="95"/>
      <c r="D46" s="95"/>
      <c r="E46" s="95">
        <f>0.94</f>
        <v>0.94</v>
      </c>
      <c r="F46" s="95"/>
      <c r="G46" s="95"/>
      <c r="H46" s="95"/>
    </row>
    <row r="47" spans="1:21" x14ac:dyDescent="0.3">
      <c r="B47" s="95" t="s">
        <v>146</v>
      </c>
      <c r="C47" s="95"/>
      <c r="D47" s="95"/>
      <c r="E47" s="95">
        <f>0.1</f>
        <v>0.1</v>
      </c>
      <c r="F47" s="95"/>
      <c r="G47" s="95"/>
      <c r="H47" s="95"/>
      <c r="R47" s="2" t="s">
        <v>141</v>
      </c>
    </row>
    <row r="48" spans="1:21" x14ac:dyDescent="0.3">
      <c r="B48" s="95" t="s">
        <v>147</v>
      </c>
      <c r="C48" s="95"/>
      <c r="D48" s="95"/>
      <c r="E48" s="95">
        <f>0.01</f>
        <v>0.01</v>
      </c>
      <c r="F48" s="95"/>
      <c r="G48" s="95"/>
      <c r="H48" s="95"/>
      <c r="R48" s="103" t="s">
        <v>32</v>
      </c>
      <c r="S48" s="21"/>
      <c r="T48" s="11"/>
      <c r="U48" s="11"/>
    </row>
    <row r="49" spans="2:19" x14ac:dyDescent="0.3">
      <c r="B49" s="95" t="s">
        <v>148</v>
      </c>
      <c r="C49" s="95"/>
      <c r="D49" s="95"/>
      <c r="E49" s="95">
        <f>E48</f>
        <v>0.01</v>
      </c>
      <c r="F49" s="95"/>
      <c r="G49" s="95"/>
      <c r="H49" s="95"/>
      <c r="P49" s="21"/>
      <c r="R49" s="95" t="s">
        <v>41</v>
      </c>
      <c r="S49" s="29"/>
    </row>
    <row r="50" spans="2:19" x14ac:dyDescent="0.3">
      <c r="B50" s="95" t="s">
        <v>23</v>
      </c>
      <c r="C50" s="95"/>
      <c r="D50" s="95"/>
      <c r="E50" s="95">
        <f>E48+(E47-E48)/2</f>
        <v>5.5000000000000007E-2</v>
      </c>
      <c r="F50" s="95"/>
      <c r="G50" s="95"/>
      <c r="H50" s="95" t="s">
        <v>137</v>
      </c>
      <c r="P50" s="21"/>
      <c r="R50" s="108" t="s">
        <v>21</v>
      </c>
      <c r="S50" s="29"/>
    </row>
    <row r="51" spans="2:19" x14ac:dyDescent="0.3">
      <c r="B51" s="95" t="s">
        <v>149</v>
      </c>
      <c r="C51" s="95"/>
      <c r="D51" s="95"/>
      <c r="E51" s="96">
        <f>0.19</f>
        <v>0.19</v>
      </c>
      <c r="F51" s="96">
        <f>(E6+E8*H51)/SUM(E6,E7,E8*H51)</f>
        <v>0.82717089859253745</v>
      </c>
      <c r="G51" s="53"/>
      <c r="H51" s="96">
        <f>1-0.06563707</f>
        <v>0.93436293000000004</v>
      </c>
      <c r="P51" s="29"/>
      <c r="R51" s="22"/>
      <c r="S51" s="22"/>
    </row>
    <row r="52" spans="2:19" x14ac:dyDescent="0.3">
      <c r="B52" s="95" t="s">
        <v>96</v>
      </c>
      <c r="C52" s="95"/>
      <c r="D52" s="95"/>
      <c r="E52" s="96">
        <f>0.04</f>
        <v>0.04</v>
      </c>
      <c r="F52" s="96">
        <f>(E10+E12*H51)/SUM(E10,E11,E12*H51)</f>
        <v>0.79516550944300746</v>
      </c>
      <c r="G52" s="53"/>
      <c r="H52" s="95"/>
      <c r="P52" s="22"/>
      <c r="R52" s="30"/>
      <c r="S52" s="30"/>
    </row>
    <row r="53" spans="2:19" x14ac:dyDescent="0.3">
      <c r="B53" s="95" t="s">
        <v>97</v>
      </c>
      <c r="C53" s="95"/>
      <c r="D53" s="95"/>
      <c r="E53" s="96">
        <f>E52</f>
        <v>0.04</v>
      </c>
      <c r="F53" s="96">
        <f>(E14+E16*H51)/SUM(E14,E15,E16*H51)</f>
        <v>0.79516550944300746</v>
      </c>
      <c r="G53" s="53"/>
      <c r="H53" s="95"/>
      <c r="P53" s="22"/>
      <c r="R53" s="30"/>
      <c r="S53" s="30"/>
    </row>
    <row r="54" spans="2:19" x14ac:dyDescent="0.3">
      <c r="B54" s="95" t="s">
        <v>51</v>
      </c>
      <c r="C54" s="95"/>
      <c r="D54" s="95"/>
      <c r="E54" s="96">
        <f>E52+(E51-E52)*0.5</f>
        <v>0.11499999999999999</v>
      </c>
      <c r="F54" s="96">
        <f>(E18+E20*H51)/SUM(E18,E19,E20*H51)</f>
        <v>0.81116820401777256</v>
      </c>
      <c r="G54" s="53"/>
      <c r="H54" s="95"/>
      <c r="P54" s="30"/>
      <c r="R54" s="31"/>
      <c r="S54" s="31"/>
    </row>
    <row r="55" spans="2:19" x14ac:dyDescent="0.3">
      <c r="B55" s="65"/>
      <c r="C55" s="65"/>
      <c r="D55" s="65"/>
      <c r="E55" s="65"/>
      <c r="F55" s="65"/>
      <c r="G55" s="65"/>
      <c r="H55" s="65"/>
      <c r="P55" s="31"/>
      <c r="R55" s="32"/>
      <c r="S55" s="32"/>
    </row>
    <row r="56" spans="2:19" x14ac:dyDescent="0.3">
      <c r="P56" s="32"/>
      <c r="Q56" s="21">
        <f>[1]All!$B$12</f>
        <v>259</v>
      </c>
      <c r="R56" s="21" t="s">
        <v>39</v>
      </c>
      <c r="S56" s="21"/>
    </row>
    <row r="58" spans="2:19" x14ac:dyDescent="0.3">
      <c r="G58" s="44"/>
      <c r="H58" s="44"/>
      <c r="I58" s="44"/>
      <c r="J58" s="44"/>
      <c r="K58" s="44"/>
    </row>
    <row r="59" spans="2:19" ht="15.6" x14ac:dyDescent="0.3">
      <c r="G59" s="44"/>
      <c r="H59" s="44"/>
      <c r="I59" s="44"/>
      <c r="J59" s="44"/>
      <c r="K59" s="44"/>
      <c r="Q59" s="49"/>
    </row>
    <row r="60" spans="2:19" x14ac:dyDescent="0.3">
      <c r="G60" s="44"/>
      <c r="H60" s="44"/>
      <c r="I60" s="44"/>
      <c r="J60" s="44"/>
      <c r="K60" s="44"/>
    </row>
    <row r="62" spans="2:19" x14ac:dyDescent="0.3">
      <c r="G62" s="40"/>
      <c r="H62" s="40"/>
      <c r="I62" s="40"/>
      <c r="J62" s="40"/>
      <c r="K62" s="40"/>
    </row>
    <row r="63" spans="2:19" x14ac:dyDescent="0.3">
      <c r="G63" s="40"/>
      <c r="H63" s="40"/>
      <c r="I63" s="40"/>
      <c r="J63" s="40"/>
      <c r="K63" s="40"/>
    </row>
    <row r="64" spans="2:19" x14ac:dyDescent="0.3">
      <c r="G64" s="40"/>
      <c r="H64" s="40"/>
      <c r="I64" s="40"/>
      <c r="J64" s="40"/>
      <c r="K64" s="40"/>
    </row>
    <row r="66" spans="6:10" x14ac:dyDescent="0.3">
      <c r="J66" s="44"/>
    </row>
    <row r="70" spans="6:10" x14ac:dyDescent="0.3">
      <c r="J70" s="44"/>
    </row>
    <row r="73" spans="6:10" x14ac:dyDescent="0.3">
      <c r="F73" s="43"/>
      <c r="G73" s="43"/>
      <c r="H73" s="43"/>
      <c r="I73" s="43"/>
      <c r="J73" s="43"/>
    </row>
    <row r="74" spans="6:10" x14ac:dyDescent="0.3">
      <c r="F74" s="43"/>
      <c r="G74" s="43"/>
      <c r="H74" s="43"/>
      <c r="I74" s="43"/>
      <c r="J74" s="43"/>
    </row>
    <row r="75" spans="6:10" x14ac:dyDescent="0.3">
      <c r="F75" s="43"/>
      <c r="G75" s="43"/>
      <c r="H75" s="43"/>
      <c r="I75" s="43"/>
      <c r="J75" s="43"/>
    </row>
    <row r="77" spans="6:10" x14ac:dyDescent="0.3">
      <c r="H77" s="43"/>
      <c r="I77" s="43"/>
    </row>
    <row r="78" spans="6:10" x14ac:dyDescent="0.3">
      <c r="F78" s="42"/>
      <c r="G78" s="42"/>
      <c r="H78" s="42"/>
      <c r="I78" s="42"/>
      <c r="J78" s="42"/>
    </row>
    <row r="79" spans="6:10" x14ac:dyDescent="0.3">
      <c r="F79" s="42"/>
      <c r="G79" s="42"/>
      <c r="H79" s="42"/>
      <c r="I79" s="42"/>
      <c r="J79" s="42"/>
    </row>
    <row r="80" spans="6:10" x14ac:dyDescent="0.3">
      <c r="F80" s="42"/>
      <c r="G80" s="42"/>
      <c r="H80" s="42"/>
      <c r="I80" s="42"/>
      <c r="J80" s="42"/>
    </row>
    <row r="81" spans="6:13" x14ac:dyDescent="0.3">
      <c r="H81" s="43"/>
      <c r="I81" s="43"/>
    </row>
    <row r="85" spans="6:13" x14ac:dyDescent="0.3">
      <c r="H85" s="43"/>
      <c r="I85" s="43"/>
      <c r="J85" s="40"/>
      <c r="K85" s="40"/>
      <c r="L85" s="40"/>
      <c r="M85" s="40"/>
    </row>
    <row r="86" spans="6:13" x14ac:dyDescent="0.3">
      <c r="J86" s="40"/>
      <c r="K86" s="40"/>
      <c r="L86" s="40"/>
      <c r="M86" s="40"/>
    </row>
    <row r="87" spans="6:13" x14ac:dyDescent="0.3">
      <c r="J87" s="40"/>
      <c r="K87" s="40"/>
      <c r="L87" s="40"/>
      <c r="M87" s="40"/>
    </row>
    <row r="93" spans="6:13" x14ac:dyDescent="0.3">
      <c r="F93" s="7"/>
      <c r="G93" s="7"/>
      <c r="H93" s="7"/>
      <c r="I93" s="7"/>
      <c r="J93" s="7"/>
    </row>
    <row r="94" spans="6:13" x14ac:dyDescent="0.3">
      <c r="F94" s="7"/>
      <c r="G94" s="7"/>
      <c r="H94" s="7"/>
      <c r="I94" s="7"/>
      <c r="J94" s="7"/>
    </row>
    <row r="95" spans="6:13" x14ac:dyDescent="0.3">
      <c r="F95" s="7"/>
      <c r="G95" s="7"/>
      <c r="H95" s="7"/>
      <c r="I95" s="7"/>
      <c r="J95" s="7"/>
    </row>
    <row r="96" spans="6:13" x14ac:dyDescent="0.3">
      <c r="H96" s="7"/>
      <c r="I96" s="7"/>
    </row>
    <row r="100" spans="4:11" x14ac:dyDescent="0.3">
      <c r="H100" s="7"/>
      <c r="I100" s="7"/>
    </row>
    <row r="102" spans="4:11" x14ac:dyDescent="0.3">
      <c r="D102" s="16"/>
      <c r="E102" s="16"/>
      <c r="F102" s="16"/>
      <c r="G102" s="3"/>
      <c r="H102" s="3"/>
      <c r="I102" s="3"/>
      <c r="J102" s="41"/>
      <c r="K102" s="3"/>
    </row>
    <row r="103" spans="4:11" x14ac:dyDescent="0.3">
      <c r="D103" s="16"/>
      <c r="E103" s="16"/>
      <c r="F103" s="16"/>
      <c r="G103" s="3"/>
      <c r="H103" s="3"/>
      <c r="I103" s="3"/>
      <c r="J103" s="36"/>
      <c r="K103" s="3"/>
    </row>
    <row r="104" spans="4:11" x14ac:dyDescent="0.3">
      <c r="D104" s="16"/>
      <c r="E104" s="16"/>
      <c r="F104" s="16"/>
      <c r="G104" s="3"/>
      <c r="H104" s="3"/>
      <c r="I104" s="3"/>
      <c r="J104" s="3"/>
      <c r="K104" s="3"/>
    </row>
    <row r="105" spans="4:11" x14ac:dyDescent="0.3">
      <c r="J105" s="3"/>
    </row>
    <row r="106" spans="4:11" x14ac:dyDescent="0.3">
      <c r="G106" s="42"/>
      <c r="H106" s="42"/>
      <c r="I106" s="42"/>
      <c r="J106" s="42"/>
      <c r="K106" s="42"/>
    </row>
    <row r="107" spans="4:11" x14ac:dyDescent="0.3">
      <c r="G107" s="42"/>
      <c r="H107" s="42"/>
      <c r="I107" s="42"/>
      <c r="J107" s="42"/>
      <c r="K107" s="42"/>
    </row>
    <row r="108" spans="4:11" x14ac:dyDescent="0.3">
      <c r="D108" s="40"/>
      <c r="E108" s="40"/>
      <c r="F108" s="40"/>
      <c r="G108" s="42"/>
      <c r="H108" s="42"/>
      <c r="I108" s="42"/>
      <c r="J108" s="42"/>
      <c r="K108" s="42"/>
    </row>
    <row r="109" spans="4:11" x14ac:dyDescent="0.3">
      <c r="D109" s="40"/>
      <c r="E109" s="40"/>
      <c r="F109" s="40"/>
    </row>
    <row r="110" spans="4:11" x14ac:dyDescent="0.3">
      <c r="D110" s="40"/>
      <c r="E110" s="40"/>
      <c r="F110" s="40"/>
      <c r="G110" s="40"/>
    </row>
    <row r="113" spans="10:10" x14ac:dyDescent="0.3">
      <c r="J113" s="3"/>
    </row>
  </sheetData>
  <mergeCells count="5">
    <mergeCell ref="Q1:U1"/>
    <mergeCell ref="V1:AA1"/>
    <mergeCell ref="AB1:AH1"/>
    <mergeCell ref="C1:P1"/>
    <mergeCell ref="E23:P23"/>
  </mergeCells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C3:J129"/>
  <sheetViews>
    <sheetView workbookViewId="0">
      <selection activeCell="D10" sqref="D10"/>
    </sheetView>
  </sheetViews>
  <sheetFormatPr defaultRowHeight="14.4" x14ac:dyDescent="0.3"/>
  <cols>
    <col min="3" max="3" width="37" customWidth="1"/>
    <col min="4" max="4" width="12.77734375" customWidth="1"/>
    <col min="5" max="5" width="14" customWidth="1"/>
    <col min="7" max="7" width="19.77734375" bestFit="1" customWidth="1"/>
    <col min="8" max="8" width="8.88671875" customWidth="1"/>
    <col min="9" max="9" width="31.5546875" customWidth="1"/>
  </cols>
  <sheetData>
    <row r="3" spans="3:9" x14ac:dyDescent="0.3">
      <c r="D3" s="54"/>
      <c r="E3" s="54"/>
      <c r="G3" s="2"/>
      <c r="H3" s="2"/>
      <c r="I3" s="2"/>
    </row>
    <row r="4" spans="3:9" x14ac:dyDescent="0.3">
      <c r="D4" s="2" t="s">
        <v>4</v>
      </c>
      <c r="E4" s="2" t="s">
        <v>5</v>
      </c>
      <c r="G4" s="2" t="s">
        <v>68</v>
      </c>
      <c r="H4" s="2"/>
      <c r="I4" s="2"/>
    </row>
    <row r="5" spans="3:9" x14ac:dyDescent="0.3">
      <c r="C5" t="s">
        <v>71</v>
      </c>
      <c r="D5" s="40">
        <f>Mappings!Q3</f>
        <v>160.00453552674057</v>
      </c>
      <c r="E5" s="40">
        <f>Mappings!Q4</f>
        <v>249.4425685382206</v>
      </c>
      <c r="F5" s="40"/>
      <c r="G5" s="40"/>
      <c r="H5" s="40"/>
      <c r="I5" s="40"/>
    </row>
    <row r="6" spans="3:9" x14ac:dyDescent="0.3">
      <c r="C6" t="s">
        <v>72</v>
      </c>
      <c r="D6" s="40">
        <f ca="1">_xlfn.NORM.INV(RAND(),Mappings!Q3,Mappings!R3)</f>
        <v>120.33707083690081</v>
      </c>
      <c r="E6" s="40">
        <f ca="1">_xlfn.NORM.INV(RAND(),Mappings!Q4,Mappings!R4)</f>
        <v>43.941061491697411</v>
      </c>
      <c r="F6" s="40"/>
      <c r="G6" s="40"/>
      <c r="H6" s="40"/>
      <c r="I6" s="40"/>
    </row>
    <row r="7" spans="3:9" x14ac:dyDescent="0.3">
      <c r="C7" t="s">
        <v>73</v>
      </c>
      <c r="D7" s="40">
        <f>Mappings!H3*Mappings!K3</f>
        <v>2.1796799999999998</v>
      </c>
      <c r="E7" s="40">
        <f>Mappings!H4*Mappings!K4</f>
        <v>1.5598799999999999</v>
      </c>
      <c r="F7" s="40"/>
      <c r="G7" s="40"/>
      <c r="H7" s="40"/>
      <c r="I7" s="40"/>
    </row>
    <row r="8" spans="3:9" x14ac:dyDescent="0.3">
      <c r="C8" t="s">
        <v>74</v>
      </c>
      <c r="D8" s="40">
        <f ca="1">_xlfn.NORM.INV(RAND(),D7,D7*Mappings!G3)</f>
        <v>3.4772220518861428</v>
      </c>
      <c r="E8" s="40">
        <f ca="1">_xlfn.NORM.INV(RAND(),E7,E7*Mappings!G4)</f>
        <v>2.063472361955311</v>
      </c>
      <c r="F8" s="40"/>
      <c r="G8" s="40"/>
      <c r="H8" s="40"/>
      <c r="I8" s="40"/>
    </row>
    <row r="9" spans="3:9" x14ac:dyDescent="0.3">
      <c r="C9" t="s">
        <v>75</v>
      </c>
      <c r="D9" s="40">
        <f>Mappings!W3</f>
        <v>2532.0489928615684</v>
      </c>
      <c r="E9" s="40">
        <f>Mappings!W4</f>
        <v>2549.5329853259786</v>
      </c>
      <c r="F9" s="40"/>
      <c r="G9" s="40"/>
      <c r="H9" s="40"/>
      <c r="I9" s="40"/>
    </row>
    <row r="10" spans="3:9" x14ac:dyDescent="0.3">
      <c r="C10" t="s">
        <v>76</v>
      </c>
      <c r="D10" s="40">
        <f ca="1">_xlfn.NORM.INV(RAND(),D9,Mappings!X3*D9/100)</f>
        <v>2001.4245263400421</v>
      </c>
      <c r="E10" s="40">
        <f ca="1">_xlfn.NORM.INV(RAND(),E9,Mappings!X4*E9/100)</f>
        <v>4758.8794712860745</v>
      </c>
      <c r="F10" s="40"/>
      <c r="G10" s="40"/>
      <c r="H10" s="40"/>
      <c r="I10" s="40"/>
    </row>
    <row r="11" spans="3:9" x14ac:dyDescent="0.3">
      <c r="C11" t="s">
        <v>77</v>
      </c>
      <c r="D11" s="40">
        <f>Mappings!F3</f>
        <v>61666.396631476637</v>
      </c>
      <c r="E11" s="40">
        <f>Mappings!F4</f>
        <v>243316.76418970295</v>
      </c>
      <c r="F11" s="40"/>
      <c r="G11" s="40"/>
      <c r="H11" s="40"/>
      <c r="I11" s="40"/>
    </row>
    <row r="12" spans="3:9" x14ac:dyDescent="0.3">
      <c r="C12" t="s">
        <v>78</v>
      </c>
      <c r="D12" s="40">
        <f>Mappings!AB3*D11</f>
        <v>1538.9805490134386</v>
      </c>
      <c r="E12" s="40">
        <f>Mappings!AB4*E11</f>
        <v>6072.3471419068692</v>
      </c>
      <c r="F12" s="40"/>
      <c r="G12" s="40"/>
      <c r="H12" s="40"/>
      <c r="I12" s="40"/>
    </row>
    <row r="13" spans="3:9" x14ac:dyDescent="0.3">
      <c r="D13" s="40"/>
      <c r="E13" s="40"/>
      <c r="F13" s="40"/>
      <c r="G13" s="40"/>
      <c r="H13" s="40"/>
      <c r="I13" s="40"/>
    </row>
    <row r="14" spans="3:9" x14ac:dyDescent="0.3">
      <c r="C14" t="s">
        <v>79</v>
      </c>
      <c r="D14" s="40">
        <f ca="1">D6*D8</f>
        <v>418.43871637345632</v>
      </c>
      <c r="E14" s="40">
        <f ca="1">E6*E8</f>
        <v>90.671165943096426</v>
      </c>
      <c r="F14" s="40"/>
      <c r="G14" s="40"/>
      <c r="H14" s="40"/>
      <c r="I14" s="40"/>
    </row>
    <row r="15" spans="3:9" x14ac:dyDescent="0.3">
      <c r="C15" t="s">
        <v>80</v>
      </c>
      <c r="D15" s="40">
        <f ca="1">D10</f>
        <v>2001.4245263400421</v>
      </c>
      <c r="E15" s="40">
        <f ca="1">E10</f>
        <v>4758.8794712860745</v>
      </c>
      <c r="F15" s="40"/>
      <c r="G15" s="40"/>
      <c r="H15" s="40"/>
      <c r="I15" s="40"/>
    </row>
    <row r="16" spans="3:9" x14ac:dyDescent="0.3">
      <c r="C16" t="s">
        <v>77</v>
      </c>
      <c r="D16" s="40">
        <f ca="1">_xlfn.NORM.INV(RAND(),D11,D12)</f>
        <v>62831.286538634631</v>
      </c>
      <c r="E16" s="40">
        <f t="shared" ref="E16" ca="1" si="0">_xlfn.NORM.INV(RAND(),E11,E12)</f>
        <v>242685.68433754667</v>
      </c>
      <c r="F16" s="40"/>
      <c r="G16" s="40"/>
      <c r="H16" s="40"/>
      <c r="I16" s="40"/>
    </row>
    <row r="17" spans="3:10" x14ac:dyDescent="0.3">
      <c r="D17" s="40"/>
      <c r="E17" s="40"/>
      <c r="F17" s="40"/>
      <c r="G17" s="40"/>
      <c r="H17" s="40"/>
      <c r="I17" s="40"/>
    </row>
    <row r="18" spans="3:10" x14ac:dyDescent="0.3">
      <c r="C18" t="s">
        <v>81</v>
      </c>
      <c r="D18" s="40">
        <f ca="1">(D14+D15)*D16</f>
        <v>152043120.7872414</v>
      </c>
      <c r="E18" s="40">
        <f ca="1">(E14+E15)*E16</f>
        <v>1176916515.1255469</v>
      </c>
      <c r="F18" s="40"/>
      <c r="G18" s="40">
        <f ca="1">D18+E18</f>
        <v>1328959635.9127884</v>
      </c>
      <c r="H18" s="40"/>
      <c r="I18" s="40"/>
    </row>
    <row r="19" spans="3:10" x14ac:dyDescent="0.3">
      <c r="C19" t="s">
        <v>82</v>
      </c>
      <c r="D19" s="40" t="s">
        <v>91</v>
      </c>
      <c r="E19" s="40" t="s">
        <v>91</v>
      </c>
      <c r="F19" s="40"/>
      <c r="G19" s="40">
        <f ca="1">STDEVA(G22:G129)</f>
        <v>576843260.2735548</v>
      </c>
      <c r="H19" s="40"/>
      <c r="I19" s="129" t="s">
        <v>103</v>
      </c>
    </row>
    <row r="20" spans="3:10" x14ac:dyDescent="0.3">
      <c r="C20" t="s">
        <v>83</v>
      </c>
      <c r="D20" s="40" t="s">
        <v>91</v>
      </c>
      <c r="E20" s="40" t="s">
        <v>91</v>
      </c>
      <c r="F20" s="40"/>
      <c r="G20" s="40">
        <f ca="1">AVERAGE(G22:G129)</f>
        <v>900438927.60897517</v>
      </c>
      <c r="H20" s="40"/>
      <c r="I20" s="129"/>
      <c r="J20" s="2">
        <f ca="1">100*G19/G20</f>
        <v>64.062452498061589</v>
      </c>
    </row>
    <row r="22" spans="3:10" x14ac:dyDescent="0.3">
      <c r="F22">
        <v>1</v>
      </c>
      <c r="G22">
        <f ca="1">G18</f>
        <v>1328959635.9127884</v>
      </c>
    </row>
    <row r="23" spans="3:10" x14ac:dyDescent="0.3">
      <c r="F23">
        <v>2</v>
      </c>
      <c r="G23">
        <f t="dataTable" ref="G23:G129" dt2D="0" dtr="0" r1="G21" ca="1"/>
        <v>554255126.86099339</v>
      </c>
    </row>
    <row r="24" spans="3:10" x14ac:dyDescent="0.3">
      <c r="F24">
        <v>3</v>
      </c>
      <c r="G24">
        <v>145802467.27379122</v>
      </c>
    </row>
    <row r="25" spans="3:10" x14ac:dyDescent="0.3">
      <c r="F25">
        <v>4</v>
      </c>
      <c r="G25">
        <v>1372093068.3792367</v>
      </c>
    </row>
    <row r="26" spans="3:10" x14ac:dyDescent="0.3">
      <c r="F26">
        <v>5</v>
      </c>
      <c r="G26">
        <v>739046763.7200197</v>
      </c>
    </row>
    <row r="27" spans="3:10" x14ac:dyDescent="0.3">
      <c r="F27">
        <v>6</v>
      </c>
      <c r="G27">
        <v>1773959261.9196606</v>
      </c>
    </row>
    <row r="28" spans="3:10" x14ac:dyDescent="0.3">
      <c r="F28">
        <v>7</v>
      </c>
      <c r="G28">
        <v>683077692.8568902</v>
      </c>
    </row>
    <row r="29" spans="3:10" x14ac:dyDescent="0.3">
      <c r="F29">
        <v>8</v>
      </c>
      <c r="G29">
        <v>1328527744.2234516</v>
      </c>
    </row>
    <row r="30" spans="3:10" x14ac:dyDescent="0.3">
      <c r="F30">
        <v>9</v>
      </c>
      <c r="G30">
        <v>550327027.07155323</v>
      </c>
    </row>
    <row r="31" spans="3:10" x14ac:dyDescent="0.3">
      <c r="F31">
        <v>10</v>
      </c>
      <c r="G31">
        <v>1001314709.3605314</v>
      </c>
    </row>
    <row r="32" spans="3:10" x14ac:dyDescent="0.3">
      <c r="F32">
        <v>11</v>
      </c>
      <c r="G32">
        <v>1504001361.9196117</v>
      </c>
    </row>
    <row r="33" spans="6:7" x14ac:dyDescent="0.3">
      <c r="F33">
        <v>12</v>
      </c>
      <c r="G33">
        <v>1673920238.1530066</v>
      </c>
    </row>
    <row r="34" spans="6:7" x14ac:dyDescent="0.3">
      <c r="F34">
        <v>13</v>
      </c>
      <c r="G34">
        <v>450299639.62215996</v>
      </c>
    </row>
    <row r="35" spans="6:7" x14ac:dyDescent="0.3">
      <c r="F35">
        <v>14</v>
      </c>
      <c r="G35">
        <v>1338521841.8089592</v>
      </c>
    </row>
    <row r="36" spans="6:7" x14ac:dyDescent="0.3">
      <c r="F36">
        <v>15</v>
      </c>
      <c r="G36">
        <v>373417105.71958214</v>
      </c>
    </row>
    <row r="37" spans="6:7" x14ac:dyDescent="0.3">
      <c r="F37">
        <v>16</v>
      </c>
      <c r="G37">
        <v>602692721.22578812</v>
      </c>
    </row>
    <row r="38" spans="6:7" x14ac:dyDescent="0.3">
      <c r="F38">
        <v>17</v>
      </c>
      <c r="G38">
        <v>426044853.14556485</v>
      </c>
    </row>
    <row r="39" spans="6:7" x14ac:dyDescent="0.3">
      <c r="F39">
        <v>18</v>
      </c>
      <c r="G39">
        <v>263295124.49582931</v>
      </c>
    </row>
    <row r="40" spans="6:7" x14ac:dyDescent="0.3">
      <c r="F40">
        <v>19</v>
      </c>
      <c r="G40">
        <v>390978662.13054556</v>
      </c>
    </row>
    <row r="41" spans="6:7" x14ac:dyDescent="0.3">
      <c r="F41">
        <v>20</v>
      </c>
      <c r="G41">
        <v>1230821895.8953309</v>
      </c>
    </row>
    <row r="42" spans="6:7" x14ac:dyDescent="0.3">
      <c r="F42">
        <v>21</v>
      </c>
      <c r="G42">
        <v>710654154.58484936</v>
      </c>
    </row>
    <row r="43" spans="6:7" x14ac:dyDescent="0.3">
      <c r="F43">
        <v>22</v>
      </c>
      <c r="G43">
        <v>1627767732.8722119</v>
      </c>
    </row>
    <row r="44" spans="6:7" x14ac:dyDescent="0.3">
      <c r="F44">
        <v>23</v>
      </c>
      <c r="G44">
        <v>1225227769.2032795</v>
      </c>
    </row>
    <row r="45" spans="6:7" x14ac:dyDescent="0.3">
      <c r="F45">
        <v>24</v>
      </c>
      <c r="G45">
        <v>-47293643.350228325</v>
      </c>
    </row>
    <row r="46" spans="6:7" x14ac:dyDescent="0.3">
      <c r="F46">
        <v>25</v>
      </c>
      <c r="G46">
        <v>1752931356.1726809</v>
      </c>
    </row>
    <row r="47" spans="6:7" x14ac:dyDescent="0.3">
      <c r="F47">
        <v>26</v>
      </c>
      <c r="G47">
        <v>1464597522.2095275</v>
      </c>
    </row>
    <row r="48" spans="6:7" x14ac:dyDescent="0.3">
      <c r="F48">
        <v>27</v>
      </c>
      <c r="G48">
        <v>312712849.94739556</v>
      </c>
    </row>
    <row r="49" spans="6:7" x14ac:dyDescent="0.3">
      <c r="F49">
        <v>28</v>
      </c>
      <c r="G49">
        <v>1393881066.8136725</v>
      </c>
    </row>
    <row r="50" spans="6:7" x14ac:dyDescent="0.3">
      <c r="F50">
        <v>29</v>
      </c>
      <c r="G50">
        <v>2179988531.4655943</v>
      </c>
    </row>
    <row r="51" spans="6:7" x14ac:dyDescent="0.3">
      <c r="F51">
        <v>30</v>
      </c>
      <c r="G51">
        <v>723955596.84611511</v>
      </c>
    </row>
    <row r="52" spans="6:7" x14ac:dyDescent="0.3">
      <c r="F52">
        <v>31</v>
      </c>
      <c r="G52">
        <v>1306328168.9882748</v>
      </c>
    </row>
    <row r="53" spans="6:7" x14ac:dyDescent="0.3">
      <c r="F53">
        <v>32</v>
      </c>
      <c r="G53">
        <v>499576459.38887084</v>
      </c>
    </row>
    <row r="54" spans="6:7" x14ac:dyDescent="0.3">
      <c r="F54">
        <v>33</v>
      </c>
      <c r="G54">
        <v>647229977.62339699</v>
      </c>
    </row>
    <row r="55" spans="6:7" x14ac:dyDescent="0.3">
      <c r="F55">
        <v>34</v>
      </c>
      <c r="G55">
        <v>1255185376.0825732</v>
      </c>
    </row>
    <row r="56" spans="6:7" x14ac:dyDescent="0.3">
      <c r="F56">
        <v>35</v>
      </c>
      <c r="G56">
        <v>2027817522.3321905</v>
      </c>
    </row>
    <row r="57" spans="6:7" x14ac:dyDescent="0.3">
      <c r="F57">
        <v>36</v>
      </c>
      <c r="G57">
        <v>294607426.84452683</v>
      </c>
    </row>
    <row r="58" spans="6:7" x14ac:dyDescent="0.3">
      <c r="F58">
        <v>37</v>
      </c>
      <c r="G58">
        <v>885293510.4143194</v>
      </c>
    </row>
    <row r="59" spans="6:7" x14ac:dyDescent="0.3">
      <c r="F59">
        <v>38</v>
      </c>
      <c r="G59">
        <v>1160808743.2371652</v>
      </c>
    </row>
    <row r="60" spans="6:7" x14ac:dyDescent="0.3">
      <c r="F60">
        <v>39</v>
      </c>
      <c r="G60">
        <v>919615830.21816576</v>
      </c>
    </row>
    <row r="61" spans="6:7" x14ac:dyDescent="0.3">
      <c r="F61">
        <v>40</v>
      </c>
      <c r="G61">
        <v>849197503.54100728</v>
      </c>
    </row>
    <row r="62" spans="6:7" x14ac:dyDescent="0.3">
      <c r="F62">
        <v>41</v>
      </c>
      <c r="G62">
        <v>1148391013.3162723</v>
      </c>
    </row>
    <row r="63" spans="6:7" x14ac:dyDescent="0.3">
      <c r="F63">
        <v>42</v>
      </c>
      <c r="G63">
        <v>536106875.85568941</v>
      </c>
    </row>
    <row r="64" spans="6:7" x14ac:dyDescent="0.3">
      <c r="F64">
        <v>43</v>
      </c>
      <c r="G64">
        <v>918861230.68618417</v>
      </c>
    </row>
    <row r="65" spans="6:7" x14ac:dyDescent="0.3">
      <c r="F65">
        <v>44</v>
      </c>
      <c r="G65">
        <v>1775424848.2046359</v>
      </c>
    </row>
    <row r="66" spans="6:7" x14ac:dyDescent="0.3">
      <c r="F66">
        <v>45</v>
      </c>
      <c r="G66">
        <v>1551608652.5066657</v>
      </c>
    </row>
    <row r="67" spans="6:7" x14ac:dyDescent="0.3">
      <c r="F67">
        <v>46</v>
      </c>
      <c r="G67">
        <v>1855251557.7351727</v>
      </c>
    </row>
    <row r="68" spans="6:7" x14ac:dyDescent="0.3">
      <c r="F68">
        <v>47</v>
      </c>
      <c r="G68">
        <v>-573756639.05939126</v>
      </c>
    </row>
    <row r="69" spans="6:7" x14ac:dyDescent="0.3">
      <c r="F69">
        <v>48</v>
      </c>
      <c r="G69">
        <v>838169650.69936919</v>
      </c>
    </row>
    <row r="70" spans="6:7" x14ac:dyDescent="0.3">
      <c r="F70">
        <v>49</v>
      </c>
      <c r="G70">
        <v>1001254491.4296567</v>
      </c>
    </row>
    <row r="71" spans="6:7" x14ac:dyDescent="0.3">
      <c r="F71">
        <v>50</v>
      </c>
      <c r="G71">
        <v>391462123.34029984</v>
      </c>
    </row>
    <row r="72" spans="6:7" x14ac:dyDescent="0.3">
      <c r="F72">
        <v>51</v>
      </c>
      <c r="G72">
        <v>1744466286.744369</v>
      </c>
    </row>
    <row r="73" spans="6:7" x14ac:dyDescent="0.3">
      <c r="F73">
        <v>52</v>
      </c>
      <c r="G73">
        <v>1285122377.4064071</v>
      </c>
    </row>
    <row r="74" spans="6:7" x14ac:dyDescent="0.3">
      <c r="F74">
        <v>53</v>
      </c>
      <c r="G74">
        <v>1289001394.9825683</v>
      </c>
    </row>
    <row r="75" spans="6:7" x14ac:dyDescent="0.3">
      <c r="F75">
        <v>54</v>
      </c>
      <c r="G75">
        <v>820332358.58087969</v>
      </c>
    </row>
    <row r="76" spans="6:7" x14ac:dyDescent="0.3">
      <c r="F76">
        <v>55</v>
      </c>
      <c r="G76">
        <v>1239090209.7751615</v>
      </c>
    </row>
    <row r="77" spans="6:7" x14ac:dyDescent="0.3">
      <c r="F77">
        <v>56</v>
      </c>
      <c r="G77">
        <v>380924813.73714381</v>
      </c>
    </row>
    <row r="78" spans="6:7" x14ac:dyDescent="0.3">
      <c r="F78">
        <v>57</v>
      </c>
      <c r="G78">
        <v>669512374.6671834</v>
      </c>
    </row>
    <row r="79" spans="6:7" x14ac:dyDescent="0.3">
      <c r="F79">
        <v>58</v>
      </c>
      <c r="G79">
        <v>-424523571.38490903</v>
      </c>
    </row>
    <row r="80" spans="6:7" x14ac:dyDescent="0.3">
      <c r="F80">
        <v>59</v>
      </c>
      <c r="G80">
        <v>531779768.16649902</v>
      </c>
    </row>
    <row r="81" spans="6:7" x14ac:dyDescent="0.3">
      <c r="F81">
        <v>60</v>
      </c>
      <c r="G81">
        <v>1327327223.5305057</v>
      </c>
    </row>
    <row r="82" spans="6:7" x14ac:dyDescent="0.3">
      <c r="F82">
        <v>61</v>
      </c>
      <c r="G82">
        <v>971249046.60262227</v>
      </c>
    </row>
    <row r="83" spans="6:7" x14ac:dyDescent="0.3">
      <c r="F83">
        <v>62</v>
      </c>
      <c r="G83">
        <v>1208494820.2465651</v>
      </c>
    </row>
    <row r="84" spans="6:7" x14ac:dyDescent="0.3">
      <c r="F84">
        <v>63</v>
      </c>
      <c r="G84">
        <v>390774633.42028797</v>
      </c>
    </row>
    <row r="85" spans="6:7" x14ac:dyDescent="0.3">
      <c r="F85">
        <v>64</v>
      </c>
      <c r="G85">
        <v>478178513.07400107</v>
      </c>
    </row>
    <row r="86" spans="6:7" x14ac:dyDescent="0.3">
      <c r="F86">
        <v>65</v>
      </c>
      <c r="G86">
        <v>266485988.99753848</v>
      </c>
    </row>
    <row r="87" spans="6:7" x14ac:dyDescent="0.3">
      <c r="F87">
        <v>66</v>
      </c>
      <c r="G87">
        <v>-141630371.5562219</v>
      </c>
    </row>
    <row r="88" spans="6:7" x14ac:dyDescent="0.3">
      <c r="F88">
        <v>67</v>
      </c>
      <c r="G88">
        <v>561259242.48471963</v>
      </c>
    </row>
    <row r="89" spans="6:7" x14ac:dyDescent="0.3">
      <c r="F89">
        <v>68</v>
      </c>
      <c r="G89">
        <v>14117496.832689621</v>
      </c>
    </row>
    <row r="90" spans="6:7" x14ac:dyDescent="0.3">
      <c r="F90">
        <v>69</v>
      </c>
      <c r="G90">
        <v>665270699.94082677</v>
      </c>
    </row>
    <row r="91" spans="6:7" x14ac:dyDescent="0.3">
      <c r="F91">
        <v>70</v>
      </c>
      <c r="G91">
        <v>845353186.59820557</v>
      </c>
    </row>
    <row r="92" spans="6:7" x14ac:dyDescent="0.3">
      <c r="F92">
        <v>71</v>
      </c>
      <c r="G92">
        <v>1292638466.7258139</v>
      </c>
    </row>
    <row r="93" spans="6:7" x14ac:dyDescent="0.3">
      <c r="F93">
        <v>72</v>
      </c>
      <c r="G93">
        <v>415473752.45073247</v>
      </c>
    </row>
    <row r="94" spans="6:7" x14ac:dyDescent="0.3">
      <c r="F94">
        <v>73</v>
      </c>
      <c r="G94">
        <v>302456668.06742048</v>
      </c>
    </row>
    <row r="95" spans="6:7" x14ac:dyDescent="0.3">
      <c r="F95">
        <v>74</v>
      </c>
      <c r="G95">
        <v>866759348.35010242</v>
      </c>
    </row>
    <row r="96" spans="6:7" x14ac:dyDescent="0.3">
      <c r="F96">
        <v>75</v>
      </c>
      <c r="G96">
        <v>2471057014.9169512</v>
      </c>
    </row>
    <row r="97" spans="6:7" x14ac:dyDescent="0.3">
      <c r="F97">
        <v>76</v>
      </c>
      <c r="G97">
        <v>-102757513.07776672</v>
      </c>
    </row>
    <row r="98" spans="6:7" x14ac:dyDescent="0.3">
      <c r="F98">
        <v>77</v>
      </c>
      <c r="G98">
        <v>700577231.43383145</v>
      </c>
    </row>
    <row r="99" spans="6:7" x14ac:dyDescent="0.3">
      <c r="F99">
        <v>78</v>
      </c>
      <c r="G99">
        <v>495097930.11157906</v>
      </c>
    </row>
    <row r="100" spans="6:7" x14ac:dyDescent="0.3">
      <c r="F100">
        <v>79</v>
      </c>
      <c r="G100">
        <v>816704804.62834644</v>
      </c>
    </row>
    <row r="101" spans="6:7" x14ac:dyDescent="0.3">
      <c r="F101">
        <v>80</v>
      </c>
      <c r="G101">
        <v>1456974791.8558948</v>
      </c>
    </row>
    <row r="102" spans="6:7" x14ac:dyDescent="0.3">
      <c r="F102">
        <v>81</v>
      </c>
      <c r="G102">
        <v>312537793.38226879</v>
      </c>
    </row>
    <row r="103" spans="6:7" x14ac:dyDescent="0.3">
      <c r="F103">
        <v>82</v>
      </c>
      <c r="G103">
        <v>959911296.83353615</v>
      </c>
    </row>
    <row r="104" spans="6:7" x14ac:dyDescent="0.3">
      <c r="F104">
        <v>83</v>
      </c>
      <c r="G104">
        <v>1564865071.9325302</v>
      </c>
    </row>
    <row r="105" spans="6:7" x14ac:dyDescent="0.3">
      <c r="F105">
        <v>84</v>
      </c>
      <c r="G105">
        <v>461355831.55115646</v>
      </c>
    </row>
    <row r="106" spans="6:7" x14ac:dyDescent="0.3">
      <c r="F106">
        <v>85</v>
      </c>
      <c r="G106">
        <v>920372096.39003789</v>
      </c>
    </row>
    <row r="107" spans="6:7" x14ac:dyDescent="0.3">
      <c r="F107">
        <v>86</v>
      </c>
      <c r="G107">
        <v>1130173373.8464932</v>
      </c>
    </row>
    <row r="108" spans="6:7" x14ac:dyDescent="0.3">
      <c r="F108">
        <v>87</v>
      </c>
      <c r="G108">
        <v>1042560636.7397964</v>
      </c>
    </row>
    <row r="109" spans="6:7" x14ac:dyDescent="0.3">
      <c r="F109">
        <v>88</v>
      </c>
      <c r="G109">
        <v>-332780219.28450561</v>
      </c>
    </row>
    <row r="110" spans="6:7" x14ac:dyDescent="0.3">
      <c r="F110">
        <v>89</v>
      </c>
      <c r="G110">
        <v>653244466.33487391</v>
      </c>
    </row>
    <row r="111" spans="6:7" x14ac:dyDescent="0.3">
      <c r="F111">
        <v>90</v>
      </c>
      <c r="G111">
        <v>855291646.21660316</v>
      </c>
    </row>
    <row r="112" spans="6:7" x14ac:dyDescent="0.3">
      <c r="F112">
        <v>91</v>
      </c>
      <c r="G112">
        <v>542354193.40884614</v>
      </c>
    </row>
    <row r="113" spans="6:7" x14ac:dyDescent="0.3">
      <c r="F113">
        <v>92</v>
      </c>
      <c r="G113">
        <v>730279559.25189042</v>
      </c>
    </row>
    <row r="114" spans="6:7" x14ac:dyDescent="0.3">
      <c r="F114">
        <v>93</v>
      </c>
      <c r="G114">
        <v>886684105.47560453</v>
      </c>
    </row>
    <row r="115" spans="6:7" x14ac:dyDescent="0.3">
      <c r="F115">
        <v>94</v>
      </c>
      <c r="G115">
        <v>1445398370.7378314</v>
      </c>
    </row>
    <row r="116" spans="6:7" x14ac:dyDescent="0.3">
      <c r="F116">
        <v>95</v>
      </c>
      <c r="G116">
        <v>561766355.87681854</v>
      </c>
    </row>
    <row r="117" spans="6:7" x14ac:dyDescent="0.3">
      <c r="F117">
        <v>96</v>
      </c>
      <c r="G117">
        <v>791370911.83881235</v>
      </c>
    </row>
    <row r="118" spans="6:7" x14ac:dyDescent="0.3">
      <c r="F118">
        <v>97</v>
      </c>
      <c r="G118">
        <v>1372638486.6834991</v>
      </c>
    </row>
    <row r="119" spans="6:7" x14ac:dyDescent="0.3">
      <c r="F119">
        <v>98</v>
      </c>
      <c r="G119">
        <v>976752967.66393578</v>
      </c>
    </row>
    <row r="120" spans="6:7" x14ac:dyDescent="0.3">
      <c r="F120">
        <v>99</v>
      </c>
      <c r="G120">
        <v>881380782.98443139</v>
      </c>
    </row>
    <row r="121" spans="6:7" x14ac:dyDescent="0.3">
      <c r="F121">
        <v>100</v>
      </c>
      <c r="G121">
        <v>1025819073.9351844</v>
      </c>
    </row>
    <row r="122" spans="6:7" x14ac:dyDescent="0.3">
      <c r="F122">
        <v>101</v>
      </c>
      <c r="G122">
        <v>674871155.23168111</v>
      </c>
    </row>
    <row r="123" spans="6:7" x14ac:dyDescent="0.3">
      <c r="F123">
        <v>102</v>
      </c>
      <c r="G123">
        <v>1020226901.9455841</v>
      </c>
    </row>
    <row r="124" spans="6:7" x14ac:dyDescent="0.3">
      <c r="F124">
        <v>103</v>
      </c>
      <c r="G124">
        <v>959106259.15310979</v>
      </c>
    </row>
    <row r="125" spans="6:7" x14ac:dyDescent="0.3">
      <c r="F125">
        <v>104</v>
      </c>
      <c r="G125">
        <v>2067641092.372354</v>
      </c>
    </row>
    <row r="126" spans="6:7" x14ac:dyDescent="0.3">
      <c r="F126">
        <v>105</v>
      </c>
      <c r="G126">
        <v>1008474221.1334462</v>
      </c>
    </row>
    <row r="127" spans="6:7" x14ac:dyDescent="0.3">
      <c r="F127">
        <v>106</v>
      </c>
      <c r="G127">
        <v>1362009666.0556617</v>
      </c>
    </row>
    <row r="128" spans="6:7" x14ac:dyDescent="0.3">
      <c r="F128">
        <v>107</v>
      </c>
      <c r="G128">
        <v>2169274834.7709823</v>
      </c>
    </row>
    <row r="129" spans="6:7" x14ac:dyDescent="0.3">
      <c r="F129">
        <v>108</v>
      </c>
      <c r="G129">
        <v>2040059.1514609158</v>
      </c>
    </row>
  </sheetData>
  <mergeCells count="1">
    <mergeCell ref="I19:I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C3:K129"/>
  <sheetViews>
    <sheetView topLeftCell="B1" workbookViewId="0">
      <selection activeCell="D5" sqref="D5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0" customWidth="1"/>
  </cols>
  <sheetData>
    <row r="3" spans="3:10" ht="18" customHeight="1" x14ac:dyDescent="0.3">
      <c r="D3" s="37" t="str">
        <f>Mappings!B6</f>
        <v>Adopting</v>
      </c>
      <c r="E3" s="54" t="s">
        <v>98</v>
      </c>
      <c r="F3" s="54" t="s">
        <v>99</v>
      </c>
      <c r="H3" s="2" t="s">
        <v>68</v>
      </c>
      <c r="I3" s="2"/>
      <c r="J3" s="2"/>
    </row>
    <row r="5" spans="3:10" x14ac:dyDescent="0.3">
      <c r="C5" t="s">
        <v>71</v>
      </c>
      <c r="D5" s="40">
        <f>Mappings!Q6</f>
        <v>1081.3655107795614</v>
      </c>
      <c r="E5" s="40">
        <f>Mappings!Q7</f>
        <v>34.546068126155319</v>
      </c>
      <c r="F5" s="40">
        <f>Mappings!Q8</f>
        <v>1125.4488441128947</v>
      </c>
    </row>
    <row r="6" spans="3:10" x14ac:dyDescent="0.3">
      <c r="C6" t="s">
        <v>72</v>
      </c>
      <c r="D6" s="40">
        <f ca="1">_xlfn.NORM.INV(RAND(),Mappings!Q6,Mappings!R6)</f>
        <v>931.67302650834949</v>
      </c>
      <c r="E6" s="40">
        <f ca="1">_xlfn.NORM.INV(RAND(),Mappings!Q7,Mappings!R7)</f>
        <v>-17.108748908555604</v>
      </c>
      <c r="F6" s="40">
        <f ca="1">_xlfn.NORM.INV(RAND(),Mappings!Q8,Mappings!R8)</f>
        <v>874.26316577774878</v>
      </c>
    </row>
    <row r="7" spans="3:10" x14ac:dyDescent="0.3">
      <c r="C7" t="s">
        <v>73</v>
      </c>
      <c r="D7" s="40">
        <f>Mappings!H6*Mappings!K6</f>
        <v>4.8861334846857005</v>
      </c>
      <c r="E7" s="40">
        <f>Mappings!H7*Mappings!K7</f>
        <v>4.2062556170824719</v>
      </c>
      <c r="F7" s="40">
        <f>Mappings!H8*Mappings!K8</f>
        <v>2.5978832748651568</v>
      </c>
    </row>
    <row r="8" spans="3:10" x14ac:dyDescent="0.3">
      <c r="C8" t="s">
        <v>74</v>
      </c>
      <c r="D8" s="40">
        <f>D7</f>
        <v>4.8861334846857005</v>
      </c>
      <c r="E8" s="40">
        <f>E7</f>
        <v>4.2062556170824719</v>
      </c>
      <c r="F8" s="40">
        <f>F7</f>
        <v>2.5978832748651568</v>
      </c>
    </row>
    <row r="9" spans="3:10" x14ac:dyDescent="0.3">
      <c r="C9" t="s">
        <v>75</v>
      </c>
      <c r="D9" s="40">
        <f>Mappings!W6</f>
        <v>2532.0489928615684</v>
      </c>
      <c r="E9" s="40">
        <f>Mappings!W7</f>
        <v>2532.0489928615684</v>
      </c>
      <c r="F9" s="40">
        <f>Mappings!W8</f>
        <v>2549.5329853259786</v>
      </c>
    </row>
    <row r="10" spans="3:10" x14ac:dyDescent="0.3">
      <c r="C10" t="s">
        <v>76</v>
      </c>
      <c r="D10" s="40">
        <f>D9</f>
        <v>2532.0489928615684</v>
      </c>
      <c r="E10" s="40">
        <f>E9</f>
        <v>2532.0489928615684</v>
      </c>
      <c r="F10" s="40">
        <f>F9</f>
        <v>2549.5329853259786</v>
      </c>
    </row>
    <row r="11" spans="3:10" x14ac:dyDescent="0.3">
      <c r="C11" t="s">
        <v>77</v>
      </c>
      <c r="D11" s="40">
        <f>Mappings!F6</f>
        <v>11716.61535998056</v>
      </c>
      <c r="E11" s="40">
        <f>Mappings!F7</f>
        <v>49949.781271496075</v>
      </c>
      <c r="F11" s="40">
        <f>Mappings!F8</f>
        <v>243316.76418970295</v>
      </c>
    </row>
    <row r="12" spans="3:10" x14ac:dyDescent="0.3">
      <c r="C12" t="s">
        <v>78</v>
      </c>
      <c r="D12" s="40">
        <f>Mappings!AB6*D11</f>
        <v>292.40630431255335</v>
      </c>
      <c r="E12" s="40">
        <f>Mappings!AB7*E11</f>
        <v>1246.5742447008852</v>
      </c>
      <c r="F12" s="40">
        <f>Mappings!AB8*F11</f>
        <v>6072.3471419068692</v>
      </c>
    </row>
    <row r="13" spans="3:10" x14ac:dyDescent="0.3">
      <c r="D13" s="40"/>
      <c r="E13" s="40"/>
      <c r="F13" s="40"/>
    </row>
    <row r="14" spans="3:10" x14ac:dyDescent="0.3">
      <c r="C14" t="s">
        <v>79</v>
      </c>
      <c r="D14" s="40">
        <f ca="1">D6*D8</f>
        <v>4552.2787716009143</v>
      </c>
      <c r="E14" s="40">
        <f ca="1">E6*E8</f>
        <v>-71.963771197865626</v>
      </c>
      <c r="F14" s="40">
        <f ca="1">F6*F8</f>
        <v>2271.2336562046776</v>
      </c>
    </row>
    <row r="15" spans="3:10" x14ac:dyDescent="0.3">
      <c r="C15" t="s">
        <v>80</v>
      </c>
      <c r="D15" s="40">
        <f>D10</f>
        <v>2532.0489928615684</v>
      </c>
      <c r="E15" s="40">
        <f>E10</f>
        <v>2532.0489928615684</v>
      </c>
      <c r="F15" s="40">
        <f>F10</f>
        <v>2549.5329853259786</v>
      </c>
    </row>
    <row r="16" spans="3:10" x14ac:dyDescent="0.3">
      <c r="C16" t="s">
        <v>77</v>
      </c>
      <c r="D16" s="40">
        <f ca="1">_xlfn.NORM.INV(RAND(),D11,D12)</f>
        <v>11297.498999995756</v>
      </c>
      <c r="E16" s="40">
        <f ca="1">_xlfn.NORM.INV(RAND(),E11,E12)</f>
        <v>50828.510470665387</v>
      </c>
      <c r="F16" s="40">
        <f t="shared" ref="F16" ca="1" si="0">_xlfn.NORM.INV(RAND(),F11,F12)</f>
        <v>245132.72711282317</v>
      </c>
    </row>
    <row r="17" spans="3:11" x14ac:dyDescent="0.3">
      <c r="D17" s="40"/>
      <c r="E17" s="40"/>
      <c r="F17" s="40"/>
    </row>
    <row r="18" spans="3:11" x14ac:dyDescent="0.3">
      <c r="C18" t="str">
        <f>[7]MC_sims_Inclusive!C18</f>
        <v>Estimated population income (USD/yr)</v>
      </c>
      <c r="D18" s="51">
        <f ca="1">(D14+D15)*D16</f>
        <v>80035185.834657073</v>
      </c>
      <c r="E18" s="51">
        <f ca="1">(E14+E15)*E16</f>
        <v>125042467.44806269</v>
      </c>
      <c r="F18" s="51">
        <f ca="1">(F14+F15)*F16</f>
        <v>1181727673.6129353</v>
      </c>
      <c r="H18" s="4">
        <f ca="1">D18+E18+F18</f>
        <v>1386805326.8956552</v>
      </c>
      <c r="I18" s="4"/>
      <c r="J18" s="4"/>
    </row>
    <row r="19" spans="3:11" x14ac:dyDescent="0.3">
      <c r="C19" t="str">
        <f>[7]MC_sims_Inclusive!C19</f>
        <v>SE population income (USD/yr)</v>
      </c>
      <c r="D19" t="s">
        <v>91</v>
      </c>
      <c r="E19" t="s">
        <v>91</v>
      </c>
      <c r="F19" t="s">
        <v>91</v>
      </c>
      <c r="H19">
        <f ca="1">STDEV(H22:H129)</f>
        <v>217711375.58181021</v>
      </c>
      <c r="J19" s="129" t="s">
        <v>103</v>
      </c>
    </row>
    <row r="20" spans="3:11" x14ac:dyDescent="0.3">
      <c r="C20" t="str">
        <f>[7]MC_sims_Inclusive!C20</f>
        <v>Mean population income (USD/yr)</v>
      </c>
      <c r="D20" s="4" t="s">
        <v>91</v>
      </c>
      <c r="E20" s="4" t="s">
        <v>91</v>
      </c>
      <c r="F20" s="4" t="s">
        <v>91</v>
      </c>
      <c r="G20" s="4"/>
      <c r="H20" s="4">
        <f ca="1">AVERAGE(H22:H129)</f>
        <v>1579795013.38165</v>
      </c>
      <c r="I20" s="4"/>
      <c r="J20" s="129"/>
      <c r="K20" s="55">
        <f ca="1">100*H19/H20</f>
        <v>13.78098890917407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42">
        <f ca="1">H18</f>
        <v>1386805326.8956552</v>
      </c>
      <c r="I22" s="4"/>
      <c r="J22" s="4"/>
    </row>
    <row r="23" spans="3:11" x14ac:dyDescent="0.3">
      <c r="G23">
        <v>2</v>
      </c>
      <c r="H23" s="42">
        <f t="dataTable" ref="H23:H129" dt2D="0" dtr="0" r1="H21" ca="1"/>
        <v>1737315248.1478491</v>
      </c>
      <c r="I23" s="4"/>
      <c r="J23" s="4"/>
    </row>
    <row r="24" spans="3:11" x14ac:dyDescent="0.3">
      <c r="G24">
        <v>3</v>
      </c>
      <c r="H24" s="42">
        <v>1950714308.7390432</v>
      </c>
      <c r="I24" s="4"/>
      <c r="J24" s="4"/>
    </row>
    <row r="25" spans="3:11" x14ac:dyDescent="0.3">
      <c r="G25">
        <v>4</v>
      </c>
      <c r="H25" s="42">
        <v>1506590575.1982975</v>
      </c>
      <c r="I25" s="4"/>
      <c r="J25" s="4"/>
    </row>
    <row r="26" spans="3:11" x14ac:dyDescent="0.3">
      <c r="G26">
        <v>5</v>
      </c>
      <c r="H26" s="42">
        <v>1618585417.1865697</v>
      </c>
      <c r="I26" s="4"/>
      <c r="J26" s="4"/>
    </row>
    <row r="27" spans="3:11" x14ac:dyDescent="0.3">
      <c r="G27">
        <v>6</v>
      </c>
      <c r="H27" s="42">
        <v>1360358009.5363803</v>
      </c>
      <c r="I27" s="4"/>
      <c r="J27" s="4"/>
    </row>
    <row r="28" spans="3:11" x14ac:dyDescent="0.3">
      <c r="G28">
        <v>7</v>
      </c>
      <c r="H28" s="42">
        <v>1842386776.8110032</v>
      </c>
      <c r="I28" s="4"/>
      <c r="J28" s="4"/>
    </row>
    <row r="29" spans="3:11" x14ac:dyDescent="0.3">
      <c r="G29">
        <v>8</v>
      </c>
      <c r="H29" s="42">
        <v>1289467309.2291248</v>
      </c>
      <c r="I29" s="4"/>
      <c r="J29" s="4"/>
    </row>
    <row r="30" spans="3:11" x14ac:dyDescent="0.3">
      <c r="G30">
        <v>9</v>
      </c>
      <c r="H30" s="42">
        <v>1406279196.6660714</v>
      </c>
      <c r="I30" s="4"/>
      <c r="J30" s="4"/>
    </row>
    <row r="31" spans="3:11" x14ac:dyDescent="0.3">
      <c r="G31">
        <v>10</v>
      </c>
      <c r="H31" s="42">
        <v>1971456343.6281328</v>
      </c>
      <c r="I31" s="4"/>
      <c r="J31" s="4"/>
    </row>
    <row r="32" spans="3:11" x14ac:dyDescent="0.3">
      <c r="G32">
        <v>11</v>
      </c>
      <c r="H32" s="42">
        <v>1899720810.8565958</v>
      </c>
      <c r="I32" s="4"/>
      <c r="J32" s="4"/>
    </row>
    <row r="33" spans="7:10" x14ac:dyDescent="0.3">
      <c r="G33">
        <v>12</v>
      </c>
      <c r="H33" s="42">
        <v>1846089607.7470593</v>
      </c>
      <c r="I33" s="4"/>
      <c r="J33" s="4"/>
    </row>
    <row r="34" spans="7:10" x14ac:dyDescent="0.3">
      <c r="G34">
        <v>13</v>
      </c>
      <c r="H34" s="42">
        <v>1961216376.2617245</v>
      </c>
      <c r="I34" s="4"/>
      <c r="J34" s="4"/>
    </row>
    <row r="35" spans="7:10" x14ac:dyDescent="0.3">
      <c r="G35">
        <v>14</v>
      </c>
      <c r="H35" s="42">
        <v>964632155.72088742</v>
      </c>
      <c r="I35" s="4"/>
      <c r="J35" s="4"/>
    </row>
    <row r="36" spans="7:10" x14ac:dyDescent="0.3">
      <c r="G36">
        <v>15</v>
      </c>
      <c r="H36" s="42">
        <v>1394437185.4210527</v>
      </c>
      <c r="I36" s="4"/>
      <c r="J36" s="4"/>
    </row>
    <row r="37" spans="7:10" x14ac:dyDescent="0.3">
      <c r="G37">
        <v>16</v>
      </c>
      <c r="H37" s="42">
        <v>1453291321.4018736</v>
      </c>
      <c r="I37" s="4"/>
      <c r="J37" s="4"/>
    </row>
    <row r="38" spans="7:10" x14ac:dyDescent="0.3">
      <c r="G38">
        <v>17</v>
      </c>
      <c r="H38" s="42">
        <v>1378656858.3045251</v>
      </c>
      <c r="I38" s="4"/>
      <c r="J38" s="4"/>
    </row>
    <row r="39" spans="7:10" x14ac:dyDescent="0.3">
      <c r="G39">
        <v>18</v>
      </c>
      <c r="H39" s="42">
        <v>1355671155.0210342</v>
      </c>
      <c r="I39" s="4"/>
      <c r="J39" s="4"/>
    </row>
    <row r="40" spans="7:10" x14ac:dyDescent="0.3">
      <c r="G40">
        <v>19</v>
      </c>
      <c r="H40" s="42">
        <v>1321210806.8688416</v>
      </c>
      <c r="I40" s="4"/>
      <c r="J40" s="4"/>
    </row>
    <row r="41" spans="7:10" x14ac:dyDescent="0.3">
      <c r="G41">
        <v>20</v>
      </c>
      <c r="H41" s="42">
        <v>1035532198.7401625</v>
      </c>
      <c r="I41" s="4"/>
      <c r="J41" s="4"/>
    </row>
    <row r="42" spans="7:10" x14ac:dyDescent="0.3">
      <c r="G42">
        <v>21</v>
      </c>
      <c r="H42" s="42">
        <v>1452647574.5899506</v>
      </c>
      <c r="I42" s="4"/>
      <c r="J42" s="4"/>
    </row>
    <row r="43" spans="7:10" x14ac:dyDescent="0.3">
      <c r="G43">
        <v>22</v>
      </c>
      <c r="H43" s="42">
        <v>1769761499.6475351</v>
      </c>
      <c r="I43" s="4"/>
      <c r="J43" s="4"/>
    </row>
    <row r="44" spans="7:10" x14ac:dyDescent="0.3">
      <c r="G44">
        <v>23</v>
      </c>
      <c r="H44" s="42">
        <v>1473560873.2253039</v>
      </c>
      <c r="I44" s="4"/>
      <c r="J44" s="4"/>
    </row>
    <row r="45" spans="7:10" x14ac:dyDescent="0.3">
      <c r="G45">
        <v>24</v>
      </c>
      <c r="H45" s="42">
        <v>1518318514.1542587</v>
      </c>
      <c r="I45" s="4"/>
      <c r="J45" s="4"/>
    </row>
    <row r="46" spans="7:10" x14ac:dyDescent="0.3">
      <c r="G46">
        <v>25</v>
      </c>
      <c r="H46" s="42">
        <v>1680986799.5998747</v>
      </c>
      <c r="I46" s="4"/>
      <c r="J46" s="4"/>
    </row>
    <row r="47" spans="7:10" x14ac:dyDescent="0.3">
      <c r="G47">
        <v>26</v>
      </c>
      <c r="H47" s="42">
        <v>1467860058.4852614</v>
      </c>
      <c r="I47" s="4"/>
      <c r="J47" s="4"/>
    </row>
    <row r="48" spans="7:10" x14ac:dyDescent="0.3">
      <c r="G48">
        <v>27</v>
      </c>
      <c r="H48" s="42">
        <v>1397866329.0934315</v>
      </c>
      <c r="I48" s="4"/>
      <c r="J48" s="4"/>
    </row>
    <row r="49" spans="7:10" x14ac:dyDescent="0.3">
      <c r="G49">
        <v>28</v>
      </c>
      <c r="H49" s="42">
        <v>1477237669.9680593</v>
      </c>
      <c r="I49" s="4"/>
      <c r="J49" s="4"/>
    </row>
    <row r="50" spans="7:10" x14ac:dyDescent="0.3">
      <c r="G50">
        <v>29</v>
      </c>
      <c r="H50" s="42">
        <v>1997531946.5636845</v>
      </c>
      <c r="I50" s="4"/>
      <c r="J50" s="4"/>
    </row>
    <row r="51" spans="7:10" x14ac:dyDescent="0.3">
      <c r="G51">
        <v>30</v>
      </c>
      <c r="H51" s="42">
        <v>1647813501.0530891</v>
      </c>
      <c r="I51" s="4"/>
      <c r="J51" s="4"/>
    </row>
    <row r="52" spans="7:10" x14ac:dyDescent="0.3">
      <c r="G52">
        <v>31</v>
      </c>
      <c r="H52" s="42">
        <v>1637481952.5897319</v>
      </c>
      <c r="I52" s="4"/>
      <c r="J52" s="4"/>
    </row>
    <row r="53" spans="7:10" x14ac:dyDescent="0.3">
      <c r="G53">
        <v>32</v>
      </c>
      <c r="H53" s="42">
        <v>1624354723.8021803</v>
      </c>
      <c r="I53" s="4"/>
      <c r="J53" s="4"/>
    </row>
    <row r="54" spans="7:10" x14ac:dyDescent="0.3">
      <c r="G54">
        <v>33</v>
      </c>
      <c r="H54" s="42">
        <v>1525296115.2931046</v>
      </c>
      <c r="I54" s="4"/>
      <c r="J54" s="4"/>
    </row>
    <row r="55" spans="7:10" x14ac:dyDescent="0.3">
      <c r="G55">
        <v>34</v>
      </c>
      <c r="H55" s="42">
        <v>1327702455.4992414</v>
      </c>
      <c r="I55" s="4"/>
      <c r="J55" s="4"/>
    </row>
    <row r="56" spans="7:10" x14ac:dyDescent="0.3">
      <c r="G56">
        <v>35</v>
      </c>
      <c r="H56" s="42">
        <v>1448042139.7339818</v>
      </c>
      <c r="I56" s="4"/>
      <c r="J56" s="4"/>
    </row>
    <row r="57" spans="7:10" x14ac:dyDescent="0.3">
      <c r="G57">
        <v>36</v>
      </c>
      <c r="H57" s="42">
        <v>1589783633.1174691</v>
      </c>
      <c r="I57" s="4"/>
      <c r="J57" s="4"/>
    </row>
    <row r="58" spans="7:10" x14ac:dyDescent="0.3">
      <c r="G58">
        <v>37</v>
      </c>
      <c r="H58" s="42">
        <v>1499879788.0046566</v>
      </c>
      <c r="I58" s="4"/>
      <c r="J58" s="4"/>
    </row>
    <row r="59" spans="7:10" x14ac:dyDescent="0.3">
      <c r="G59">
        <v>38</v>
      </c>
      <c r="H59" s="42">
        <v>1547645222.9855065</v>
      </c>
      <c r="I59" s="4"/>
      <c r="J59" s="4"/>
    </row>
    <row r="60" spans="7:10" x14ac:dyDescent="0.3">
      <c r="G60">
        <v>39</v>
      </c>
      <c r="H60" s="42">
        <v>1629214637.0178008</v>
      </c>
      <c r="I60" s="4"/>
      <c r="J60" s="4"/>
    </row>
    <row r="61" spans="7:10" x14ac:dyDescent="0.3">
      <c r="G61">
        <v>40</v>
      </c>
      <c r="H61" s="42">
        <v>1645676959.8726451</v>
      </c>
      <c r="I61" s="4"/>
      <c r="J61" s="4"/>
    </row>
    <row r="62" spans="7:10" x14ac:dyDescent="0.3">
      <c r="G62">
        <v>41</v>
      </c>
      <c r="H62" s="42">
        <v>1920392444.7768736</v>
      </c>
      <c r="I62" s="4"/>
      <c r="J62" s="4"/>
    </row>
    <row r="63" spans="7:10" x14ac:dyDescent="0.3">
      <c r="G63">
        <v>42</v>
      </c>
      <c r="H63" s="42">
        <v>1286567144.5536032</v>
      </c>
      <c r="I63" s="4"/>
      <c r="J63" s="4"/>
    </row>
    <row r="64" spans="7:10" x14ac:dyDescent="0.3">
      <c r="G64">
        <v>43</v>
      </c>
      <c r="H64" s="42">
        <v>1826338867.3132195</v>
      </c>
      <c r="I64" s="4"/>
      <c r="J64" s="4"/>
    </row>
    <row r="65" spans="7:10" x14ac:dyDescent="0.3">
      <c r="G65">
        <v>44</v>
      </c>
      <c r="H65" s="42">
        <v>1890699072.5095568</v>
      </c>
      <c r="I65" s="4"/>
      <c r="J65" s="4"/>
    </row>
    <row r="66" spans="7:10" x14ac:dyDescent="0.3">
      <c r="G66">
        <v>45</v>
      </c>
      <c r="H66" s="42">
        <v>1387386752.0596426</v>
      </c>
      <c r="I66" s="4"/>
      <c r="J66" s="4"/>
    </row>
    <row r="67" spans="7:10" x14ac:dyDescent="0.3">
      <c r="G67">
        <v>46</v>
      </c>
      <c r="H67" s="42">
        <v>1589394993.4407029</v>
      </c>
      <c r="I67" s="4"/>
      <c r="J67" s="4"/>
    </row>
    <row r="68" spans="7:10" x14ac:dyDescent="0.3">
      <c r="G68">
        <v>47</v>
      </c>
      <c r="H68" s="42">
        <v>1129580296.4438941</v>
      </c>
      <c r="I68" s="4"/>
      <c r="J68" s="4"/>
    </row>
    <row r="69" spans="7:10" x14ac:dyDescent="0.3">
      <c r="G69">
        <v>48</v>
      </c>
      <c r="H69" s="42">
        <v>1840379638.8361349</v>
      </c>
      <c r="I69" s="4"/>
      <c r="J69" s="4"/>
    </row>
    <row r="70" spans="7:10" x14ac:dyDescent="0.3">
      <c r="G70">
        <v>49</v>
      </c>
      <c r="H70" s="42">
        <v>1578993708.3984134</v>
      </c>
      <c r="I70" s="4"/>
      <c r="J70" s="4"/>
    </row>
    <row r="71" spans="7:10" x14ac:dyDescent="0.3">
      <c r="G71">
        <v>50</v>
      </c>
      <c r="H71" s="42">
        <v>1493163622.2356999</v>
      </c>
      <c r="I71" s="4"/>
      <c r="J71" s="4"/>
    </row>
    <row r="72" spans="7:10" x14ac:dyDescent="0.3">
      <c r="G72">
        <v>51</v>
      </c>
      <c r="H72" s="42">
        <v>1360661049.3041437</v>
      </c>
      <c r="I72" s="4"/>
      <c r="J72" s="4"/>
    </row>
    <row r="73" spans="7:10" x14ac:dyDescent="0.3">
      <c r="G73">
        <v>52</v>
      </c>
      <c r="H73" s="42">
        <v>1780431612.9630711</v>
      </c>
      <c r="I73" s="4"/>
      <c r="J73" s="4"/>
    </row>
    <row r="74" spans="7:10" x14ac:dyDescent="0.3">
      <c r="G74">
        <v>53</v>
      </c>
      <c r="H74" s="42">
        <v>1611049120.4248497</v>
      </c>
      <c r="I74" s="4"/>
      <c r="J74" s="4"/>
    </row>
    <row r="75" spans="7:10" x14ac:dyDescent="0.3">
      <c r="G75">
        <v>54</v>
      </c>
      <c r="H75" s="42">
        <v>1460177433.1299748</v>
      </c>
      <c r="I75" s="4"/>
      <c r="J75" s="4"/>
    </row>
    <row r="76" spans="7:10" x14ac:dyDescent="0.3">
      <c r="G76">
        <v>55</v>
      </c>
      <c r="H76" s="42">
        <v>1279814088.5893326</v>
      </c>
      <c r="I76" s="4"/>
      <c r="J76" s="4"/>
    </row>
    <row r="77" spans="7:10" x14ac:dyDescent="0.3">
      <c r="G77">
        <v>56</v>
      </c>
      <c r="H77" s="42">
        <v>1824203230.1167586</v>
      </c>
      <c r="I77" s="4"/>
      <c r="J77" s="4"/>
    </row>
    <row r="78" spans="7:10" x14ac:dyDescent="0.3">
      <c r="G78">
        <v>57</v>
      </c>
      <c r="H78" s="42">
        <v>1641352564.7540426</v>
      </c>
      <c r="I78" s="4"/>
      <c r="J78" s="4"/>
    </row>
    <row r="79" spans="7:10" x14ac:dyDescent="0.3">
      <c r="G79">
        <v>58</v>
      </c>
      <c r="H79" s="42">
        <v>1447986653.2348459</v>
      </c>
      <c r="I79" s="4"/>
      <c r="J79" s="4"/>
    </row>
    <row r="80" spans="7:10" x14ac:dyDescent="0.3">
      <c r="G80">
        <v>59</v>
      </c>
      <c r="H80" s="42">
        <v>1631907715.7280042</v>
      </c>
      <c r="I80" s="4"/>
      <c r="J80" s="4"/>
    </row>
    <row r="81" spans="7:10" x14ac:dyDescent="0.3">
      <c r="G81">
        <v>60</v>
      </c>
      <c r="H81" s="42">
        <v>1328198071.8324177</v>
      </c>
      <c r="I81" s="4"/>
      <c r="J81" s="4"/>
    </row>
    <row r="82" spans="7:10" x14ac:dyDescent="0.3">
      <c r="G82">
        <v>61</v>
      </c>
      <c r="H82" s="42">
        <v>1943572176.0650194</v>
      </c>
      <c r="I82" s="4"/>
      <c r="J82" s="4"/>
    </row>
    <row r="83" spans="7:10" x14ac:dyDescent="0.3">
      <c r="G83">
        <v>62</v>
      </c>
      <c r="H83" s="42">
        <v>1297037175.4512837</v>
      </c>
      <c r="I83" s="4"/>
      <c r="J83" s="4"/>
    </row>
    <row r="84" spans="7:10" x14ac:dyDescent="0.3">
      <c r="G84">
        <v>63</v>
      </c>
      <c r="H84" s="42">
        <v>1596015955.5059948</v>
      </c>
      <c r="I84" s="4"/>
      <c r="J84" s="4"/>
    </row>
    <row r="85" spans="7:10" x14ac:dyDescent="0.3">
      <c r="G85">
        <v>64</v>
      </c>
      <c r="H85" s="42">
        <v>1616654616.7874665</v>
      </c>
      <c r="I85" s="4"/>
      <c r="J85" s="4"/>
    </row>
    <row r="86" spans="7:10" x14ac:dyDescent="0.3">
      <c r="G86">
        <v>65</v>
      </c>
      <c r="H86" s="42">
        <v>1614859249.4299986</v>
      </c>
      <c r="I86" s="4"/>
      <c r="J86" s="4"/>
    </row>
    <row r="87" spans="7:10" x14ac:dyDescent="0.3">
      <c r="G87">
        <v>66</v>
      </c>
      <c r="H87" s="42">
        <v>1933576915.13937</v>
      </c>
      <c r="I87" s="4"/>
      <c r="J87" s="4"/>
    </row>
    <row r="88" spans="7:10" x14ac:dyDescent="0.3">
      <c r="G88">
        <v>67</v>
      </c>
      <c r="H88" s="42">
        <v>1659596972.9947221</v>
      </c>
      <c r="I88" s="4"/>
      <c r="J88" s="4"/>
    </row>
    <row r="89" spans="7:10" x14ac:dyDescent="0.3">
      <c r="G89">
        <v>68</v>
      </c>
      <c r="H89" s="42">
        <v>1473418675.0503628</v>
      </c>
      <c r="I89" s="4"/>
      <c r="J89" s="4"/>
    </row>
    <row r="90" spans="7:10" x14ac:dyDescent="0.3">
      <c r="G90">
        <v>69</v>
      </c>
      <c r="H90" s="42">
        <v>1480278600.09394</v>
      </c>
      <c r="I90" s="4"/>
      <c r="J90" s="4"/>
    </row>
    <row r="91" spans="7:10" x14ac:dyDescent="0.3">
      <c r="G91">
        <v>70</v>
      </c>
      <c r="H91" s="42">
        <v>1496786320.9748571</v>
      </c>
      <c r="I91" s="4"/>
      <c r="J91" s="4"/>
    </row>
    <row r="92" spans="7:10" x14ac:dyDescent="0.3">
      <c r="G92">
        <v>71</v>
      </c>
      <c r="H92" s="42">
        <v>1421354805.6949124</v>
      </c>
      <c r="I92" s="4"/>
      <c r="J92" s="4"/>
    </row>
    <row r="93" spans="7:10" x14ac:dyDescent="0.3">
      <c r="G93">
        <v>72</v>
      </c>
      <c r="H93" s="42">
        <v>1673220634.6508555</v>
      </c>
      <c r="I93" s="4"/>
      <c r="J93" s="4"/>
    </row>
    <row r="94" spans="7:10" x14ac:dyDescent="0.3">
      <c r="G94">
        <v>73</v>
      </c>
      <c r="H94" s="42">
        <v>1725217163.7867255</v>
      </c>
      <c r="I94" s="4"/>
      <c r="J94" s="4"/>
    </row>
    <row r="95" spans="7:10" x14ac:dyDescent="0.3">
      <c r="G95">
        <v>74</v>
      </c>
      <c r="H95" s="42">
        <v>1493983520.0564444</v>
      </c>
      <c r="I95" s="4"/>
      <c r="J95" s="4"/>
    </row>
    <row r="96" spans="7:10" x14ac:dyDescent="0.3">
      <c r="G96">
        <v>75</v>
      </c>
      <c r="H96" s="42">
        <v>1743382455.5613501</v>
      </c>
      <c r="I96" s="4"/>
      <c r="J96" s="4"/>
    </row>
    <row r="97" spans="7:10" x14ac:dyDescent="0.3">
      <c r="G97">
        <v>76</v>
      </c>
      <c r="H97" s="42">
        <v>2020686632.2498629</v>
      </c>
      <c r="I97" s="4"/>
      <c r="J97" s="4"/>
    </row>
    <row r="98" spans="7:10" x14ac:dyDescent="0.3">
      <c r="G98">
        <v>77</v>
      </c>
      <c r="H98" s="42">
        <v>1710222528.8067925</v>
      </c>
      <c r="I98" s="4"/>
      <c r="J98" s="4"/>
    </row>
    <row r="99" spans="7:10" x14ac:dyDescent="0.3">
      <c r="G99">
        <v>78</v>
      </c>
      <c r="H99" s="42">
        <v>1554849759.4056454</v>
      </c>
      <c r="I99" s="4"/>
      <c r="J99" s="4"/>
    </row>
    <row r="100" spans="7:10" x14ac:dyDescent="0.3">
      <c r="G100">
        <v>79</v>
      </c>
      <c r="H100" s="42">
        <v>1608559003.251194</v>
      </c>
      <c r="I100" s="4"/>
      <c r="J100" s="4"/>
    </row>
    <row r="101" spans="7:10" x14ac:dyDescent="0.3">
      <c r="G101">
        <v>80</v>
      </c>
      <c r="H101" s="42">
        <v>1805131739.0138903</v>
      </c>
      <c r="I101" s="4"/>
      <c r="J101" s="4"/>
    </row>
    <row r="102" spans="7:10" x14ac:dyDescent="0.3">
      <c r="G102">
        <v>81</v>
      </c>
      <c r="H102" s="42">
        <v>1471092750.7406216</v>
      </c>
      <c r="I102" s="4"/>
      <c r="J102" s="4"/>
    </row>
    <row r="103" spans="7:10" x14ac:dyDescent="0.3">
      <c r="G103">
        <v>82</v>
      </c>
      <c r="H103" s="42">
        <v>1562388528.5480151</v>
      </c>
      <c r="I103" s="4"/>
      <c r="J103" s="4"/>
    </row>
    <row r="104" spans="7:10" x14ac:dyDescent="0.3">
      <c r="G104">
        <v>83</v>
      </c>
      <c r="H104" s="42">
        <v>1735514499.0992665</v>
      </c>
      <c r="I104" s="4"/>
      <c r="J104" s="4"/>
    </row>
    <row r="105" spans="7:10" x14ac:dyDescent="0.3">
      <c r="G105">
        <v>84</v>
      </c>
      <c r="H105" s="42">
        <v>1619865479.9321127</v>
      </c>
      <c r="I105" s="4"/>
      <c r="J105" s="4"/>
    </row>
    <row r="106" spans="7:10" x14ac:dyDescent="0.3">
      <c r="G106">
        <v>85</v>
      </c>
      <c r="H106" s="42">
        <v>1631939896.4416857</v>
      </c>
      <c r="I106" s="4"/>
      <c r="J106" s="4"/>
    </row>
    <row r="107" spans="7:10" x14ac:dyDescent="0.3">
      <c r="G107">
        <v>86</v>
      </c>
      <c r="H107" s="42">
        <v>1588337454.8768454</v>
      </c>
      <c r="I107" s="4"/>
      <c r="J107" s="4"/>
    </row>
    <row r="108" spans="7:10" x14ac:dyDescent="0.3">
      <c r="G108">
        <v>87</v>
      </c>
      <c r="H108" s="42">
        <v>1869733076.0402412</v>
      </c>
      <c r="I108" s="4"/>
      <c r="J108" s="4"/>
    </row>
    <row r="109" spans="7:10" x14ac:dyDescent="0.3">
      <c r="G109">
        <v>88</v>
      </c>
      <c r="H109" s="42">
        <v>1586889810.5706146</v>
      </c>
      <c r="I109" s="4"/>
      <c r="J109" s="4"/>
    </row>
    <row r="110" spans="7:10" x14ac:dyDescent="0.3">
      <c r="G110">
        <v>89</v>
      </c>
      <c r="H110" s="42">
        <v>1687585048.6353035</v>
      </c>
      <c r="I110" s="4"/>
      <c r="J110" s="4"/>
    </row>
    <row r="111" spans="7:10" x14ac:dyDescent="0.3">
      <c r="G111">
        <v>90</v>
      </c>
      <c r="H111" s="42">
        <v>1155538574.581583</v>
      </c>
      <c r="I111" s="4"/>
      <c r="J111" s="4"/>
    </row>
    <row r="112" spans="7:10" x14ac:dyDescent="0.3">
      <c r="G112">
        <v>91</v>
      </c>
      <c r="H112" s="42">
        <v>1772434649.6313891</v>
      </c>
      <c r="I112" s="4"/>
      <c r="J112" s="4"/>
    </row>
    <row r="113" spans="7:10" x14ac:dyDescent="0.3">
      <c r="G113">
        <v>92</v>
      </c>
      <c r="H113" s="42">
        <v>1636408788.0164735</v>
      </c>
      <c r="I113" s="4"/>
      <c r="J113" s="4"/>
    </row>
    <row r="114" spans="7:10" x14ac:dyDescent="0.3">
      <c r="G114">
        <v>93</v>
      </c>
      <c r="H114" s="42">
        <v>1672207468.6126246</v>
      </c>
      <c r="I114" s="4"/>
      <c r="J114" s="4"/>
    </row>
    <row r="115" spans="7:10" x14ac:dyDescent="0.3">
      <c r="G115">
        <v>94</v>
      </c>
      <c r="H115" s="42">
        <v>1389709783.2060697</v>
      </c>
      <c r="I115" s="4"/>
      <c r="J115" s="4"/>
    </row>
    <row r="116" spans="7:10" x14ac:dyDescent="0.3">
      <c r="G116">
        <v>95</v>
      </c>
      <c r="H116" s="42">
        <v>1558250357.3820302</v>
      </c>
      <c r="I116" s="4"/>
      <c r="J116" s="4"/>
    </row>
    <row r="117" spans="7:10" x14ac:dyDescent="0.3">
      <c r="G117">
        <v>96</v>
      </c>
      <c r="H117" s="42">
        <v>1722562104.5172665</v>
      </c>
      <c r="I117" s="4"/>
      <c r="J117" s="4"/>
    </row>
    <row r="118" spans="7:10" x14ac:dyDescent="0.3">
      <c r="G118">
        <v>97</v>
      </c>
      <c r="H118" s="42">
        <v>1474054259.8397386</v>
      </c>
      <c r="I118" s="4"/>
      <c r="J118" s="4"/>
    </row>
    <row r="119" spans="7:10" x14ac:dyDescent="0.3">
      <c r="G119">
        <v>98</v>
      </c>
      <c r="H119" s="42">
        <v>1179343624.1666098</v>
      </c>
      <c r="I119" s="4"/>
      <c r="J119" s="4"/>
    </row>
    <row r="120" spans="7:10" x14ac:dyDescent="0.3">
      <c r="G120">
        <v>99</v>
      </c>
      <c r="H120" s="42">
        <v>1944146757.4536469</v>
      </c>
      <c r="I120" s="4"/>
      <c r="J120" s="4"/>
    </row>
    <row r="121" spans="7:10" x14ac:dyDescent="0.3">
      <c r="G121">
        <v>100</v>
      </c>
      <c r="H121" s="42">
        <v>1765090033.0857894</v>
      </c>
      <c r="I121" s="4"/>
      <c r="J121" s="4"/>
    </row>
    <row r="122" spans="7:10" x14ac:dyDescent="0.3">
      <c r="G122">
        <v>101</v>
      </c>
      <c r="H122" s="42">
        <v>1705253335.8534157</v>
      </c>
      <c r="I122" s="4"/>
      <c r="J122" s="4"/>
    </row>
    <row r="123" spans="7:10" x14ac:dyDescent="0.3">
      <c r="G123">
        <v>102</v>
      </c>
      <c r="H123" s="42">
        <v>1703757468.8798082</v>
      </c>
      <c r="I123" s="4"/>
      <c r="J123" s="4"/>
    </row>
    <row r="124" spans="7:10" x14ac:dyDescent="0.3">
      <c r="G124">
        <v>103</v>
      </c>
      <c r="H124" s="42">
        <v>1560743903.3116124</v>
      </c>
      <c r="I124" s="4"/>
      <c r="J124" s="4"/>
    </row>
    <row r="125" spans="7:10" x14ac:dyDescent="0.3">
      <c r="G125">
        <v>104</v>
      </c>
      <c r="H125" s="42">
        <v>1601547858.0546551</v>
      </c>
      <c r="I125" s="4"/>
      <c r="J125" s="4"/>
    </row>
    <row r="126" spans="7:10" x14ac:dyDescent="0.3">
      <c r="G126">
        <v>105</v>
      </c>
      <c r="H126" s="42">
        <v>1804326489.0971177</v>
      </c>
      <c r="I126" s="4"/>
      <c r="J126" s="4"/>
    </row>
    <row r="127" spans="7:10" x14ac:dyDescent="0.3">
      <c r="G127">
        <v>106</v>
      </c>
      <c r="H127" s="42">
        <v>1495927784.8182869</v>
      </c>
      <c r="I127" s="4"/>
      <c r="J127" s="4"/>
    </row>
    <row r="128" spans="7:10" x14ac:dyDescent="0.3">
      <c r="G128">
        <v>107</v>
      </c>
      <c r="H128" s="42">
        <v>1085153057.1475546</v>
      </c>
      <c r="I128" s="4"/>
      <c r="J128" s="4"/>
    </row>
    <row r="129" spans="7:10" x14ac:dyDescent="0.3">
      <c r="G129">
        <v>108</v>
      </c>
      <c r="H129" s="42">
        <v>1421896239.3834066</v>
      </c>
      <c r="I129" s="4"/>
      <c r="J129" s="4"/>
    </row>
  </sheetData>
  <mergeCells count="1"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C3:K129"/>
  <sheetViews>
    <sheetView topLeftCell="A4" workbookViewId="0">
      <selection activeCell="D8" sqref="D8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17.44140625" customWidth="1"/>
    <col min="8" max="8" width="16.109375" bestFit="1" customWidth="1"/>
    <col min="9" max="9" width="16.109375" customWidth="1"/>
    <col min="10" max="10" width="31.109375" customWidth="1"/>
  </cols>
  <sheetData>
    <row r="3" spans="3:10" ht="18" customHeight="1" x14ac:dyDescent="0.3">
      <c r="D3" s="37" t="str">
        <f>Mappings!B6</f>
        <v>Adopting</v>
      </c>
      <c r="E3" s="54" t="s">
        <v>98</v>
      </c>
      <c r="F3" s="54" t="s">
        <v>99</v>
      </c>
      <c r="H3" s="2" t="s">
        <v>68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Mappings!Q10</f>
        <v>1081.3655107795614</v>
      </c>
      <c r="E5" s="24">
        <f>Mappings!Q11</f>
        <v>34.546068126155319</v>
      </c>
      <c r="F5" s="50">
        <f>Mappings!Q12</f>
        <v>1125.4488441128947</v>
      </c>
    </row>
    <row r="6" spans="3:10" x14ac:dyDescent="0.3">
      <c r="C6" t="str">
        <f>MC_Inclusive!C6</f>
        <v>Random value income per cow (USD/day)</v>
      </c>
      <c r="D6" s="24">
        <f ca="1">_xlfn.NORM.INV(RAND(),Mappings!Q10,Mappings!R10)</f>
        <v>1244.1521819734389</v>
      </c>
      <c r="E6" s="24">
        <f ca="1">_xlfn.NORM.INV(RAND(),Mappings!Q11,Mappings!R11)</f>
        <v>30.477106198577086</v>
      </c>
      <c r="F6" s="24">
        <f ca="1">_xlfn.NORM.INV(RAND(),Mappings!Q12,Mappings!R12)</f>
        <v>1147.7405842955782</v>
      </c>
    </row>
    <row r="7" spans="3:10" x14ac:dyDescent="0.3">
      <c r="C7" t="str">
        <f>MC_Inclusive!C7</f>
        <v>Average number of cows per household (head)</v>
      </c>
      <c r="D7" s="24">
        <f>Mappings!H10*Mappings!K10</f>
        <v>2.3209134052257077</v>
      </c>
      <c r="E7" s="24">
        <f>Mappings!H11*Mappings!K11</f>
        <v>3.5490281769133354</v>
      </c>
      <c r="F7" s="24">
        <f>Mappings!H12*Mappings!K12</f>
        <v>2.8576716023516719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2.3209134052257077</v>
      </c>
      <c r="E8" s="24">
        <f ca="1">_xlfn.NORM.INV(RAND(),E7,E7*Mappings!G3)*0+E7</f>
        <v>3.5490281769133354</v>
      </c>
      <c r="F8" s="24">
        <f ca="1">_xlfn.NORM.INV(RAND(),F7,F7*Mappings!G4)*0+F7</f>
        <v>2.8576716023516719</v>
      </c>
    </row>
    <row r="9" spans="3:10" x14ac:dyDescent="0.3">
      <c r="C9" t="str">
        <f>MC_Inclusive!C9</f>
        <v>Estimated non dairy income (USD/person/day)</v>
      </c>
      <c r="D9" s="24">
        <f>Mappings!W10</f>
        <v>2532.0489928615684</v>
      </c>
      <c r="E9" s="24">
        <f>Mappings!W11</f>
        <v>2532.0489928615684</v>
      </c>
      <c r="F9" s="24">
        <f>Mappings!W12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Mappings!F10</f>
        <v>2466.6558652590656</v>
      </c>
      <c r="E11" s="4">
        <f>Mappings!F11</f>
        <v>59199.740766217568</v>
      </c>
      <c r="F11" s="4">
        <f>Mappings!F12</f>
        <v>243316.76418970295</v>
      </c>
    </row>
    <row r="12" spans="3:10" x14ac:dyDescent="0.3">
      <c r="C12" t="str">
        <f>MC_Inclusive!C12</f>
        <v>SD quantity households</v>
      </c>
      <c r="D12" s="24">
        <f>Mappings!AB10*D11</f>
        <v>61.559221960537549</v>
      </c>
      <c r="E12" s="24">
        <f>Mappings!AB11*E11</f>
        <v>1477.421327052901</v>
      </c>
      <c r="F12" s="4">
        <f>Mappings!AB12*F11</f>
        <v>6072.3471419068692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2887.5694772829684</v>
      </c>
      <c r="E14" s="24">
        <f ca="1">E6*E8</f>
        <v>108.16410864953015</v>
      </c>
      <c r="F14" s="24">
        <f ca="1">F6*F8</f>
        <v>3279.8656746079891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2467.762316418236</v>
      </c>
      <c r="E16" s="24">
        <f ca="1">_xlfn.NORM.INV(RAND(),E11,E12)</f>
        <v>57907.3878828581</v>
      </c>
      <c r="F16" s="24">
        <f t="shared" ref="F16" ca="1" si="0">_xlfn.NORM.INV(RAND(),F11,F12)</f>
        <v>234373.36864191075</v>
      </c>
    </row>
    <row r="18" spans="3:11" x14ac:dyDescent="0.3">
      <c r="C18" t="str">
        <f>[7]MC_sims_Inclusive!C18</f>
        <v>Estimated population income (USD/yr)</v>
      </c>
      <c r="D18" s="13">
        <f ca="1">(D14+D15)*D16</f>
        <v>13374330.229986938</v>
      </c>
      <c r="E18" s="13">
        <f ca="1">(E14+E15)*E16</f>
        <v>152887844.16260698</v>
      </c>
      <c r="F18" s="13">
        <f ca="1">(F14+F15)*F16</f>
        <v>1366255801.0853643</v>
      </c>
      <c r="H18" s="4">
        <f ca="1">D18+E18+F18</f>
        <v>1532517975.4779582</v>
      </c>
    </row>
    <row r="19" spans="3:11" x14ac:dyDescent="0.3">
      <c r="C19" t="str">
        <f>[7]MC_sims_Inclusive!C19</f>
        <v>SE population income (USD/yr)</v>
      </c>
      <c r="D19" t="s">
        <v>91</v>
      </c>
      <c r="E19" t="s">
        <v>91</v>
      </c>
      <c r="F19" t="s">
        <v>91</v>
      </c>
      <c r="H19">
        <f ca="1">STDEV(H22:H129)</f>
        <v>245529183.9714928</v>
      </c>
      <c r="J19" s="129" t="s">
        <v>103</v>
      </c>
    </row>
    <row r="20" spans="3:11" x14ac:dyDescent="0.3">
      <c r="C20" t="str">
        <f>[7]MC_sims_Inclusive!C20</f>
        <v>Mean population income (USD/yr)</v>
      </c>
      <c r="D20" s="4" t="s">
        <v>91</v>
      </c>
      <c r="E20" s="4" t="s">
        <v>91</v>
      </c>
      <c r="F20" s="4" t="s">
        <v>91</v>
      </c>
      <c r="G20" s="4"/>
      <c r="H20" s="4">
        <f ca="1">AVERAGE(H22:H129)</f>
        <v>1552115575.2793262</v>
      </c>
      <c r="I20" s="4"/>
      <c r="J20" s="129"/>
      <c r="K20" s="55">
        <f ca="1">100*H19/H20</f>
        <v>15.819001360598175</v>
      </c>
    </row>
    <row r="21" spans="3:11" x14ac:dyDescent="0.3">
      <c r="H21" s="4"/>
      <c r="I21" s="4"/>
      <c r="J21" s="4"/>
    </row>
    <row r="22" spans="3:11" x14ac:dyDescent="0.3">
      <c r="D22" s="4"/>
      <c r="G22">
        <v>1</v>
      </c>
      <c r="H22" s="42">
        <f ca="1">H18</f>
        <v>1532517975.4779582</v>
      </c>
      <c r="I22" s="4"/>
      <c r="J22" s="4"/>
      <c r="K22" s="129"/>
    </row>
    <row r="23" spans="3:11" x14ac:dyDescent="0.3">
      <c r="G23">
        <v>2</v>
      </c>
      <c r="H23" s="42">
        <f t="dataTable" ref="H23:H129" dt2D="0" dtr="0" r1="H21" ca="1"/>
        <v>1805810849.5707767</v>
      </c>
      <c r="I23" s="4"/>
      <c r="J23" s="4"/>
      <c r="K23" s="129"/>
    </row>
    <row r="24" spans="3:11" x14ac:dyDescent="0.3">
      <c r="G24">
        <v>3</v>
      </c>
      <c r="H24" s="42">
        <v>1273235126.1010051</v>
      </c>
      <c r="I24" s="4"/>
      <c r="J24" s="4"/>
    </row>
    <row r="25" spans="3:11" x14ac:dyDescent="0.3">
      <c r="G25">
        <v>4</v>
      </c>
      <c r="H25" s="42">
        <v>1895227021.590713</v>
      </c>
      <c r="I25" s="4"/>
      <c r="J25" s="4"/>
    </row>
    <row r="26" spans="3:11" x14ac:dyDescent="0.3">
      <c r="G26">
        <v>5</v>
      </c>
      <c r="H26" s="42">
        <v>1517231387.097595</v>
      </c>
      <c r="I26" s="4"/>
      <c r="J26" s="4"/>
    </row>
    <row r="27" spans="3:11" x14ac:dyDescent="0.3">
      <c r="G27">
        <v>6</v>
      </c>
      <c r="H27" s="42">
        <v>1824929353.1767521</v>
      </c>
      <c r="I27" s="4"/>
      <c r="J27" s="4"/>
    </row>
    <row r="28" spans="3:11" x14ac:dyDescent="0.3">
      <c r="G28">
        <v>7</v>
      </c>
      <c r="H28" s="42">
        <v>1564318611.2158916</v>
      </c>
      <c r="I28" s="4"/>
      <c r="J28" s="4"/>
    </row>
    <row r="29" spans="3:11" x14ac:dyDescent="0.3">
      <c r="G29">
        <v>8</v>
      </c>
      <c r="H29" s="42">
        <v>1585464242.2711062</v>
      </c>
      <c r="I29" s="4"/>
      <c r="J29" s="4"/>
    </row>
    <row r="30" spans="3:11" x14ac:dyDescent="0.3">
      <c r="G30">
        <v>9</v>
      </c>
      <c r="H30" s="42">
        <v>1436713838.6240239</v>
      </c>
      <c r="I30" s="4"/>
      <c r="J30" s="4"/>
    </row>
    <row r="31" spans="3:11" x14ac:dyDescent="0.3">
      <c r="G31">
        <v>10</v>
      </c>
      <c r="H31" s="42">
        <v>1599995127.1952136</v>
      </c>
      <c r="I31" s="4"/>
      <c r="J31" s="4"/>
    </row>
    <row r="32" spans="3:11" x14ac:dyDescent="0.3">
      <c r="G32">
        <v>11</v>
      </c>
      <c r="H32" s="42">
        <v>1405225702.301739</v>
      </c>
      <c r="I32" s="4"/>
      <c r="J32" s="4"/>
    </row>
    <row r="33" spans="7:10" x14ac:dyDescent="0.3">
      <c r="G33">
        <v>12</v>
      </c>
      <c r="H33" s="42">
        <v>1268838745.7016363</v>
      </c>
      <c r="I33" s="4"/>
      <c r="J33" s="4"/>
    </row>
    <row r="34" spans="7:10" x14ac:dyDescent="0.3">
      <c r="G34">
        <v>13</v>
      </c>
      <c r="H34" s="42">
        <v>1536169109.7322681</v>
      </c>
      <c r="I34" s="4"/>
      <c r="J34" s="4"/>
    </row>
    <row r="35" spans="7:10" x14ac:dyDescent="0.3">
      <c r="G35">
        <v>14</v>
      </c>
      <c r="H35" s="42">
        <v>1896559921.1023924</v>
      </c>
      <c r="I35" s="4"/>
      <c r="J35" s="4"/>
    </row>
    <row r="36" spans="7:10" x14ac:dyDescent="0.3">
      <c r="G36">
        <v>15</v>
      </c>
      <c r="H36" s="42">
        <v>1422604564.8827159</v>
      </c>
      <c r="I36" s="4"/>
      <c r="J36" s="4"/>
    </row>
    <row r="37" spans="7:10" x14ac:dyDescent="0.3">
      <c r="G37">
        <v>16</v>
      </c>
      <c r="H37" s="42">
        <v>1436526614.4105375</v>
      </c>
      <c r="I37" s="4"/>
      <c r="J37" s="4"/>
    </row>
    <row r="38" spans="7:10" x14ac:dyDescent="0.3">
      <c r="G38">
        <v>17</v>
      </c>
      <c r="H38" s="42">
        <v>1357442501.458071</v>
      </c>
      <c r="I38" s="4"/>
      <c r="J38" s="4"/>
    </row>
    <row r="39" spans="7:10" x14ac:dyDescent="0.3">
      <c r="G39">
        <v>18</v>
      </c>
      <c r="H39" s="42">
        <v>1362035384.9147511</v>
      </c>
      <c r="I39" s="4"/>
      <c r="J39" s="4"/>
    </row>
    <row r="40" spans="7:10" x14ac:dyDescent="0.3">
      <c r="G40">
        <v>19</v>
      </c>
      <c r="H40" s="42">
        <v>1606556173.7148168</v>
      </c>
      <c r="I40" s="4"/>
      <c r="J40" s="4"/>
    </row>
    <row r="41" spans="7:10" x14ac:dyDescent="0.3">
      <c r="G41">
        <v>20</v>
      </c>
      <c r="H41" s="42">
        <v>1543188972.3836625</v>
      </c>
      <c r="I41" s="4"/>
      <c r="J41" s="4"/>
    </row>
    <row r="42" spans="7:10" x14ac:dyDescent="0.3">
      <c r="G42">
        <v>21</v>
      </c>
      <c r="H42" s="42">
        <v>1300866707.1624537</v>
      </c>
      <c r="I42" s="4"/>
      <c r="J42" s="4"/>
    </row>
    <row r="43" spans="7:10" x14ac:dyDescent="0.3">
      <c r="G43">
        <v>22</v>
      </c>
      <c r="H43" s="42">
        <v>1815745524.489882</v>
      </c>
      <c r="I43" s="4"/>
      <c r="J43" s="4"/>
    </row>
    <row r="44" spans="7:10" x14ac:dyDescent="0.3">
      <c r="G44">
        <v>23</v>
      </c>
      <c r="H44" s="42">
        <v>1167656286.627037</v>
      </c>
      <c r="I44" s="4"/>
      <c r="J44" s="4"/>
    </row>
    <row r="45" spans="7:10" x14ac:dyDescent="0.3">
      <c r="G45">
        <v>24</v>
      </c>
      <c r="H45" s="42">
        <v>1264376839.6699791</v>
      </c>
      <c r="I45" s="4"/>
      <c r="J45" s="4"/>
    </row>
    <row r="46" spans="7:10" x14ac:dyDescent="0.3">
      <c r="G46">
        <v>25</v>
      </c>
      <c r="H46" s="42">
        <v>1223316361.5344598</v>
      </c>
      <c r="I46" s="4"/>
      <c r="J46" s="4"/>
    </row>
    <row r="47" spans="7:10" x14ac:dyDescent="0.3">
      <c r="G47">
        <v>26</v>
      </c>
      <c r="H47" s="42">
        <v>1519765239.193186</v>
      </c>
      <c r="I47" s="4"/>
      <c r="J47" s="4"/>
    </row>
    <row r="48" spans="7:10" x14ac:dyDescent="0.3">
      <c r="G48">
        <v>27</v>
      </c>
      <c r="H48" s="42">
        <v>1529049574.4733007</v>
      </c>
      <c r="I48" s="4"/>
      <c r="J48" s="4"/>
    </row>
    <row r="49" spans="7:10" x14ac:dyDescent="0.3">
      <c r="G49">
        <v>28</v>
      </c>
      <c r="H49" s="42">
        <v>941078372.33051586</v>
      </c>
      <c r="I49" s="4"/>
      <c r="J49" s="4"/>
    </row>
    <row r="50" spans="7:10" x14ac:dyDescent="0.3">
      <c r="G50">
        <v>29</v>
      </c>
      <c r="H50" s="42">
        <v>1667301846.6801496</v>
      </c>
      <c r="I50" s="4"/>
      <c r="J50" s="4"/>
    </row>
    <row r="51" spans="7:10" x14ac:dyDescent="0.3">
      <c r="G51">
        <v>30</v>
      </c>
      <c r="H51" s="42">
        <v>1614727219.7211895</v>
      </c>
      <c r="I51" s="4"/>
      <c r="J51" s="4"/>
    </row>
    <row r="52" spans="7:10" x14ac:dyDescent="0.3">
      <c r="G52">
        <v>31</v>
      </c>
      <c r="H52" s="42">
        <v>1731297425.7435656</v>
      </c>
      <c r="I52" s="4"/>
      <c r="J52" s="4"/>
    </row>
    <row r="53" spans="7:10" x14ac:dyDescent="0.3">
      <c r="G53">
        <v>32</v>
      </c>
      <c r="H53" s="42">
        <v>1721187033.7382879</v>
      </c>
      <c r="I53" s="4"/>
      <c r="J53" s="4"/>
    </row>
    <row r="54" spans="7:10" x14ac:dyDescent="0.3">
      <c r="G54">
        <v>33</v>
      </c>
      <c r="H54" s="42">
        <v>1735904397.0653069</v>
      </c>
      <c r="I54" s="4"/>
      <c r="J54" s="4"/>
    </row>
    <row r="55" spans="7:10" x14ac:dyDescent="0.3">
      <c r="G55">
        <v>34</v>
      </c>
      <c r="H55" s="42">
        <v>1632190202.48667</v>
      </c>
      <c r="I55" s="4"/>
      <c r="J55" s="4"/>
    </row>
    <row r="56" spans="7:10" x14ac:dyDescent="0.3">
      <c r="G56">
        <v>35</v>
      </c>
      <c r="H56" s="42">
        <v>1870768163.5250556</v>
      </c>
      <c r="I56" s="4"/>
      <c r="J56" s="4"/>
    </row>
    <row r="57" spans="7:10" x14ac:dyDescent="0.3">
      <c r="G57">
        <v>36</v>
      </c>
      <c r="H57" s="42">
        <v>1794130122.4377205</v>
      </c>
      <c r="I57" s="4"/>
      <c r="J57" s="4"/>
    </row>
    <row r="58" spans="7:10" x14ac:dyDescent="0.3">
      <c r="G58">
        <v>37</v>
      </c>
      <c r="H58" s="42">
        <v>1463313306.457634</v>
      </c>
      <c r="I58" s="4"/>
      <c r="J58" s="4"/>
    </row>
    <row r="59" spans="7:10" x14ac:dyDescent="0.3">
      <c r="G59">
        <v>38</v>
      </c>
      <c r="H59" s="42">
        <v>1663938906.9747701</v>
      </c>
      <c r="I59" s="4"/>
      <c r="J59" s="4"/>
    </row>
    <row r="60" spans="7:10" x14ac:dyDescent="0.3">
      <c r="G60">
        <v>39</v>
      </c>
      <c r="H60" s="42">
        <v>1874823997.1913764</v>
      </c>
      <c r="I60" s="4"/>
      <c r="J60" s="4"/>
    </row>
    <row r="61" spans="7:10" x14ac:dyDescent="0.3">
      <c r="G61">
        <v>40</v>
      </c>
      <c r="H61" s="42">
        <v>1438686935.3542414</v>
      </c>
      <c r="I61" s="4"/>
      <c r="J61" s="4"/>
    </row>
    <row r="62" spans="7:10" x14ac:dyDescent="0.3">
      <c r="G62">
        <v>41</v>
      </c>
      <c r="H62" s="42">
        <v>1617884593.490711</v>
      </c>
      <c r="I62" s="4"/>
      <c r="J62" s="4"/>
    </row>
    <row r="63" spans="7:10" x14ac:dyDescent="0.3">
      <c r="G63">
        <v>42</v>
      </c>
      <c r="H63" s="42">
        <v>1463806057.9118342</v>
      </c>
      <c r="I63" s="4"/>
      <c r="J63" s="4"/>
    </row>
    <row r="64" spans="7:10" x14ac:dyDescent="0.3">
      <c r="G64">
        <v>43</v>
      </c>
      <c r="H64" s="42">
        <v>1700511333.3524942</v>
      </c>
      <c r="I64" s="4"/>
      <c r="J64" s="4"/>
    </row>
    <row r="65" spans="7:10" x14ac:dyDescent="0.3">
      <c r="G65">
        <v>44</v>
      </c>
      <c r="H65" s="42">
        <v>1812477168.6035841</v>
      </c>
      <c r="I65" s="4"/>
      <c r="J65" s="4"/>
    </row>
    <row r="66" spans="7:10" x14ac:dyDescent="0.3">
      <c r="G66">
        <v>45</v>
      </c>
      <c r="H66" s="42">
        <v>820227209.45760429</v>
      </c>
      <c r="I66" s="4"/>
      <c r="J66" s="4"/>
    </row>
    <row r="67" spans="7:10" x14ac:dyDescent="0.3">
      <c r="G67">
        <v>46</v>
      </c>
      <c r="H67" s="42">
        <v>2012500854.2498093</v>
      </c>
      <c r="I67" s="4"/>
      <c r="J67" s="4"/>
    </row>
    <row r="68" spans="7:10" x14ac:dyDescent="0.3">
      <c r="G68">
        <v>47</v>
      </c>
      <c r="H68" s="42">
        <v>1449881985.3692894</v>
      </c>
      <c r="I68" s="4"/>
      <c r="J68" s="4"/>
    </row>
    <row r="69" spans="7:10" x14ac:dyDescent="0.3">
      <c r="G69">
        <v>48</v>
      </c>
      <c r="H69" s="42">
        <v>1409675603.3319554</v>
      </c>
      <c r="I69" s="4"/>
      <c r="J69" s="4"/>
    </row>
    <row r="70" spans="7:10" x14ac:dyDescent="0.3">
      <c r="G70">
        <v>49</v>
      </c>
      <c r="H70" s="42">
        <v>1741451765.0956576</v>
      </c>
      <c r="I70" s="4"/>
      <c r="J70" s="4"/>
    </row>
    <row r="71" spans="7:10" x14ac:dyDescent="0.3">
      <c r="G71">
        <v>50</v>
      </c>
      <c r="H71" s="42">
        <v>1051974356.9045889</v>
      </c>
      <c r="I71" s="4"/>
      <c r="J71" s="4"/>
    </row>
    <row r="72" spans="7:10" x14ac:dyDescent="0.3">
      <c r="G72">
        <v>51</v>
      </c>
      <c r="H72" s="42">
        <v>1882267004.3760734</v>
      </c>
      <c r="I72" s="4"/>
      <c r="J72" s="4"/>
    </row>
    <row r="73" spans="7:10" x14ac:dyDescent="0.3">
      <c r="G73">
        <v>52</v>
      </c>
      <c r="H73" s="42">
        <v>1692696361.0880156</v>
      </c>
      <c r="I73" s="4"/>
      <c r="J73" s="4"/>
    </row>
    <row r="74" spans="7:10" x14ac:dyDescent="0.3">
      <c r="G74">
        <v>53</v>
      </c>
      <c r="H74" s="42">
        <v>1945525791.4166431</v>
      </c>
      <c r="I74" s="4"/>
      <c r="J74" s="4"/>
    </row>
    <row r="75" spans="7:10" x14ac:dyDescent="0.3">
      <c r="G75">
        <v>54</v>
      </c>
      <c r="H75" s="42">
        <v>1467899161.2333789</v>
      </c>
      <c r="I75" s="4"/>
      <c r="J75" s="4"/>
    </row>
    <row r="76" spans="7:10" x14ac:dyDescent="0.3">
      <c r="G76">
        <v>55</v>
      </c>
      <c r="H76" s="42">
        <v>1133036583.3208683</v>
      </c>
      <c r="I76" s="4"/>
      <c r="J76" s="4"/>
    </row>
    <row r="77" spans="7:10" x14ac:dyDescent="0.3">
      <c r="G77">
        <v>56</v>
      </c>
      <c r="H77" s="42">
        <v>1628626230.9490371</v>
      </c>
      <c r="I77" s="4"/>
      <c r="J77" s="4"/>
    </row>
    <row r="78" spans="7:10" x14ac:dyDescent="0.3">
      <c r="G78">
        <v>57</v>
      </c>
      <c r="H78" s="42">
        <v>1122801525.1505108</v>
      </c>
      <c r="I78" s="4"/>
      <c r="J78" s="4"/>
    </row>
    <row r="79" spans="7:10" x14ac:dyDescent="0.3">
      <c r="G79">
        <v>58</v>
      </c>
      <c r="H79" s="42">
        <v>1806733129.3006697</v>
      </c>
      <c r="I79" s="4"/>
      <c r="J79" s="4"/>
    </row>
    <row r="80" spans="7:10" x14ac:dyDescent="0.3">
      <c r="G80">
        <v>59</v>
      </c>
      <c r="H80" s="42">
        <v>2045375410.6431892</v>
      </c>
      <c r="I80" s="4"/>
      <c r="J80" s="4"/>
    </row>
    <row r="81" spans="7:10" x14ac:dyDescent="0.3">
      <c r="G81">
        <v>60</v>
      </c>
      <c r="H81" s="42">
        <v>1256278942.897351</v>
      </c>
      <c r="I81" s="4"/>
      <c r="J81" s="4"/>
    </row>
    <row r="82" spans="7:10" x14ac:dyDescent="0.3">
      <c r="G82">
        <v>61</v>
      </c>
      <c r="H82" s="42">
        <v>1490864888.7141371</v>
      </c>
      <c r="I82" s="4"/>
      <c r="J82" s="4"/>
    </row>
    <row r="83" spans="7:10" x14ac:dyDescent="0.3">
      <c r="G83">
        <v>62</v>
      </c>
      <c r="H83" s="42">
        <v>1450346550.0064783</v>
      </c>
      <c r="I83" s="4"/>
      <c r="J83" s="4"/>
    </row>
    <row r="84" spans="7:10" x14ac:dyDescent="0.3">
      <c r="G84">
        <v>63</v>
      </c>
      <c r="H84" s="42">
        <v>1608331943.9843812</v>
      </c>
      <c r="I84" s="4"/>
      <c r="J84" s="4"/>
    </row>
    <row r="85" spans="7:10" x14ac:dyDescent="0.3">
      <c r="G85">
        <v>64</v>
      </c>
      <c r="H85" s="42">
        <v>1415304791.3383741</v>
      </c>
      <c r="I85" s="4"/>
      <c r="J85" s="4"/>
    </row>
    <row r="86" spans="7:10" x14ac:dyDescent="0.3">
      <c r="G86">
        <v>65</v>
      </c>
      <c r="H86" s="42">
        <v>1421426572.6785624</v>
      </c>
      <c r="I86" s="4"/>
      <c r="J86" s="4"/>
    </row>
    <row r="87" spans="7:10" x14ac:dyDescent="0.3">
      <c r="G87">
        <v>66</v>
      </c>
      <c r="H87" s="42">
        <v>1421160801.204766</v>
      </c>
      <c r="I87" s="4"/>
      <c r="J87" s="4"/>
    </row>
    <row r="88" spans="7:10" x14ac:dyDescent="0.3">
      <c r="G88">
        <v>67</v>
      </c>
      <c r="H88" s="42">
        <v>1814122505.3130043</v>
      </c>
      <c r="I88" s="4"/>
      <c r="J88" s="4"/>
    </row>
    <row r="89" spans="7:10" x14ac:dyDescent="0.3">
      <c r="G89">
        <v>68</v>
      </c>
      <c r="H89" s="42">
        <v>1476593036.4699447</v>
      </c>
      <c r="I89" s="4"/>
      <c r="J89" s="4"/>
    </row>
    <row r="90" spans="7:10" x14ac:dyDescent="0.3">
      <c r="G90">
        <v>69</v>
      </c>
      <c r="H90" s="42">
        <v>1583441874.8471398</v>
      </c>
      <c r="I90" s="4"/>
      <c r="J90" s="4"/>
    </row>
    <row r="91" spans="7:10" x14ac:dyDescent="0.3">
      <c r="G91">
        <v>70</v>
      </c>
      <c r="H91" s="42">
        <v>1857503011.3118842</v>
      </c>
      <c r="I91" s="4"/>
      <c r="J91" s="4"/>
    </row>
    <row r="92" spans="7:10" x14ac:dyDescent="0.3">
      <c r="G92">
        <v>71</v>
      </c>
      <c r="H92" s="42">
        <v>1795023094.8843246</v>
      </c>
      <c r="I92" s="4"/>
      <c r="J92" s="4"/>
    </row>
    <row r="93" spans="7:10" x14ac:dyDescent="0.3">
      <c r="G93">
        <v>72</v>
      </c>
      <c r="H93" s="42">
        <v>1688492159.9028344</v>
      </c>
      <c r="I93" s="4"/>
      <c r="J93" s="4"/>
    </row>
    <row r="94" spans="7:10" x14ac:dyDescent="0.3">
      <c r="G94">
        <v>73</v>
      </c>
      <c r="H94" s="42">
        <v>1578534013.0460703</v>
      </c>
      <c r="I94" s="4"/>
      <c r="J94" s="4"/>
    </row>
    <row r="95" spans="7:10" x14ac:dyDescent="0.3">
      <c r="G95">
        <v>74</v>
      </c>
      <c r="H95" s="42">
        <v>1167820467.2636425</v>
      </c>
      <c r="I95" s="4"/>
      <c r="J95" s="4"/>
    </row>
    <row r="96" spans="7:10" x14ac:dyDescent="0.3">
      <c r="G96">
        <v>75</v>
      </c>
      <c r="H96" s="42">
        <v>1515949990.2041521</v>
      </c>
      <c r="I96" s="4"/>
      <c r="J96" s="4"/>
    </row>
    <row r="97" spans="7:10" x14ac:dyDescent="0.3">
      <c r="G97">
        <v>76</v>
      </c>
      <c r="H97" s="42">
        <v>1416804259.0013912</v>
      </c>
      <c r="I97" s="4"/>
      <c r="J97" s="4"/>
    </row>
    <row r="98" spans="7:10" x14ac:dyDescent="0.3">
      <c r="G98">
        <v>77</v>
      </c>
      <c r="H98" s="42">
        <v>1857766345.5845306</v>
      </c>
      <c r="I98" s="4"/>
      <c r="J98" s="4"/>
    </row>
    <row r="99" spans="7:10" x14ac:dyDescent="0.3">
      <c r="G99">
        <v>78</v>
      </c>
      <c r="H99" s="42">
        <v>1367578829.220691</v>
      </c>
      <c r="I99" s="4"/>
      <c r="J99" s="4"/>
    </row>
    <row r="100" spans="7:10" x14ac:dyDescent="0.3">
      <c r="G100">
        <v>79</v>
      </c>
      <c r="H100" s="42">
        <v>1245866576.6942186</v>
      </c>
      <c r="I100" s="4"/>
      <c r="J100" s="4"/>
    </row>
    <row r="101" spans="7:10" x14ac:dyDescent="0.3">
      <c r="G101">
        <v>80</v>
      </c>
      <c r="H101" s="42">
        <v>1649720092.7049336</v>
      </c>
      <c r="I101" s="4"/>
      <c r="J101" s="4"/>
    </row>
    <row r="102" spans="7:10" x14ac:dyDescent="0.3">
      <c r="G102">
        <v>81</v>
      </c>
      <c r="H102" s="42">
        <v>1763288645.5256038</v>
      </c>
      <c r="I102" s="4"/>
      <c r="J102" s="4"/>
    </row>
    <row r="103" spans="7:10" x14ac:dyDescent="0.3">
      <c r="G103">
        <v>82</v>
      </c>
      <c r="H103" s="42">
        <v>952459253.96665943</v>
      </c>
      <c r="I103" s="4"/>
      <c r="J103" s="4"/>
    </row>
    <row r="104" spans="7:10" x14ac:dyDescent="0.3">
      <c r="G104">
        <v>83</v>
      </c>
      <c r="H104" s="42">
        <v>1365261477.5859137</v>
      </c>
      <c r="I104" s="4"/>
      <c r="J104" s="4"/>
    </row>
    <row r="105" spans="7:10" x14ac:dyDescent="0.3">
      <c r="G105">
        <v>84</v>
      </c>
      <c r="H105" s="42">
        <v>1427307832.2912138</v>
      </c>
      <c r="I105" s="4"/>
      <c r="J105" s="4"/>
    </row>
    <row r="106" spans="7:10" x14ac:dyDescent="0.3">
      <c r="G106">
        <v>85</v>
      </c>
      <c r="H106" s="42">
        <v>1962513449.3317034</v>
      </c>
      <c r="I106" s="4"/>
      <c r="J106" s="4"/>
    </row>
    <row r="107" spans="7:10" x14ac:dyDescent="0.3">
      <c r="G107">
        <v>86</v>
      </c>
      <c r="H107" s="42">
        <v>1492503150.2604775</v>
      </c>
      <c r="I107" s="4"/>
      <c r="J107" s="4"/>
    </row>
    <row r="108" spans="7:10" x14ac:dyDescent="0.3">
      <c r="G108">
        <v>87</v>
      </c>
      <c r="H108" s="42">
        <v>1450679909.9919696</v>
      </c>
      <c r="I108" s="4"/>
      <c r="J108" s="4"/>
    </row>
    <row r="109" spans="7:10" x14ac:dyDescent="0.3">
      <c r="G109">
        <v>88</v>
      </c>
      <c r="H109" s="42">
        <v>1543451137.9687822</v>
      </c>
      <c r="I109" s="4"/>
      <c r="J109" s="4"/>
    </row>
    <row r="110" spans="7:10" x14ac:dyDescent="0.3">
      <c r="G110">
        <v>89</v>
      </c>
      <c r="H110" s="42">
        <v>1453223539.2249672</v>
      </c>
      <c r="I110" s="4"/>
      <c r="J110" s="4"/>
    </row>
    <row r="111" spans="7:10" x14ac:dyDescent="0.3">
      <c r="G111">
        <v>90</v>
      </c>
      <c r="H111" s="42">
        <v>1901315103.4371979</v>
      </c>
      <c r="I111" s="4"/>
      <c r="J111" s="4"/>
    </row>
    <row r="112" spans="7:10" x14ac:dyDescent="0.3">
      <c r="G112">
        <v>91</v>
      </c>
      <c r="H112" s="42">
        <v>1360108508.3292823</v>
      </c>
      <c r="I112" s="4"/>
      <c r="J112" s="4"/>
    </row>
    <row r="113" spans="7:10" x14ac:dyDescent="0.3">
      <c r="G113">
        <v>92</v>
      </c>
      <c r="H113" s="42">
        <v>1991601618.4618068</v>
      </c>
      <c r="I113" s="4"/>
      <c r="J113" s="4"/>
    </row>
    <row r="114" spans="7:10" x14ac:dyDescent="0.3">
      <c r="G114">
        <v>93</v>
      </c>
      <c r="H114" s="42">
        <v>1876118301.508451</v>
      </c>
      <c r="I114" s="4"/>
      <c r="J114" s="4"/>
    </row>
    <row r="115" spans="7:10" x14ac:dyDescent="0.3">
      <c r="G115">
        <v>94</v>
      </c>
      <c r="H115" s="42">
        <v>1487254405.7037325</v>
      </c>
      <c r="I115" s="4"/>
      <c r="J115" s="4"/>
    </row>
    <row r="116" spans="7:10" x14ac:dyDescent="0.3">
      <c r="G116">
        <v>95</v>
      </c>
      <c r="H116" s="42">
        <v>1426312684.6768637</v>
      </c>
      <c r="I116" s="4"/>
      <c r="J116" s="4"/>
    </row>
    <row r="117" spans="7:10" x14ac:dyDescent="0.3">
      <c r="G117">
        <v>96</v>
      </c>
      <c r="H117" s="42">
        <v>1684992186.6619985</v>
      </c>
      <c r="I117" s="4"/>
      <c r="J117" s="4"/>
    </row>
    <row r="118" spans="7:10" x14ac:dyDescent="0.3">
      <c r="G118">
        <v>97</v>
      </c>
      <c r="H118" s="42">
        <v>1901850959.3206966</v>
      </c>
      <c r="I118" s="4"/>
      <c r="J118" s="4"/>
    </row>
    <row r="119" spans="7:10" x14ac:dyDescent="0.3">
      <c r="G119">
        <v>98</v>
      </c>
      <c r="H119" s="42">
        <v>1708478561.0833771</v>
      </c>
      <c r="I119" s="4"/>
      <c r="J119" s="4"/>
    </row>
    <row r="120" spans="7:10" x14ac:dyDescent="0.3">
      <c r="G120">
        <v>99</v>
      </c>
      <c r="H120" s="42">
        <v>1691576571.3148408</v>
      </c>
      <c r="I120" s="4"/>
      <c r="J120" s="4"/>
    </row>
    <row r="121" spans="7:10" x14ac:dyDescent="0.3">
      <c r="G121">
        <v>100</v>
      </c>
      <c r="H121" s="42">
        <v>1544355386.9492588</v>
      </c>
      <c r="I121" s="4"/>
      <c r="J121" s="4"/>
    </row>
    <row r="122" spans="7:10" x14ac:dyDescent="0.3">
      <c r="G122">
        <v>101</v>
      </c>
      <c r="H122" s="42">
        <v>1242981098.115001</v>
      </c>
      <c r="I122" s="4"/>
      <c r="J122" s="4"/>
    </row>
    <row r="123" spans="7:10" x14ac:dyDescent="0.3">
      <c r="G123">
        <v>102</v>
      </c>
      <c r="H123" s="42">
        <v>1238052424.9330049</v>
      </c>
      <c r="I123" s="4"/>
      <c r="J123" s="4"/>
    </row>
    <row r="124" spans="7:10" x14ac:dyDescent="0.3">
      <c r="G124">
        <v>103</v>
      </c>
      <c r="H124" s="42">
        <v>1611548615.8733568</v>
      </c>
      <c r="I124" s="4"/>
      <c r="J124" s="4"/>
    </row>
    <row r="125" spans="7:10" x14ac:dyDescent="0.3">
      <c r="G125">
        <v>104</v>
      </c>
      <c r="H125" s="42">
        <v>1725446920.1745267</v>
      </c>
      <c r="I125" s="4"/>
      <c r="J125" s="4"/>
    </row>
    <row r="126" spans="7:10" x14ac:dyDescent="0.3">
      <c r="G126">
        <v>105</v>
      </c>
      <c r="H126" s="42">
        <v>1578638749.720875</v>
      </c>
      <c r="I126" s="4"/>
      <c r="J126" s="4"/>
    </row>
    <row r="127" spans="7:10" x14ac:dyDescent="0.3">
      <c r="G127">
        <v>106</v>
      </c>
      <c r="H127" s="42">
        <v>1404459640.9221549</v>
      </c>
      <c r="I127" s="4"/>
      <c r="J127" s="4"/>
    </row>
    <row r="128" spans="7:10" x14ac:dyDescent="0.3">
      <c r="G128">
        <v>107</v>
      </c>
      <c r="H128" s="42">
        <v>1468611640.152828</v>
      </c>
      <c r="I128" s="4"/>
      <c r="J128" s="4"/>
    </row>
    <row r="129" spans="7:10" x14ac:dyDescent="0.3">
      <c r="G129">
        <v>108</v>
      </c>
      <c r="H129" s="42">
        <v>1649091798.3815739</v>
      </c>
      <c r="I129" s="4"/>
      <c r="J129" s="4"/>
    </row>
  </sheetData>
  <mergeCells count="2">
    <mergeCell ref="K22:K23"/>
    <mergeCell ref="J19:J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C3:L129"/>
  <sheetViews>
    <sheetView topLeftCell="C10" workbookViewId="0">
      <selection activeCell="J20" sqref="J20:J21"/>
    </sheetView>
  </sheetViews>
  <sheetFormatPr defaultRowHeight="14.4" x14ac:dyDescent="0.3"/>
  <cols>
    <col min="3" max="3" width="48.21875" customWidth="1"/>
    <col min="4" max="4" width="20.33203125" customWidth="1"/>
    <col min="5" max="5" width="18.21875" customWidth="1"/>
    <col min="6" max="6" width="20.33203125" customWidth="1"/>
    <col min="8" max="9" width="18.6640625" customWidth="1"/>
    <col min="10" max="10" width="32.5546875" customWidth="1"/>
  </cols>
  <sheetData>
    <row r="3" spans="3:10" ht="18" customHeight="1" x14ac:dyDescent="0.3">
      <c r="D3" s="37" t="str">
        <f>Mappings!B6</f>
        <v>Adopting</v>
      </c>
      <c r="E3" s="54" t="s">
        <v>98</v>
      </c>
      <c r="F3" s="54" t="s">
        <v>99</v>
      </c>
      <c r="H3" s="2" t="s">
        <v>68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Mappings!Q14</f>
        <v>1081.3655107795614</v>
      </c>
      <c r="E5" s="24">
        <f>Mappings!Q15</f>
        <v>34.546068126155319</v>
      </c>
      <c r="F5" s="50">
        <f>Mappings!Q16</f>
        <v>1125.4488441128947</v>
      </c>
    </row>
    <row r="6" spans="3:10" x14ac:dyDescent="0.3">
      <c r="C6" t="str">
        <f>MC_Inclusive!C6</f>
        <v>Random value income per cow (USD/day)</v>
      </c>
      <c r="D6" s="24">
        <f ca="1">_xlfn.NORM.INV(RAND(),Mappings!Q14,Mappings!R14)</f>
        <v>1227.9847644628603</v>
      </c>
      <c r="E6" s="24">
        <f ca="1">_xlfn.NORM.INV(RAND(),Mappings!Q15,Mappings!R15)</f>
        <v>61.222626872003474</v>
      </c>
      <c r="F6" s="24">
        <f ca="1">_xlfn.NORM.INV(RAND(),Mappings!Q16,Mappings!R16)</f>
        <v>650.66778104001764</v>
      </c>
    </row>
    <row r="7" spans="3:10" x14ac:dyDescent="0.3">
      <c r="C7" t="str">
        <f>MC_Inclusive!C7</f>
        <v>Average number of cows per household (head)</v>
      </c>
      <c r="D7" s="24">
        <f>Mappings!H14*Mappings!K14</f>
        <v>2.4146270400411987</v>
      </c>
      <c r="E7" s="24">
        <f>Mappings!H15*Mappings!K15</f>
        <v>8.5299171685029833</v>
      </c>
      <c r="F7" s="24">
        <f>Mappings!H16*Mappings!K16</f>
        <v>2.9730584118562424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2.4146270400411987</v>
      </c>
      <c r="E8" s="24">
        <f ca="1">_xlfn.NORM.INV(RAND(),E7,E7*Mappings!G3)*0+E7</f>
        <v>8.5299171685029833</v>
      </c>
      <c r="F8" s="24">
        <f ca="1">_xlfn.NORM.INV(RAND(),F7,F7*Mappings!G4)*0+F7</f>
        <v>2.9730584118562424</v>
      </c>
    </row>
    <row r="9" spans="3:10" x14ac:dyDescent="0.3">
      <c r="C9" t="str">
        <f>MC_Inclusive!C9</f>
        <v>Estimated non dairy income (USD/person/day)</v>
      </c>
      <c r="D9" s="24">
        <f>Mappings!W14</f>
        <v>2532.0489928615684</v>
      </c>
      <c r="E9" s="24">
        <f>Mappings!W15</f>
        <v>2532.0489928615684</v>
      </c>
      <c r="F9" s="24">
        <f>Mappings!W16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Mappings!F14</f>
        <v>2466.6558652590656</v>
      </c>
      <c r="E11" s="4">
        <f>Mappings!F15</f>
        <v>59199.740766217568</v>
      </c>
      <c r="F11" s="4">
        <f>Mappings!F16</f>
        <v>243316.76418970295</v>
      </c>
    </row>
    <row r="12" spans="3:10" x14ac:dyDescent="0.3">
      <c r="C12" t="str">
        <f>MC_Inclusive!C12</f>
        <v>SD quantity households</v>
      </c>
      <c r="D12" s="24">
        <f>Mappings!AB14*Mappings!F14</f>
        <v>61.559221960537549</v>
      </c>
      <c r="E12" s="24">
        <f>Mappings!AB15*Mappings!F15</f>
        <v>1477.421327052901</v>
      </c>
      <c r="F12" s="4">
        <f>Mappings!AB16*Mappings!F16</f>
        <v>6072.3471419068692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2965.1252170306448</v>
      </c>
      <c r="E14" s="24">
        <f ca="1">E6*E8</f>
        <v>522.22393605635455</v>
      </c>
      <c r="F14" s="24">
        <f ca="1">F6*F8</f>
        <v>1934.4733197448602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2512.7834785432456</v>
      </c>
      <c r="E16" s="24">
        <f ca="1">_xlfn.NORM.INV(RAND(),E11,E12)</f>
        <v>61599.35061008286</v>
      </c>
      <c r="F16" s="24">
        <f t="shared" ref="F16" ca="1" si="0">_xlfn.NORM.INV(RAND(),F11,F12)</f>
        <v>250054.04232493613</v>
      </c>
    </row>
    <row r="18" spans="3:12" x14ac:dyDescent="0.3">
      <c r="C18" t="str">
        <f>[7]MC_sims_Inclusive!C18</f>
        <v>Estimated population income (USD/yr)</v>
      </c>
      <c r="D18" s="13">
        <f ca="1">(D14+D15)*D16</f>
        <v>13813208.533291172</v>
      </c>
      <c r="E18" s="13">
        <f ca="1">(E14+E15)*E16</f>
        <v>188141229.00729981</v>
      </c>
      <c r="F18" s="13">
        <f ca="1">(F14+F15)*F16</f>
        <v>1121243902.3934639</v>
      </c>
      <c r="H18">
        <f ca="1">D18+E18+F18</f>
        <v>1323198339.9340549</v>
      </c>
    </row>
    <row r="19" spans="3:12" x14ac:dyDescent="0.3">
      <c r="C19" t="str">
        <f>[7]MC_sims_Inclusive!C19</f>
        <v>SE population income (USD/yr)</v>
      </c>
      <c r="D19" t="s">
        <v>91</v>
      </c>
      <c r="E19" t="s">
        <v>91</v>
      </c>
      <c r="F19" t="s">
        <v>91</v>
      </c>
      <c r="H19">
        <f ca="1">STDEV(H22:H129)</f>
        <v>282703634.68315023</v>
      </c>
    </row>
    <row r="20" spans="3:12" x14ac:dyDescent="0.3">
      <c r="C20" t="str">
        <f>[7]MC_sims_Inclusive!C20</f>
        <v>Mean population income (USD/yr)</v>
      </c>
      <c r="D20" s="4" t="s">
        <v>91</v>
      </c>
      <c r="E20" s="4" t="s">
        <v>91</v>
      </c>
      <c r="F20" s="4" t="s">
        <v>91</v>
      </c>
      <c r="G20" s="4"/>
      <c r="H20" s="4">
        <f ca="1">AVERAGE(H22:H129)</f>
        <v>1608931548.065392</v>
      </c>
      <c r="I20" s="4"/>
      <c r="J20" s="130" t="s">
        <v>103</v>
      </c>
      <c r="K20" s="55">
        <f ca="1">100*H19/H20</f>
        <v>17.570892622689765</v>
      </c>
    </row>
    <row r="21" spans="3:12" x14ac:dyDescent="0.3">
      <c r="H21" s="4"/>
      <c r="I21" s="4"/>
      <c r="J21" s="130"/>
    </row>
    <row r="22" spans="3:12" x14ac:dyDescent="0.3">
      <c r="D22" s="4"/>
      <c r="G22">
        <v>1</v>
      </c>
      <c r="H22" s="42">
        <f ca="1">H18</f>
        <v>1323198339.9340549</v>
      </c>
      <c r="I22" s="4"/>
      <c r="J22" s="4"/>
    </row>
    <row r="23" spans="3:12" x14ac:dyDescent="0.3">
      <c r="G23">
        <v>2</v>
      </c>
      <c r="H23" s="42">
        <f t="dataTable" ref="H23:H129" dt2D="0" dtr="0" r1="H21" ca="1"/>
        <v>1301541732.1825452</v>
      </c>
      <c r="I23" s="4"/>
      <c r="J23" s="4"/>
      <c r="K23" s="129"/>
    </row>
    <row r="24" spans="3:12" x14ac:dyDescent="0.3">
      <c r="G24">
        <v>3</v>
      </c>
      <c r="H24" s="42">
        <v>2237846526.4967475</v>
      </c>
      <c r="I24" s="4"/>
      <c r="J24" s="4"/>
      <c r="K24" s="129"/>
      <c r="L24" s="55"/>
    </row>
    <row r="25" spans="3:12" x14ac:dyDescent="0.3">
      <c r="G25">
        <v>4</v>
      </c>
      <c r="H25" s="42">
        <v>1566407016.2069614</v>
      </c>
      <c r="I25" s="4"/>
      <c r="J25" s="4"/>
    </row>
    <row r="26" spans="3:12" x14ac:dyDescent="0.3">
      <c r="G26">
        <v>5</v>
      </c>
      <c r="H26" s="42">
        <v>1704599913.0019822</v>
      </c>
      <c r="I26" s="4"/>
      <c r="J26" s="4"/>
    </row>
    <row r="27" spans="3:12" x14ac:dyDescent="0.3">
      <c r="G27">
        <v>6</v>
      </c>
      <c r="H27" s="42">
        <v>1534382519.4081192</v>
      </c>
      <c r="I27" s="4"/>
      <c r="J27" s="4"/>
    </row>
    <row r="28" spans="3:12" x14ac:dyDescent="0.3">
      <c r="G28">
        <v>7</v>
      </c>
      <c r="H28" s="42">
        <v>1864405556.0270953</v>
      </c>
      <c r="I28" s="4"/>
      <c r="J28" s="4"/>
    </row>
    <row r="29" spans="3:12" x14ac:dyDescent="0.3">
      <c r="G29">
        <v>8</v>
      </c>
      <c r="H29" s="42">
        <v>1483041044.470284</v>
      </c>
      <c r="I29" s="4"/>
      <c r="J29" s="4"/>
    </row>
    <row r="30" spans="3:12" x14ac:dyDescent="0.3">
      <c r="G30">
        <v>9</v>
      </c>
      <c r="H30" s="42">
        <v>1875450922.7210374</v>
      </c>
      <c r="I30" s="4"/>
      <c r="J30" s="4"/>
    </row>
    <row r="31" spans="3:12" x14ac:dyDescent="0.3">
      <c r="G31">
        <v>10</v>
      </c>
      <c r="H31" s="42">
        <v>1669660331.9436789</v>
      </c>
      <c r="I31" s="4"/>
      <c r="J31" s="4"/>
    </row>
    <row r="32" spans="3:12" x14ac:dyDescent="0.3">
      <c r="G32">
        <v>11</v>
      </c>
      <c r="H32" s="42">
        <v>1731277016.1271563</v>
      </c>
      <c r="I32" s="4"/>
      <c r="J32" s="4"/>
    </row>
    <row r="33" spans="7:10" x14ac:dyDescent="0.3">
      <c r="G33">
        <v>12</v>
      </c>
      <c r="H33" s="42">
        <v>1976610576.4286513</v>
      </c>
      <c r="I33" s="4"/>
      <c r="J33" s="4"/>
    </row>
    <row r="34" spans="7:10" x14ac:dyDescent="0.3">
      <c r="G34">
        <v>13</v>
      </c>
      <c r="H34" s="42">
        <v>1868198444.1732972</v>
      </c>
      <c r="I34" s="4"/>
      <c r="J34" s="4"/>
    </row>
    <row r="35" spans="7:10" x14ac:dyDescent="0.3">
      <c r="G35">
        <v>14</v>
      </c>
      <c r="H35" s="42">
        <v>1773273714.1511197</v>
      </c>
      <c r="I35" s="4"/>
      <c r="J35" s="4"/>
    </row>
    <row r="36" spans="7:10" x14ac:dyDescent="0.3">
      <c r="G36">
        <v>15</v>
      </c>
      <c r="H36" s="42">
        <v>1223646125.1155767</v>
      </c>
      <c r="I36" s="4"/>
      <c r="J36" s="4"/>
    </row>
    <row r="37" spans="7:10" x14ac:dyDescent="0.3">
      <c r="G37">
        <v>16</v>
      </c>
      <c r="H37" s="42">
        <v>1127092727.7984314</v>
      </c>
      <c r="I37" s="4"/>
      <c r="J37" s="4"/>
    </row>
    <row r="38" spans="7:10" x14ac:dyDescent="0.3">
      <c r="G38">
        <v>17</v>
      </c>
      <c r="H38" s="42">
        <v>1608597134.1518354</v>
      </c>
      <c r="I38" s="4"/>
      <c r="J38" s="4"/>
    </row>
    <row r="39" spans="7:10" x14ac:dyDescent="0.3">
      <c r="G39">
        <v>18</v>
      </c>
      <c r="H39" s="42">
        <v>1285109745.3369093</v>
      </c>
      <c r="I39" s="4"/>
      <c r="J39" s="4"/>
    </row>
    <row r="40" spans="7:10" x14ac:dyDescent="0.3">
      <c r="G40">
        <v>19</v>
      </c>
      <c r="H40" s="42">
        <v>1635092775.3261969</v>
      </c>
      <c r="I40" s="4"/>
      <c r="J40" s="4"/>
    </row>
    <row r="41" spans="7:10" x14ac:dyDescent="0.3">
      <c r="G41">
        <v>20</v>
      </c>
      <c r="H41" s="42">
        <v>1718404276.2395635</v>
      </c>
      <c r="I41" s="4"/>
      <c r="J41" s="4"/>
    </row>
    <row r="42" spans="7:10" x14ac:dyDescent="0.3">
      <c r="G42">
        <v>21</v>
      </c>
      <c r="H42" s="42">
        <v>1675444254.4464207</v>
      </c>
      <c r="I42" s="4"/>
      <c r="J42" s="4"/>
    </row>
    <row r="43" spans="7:10" x14ac:dyDescent="0.3">
      <c r="G43">
        <v>22</v>
      </c>
      <c r="H43" s="42">
        <v>1636483319.4128981</v>
      </c>
      <c r="I43" s="4"/>
      <c r="J43" s="4"/>
    </row>
    <row r="44" spans="7:10" x14ac:dyDescent="0.3">
      <c r="G44">
        <v>23</v>
      </c>
      <c r="H44" s="42">
        <v>1226922374.1678607</v>
      </c>
      <c r="I44" s="4"/>
      <c r="J44" s="4"/>
    </row>
    <row r="45" spans="7:10" x14ac:dyDescent="0.3">
      <c r="G45">
        <v>24</v>
      </c>
      <c r="H45" s="42">
        <v>1641053999.3327374</v>
      </c>
      <c r="I45" s="4"/>
      <c r="J45" s="4"/>
    </row>
    <row r="46" spans="7:10" x14ac:dyDescent="0.3">
      <c r="G46">
        <v>25</v>
      </c>
      <c r="H46" s="42">
        <v>1857650233.344985</v>
      </c>
      <c r="I46" s="4"/>
      <c r="J46" s="4"/>
    </row>
    <row r="47" spans="7:10" x14ac:dyDescent="0.3">
      <c r="G47">
        <v>26</v>
      </c>
      <c r="H47" s="42">
        <v>1892663128.1738415</v>
      </c>
      <c r="I47" s="4"/>
      <c r="J47" s="4"/>
    </row>
    <row r="48" spans="7:10" x14ac:dyDescent="0.3">
      <c r="G48">
        <v>27</v>
      </c>
      <c r="H48" s="42">
        <v>1361456153.2865992</v>
      </c>
      <c r="I48" s="4"/>
      <c r="J48" s="4"/>
    </row>
    <row r="49" spans="7:10" x14ac:dyDescent="0.3">
      <c r="G49">
        <v>28</v>
      </c>
      <c r="H49" s="42">
        <v>1459108064.1117625</v>
      </c>
      <c r="I49" s="4"/>
      <c r="J49" s="4"/>
    </row>
    <row r="50" spans="7:10" x14ac:dyDescent="0.3">
      <c r="G50">
        <v>29</v>
      </c>
      <c r="H50" s="42">
        <v>1188874254.1750922</v>
      </c>
      <c r="I50" s="4"/>
      <c r="J50" s="4"/>
    </row>
    <row r="51" spans="7:10" x14ac:dyDescent="0.3">
      <c r="G51">
        <v>30</v>
      </c>
      <c r="H51" s="42">
        <v>1563865672.2900488</v>
      </c>
      <c r="I51" s="4"/>
      <c r="J51" s="4"/>
    </row>
    <row r="52" spans="7:10" x14ac:dyDescent="0.3">
      <c r="G52">
        <v>31</v>
      </c>
      <c r="H52" s="42">
        <v>1939279789.0082128</v>
      </c>
      <c r="I52" s="4"/>
      <c r="J52" s="4"/>
    </row>
    <row r="53" spans="7:10" x14ac:dyDescent="0.3">
      <c r="G53">
        <v>32</v>
      </c>
      <c r="H53" s="42">
        <v>1753909870.3687179</v>
      </c>
      <c r="I53" s="4"/>
      <c r="J53" s="4"/>
    </row>
    <row r="54" spans="7:10" x14ac:dyDescent="0.3">
      <c r="G54">
        <v>33</v>
      </c>
      <c r="H54" s="42">
        <v>1333033625.5751221</v>
      </c>
      <c r="I54" s="4"/>
      <c r="J54" s="4"/>
    </row>
    <row r="55" spans="7:10" x14ac:dyDescent="0.3">
      <c r="G55">
        <v>34</v>
      </c>
      <c r="H55" s="42">
        <v>1273996497.1522434</v>
      </c>
      <c r="I55" s="4"/>
      <c r="J55" s="4"/>
    </row>
    <row r="56" spans="7:10" x14ac:dyDescent="0.3">
      <c r="G56">
        <v>35</v>
      </c>
      <c r="H56" s="42">
        <v>1464129157.7000971</v>
      </c>
      <c r="I56" s="4"/>
      <c r="J56" s="4"/>
    </row>
    <row r="57" spans="7:10" x14ac:dyDescent="0.3">
      <c r="G57">
        <v>36</v>
      </c>
      <c r="H57" s="42">
        <v>1241061125.4752216</v>
      </c>
      <c r="I57" s="4"/>
      <c r="J57" s="4"/>
    </row>
    <row r="58" spans="7:10" x14ac:dyDescent="0.3">
      <c r="G58">
        <v>37</v>
      </c>
      <c r="H58" s="42">
        <v>1620993887.4599733</v>
      </c>
      <c r="I58" s="4"/>
      <c r="J58" s="4"/>
    </row>
    <row r="59" spans="7:10" x14ac:dyDescent="0.3">
      <c r="G59">
        <v>38</v>
      </c>
      <c r="H59" s="42">
        <v>1771024822.8163266</v>
      </c>
      <c r="I59" s="4"/>
      <c r="J59" s="4"/>
    </row>
    <row r="60" spans="7:10" x14ac:dyDescent="0.3">
      <c r="G60">
        <v>39</v>
      </c>
      <c r="H60" s="42">
        <v>1087655340.7753563</v>
      </c>
      <c r="I60" s="4"/>
      <c r="J60" s="4"/>
    </row>
    <row r="61" spans="7:10" x14ac:dyDescent="0.3">
      <c r="G61">
        <v>40</v>
      </c>
      <c r="H61" s="42">
        <v>1247117932.7972445</v>
      </c>
      <c r="I61" s="4"/>
      <c r="J61" s="4"/>
    </row>
    <row r="62" spans="7:10" x14ac:dyDescent="0.3">
      <c r="G62">
        <v>41</v>
      </c>
      <c r="H62" s="42">
        <v>2257953309.321538</v>
      </c>
      <c r="I62" s="4"/>
      <c r="J62" s="4"/>
    </row>
    <row r="63" spans="7:10" x14ac:dyDescent="0.3">
      <c r="G63">
        <v>42</v>
      </c>
      <c r="H63" s="42">
        <v>1789436007.0585749</v>
      </c>
      <c r="I63" s="4"/>
      <c r="J63" s="4"/>
    </row>
    <row r="64" spans="7:10" x14ac:dyDescent="0.3">
      <c r="G64">
        <v>43</v>
      </c>
      <c r="H64" s="42">
        <v>1945577469.2313468</v>
      </c>
      <c r="I64" s="4"/>
      <c r="J64" s="4"/>
    </row>
    <row r="65" spans="7:10" x14ac:dyDescent="0.3">
      <c r="G65">
        <v>44</v>
      </c>
      <c r="H65" s="42">
        <v>1381456731.9687796</v>
      </c>
      <c r="I65" s="4"/>
      <c r="J65" s="4"/>
    </row>
    <row r="66" spans="7:10" x14ac:dyDescent="0.3">
      <c r="G66">
        <v>45</v>
      </c>
      <c r="H66" s="42">
        <v>2029201685.2129931</v>
      </c>
      <c r="I66" s="4"/>
      <c r="J66" s="4"/>
    </row>
    <row r="67" spans="7:10" x14ac:dyDescent="0.3">
      <c r="G67">
        <v>46</v>
      </c>
      <c r="H67" s="42">
        <v>1252021911.776334</v>
      </c>
      <c r="I67" s="4"/>
      <c r="J67" s="4"/>
    </row>
    <row r="68" spans="7:10" x14ac:dyDescent="0.3">
      <c r="G68">
        <v>47</v>
      </c>
      <c r="H68" s="42">
        <v>2174946321.5162463</v>
      </c>
      <c r="I68" s="4"/>
      <c r="J68" s="4"/>
    </row>
    <row r="69" spans="7:10" x14ac:dyDescent="0.3">
      <c r="G69">
        <v>48</v>
      </c>
      <c r="H69" s="42">
        <v>1762132683.1552188</v>
      </c>
      <c r="I69" s="4"/>
      <c r="J69" s="4"/>
    </row>
    <row r="70" spans="7:10" x14ac:dyDescent="0.3">
      <c r="G70">
        <v>49</v>
      </c>
      <c r="H70" s="42">
        <v>1506563539.0327632</v>
      </c>
      <c r="I70" s="4"/>
      <c r="J70" s="4"/>
    </row>
    <row r="71" spans="7:10" x14ac:dyDescent="0.3">
      <c r="G71">
        <v>50</v>
      </c>
      <c r="H71" s="42">
        <v>1594634925.2467051</v>
      </c>
      <c r="I71" s="4"/>
      <c r="J71" s="4"/>
    </row>
    <row r="72" spans="7:10" x14ac:dyDescent="0.3">
      <c r="G72">
        <v>51</v>
      </c>
      <c r="H72" s="42">
        <v>1428409927.8519273</v>
      </c>
      <c r="I72" s="4"/>
      <c r="J72" s="4"/>
    </row>
    <row r="73" spans="7:10" x14ac:dyDescent="0.3">
      <c r="G73">
        <v>52</v>
      </c>
      <c r="H73" s="42">
        <v>2000619530.3577654</v>
      </c>
      <c r="I73" s="4"/>
      <c r="J73" s="4"/>
    </row>
    <row r="74" spans="7:10" x14ac:dyDescent="0.3">
      <c r="G74">
        <v>53</v>
      </c>
      <c r="H74" s="42">
        <v>1568345196.7485392</v>
      </c>
      <c r="I74" s="4"/>
      <c r="J74" s="4"/>
    </row>
    <row r="75" spans="7:10" x14ac:dyDescent="0.3">
      <c r="G75">
        <v>54</v>
      </c>
      <c r="H75" s="42">
        <v>1353008699.6654713</v>
      </c>
      <c r="I75" s="4"/>
      <c r="J75" s="4"/>
    </row>
    <row r="76" spans="7:10" x14ac:dyDescent="0.3">
      <c r="G76">
        <v>55</v>
      </c>
      <c r="H76" s="42">
        <v>1490210656.962816</v>
      </c>
      <c r="I76" s="4"/>
      <c r="J76" s="4"/>
    </row>
    <row r="77" spans="7:10" x14ac:dyDescent="0.3">
      <c r="G77">
        <v>56</v>
      </c>
      <c r="H77" s="42">
        <v>1602519300.0518355</v>
      </c>
      <c r="I77" s="4"/>
      <c r="J77" s="4"/>
    </row>
    <row r="78" spans="7:10" x14ac:dyDescent="0.3">
      <c r="G78">
        <v>57</v>
      </c>
      <c r="H78" s="42">
        <v>1601331914.9604108</v>
      </c>
      <c r="I78" s="4"/>
      <c r="J78" s="4"/>
    </row>
    <row r="79" spans="7:10" x14ac:dyDescent="0.3">
      <c r="G79">
        <v>58</v>
      </c>
      <c r="H79" s="42">
        <v>1834043274.4238055</v>
      </c>
      <c r="I79" s="4"/>
      <c r="J79" s="4"/>
    </row>
    <row r="80" spans="7:10" x14ac:dyDescent="0.3">
      <c r="G80">
        <v>59</v>
      </c>
      <c r="H80" s="42">
        <v>1869318378.1640179</v>
      </c>
      <c r="I80" s="4"/>
      <c r="J80" s="4"/>
    </row>
    <row r="81" spans="7:10" x14ac:dyDescent="0.3">
      <c r="G81">
        <v>60</v>
      </c>
      <c r="H81" s="42">
        <v>1635270867.394695</v>
      </c>
      <c r="I81" s="4"/>
      <c r="J81" s="4"/>
    </row>
    <row r="82" spans="7:10" x14ac:dyDescent="0.3">
      <c r="G82">
        <v>61</v>
      </c>
      <c r="H82" s="42">
        <v>2064497675.5783401</v>
      </c>
      <c r="I82" s="4"/>
      <c r="J82" s="4"/>
    </row>
    <row r="83" spans="7:10" x14ac:dyDescent="0.3">
      <c r="G83">
        <v>62</v>
      </c>
      <c r="H83" s="42">
        <v>1482507523.5643153</v>
      </c>
      <c r="I83" s="4"/>
      <c r="J83" s="4"/>
    </row>
    <row r="84" spans="7:10" x14ac:dyDescent="0.3">
      <c r="G84">
        <v>63</v>
      </c>
      <c r="H84" s="42">
        <v>1105460650.4919024</v>
      </c>
      <c r="I84" s="4"/>
      <c r="J84" s="4"/>
    </row>
    <row r="85" spans="7:10" x14ac:dyDescent="0.3">
      <c r="G85">
        <v>64</v>
      </c>
      <c r="H85" s="42">
        <v>2195834261.0228491</v>
      </c>
      <c r="I85" s="4"/>
      <c r="J85" s="4"/>
    </row>
    <row r="86" spans="7:10" x14ac:dyDescent="0.3">
      <c r="G86">
        <v>65</v>
      </c>
      <c r="H86" s="42">
        <v>1750585796.5812728</v>
      </c>
      <c r="I86" s="4"/>
      <c r="J86" s="4"/>
    </row>
    <row r="87" spans="7:10" x14ac:dyDescent="0.3">
      <c r="G87">
        <v>66</v>
      </c>
      <c r="H87" s="42">
        <v>1892534026.0478294</v>
      </c>
      <c r="I87" s="4"/>
      <c r="J87" s="4"/>
    </row>
    <row r="88" spans="7:10" x14ac:dyDescent="0.3">
      <c r="G88">
        <v>67</v>
      </c>
      <c r="H88" s="42">
        <v>1196477366.4001851</v>
      </c>
      <c r="I88" s="4"/>
      <c r="J88" s="4"/>
    </row>
    <row r="89" spans="7:10" x14ac:dyDescent="0.3">
      <c r="G89">
        <v>68</v>
      </c>
      <c r="H89" s="42">
        <v>1260751986.2386668</v>
      </c>
      <c r="I89" s="4"/>
      <c r="J89" s="4"/>
    </row>
    <row r="90" spans="7:10" x14ac:dyDescent="0.3">
      <c r="G90">
        <v>69</v>
      </c>
      <c r="H90" s="42">
        <v>1615446279.5322499</v>
      </c>
      <c r="I90" s="4"/>
      <c r="J90" s="4"/>
    </row>
    <row r="91" spans="7:10" x14ac:dyDescent="0.3">
      <c r="G91">
        <v>70</v>
      </c>
      <c r="H91" s="42">
        <v>1452040447.7074301</v>
      </c>
      <c r="I91" s="4"/>
      <c r="J91" s="4"/>
    </row>
    <row r="92" spans="7:10" x14ac:dyDescent="0.3">
      <c r="G92">
        <v>71</v>
      </c>
      <c r="H92" s="42">
        <v>1502937812.1843696</v>
      </c>
      <c r="I92" s="4"/>
      <c r="J92" s="4"/>
    </row>
    <row r="93" spans="7:10" x14ac:dyDescent="0.3">
      <c r="G93">
        <v>72</v>
      </c>
      <c r="H93" s="42">
        <v>1502143133.6631567</v>
      </c>
      <c r="I93" s="4"/>
      <c r="J93" s="4"/>
    </row>
    <row r="94" spans="7:10" x14ac:dyDescent="0.3">
      <c r="G94">
        <v>73</v>
      </c>
      <c r="H94" s="42">
        <v>1235791369.9164765</v>
      </c>
      <c r="I94" s="4"/>
      <c r="J94" s="4"/>
    </row>
    <row r="95" spans="7:10" x14ac:dyDescent="0.3">
      <c r="G95">
        <v>74</v>
      </c>
      <c r="H95" s="42">
        <v>1730137722.1281276</v>
      </c>
      <c r="I95" s="4"/>
      <c r="J95" s="4"/>
    </row>
    <row r="96" spans="7:10" x14ac:dyDescent="0.3">
      <c r="G96">
        <v>75</v>
      </c>
      <c r="H96" s="42">
        <v>2042866969.1560018</v>
      </c>
      <c r="I96" s="4"/>
      <c r="J96" s="4"/>
    </row>
    <row r="97" spans="7:10" x14ac:dyDescent="0.3">
      <c r="G97">
        <v>76</v>
      </c>
      <c r="H97" s="42">
        <v>1235200888.6868401</v>
      </c>
      <c r="I97" s="4"/>
      <c r="J97" s="4"/>
    </row>
    <row r="98" spans="7:10" x14ac:dyDescent="0.3">
      <c r="G98">
        <v>77</v>
      </c>
      <c r="H98" s="42">
        <v>2200440735.6216187</v>
      </c>
      <c r="I98" s="4"/>
      <c r="J98" s="4"/>
    </row>
    <row r="99" spans="7:10" x14ac:dyDescent="0.3">
      <c r="G99">
        <v>78</v>
      </c>
      <c r="H99" s="42">
        <v>1634986672.1286902</v>
      </c>
      <c r="I99" s="4"/>
      <c r="J99" s="4"/>
    </row>
    <row r="100" spans="7:10" x14ac:dyDescent="0.3">
      <c r="G100">
        <v>79</v>
      </c>
      <c r="H100" s="42">
        <v>1516892629.3480294</v>
      </c>
      <c r="I100" s="4"/>
      <c r="J100" s="4"/>
    </row>
    <row r="101" spans="7:10" x14ac:dyDescent="0.3">
      <c r="G101">
        <v>80</v>
      </c>
      <c r="H101" s="42">
        <v>1472079692.571413</v>
      </c>
      <c r="I101" s="4"/>
      <c r="J101" s="4"/>
    </row>
    <row r="102" spans="7:10" x14ac:dyDescent="0.3">
      <c r="G102">
        <v>81</v>
      </c>
      <c r="H102" s="42">
        <v>1526207975.9649117</v>
      </c>
      <c r="I102" s="4"/>
      <c r="J102" s="4"/>
    </row>
    <row r="103" spans="7:10" x14ac:dyDescent="0.3">
      <c r="G103">
        <v>82</v>
      </c>
      <c r="H103" s="42">
        <v>1661965369.6740639</v>
      </c>
      <c r="I103" s="4"/>
      <c r="J103" s="4"/>
    </row>
    <row r="104" spans="7:10" x14ac:dyDescent="0.3">
      <c r="G104">
        <v>83</v>
      </c>
      <c r="H104" s="42">
        <v>1899798074.2153189</v>
      </c>
      <c r="I104" s="4"/>
      <c r="J104" s="4"/>
    </row>
    <row r="105" spans="7:10" x14ac:dyDescent="0.3">
      <c r="G105">
        <v>84</v>
      </c>
      <c r="H105" s="42">
        <v>1196734663.6969802</v>
      </c>
      <c r="I105" s="4"/>
      <c r="J105" s="4"/>
    </row>
    <row r="106" spans="7:10" x14ac:dyDescent="0.3">
      <c r="G106">
        <v>85</v>
      </c>
      <c r="H106" s="42">
        <v>1979821113.0914268</v>
      </c>
      <c r="I106" s="4"/>
      <c r="J106" s="4"/>
    </row>
    <row r="107" spans="7:10" x14ac:dyDescent="0.3">
      <c r="G107">
        <v>86</v>
      </c>
      <c r="H107" s="42">
        <v>1765161078.8288598</v>
      </c>
      <c r="I107" s="4"/>
      <c r="J107" s="4"/>
    </row>
    <row r="108" spans="7:10" x14ac:dyDescent="0.3">
      <c r="G108">
        <v>87</v>
      </c>
      <c r="H108" s="42">
        <v>1636375778.319242</v>
      </c>
      <c r="I108" s="4"/>
      <c r="J108" s="4"/>
    </row>
    <row r="109" spans="7:10" x14ac:dyDescent="0.3">
      <c r="G109">
        <v>88</v>
      </c>
      <c r="H109" s="42">
        <v>1422695259.4954445</v>
      </c>
      <c r="I109" s="4"/>
      <c r="J109" s="4"/>
    </row>
    <row r="110" spans="7:10" x14ac:dyDescent="0.3">
      <c r="G110">
        <v>89</v>
      </c>
      <c r="H110" s="42">
        <v>1652530711.5916417</v>
      </c>
      <c r="I110" s="4"/>
      <c r="J110" s="4"/>
    </row>
    <row r="111" spans="7:10" x14ac:dyDescent="0.3">
      <c r="G111">
        <v>90</v>
      </c>
      <c r="H111" s="42">
        <v>1913718411.0541592</v>
      </c>
      <c r="I111" s="4"/>
      <c r="J111" s="4"/>
    </row>
    <row r="112" spans="7:10" x14ac:dyDescent="0.3">
      <c r="G112">
        <v>91</v>
      </c>
      <c r="H112" s="42">
        <v>1691262258.2252016</v>
      </c>
      <c r="I112" s="4"/>
      <c r="J112" s="4"/>
    </row>
    <row r="113" spans="7:10" x14ac:dyDescent="0.3">
      <c r="G113">
        <v>92</v>
      </c>
      <c r="H113" s="42">
        <v>1321511659.6215496</v>
      </c>
      <c r="I113" s="4"/>
      <c r="J113" s="4"/>
    </row>
    <row r="114" spans="7:10" x14ac:dyDescent="0.3">
      <c r="G114">
        <v>93</v>
      </c>
      <c r="H114" s="42">
        <v>1392335918.669606</v>
      </c>
      <c r="I114" s="4"/>
      <c r="J114" s="4"/>
    </row>
    <row r="115" spans="7:10" x14ac:dyDescent="0.3">
      <c r="G115">
        <v>94</v>
      </c>
      <c r="H115" s="42">
        <v>1866913751.5458169</v>
      </c>
      <c r="I115" s="4"/>
      <c r="J115" s="4"/>
    </row>
    <row r="116" spans="7:10" x14ac:dyDescent="0.3">
      <c r="G116">
        <v>95</v>
      </c>
      <c r="H116" s="42">
        <v>1499900802.3859303</v>
      </c>
      <c r="I116" s="4"/>
      <c r="J116" s="4"/>
    </row>
    <row r="117" spans="7:10" x14ac:dyDescent="0.3">
      <c r="G117">
        <v>96</v>
      </c>
      <c r="H117" s="42">
        <v>1640063667.8904707</v>
      </c>
      <c r="I117" s="4"/>
      <c r="J117" s="4"/>
    </row>
    <row r="118" spans="7:10" x14ac:dyDescent="0.3">
      <c r="G118">
        <v>97</v>
      </c>
      <c r="H118" s="42">
        <v>1262575811.7896194</v>
      </c>
      <c r="I118" s="4"/>
      <c r="J118" s="4"/>
    </row>
    <row r="119" spans="7:10" x14ac:dyDescent="0.3">
      <c r="G119">
        <v>98</v>
      </c>
      <c r="H119" s="42">
        <v>1741555195.8919449</v>
      </c>
      <c r="I119" s="4"/>
      <c r="J119" s="4"/>
    </row>
    <row r="120" spans="7:10" x14ac:dyDescent="0.3">
      <c r="G120">
        <v>99</v>
      </c>
      <c r="H120" s="42">
        <v>1292305467.0002551</v>
      </c>
      <c r="I120" s="4"/>
      <c r="J120" s="4"/>
    </row>
    <row r="121" spans="7:10" x14ac:dyDescent="0.3">
      <c r="G121">
        <v>100</v>
      </c>
      <c r="H121" s="42">
        <v>1255149281.0801542</v>
      </c>
      <c r="I121" s="4"/>
      <c r="J121" s="4"/>
    </row>
    <row r="122" spans="7:10" x14ac:dyDescent="0.3">
      <c r="G122">
        <v>101</v>
      </c>
      <c r="H122" s="42">
        <v>1873215155.5519309</v>
      </c>
      <c r="I122" s="4"/>
      <c r="J122" s="4"/>
    </row>
    <row r="123" spans="7:10" x14ac:dyDescent="0.3">
      <c r="G123">
        <v>102</v>
      </c>
      <c r="H123" s="42">
        <v>974633251.64798725</v>
      </c>
      <c r="I123" s="4"/>
      <c r="J123" s="4"/>
    </row>
    <row r="124" spans="7:10" x14ac:dyDescent="0.3">
      <c r="G124">
        <v>103</v>
      </c>
      <c r="H124" s="42">
        <v>1747547309.4601805</v>
      </c>
      <c r="I124" s="4"/>
      <c r="J124" s="4"/>
    </row>
    <row r="125" spans="7:10" x14ac:dyDescent="0.3">
      <c r="G125">
        <v>104</v>
      </c>
      <c r="H125" s="42">
        <v>1880656052.7479711</v>
      </c>
      <c r="I125" s="4"/>
      <c r="J125" s="4"/>
    </row>
    <row r="126" spans="7:10" x14ac:dyDescent="0.3">
      <c r="G126">
        <v>105</v>
      </c>
      <c r="H126" s="42">
        <v>1718124030.7545862</v>
      </c>
      <c r="I126" s="4"/>
      <c r="J126" s="4"/>
    </row>
    <row r="127" spans="7:10" x14ac:dyDescent="0.3">
      <c r="G127">
        <v>106</v>
      </c>
      <c r="H127" s="42">
        <v>1616807565.9632893</v>
      </c>
      <c r="I127" s="4"/>
      <c r="J127" s="4"/>
    </row>
    <row r="128" spans="7:10" x14ac:dyDescent="0.3">
      <c r="G128">
        <v>107</v>
      </c>
      <c r="H128" s="42">
        <v>1504264965.3153396</v>
      </c>
      <c r="I128" s="4"/>
      <c r="J128" s="4"/>
    </row>
    <row r="129" spans="7:10" x14ac:dyDescent="0.3">
      <c r="G129">
        <v>108</v>
      </c>
      <c r="H129" s="42">
        <v>1920600701.8049245</v>
      </c>
      <c r="I129" s="4"/>
      <c r="J129" s="4"/>
    </row>
  </sheetData>
  <mergeCells count="2">
    <mergeCell ref="K23:K24"/>
    <mergeCell ref="J20:J2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C3:K129"/>
  <sheetViews>
    <sheetView tabSelected="1" workbookViewId="0">
      <selection activeCell="E15" sqref="E15"/>
    </sheetView>
  </sheetViews>
  <sheetFormatPr defaultRowHeight="14.4" x14ac:dyDescent="0.3"/>
  <cols>
    <col min="3" max="3" width="48.21875" customWidth="1"/>
    <col min="4" max="4" width="20.33203125" customWidth="1"/>
    <col min="5" max="5" width="28.109375" customWidth="1"/>
    <col min="6" max="6" width="26.109375" customWidth="1"/>
    <col min="8" max="9" width="18.6640625" customWidth="1"/>
    <col min="10" max="10" width="30.33203125" customWidth="1"/>
  </cols>
  <sheetData>
    <row r="3" spans="3:10" ht="18" customHeight="1" x14ac:dyDescent="0.3">
      <c r="D3" s="37" t="str">
        <f>Mappings!B6</f>
        <v>Adopting</v>
      </c>
      <c r="E3" s="54" t="s">
        <v>98</v>
      </c>
      <c r="F3" s="54" t="s">
        <v>99</v>
      </c>
      <c r="H3" s="2" t="s">
        <v>68</v>
      </c>
      <c r="I3" s="2"/>
      <c r="J3" s="2"/>
    </row>
    <row r="5" spans="3:10" x14ac:dyDescent="0.3">
      <c r="C5" t="str">
        <f>MC_Inclusive!C5</f>
        <v>Income per cow (USD/day)</v>
      </c>
      <c r="D5" s="24">
        <f>Mappings!Q18</f>
        <v>1081.3655107795614</v>
      </c>
      <c r="E5" s="24">
        <f>Mappings!Q19</f>
        <v>34.546068126155319</v>
      </c>
      <c r="F5" s="50">
        <f>Mappings!Q20</f>
        <v>1125.4488441128947</v>
      </c>
    </row>
    <row r="6" spans="3:10" x14ac:dyDescent="0.3">
      <c r="C6" t="str">
        <f>MC_Inclusive!C6</f>
        <v>Random value income per cow (USD/day)</v>
      </c>
      <c r="D6" s="24">
        <f ca="1">_xlfn.NORM.INV(RAND(),Mappings!Q18,Mappings!R18)</f>
        <v>1936.1498379047171</v>
      </c>
      <c r="E6" s="24">
        <f ca="1">_xlfn.NORM.INV(RAND(),Mappings!Q19,Mappings!R19)</f>
        <v>37.239549356766226</v>
      </c>
      <c r="F6" s="24">
        <f ca="1">_xlfn.NORM.INV(RAND(),Mappings!Q20,Mappings!R20)</f>
        <v>1301.6994188608217</v>
      </c>
    </row>
    <row r="7" spans="3:10" x14ac:dyDescent="0.3">
      <c r="C7" t="str">
        <f>MC_Inclusive!C7</f>
        <v>Average number of cows per household (head)</v>
      </c>
      <c r="D7" s="24">
        <f>Mappings!H18*Mappings!K18</f>
        <v>5.4363131069230297</v>
      </c>
      <c r="E7" s="24">
        <f>Mappings!H19*Mappings!K19</f>
        <v>4.7136582758432626</v>
      </c>
      <c r="F7" s="24">
        <f>Mappings!H20*Mappings!K20</f>
        <v>3.3398704226887195</v>
      </c>
    </row>
    <row r="8" spans="3:10" x14ac:dyDescent="0.3">
      <c r="C8" t="str">
        <f>MC_Inclusive!C8</f>
        <v>Random value cows per household (head)</v>
      </c>
      <c r="D8" s="24">
        <f ca="1">_xlfn.NORM.INV(RAND(),D7,D7*Mappings!G4)*0+D7</f>
        <v>5.4363131069230297</v>
      </c>
      <c r="E8" s="24">
        <f ca="1">_xlfn.NORM.INV(RAND(),E7,E7*Mappings!G3)*0+E7</f>
        <v>4.7136582758432626</v>
      </c>
      <c r="F8" s="24">
        <f ca="1">_xlfn.NORM.INV(RAND(),F7,F7*Mappings!G4)*0+F7</f>
        <v>3.3398704226887195</v>
      </c>
    </row>
    <row r="9" spans="3:10" x14ac:dyDescent="0.3">
      <c r="C9" t="str">
        <f>MC_Inclusive!C9</f>
        <v>Estimated non dairy income (USD/person/day)</v>
      </c>
      <c r="D9" s="24">
        <f>Mappings!W18</f>
        <v>2532.0489928615684</v>
      </c>
      <c r="E9" s="24">
        <f>Mappings!W19</f>
        <v>2532.0489928615684</v>
      </c>
      <c r="F9" s="24">
        <f>Mappings!W20</f>
        <v>2549.5329853259786</v>
      </c>
    </row>
    <row r="10" spans="3:10" x14ac:dyDescent="0.3">
      <c r="C10" t="str">
        <f>MC_Inclusive!C10</f>
        <v>Random value non dairy income (USD/person/day)</v>
      </c>
      <c r="D10" s="24">
        <f>D9</f>
        <v>2532.0489928615684</v>
      </c>
      <c r="E10" s="24">
        <f>E9</f>
        <v>2532.0489928615684</v>
      </c>
      <c r="F10" s="24">
        <f>F9</f>
        <v>2549.5329853259786</v>
      </c>
    </row>
    <row r="11" spans="3:10" x14ac:dyDescent="0.3">
      <c r="C11" t="str">
        <f>MC_Inclusive!C11</f>
        <v>Quantity households</v>
      </c>
      <c r="D11" s="24">
        <f>Mappings!F18</f>
        <v>7091.6356126198125</v>
      </c>
      <c r="E11" s="4">
        <f>Mappings!F19</f>
        <v>54574.761018856821</v>
      </c>
      <c r="F11" s="4">
        <f>Mappings!F20</f>
        <v>243316.76418970295</v>
      </c>
    </row>
    <row r="12" spans="3:10" x14ac:dyDescent="0.3">
      <c r="C12" t="str">
        <f>MC_Inclusive!C12</f>
        <v>SD quantity households</v>
      </c>
      <c r="D12" s="24">
        <f>Mappings!AB18*Mappings!F18</f>
        <v>176.98276313654543</v>
      </c>
      <c r="E12" s="24">
        <f>Mappings!AB19*Mappings!F19</f>
        <v>1361.9977858768932</v>
      </c>
      <c r="F12" s="4">
        <f>Mappings!AB20*Mappings!F20</f>
        <v>6072.3471419068692</v>
      </c>
    </row>
    <row r="13" spans="3:10" x14ac:dyDescent="0.3">
      <c r="D13" s="24"/>
    </row>
    <row r="14" spans="3:10" x14ac:dyDescent="0.3">
      <c r="C14" t="str">
        <f>MC_Inclusive!C14</f>
        <v>Dairy Income (USD/household/year)</v>
      </c>
      <c r="D14" s="24">
        <f ca="1">D6*D8</f>
        <v>10525.516740768313</v>
      </c>
      <c r="E14" s="24">
        <f ca="1">E6*E8</f>
        <v>175.53451001419475</v>
      </c>
      <c r="F14" s="24">
        <f ca="1">F6*F8</f>
        <v>4347.5073882843526</v>
      </c>
    </row>
    <row r="15" spans="3:10" x14ac:dyDescent="0.3">
      <c r="C15" t="str">
        <f>MC_Inclusive!C15</f>
        <v>Non dairy income (USD/household/year)</v>
      </c>
      <c r="D15" s="24">
        <f>D10</f>
        <v>2532.0489928615684</v>
      </c>
      <c r="E15" s="24">
        <f>E10</f>
        <v>2532.0489928615684</v>
      </c>
      <c r="F15" s="24">
        <f>F10</f>
        <v>2549.5329853259786</v>
      </c>
    </row>
    <row r="16" spans="3:10" x14ac:dyDescent="0.3">
      <c r="C16" t="str">
        <f>MC_Inclusive!C16</f>
        <v>Quantity households</v>
      </c>
      <c r="D16" s="24">
        <f ca="1">_xlfn.NORM.INV(RAND(),D11,D12)</f>
        <v>7275.2793500310809</v>
      </c>
      <c r="E16" s="24">
        <f ca="1">_xlfn.NORM.INV(RAND(),E11,E12)</f>
        <v>55031.411300803251</v>
      </c>
      <c r="F16" s="24">
        <f t="shared" ref="F16" ca="1" si="0">_xlfn.NORM.INV(RAND(),F11,F12)</f>
        <v>247326.18701098915</v>
      </c>
    </row>
    <row r="18" spans="3:11" x14ac:dyDescent="0.3">
      <c r="C18" s="59" t="s">
        <v>81</v>
      </c>
      <c r="D18" s="4">
        <f ca="1">(D14+D15)*D16</f>
        <v>94997438.34355092</v>
      </c>
      <c r="E18" s="4">
        <f t="shared" ref="E18:F18" ca="1" si="1">(E14+E15)*E16</f>
        <v>149002141.37802574</v>
      </c>
      <c r="F18" s="4">
        <f t="shared" ca="1" si="1"/>
        <v>1705818697.2658911</v>
      </c>
      <c r="G18" s="4"/>
      <c r="H18" s="4">
        <f ca="1">SUM(D18:F18)</f>
        <v>1949818276.9874678</v>
      </c>
      <c r="I18" s="4"/>
      <c r="J18" s="56"/>
      <c r="K18" s="55"/>
    </row>
    <row r="19" spans="3:11" x14ac:dyDescent="0.3">
      <c r="C19" s="59" t="s">
        <v>104</v>
      </c>
      <c r="D19" s="4"/>
      <c r="E19" s="4"/>
      <c r="F19" s="4"/>
      <c r="G19" s="4"/>
      <c r="H19" s="4">
        <f ca="1">STDEV(H22:H129)</f>
        <v>293416766.58175725</v>
      </c>
      <c r="I19" s="4"/>
      <c r="J19" s="56"/>
      <c r="K19" s="55"/>
    </row>
    <row r="20" spans="3:11" x14ac:dyDescent="0.3">
      <c r="C20" s="59" t="s">
        <v>83</v>
      </c>
      <c r="D20" s="4"/>
      <c r="E20" s="4"/>
      <c r="F20" s="4"/>
      <c r="G20" s="4"/>
      <c r="H20" s="4">
        <f ca="1">AVERAGE(H22:H129)</f>
        <v>1755668064.4020507</v>
      </c>
      <c r="I20" s="4"/>
      <c r="J20" s="130" t="s">
        <v>103</v>
      </c>
      <c r="K20" s="55">
        <f ca="1">100*H19/H20</f>
        <v>16.712542224300797</v>
      </c>
    </row>
    <row r="21" spans="3:11" x14ac:dyDescent="0.3">
      <c r="H21" s="4"/>
      <c r="I21" s="4"/>
      <c r="J21" s="130"/>
    </row>
    <row r="22" spans="3:11" x14ac:dyDescent="0.3">
      <c r="D22" s="4"/>
      <c r="G22">
        <v>1</v>
      </c>
      <c r="H22" s="42">
        <f ca="1">H18</f>
        <v>1949818276.9874678</v>
      </c>
      <c r="I22" s="4"/>
      <c r="J22" s="4"/>
    </row>
    <row r="23" spans="3:11" x14ac:dyDescent="0.3">
      <c r="G23">
        <v>2</v>
      </c>
      <c r="H23" s="42">
        <f t="dataTable" ref="H23:H129" dt2D="0" dtr="0" r1="H21" ca="1"/>
        <v>1685198802.2343404</v>
      </c>
      <c r="I23" s="4"/>
      <c r="J23" s="4"/>
      <c r="K23" s="130"/>
    </row>
    <row r="24" spans="3:11" x14ac:dyDescent="0.3">
      <c r="G24">
        <v>3</v>
      </c>
      <c r="H24" s="42">
        <v>1535031673.9711909</v>
      </c>
      <c r="I24" s="4"/>
      <c r="J24" s="4"/>
      <c r="K24" s="130"/>
    </row>
    <row r="25" spans="3:11" x14ac:dyDescent="0.3">
      <c r="G25">
        <v>4</v>
      </c>
      <c r="H25" s="42">
        <v>1815213079.5581677</v>
      </c>
      <c r="I25" s="4"/>
      <c r="J25" s="4"/>
    </row>
    <row r="26" spans="3:11" x14ac:dyDescent="0.3">
      <c r="G26">
        <v>5</v>
      </c>
      <c r="H26" s="42">
        <v>1244386430.4033704</v>
      </c>
      <c r="I26" s="4"/>
      <c r="J26" s="4"/>
    </row>
    <row r="27" spans="3:11" x14ac:dyDescent="0.3">
      <c r="G27">
        <v>6</v>
      </c>
      <c r="H27" s="42">
        <v>1615317562.3961024</v>
      </c>
      <c r="I27" s="4"/>
      <c r="J27" s="4"/>
    </row>
    <row r="28" spans="3:11" x14ac:dyDescent="0.3">
      <c r="G28">
        <v>7</v>
      </c>
      <c r="H28" s="42">
        <v>1707142463.633564</v>
      </c>
      <c r="I28" s="4"/>
      <c r="J28" s="4"/>
    </row>
    <row r="29" spans="3:11" x14ac:dyDescent="0.3">
      <c r="G29">
        <v>8</v>
      </c>
      <c r="H29" s="42">
        <v>1853857168.354162</v>
      </c>
      <c r="I29" s="4"/>
      <c r="J29" s="4"/>
    </row>
    <row r="30" spans="3:11" x14ac:dyDescent="0.3">
      <c r="G30">
        <v>9</v>
      </c>
      <c r="H30" s="42">
        <v>1981438501.6163001</v>
      </c>
      <c r="I30" s="4"/>
      <c r="J30" s="4"/>
    </row>
    <row r="31" spans="3:11" x14ac:dyDescent="0.3">
      <c r="G31">
        <v>10</v>
      </c>
      <c r="H31" s="42">
        <v>2189257906.7384939</v>
      </c>
      <c r="I31" s="4"/>
      <c r="J31" s="4"/>
    </row>
    <row r="32" spans="3:11" x14ac:dyDescent="0.3">
      <c r="G32">
        <v>11</v>
      </c>
      <c r="H32" s="42">
        <v>1734916026.3658464</v>
      </c>
      <c r="I32" s="4"/>
      <c r="J32" s="4"/>
    </row>
    <row r="33" spans="7:10" x14ac:dyDescent="0.3">
      <c r="G33">
        <v>12</v>
      </c>
      <c r="H33" s="42">
        <v>1748925034.1792982</v>
      </c>
      <c r="I33" s="4"/>
      <c r="J33" s="4"/>
    </row>
    <row r="34" spans="7:10" x14ac:dyDescent="0.3">
      <c r="G34">
        <v>13</v>
      </c>
      <c r="H34" s="42">
        <v>1523649292.6934214</v>
      </c>
      <c r="I34" s="4"/>
      <c r="J34" s="4"/>
    </row>
    <row r="35" spans="7:10" x14ac:dyDescent="0.3">
      <c r="G35">
        <v>14</v>
      </c>
      <c r="H35" s="42">
        <v>1831986567.4094877</v>
      </c>
      <c r="I35" s="4"/>
      <c r="J35" s="4"/>
    </row>
    <row r="36" spans="7:10" x14ac:dyDescent="0.3">
      <c r="G36">
        <v>15</v>
      </c>
      <c r="H36" s="42">
        <v>1722502289.4673684</v>
      </c>
      <c r="I36" s="4"/>
      <c r="J36" s="4"/>
    </row>
    <row r="37" spans="7:10" x14ac:dyDescent="0.3">
      <c r="G37">
        <v>16</v>
      </c>
      <c r="H37" s="42">
        <v>2208694759.6031079</v>
      </c>
      <c r="I37" s="4"/>
      <c r="J37" s="4"/>
    </row>
    <row r="38" spans="7:10" x14ac:dyDescent="0.3">
      <c r="G38">
        <v>17</v>
      </c>
      <c r="H38" s="42">
        <v>2078554873.6971655</v>
      </c>
      <c r="I38" s="4"/>
      <c r="J38" s="4"/>
    </row>
    <row r="39" spans="7:10" x14ac:dyDescent="0.3">
      <c r="G39">
        <v>18</v>
      </c>
      <c r="H39" s="42">
        <v>1384787398.6166115</v>
      </c>
      <c r="I39" s="4"/>
      <c r="J39" s="4"/>
    </row>
    <row r="40" spans="7:10" x14ac:dyDescent="0.3">
      <c r="G40">
        <v>19</v>
      </c>
      <c r="H40" s="42">
        <v>1734407377.9056432</v>
      </c>
      <c r="I40" s="4"/>
      <c r="J40" s="4"/>
    </row>
    <row r="41" spans="7:10" x14ac:dyDescent="0.3">
      <c r="G41">
        <v>20</v>
      </c>
      <c r="H41" s="42">
        <v>1478309622.3081617</v>
      </c>
      <c r="I41" s="4"/>
      <c r="J41" s="4"/>
    </row>
    <row r="42" spans="7:10" x14ac:dyDescent="0.3">
      <c r="G42">
        <v>21</v>
      </c>
      <c r="H42" s="42">
        <v>1495142661.0843148</v>
      </c>
      <c r="I42" s="4"/>
      <c r="J42" s="4"/>
    </row>
    <row r="43" spans="7:10" x14ac:dyDescent="0.3">
      <c r="G43">
        <v>22</v>
      </c>
      <c r="H43" s="42">
        <v>1955346687.8185627</v>
      </c>
      <c r="I43" s="4"/>
      <c r="J43" s="4"/>
    </row>
    <row r="44" spans="7:10" x14ac:dyDescent="0.3">
      <c r="G44">
        <v>23</v>
      </c>
      <c r="H44" s="42">
        <v>1605884753.9886162</v>
      </c>
      <c r="I44" s="4"/>
      <c r="J44" s="4"/>
    </row>
    <row r="45" spans="7:10" x14ac:dyDescent="0.3">
      <c r="G45">
        <v>24</v>
      </c>
      <c r="H45" s="42">
        <v>1370720955.5880659</v>
      </c>
      <c r="I45" s="4"/>
      <c r="J45" s="4"/>
    </row>
    <row r="46" spans="7:10" x14ac:dyDescent="0.3">
      <c r="G46">
        <v>25</v>
      </c>
      <c r="H46" s="42">
        <v>1502733797.1732345</v>
      </c>
      <c r="I46" s="4"/>
      <c r="J46" s="4"/>
    </row>
    <row r="47" spans="7:10" x14ac:dyDescent="0.3">
      <c r="G47">
        <v>26</v>
      </c>
      <c r="H47" s="42">
        <v>1424306948.6236854</v>
      </c>
      <c r="I47" s="4"/>
      <c r="J47" s="4"/>
    </row>
    <row r="48" spans="7:10" x14ac:dyDescent="0.3">
      <c r="G48">
        <v>27</v>
      </c>
      <c r="H48" s="42">
        <v>1833897092.7611852</v>
      </c>
      <c r="I48" s="4"/>
      <c r="J48" s="4"/>
    </row>
    <row r="49" spans="7:10" x14ac:dyDescent="0.3">
      <c r="G49">
        <v>28</v>
      </c>
      <c r="H49" s="42">
        <v>1643490560.2079492</v>
      </c>
      <c r="I49" s="4"/>
      <c r="J49" s="4"/>
    </row>
    <row r="50" spans="7:10" x14ac:dyDescent="0.3">
      <c r="G50">
        <v>29</v>
      </c>
      <c r="H50" s="42">
        <v>1335848712.9067073</v>
      </c>
      <c r="I50" s="4"/>
      <c r="J50" s="4"/>
    </row>
    <row r="51" spans="7:10" x14ac:dyDescent="0.3">
      <c r="G51">
        <v>30</v>
      </c>
      <c r="H51" s="42">
        <v>1672809867.4358771</v>
      </c>
      <c r="I51" s="4"/>
      <c r="J51" s="4"/>
    </row>
    <row r="52" spans="7:10" x14ac:dyDescent="0.3">
      <c r="G52">
        <v>31</v>
      </c>
      <c r="H52" s="42">
        <v>2190261084.5557647</v>
      </c>
      <c r="I52" s="4"/>
      <c r="J52" s="4"/>
    </row>
    <row r="53" spans="7:10" x14ac:dyDescent="0.3">
      <c r="G53">
        <v>32</v>
      </c>
      <c r="H53" s="42">
        <v>1500984680.6335213</v>
      </c>
      <c r="I53" s="4"/>
      <c r="J53" s="4"/>
    </row>
    <row r="54" spans="7:10" x14ac:dyDescent="0.3">
      <c r="G54">
        <v>33</v>
      </c>
      <c r="H54" s="42">
        <v>1539267372.7941952</v>
      </c>
      <c r="I54" s="4"/>
      <c r="J54" s="4"/>
    </row>
    <row r="55" spans="7:10" x14ac:dyDescent="0.3">
      <c r="G55">
        <v>34</v>
      </c>
      <c r="H55" s="42">
        <v>1647372164.2715609</v>
      </c>
      <c r="I55" s="4"/>
      <c r="J55" s="4"/>
    </row>
    <row r="56" spans="7:10" x14ac:dyDescent="0.3">
      <c r="G56">
        <v>35</v>
      </c>
      <c r="H56" s="42">
        <v>2347385225.7124701</v>
      </c>
      <c r="I56" s="4"/>
      <c r="J56" s="4"/>
    </row>
    <row r="57" spans="7:10" x14ac:dyDescent="0.3">
      <c r="G57">
        <v>36</v>
      </c>
      <c r="H57" s="42">
        <v>2062336525.2819281</v>
      </c>
      <c r="I57" s="4"/>
      <c r="J57" s="4"/>
    </row>
    <row r="58" spans="7:10" x14ac:dyDescent="0.3">
      <c r="G58">
        <v>37</v>
      </c>
      <c r="H58" s="42">
        <v>1743928314.0946443</v>
      </c>
      <c r="I58" s="4"/>
      <c r="J58" s="4"/>
    </row>
    <row r="59" spans="7:10" x14ac:dyDescent="0.3">
      <c r="G59">
        <v>38</v>
      </c>
      <c r="H59" s="42">
        <v>2086637205.972774</v>
      </c>
      <c r="I59" s="4"/>
      <c r="J59" s="4"/>
    </row>
    <row r="60" spans="7:10" x14ac:dyDescent="0.3">
      <c r="G60">
        <v>39</v>
      </c>
      <c r="H60" s="42">
        <v>2727878744.4056673</v>
      </c>
      <c r="I60" s="4"/>
      <c r="J60" s="4"/>
    </row>
    <row r="61" spans="7:10" x14ac:dyDescent="0.3">
      <c r="G61">
        <v>40</v>
      </c>
      <c r="H61" s="42">
        <v>2092605389.3589809</v>
      </c>
      <c r="I61" s="4"/>
      <c r="J61" s="4"/>
    </row>
    <row r="62" spans="7:10" x14ac:dyDescent="0.3">
      <c r="G62">
        <v>41</v>
      </c>
      <c r="H62" s="42">
        <v>1179062038.6138458</v>
      </c>
      <c r="I62" s="4"/>
      <c r="J62" s="4"/>
    </row>
    <row r="63" spans="7:10" x14ac:dyDescent="0.3">
      <c r="G63">
        <v>42</v>
      </c>
      <c r="H63" s="42">
        <v>1970306919.7022102</v>
      </c>
      <c r="I63" s="4"/>
      <c r="J63" s="4"/>
    </row>
    <row r="64" spans="7:10" x14ac:dyDescent="0.3">
      <c r="G64">
        <v>43</v>
      </c>
      <c r="H64" s="42">
        <v>1773648995.4982364</v>
      </c>
      <c r="I64" s="4"/>
      <c r="J64" s="4"/>
    </row>
    <row r="65" spans="7:10" x14ac:dyDescent="0.3">
      <c r="G65">
        <v>44</v>
      </c>
      <c r="H65" s="42">
        <v>1966820762.0561903</v>
      </c>
      <c r="I65" s="4"/>
      <c r="J65" s="4"/>
    </row>
    <row r="66" spans="7:10" x14ac:dyDescent="0.3">
      <c r="G66">
        <v>45</v>
      </c>
      <c r="H66" s="42">
        <v>1709639142.0482922</v>
      </c>
      <c r="I66" s="4"/>
      <c r="J66" s="4"/>
    </row>
    <row r="67" spans="7:10" x14ac:dyDescent="0.3">
      <c r="G67">
        <v>46</v>
      </c>
      <c r="H67" s="42">
        <v>1349602039.6351421</v>
      </c>
      <c r="I67" s="4"/>
      <c r="J67" s="4"/>
    </row>
    <row r="68" spans="7:10" x14ac:dyDescent="0.3">
      <c r="G68">
        <v>47</v>
      </c>
      <c r="H68" s="42">
        <v>1699735066.0526721</v>
      </c>
      <c r="I68" s="4"/>
      <c r="J68" s="4"/>
    </row>
    <row r="69" spans="7:10" x14ac:dyDescent="0.3">
      <c r="G69">
        <v>48</v>
      </c>
      <c r="H69" s="42">
        <v>1740191307.5942011</v>
      </c>
      <c r="I69" s="4"/>
      <c r="J69" s="4"/>
    </row>
    <row r="70" spans="7:10" x14ac:dyDescent="0.3">
      <c r="G70">
        <v>49</v>
      </c>
      <c r="H70" s="42">
        <v>1908758941.5131824</v>
      </c>
      <c r="I70" s="4"/>
      <c r="J70" s="4"/>
    </row>
    <row r="71" spans="7:10" x14ac:dyDescent="0.3">
      <c r="G71">
        <v>50</v>
      </c>
      <c r="H71" s="42">
        <v>1721313998.423965</v>
      </c>
      <c r="I71" s="4"/>
      <c r="J71" s="4"/>
    </row>
    <row r="72" spans="7:10" x14ac:dyDescent="0.3">
      <c r="G72">
        <v>51</v>
      </c>
      <c r="H72" s="42">
        <v>1986735863.6764646</v>
      </c>
      <c r="I72" s="4"/>
      <c r="J72" s="4"/>
    </row>
    <row r="73" spans="7:10" x14ac:dyDescent="0.3">
      <c r="G73">
        <v>52</v>
      </c>
      <c r="H73" s="42">
        <v>1964784399.0069926</v>
      </c>
      <c r="I73" s="4"/>
      <c r="J73" s="4"/>
    </row>
    <row r="74" spans="7:10" x14ac:dyDescent="0.3">
      <c r="G74">
        <v>53</v>
      </c>
      <c r="H74" s="42">
        <v>1568199448.2297924</v>
      </c>
      <c r="I74" s="4"/>
      <c r="J74" s="4"/>
    </row>
    <row r="75" spans="7:10" x14ac:dyDescent="0.3">
      <c r="G75">
        <v>54</v>
      </c>
      <c r="H75" s="42">
        <v>2376307798.6983566</v>
      </c>
      <c r="I75" s="4"/>
      <c r="J75" s="4"/>
    </row>
    <row r="76" spans="7:10" x14ac:dyDescent="0.3">
      <c r="G76">
        <v>55</v>
      </c>
      <c r="H76" s="42">
        <v>1644203815.2179453</v>
      </c>
      <c r="I76" s="4"/>
      <c r="J76" s="4"/>
    </row>
    <row r="77" spans="7:10" x14ac:dyDescent="0.3">
      <c r="G77">
        <v>56</v>
      </c>
      <c r="H77" s="42">
        <v>1862929076.1355858</v>
      </c>
      <c r="I77" s="4"/>
      <c r="J77" s="4"/>
    </row>
    <row r="78" spans="7:10" x14ac:dyDescent="0.3">
      <c r="G78">
        <v>57</v>
      </c>
      <c r="H78" s="42">
        <v>1759826921.6683891</v>
      </c>
      <c r="I78" s="4"/>
      <c r="J78" s="4"/>
    </row>
    <row r="79" spans="7:10" x14ac:dyDescent="0.3">
      <c r="G79">
        <v>58</v>
      </c>
      <c r="H79" s="42">
        <v>1751080700.8243828</v>
      </c>
      <c r="I79" s="4"/>
      <c r="J79" s="4"/>
    </row>
    <row r="80" spans="7:10" x14ac:dyDescent="0.3">
      <c r="G80">
        <v>59</v>
      </c>
      <c r="H80" s="42">
        <v>1641566953.4481447</v>
      </c>
      <c r="I80" s="4"/>
      <c r="J80" s="4"/>
    </row>
    <row r="81" spans="7:10" x14ac:dyDescent="0.3">
      <c r="G81">
        <v>60</v>
      </c>
      <c r="H81" s="42">
        <v>1618048975.6398609</v>
      </c>
      <c r="I81" s="4"/>
      <c r="J81" s="4"/>
    </row>
    <row r="82" spans="7:10" x14ac:dyDescent="0.3">
      <c r="G82">
        <v>61</v>
      </c>
      <c r="H82" s="42">
        <v>1556749286.6199253</v>
      </c>
      <c r="I82" s="4"/>
      <c r="J82" s="4"/>
    </row>
    <row r="83" spans="7:10" x14ac:dyDescent="0.3">
      <c r="G83">
        <v>62</v>
      </c>
      <c r="H83" s="42">
        <v>1874035694.5263777</v>
      </c>
      <c r="I83" s="4"/>
      <c r="J83" s="4"/>
    </row>
    <row r="84" spans="7:10" x14ac:dyDescent="0.3">
      <c r="G84">
        <v>63</v>
      </c>
      <c r="H84" s="42">
        <v>1927194337.3612289</v>
      </c>
      <c r="I84" s="4"/>
      <c r="J84" s="4"/>
    </row>
    <row r="85" spans="7:10" x14ac:dyDescent="0.3">
      <c r="G85">
        <v>64</v>
      </c>
      <c r="H85" s="42">
        <v>2037642318.3188338</v>
      </c>
      <c r="I85" s="4"/>
      <c r="J85" s="4"/>
    </row>
    <row r="86" spans="7:10" x14ac:dyDescent="0.3">
      <c r="G86">
        <v>65</v>
      </c>
      <c r="H86" s="42">
        <v>1879996627.6266198</v>
      </c>
      <c r="I86" s="4"/>
      <c r="J86" s="4"/>
    </row>
    <row r="87" spans="7:10" x14ac:dyDescent="0.3">
      <c r="G87">
        <v>66</v>
      </c>
      <c r="H87" s="42">
        <v>1733957212.6331105</v>
      </c>
      <c r="I87" s="4"/>
      <c r="J87" s="4"/>
    </row>
    <row r="88" spans="7:10" x14ac:dyDescent="0.3">
      <c r="G88">
        <v>67</v>
      </c>
      <c r="H88" s="42">
        <v>2492326089.1078858</v>
      </c>
      <c r="I88" s="4"/>
      <c r="J88" s="4"/>
    </row>
    <row r="89" spans="7:10" x14ac:dyDescent="0.3">
      <c r="G89">
        <v>68</v>
      </c>
      <c r="H89" s="42">
        <v>1419260081.6403954</v>
      </c>
      <c r="I89" s="4"/>
      <c r="J89" s="4"/>
    </row>
    <row r="90" spans="7:10" x14ac:dyDescent="0.3">
      <c r="G90">
        <v>69</v>
      </c>
      <c r="H90" s="42">
        <v>1413897164.0241845</v>
      </c>
      <c r="I90" s="4"/>
      <c r="J90" s="4"/>
    </row>
    <row r="91" spans="7:10" x14ac:dyDescent="0.3">
      <c r="G91">
        <v>70</v>
      </c>
      <c r="H91" s="42">
        <v>1810437527.9419065</v>
      </c>
      <c r="I91" s="4"/>
      <c r="J91" s="4"/>
    </row>
    <row r="92" spans="7:10" x14ac:dyDescent="0.3">
      <c r="G92">
        <v>71</v>
      </c>
      <c r="H92" s="42">
        <v>1725814313.4373958</v>
      </c>
      <c r="I92" s="4"/>
      <c r="J92" s="4"/>
    </row>
    <row r="93" spans="7:10" x14ac:dyDescent="0.3">
      <c r="G93">
        <v>72</v>
      </c>
      <c r="H93" s="42">
        <v>1783211311.3450441</v>
      </c>
      <c r="I93" s="4"/>
      <c r="J93" s="4"/>
    </row>
    <row r="94" spans="7:10" x14ac:dyDescent="0.3">
      <c r="G94">
        <v>73</v>
      </c>
      <c r="H94" s="42">
        <v>1361525132.0293839</v>
      </c>
      <c r="I94" s="4"/>
      <c r="J94" s="4"/>
    </row>
    <row r="95" spans="7:10" x14ac:dyDescent="0.3">
      <c r="G95">
        <v>74</v>
      </c>
      <c r="H95" s="42">
        <v>1953836552.2364962</v>
      </c>
      <c r="I95" s="4"/>
      <c r="J95" s="4"/>
    </row>
    <row r="96" spans="7:10" x14ac:dyDescent="0.3">
      <c r="G96">
        <v>75</v>
      </c>
      <c r="H96" s="42">
        <v>1404361314.9638581</v>
      </c>
      <c r="I96" s="4"/>
      <c r="J96" s="4"/>
    </row>
    <row r="97" spans="7:10" x14ac:dyDescent="0.3">
      <c r="G97">
        <v>76</v>
      </c>
      <c r="H97" s="42">
        <v>1269238786.7213933</v>
      </c>
      <c r="I97" s="4"/>
      <c r="J97" s="4"/>
    </row>
    <row r="98" spans="7:10" x14ac:dyDescent="0.3">
      <c r="G98">
        <v>77</v>
      </c>
      <c r="H98" s="42">
        <v>1696322458.4267287</v>
      </c>
      <c r="I98" s="4"/>
      <c r="J98" s="4"/>
    </row>
    <row r="99" spans="7:10" x14ac:dyDescent="0.3">
      <c r="G99">
        <v>78</v>
      </c>
      <c r="H99" s="42">
        <v>2225526220.0368872</v>
      </c>
      <c r="I99" s="4"/>
      <c r="J99" s="4"/>
    </row>
    <row r="100" spans="7:10" x14ac:dyDescent="0.3">
      <c r="G100">
        <v>79</v>
      </c>
      <c r="H100" s="42">
        <v>1677270006.890507</v>
      </c>
      <c r="I100" s="4"/>
      <c r="J100" s="4"/>
    </row>
    <row r="101" spans="7:10" x14ac:dyDescent="0.3">
      <c r="G101">
        <v>80</v>
      </c>
      <c r="H101" s="42">
        <v>1751167122.0294929</v>
      </c>
      <c r="I101" s="4"/>
      <c r="J101" s="4"/>
    </row>
    <row r="102" spans="7:10" x14ac:dyDescent="0.3">
      <c r="G102">
        <v>81</v>
      </c>
      <c r="H102" s="42">
        <v>1663888950.7327571</v>
      </c>
      <c r="I102" s="4"/>
      <c r="J102" s="4"/>
    </row>
    <row r="103" spans="7:10" x14ac:dyDescent="0.3">
      <c r="G103">
        <v>82</v>
      </c>
      <c r="H103" s="42">
        <v>1344532971.9376092</v>
      </c>
      <c r="I103" s="4"/>
      <c r="J103" s="4"/>
    </row>
    <row r="104" spans="7:10" x14ac:dyDescent="0.3">
      <c r="G104">
        <v>83</v>
      </c>
      <c r="H104" s="42">
        <v>2148757621.0831842</v>
      </c>
      <c r="I104" s="4"/>
      <c r="J104" s="4"/>
    </row>
    <row r="105" spans="7:10" x14ac:dyDescent="0.3">
      <c r="G105">
        <v>84</v>
      </c>
      <c r="H105" s="42">
        <v>1406107737.3477786</v>
      </c>
      <c r="I105" s="4"/>
      <c r="J105" s="4"/>
    </row>
    <row r="106" spans="7:10" x14ac:dyDescent="0.3">
      <c r="G106">
        <v>85</v>
      </c>
      <c r="H106" s="42">
        <v>2219644166.626204</v>
      </c>
      <c r="I106" s="4"/>
      <c r="J106" s="4"/>
    </row>
    <row r="107" spans="7:10" x14ac:dyDescent="0.3">
      <c r="G107">
        <v>86</v>
      </c>
      <c r="H107" s="42">
        <v>1615856695.5157926</v>
      </c>
      <c r="I107" s="4"/>
      <c r="J107" s="4"/>
    </row>
    <row r="108" spans="7:10" x14ac:dyDescent="0.3">
      <c r="G108">
        <v>87</v>
      </c>
      <c r="H108" s="42">
        <v>1752330852.4467916</v>
      </c>
      <c r="I108" s="4"/>
      <c r="J108" s="4"/>
    </row>
    <row r="109" spans="7:10" x14ac:dyDescent="0.3">
      <c r="G109">
        <v>88</v>
      </c>
      <c r="H109" s="42">
        <v>1832518894.3931</v>
      </c>
      <c r="I109" s="4"/>
      <c r="J109" s="4"/>
    </row>
    <row r="110" spans="7:10" x14ac:dyDescent="0.3">
      <c r="G110">
        <v>89</v>
      </c>
      <c r="H110" s="42">
        <v>1808139555.8532948</v>
      </c>
      <c r="I110" s="4"/>
      <c r="J110" s="4"/>
    </row>
    <row r="111" spans="7:10" x14ac:dyDescent="0.3">
      <c r="G111">
        <v>90</v>
      </c>
      <c r="H111" s="42">
        <v>1236349827.2418053</v>
      </c>
      <c r="I111" s="4"/>
      <c r="J111" s="4"/>
    </row>
    <row r="112" spans="7:10" x14ac:dyDescent="0.3">
      <c r="G112">
        <v>91</v>
      </c>
      <c r="H112" s="42">
        <v>1596706645.2847874</v>
      </c>
      <c r="I112" s="4"/>
      <c r="J112" s="4"/>
    </row>
    <row r="113" spans="7:10" x14ac:dyDescent="0.3">
      <c r="G113">
        <v>92</v>
      </c>
      <c r="H113" s="42">
        <v>1445342124.3138721</v>
      </c>
      <c r="I113" s="4"/>
      <c r="J113" s="4"/>
    </row>
    <row r="114" spans="7:10" x14ac:dyDescent="0.3">
      <c r="G114">
        <v>93</v>
      </c>
      <c r="H114" s="42">
        <v>1081455833.4929223</v>
      </c>
      <c r="I114" s="4"/>
      <c r="J114" s="4"/>
    </row>
    <row r="115" spans="7:10" x14ac:dyDescent="0.3">
      <c r="G115">
        <v>94</v>
      </c>
      <c r="H115" s="42">
        <v>1705242774.4763968</v>
      </c>
      <c r="I115" s="4"/>
      <c r="J115" s="4"/>
    </row>
    <row r="116" spans="7:10" x14ac:dyDescent="0.3">
      <c r="G116">
        <v>95</v>
      </c>
      <c r="H116" s="42">
        <v>1500169576.9280572</v>
      </c>
      <c r="I116" s="4"/>
      <c r="J116" s="4"/>
    </row>
    <row r="117" spans="7:10" x14ac:dyDescent="0.3">
      <c r="G117">
        <v>96</v>
      </c>
      <c r="H117" s="42">
        <v>2004157732.6634557</v>
      </c>
      <c r="I117" s="4"/>
      <c r="J117" s="4"/>
    </row>
    <row r="118" spans="7:10" x14ac:dyDescent="0.3">
      <c r="G118">
        <v>97</v>
      </c>
      <c r="H118" s="42">
        <v>1453663098.3806841</v>
      </c>
      <c r="I118" s="4"/>
      <c r="J118" s="4"/>
    </row>
    <row r="119" spans="7:10" x14ac:dyDescent="0.3">
      <c r="G119">
        <v>98</v>
      </c>
      <c r="H119" s="42">
        <v>1831793060.1747532</v>
      </c>
      <c r="I119" s="4"/>
      <c r="J119" s="4"/>
    </row>
    <row r="120" spans="7:10" x14ac:dyDescent="0.3">
      <c r="G120">
        <v>99</v>
      </c>
      <c r="H120" s="42">
        <v>1840068355.4135854</v>
      </c>
      <c r="I120" s="4"/>
      <c r="J120" s="4"/>
    </row>
    <row r="121" spans="7:10" x14ac:dyDescent="0.3">
      <c r="G121">
        <v>100</v>
      </c>
      <c r="H121" s="42">
        <v>1557782788.3347626</v>
      </c>
      <c r="I121" s="4"/>
      <c r="J121" s="4"/>
    </row>
    <row r="122" spans="7:10" x14ac:dyDescent="0.3">
      <c r="G122">
        <v>101</v>
      </c>
      <c r="H122" s="42">
        <v>2243766655.5642691</v>
      </c>
      <c r="I122" s="4"/>
      <c r="J122" s="4"/>
    </row>
    <row r="123" spans="7:10" x14ac:dyDescent="0.3">
      <c r="G123">
        <v>102</v>
      </c>
      <c r="H123" s="42">
        <v>1701573586.3566842</v>
      </c>
      <c r="I123" s="4"/>
      <c r="J123" s="4"/>
    </row>
    <row r="124" spans="7:10" x14ac:dyDescent="0.3">
      <c r="G124">
        <v>103</v>
      </c>
      <c r="H124" s="42">
        <v>1838259193.9000738</v>
      </c>
      <c r="I124" s="4"/>
      <c r="J124" s="4"/>
    </row>
    <row r="125" spans="7:10" x14ac:dyDescent="0.3">
      <c r="G125">
        <v>104</v>
      </c>
      <c r="H125" s="42">
        <v>2190012769.1762028</v>
      </c>
      <c r="I125" s="4"/>
      <c r="J125" s="4"/>
    </row>
    <row r="126" spans="7:10" x14ac:dyDescent="0.3">
      <c r="G126">
        <v>105</v>
      </c>
      <c r="H126" s="42">
        <v>2156685120.4588289</v>
      </c>
      <c r="I126" s="4"/>
      <c r="J126" s="4"/>
    </row>
    <row r="127" spans="7:10" x14ac:dyDescent="0.3">
      <c r="G127">
        <v>106</v>
      </c>
      <c r="H127" s="42">
        <v>2019189469.5424597</v>
      </c>
      <c r="I127" s="4"/>
      <c r="J127" s="4"/>
    </row>
    <row r="128" spans="7:10" x14ac:dyDescent="0.3">
      <c r="G128">
        <v>107</v>
      </c>
      <c r="H128" s="42">
        <v>1740096737.9282997</v>
      </c>
      <c r="I128" s="4"/>
      <c r="J128" s="4"/>
    </row>
    <row r="129" spans="7:10" x14ac:dyDescent="0.3">
      <c r="G129">
        <v>108</v>
      </c>
      <c r="H129" s="42">
        <v>1689291585.4425764</v>
      </c>
      <c r="I129" s="4"/>
      <c r="J129" s="4"/>
    </row>
  </sheetData>
  <mergeCells count="2">
    <mergeCell ref="K23:K24"/>
    <mergeCell ref="J20:J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NPV_Roadmap</vt:lpstr>
      <vt:lpstr>NPV_Baseline</vt:lpstr>
      <vt:lpstr>Mappings</vt:lpstr>
      <vt:lpstr>MC_Baseline</vt:lpstr>
      <vt:lpstr>MC_Inclusive</vt:lpstr>
      <vt:lpstr>MC_Inequitable</vt:lpstr>
      <vt:lpstr>MC_Status_quo</vt:lpstr>
      <vt:lpstr>MC_Middle_rd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2021-12-13T16:59:36Z</dcterms:modified>
</cp:coreProperties>
</file>